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8FF23C4E-2978-4EC8-9792-101A011D41EC}" xr6:coauthVersionLast="47" xr6:coauthVersionMax="47" xr10:uidLastSave="{00000000-0000-0000-0000-000000000000}"/>
  <bookViews>
    <workbookView xWindow="-57720" yWindow="-120" windowWidth="29040" windowHeight="15720" tabRatio="827" firstSheet="1" activeTab="2" xr2:uid="{00000000-000D-0000-FFFF-FFFF00000000}"/>
  </bookViews>
  <sheets>
    <sheet name="1.ข้อมูลเบื้องต้น" sheetId="1" r:id="rId1"/>
    <sheet name="2.ชื่อนักเรียน" sheetId="2" r:id="rId2"/>
    <sheet name="3.เวลาเรียน" sheetId="19" r:id="rId3"/>
    <sheet name="4.คีย์กลางภาค" sheetId="17" r:id="rId4"/>
    <sheet name="5.กลางภาค" sheetId="3" r:id="rId5"/>
    <sheet name="6.คีย์ปลายภาค" sheetId="18" r:id="rId6"/>
    <sheet name="6.1ประกาศผลปลายภาค" sheetId="5" r:id="rId7"/>
    <sheet name="6.2ปลายภาค" sheetId="13" r:id="rId8"/>
    <sheet name="6.3พัฒนาผู้เรียน" sheetId="6" r:id="rId9"/>
    <sheet name="7.อ่านคิดวิเคราะห์" sheetId="7" r:id="rId10"/>
    <sheet name="8.คุณลักษณะ" sheetId="8" r:id="rId11"/>
    <sheet name="7.บันทึกการเจริญเติบโต" sheetId="14" state="hidden" r:id="rId12"/>
    <sheet name="8.ความคิดเห็น" sheetId="15" state="hidden" r:id="rId13"/>
    <sheet name="9.บันทึกการเจริญเติบโต" sheetId="20" state="hidden" r:id="rId14"/>
    <sheet name="ปถ.07" sheetId="11" r:id="rId15"/>
    <sheet name="รายงาน" sheetId="16" r:id="rId16"/>
    <sheet name="Subject" sheetId="12" r:id="rId17"/>
    <sheet name="list" sheetId="21" state="hidden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Act1_1" localSheetId="14">'[1]4'!$BC$11</definedName>
    <definedName name="Act2_1" localSheetId="14">'[1]4'!$BD$11</definedName>
    <definedName name="ActAll_1">'[2]4.คีย์ปลายภาค'!$BG$11</definedName>
    <definedName name="Activities" localSheetId="17">'[3]6.3พัฒนาผู้เรียน'!$H$11:$H$55</definedName>
    <definedName name="Activities">'6.3พัฒนาผู้เรียน'!$H$11:$H$55</definedName>
    <definedName name="Activity1" localSheetId="13">'[2]1.ข้อมูลเบื้องต้น'!$C$26</definedName>
    <definedName name="Activity1" localSheetId="17">'[3]1.ข้อมูลเบื้องต้น'!$C$34</definedName>
    <definedName name="Activity1">'1.ข้อมูลเบื้องต้น'!$C$34</definedName>
    <definedName name="Activity2" localSheetId="13">'[2]1.ข้อมูลเบื้องต้น'!$C$27</definedName>
    <definedName name="Activity2" localSheetId="17">'[3]1.ข้อมูลเบื้องต้น'!$C$35</definedName>
    <definedName name="Activity2">'1.ข้อมูลเบื้องต้น'!$C$35</definedName>
    <definedName name="Activity3" localSheetId="13">'[2]1.ข้อมูลเบื้องต้น'!$C$28</definedName>
    <definedName name="Activity3" localSheetId="17">'[3]1.ข้อมูลเบื้องต้น'!$C$36</definedName>
    <definedName name="Activity3">'1.ข้อมูลเบื้องต้น'!$C$36</definedName>
    <definedName name="Activity4" localSheetId="13">'[2]1.ข้อมูลเบื้องต้น'!$C$29</definedName>
    <definedName name="Activity4" localSheetId="17">'[3]1.ข้อมูลเบื้องต้น'!$C$37</definedName>
    <definedName name="Activity4">'1.ข้อมูลเบื้องต้น'!$C$37</definedName>
    <definedName name="Advisor" localSheetId="13">'[2]1.ข้อมูลเบื้องต้น'!$J$6</definedName>
    <definedName name="Advisor" localSheetId="17">'[3]1.ข้อมูลเบื้องต้น'!$K$6</definedName>
    <definedName name="Advisor">'1.ข้อมูลเบื้องต้น'!$K$6</definedName>
    <definedName name="AppDate" localSheetId="17">'[3]1.ข้อมูลเบื้องต้น'!$K$16</definedName>
    <definedName name="AppDate">'1.ข้อมูลเบื้องต้น'!$K$16</definedName>
    <definedName name="AppMonth" localSheetId="17">'[3]1.ข้อมูลเบื้องต้น'!$L$16</definedName>
    <definedName name="AppMonth">'1.ข้อมูลเบื้องต้น'!$L$16</definedName>
    <definedName name="AppYear" localSheetId="17">'[3]1.ข้อมูลเบื้องต้น'!$M$16</definedName>
    <definedName name="AppYear">'1.ข้อมูลเบื้องต้น'!$M$16</definedName>
    <definedName name="AssDirector" localSheetId="13">'[2]1.ข้อมูลเบื้องต้น'!$J$10</definedName>
    <definedName name="AssDirector" localSheetId="17">'[3]1.ข้อมูลเบื้องต้น'!$K$12</definedName>
    <definedName name="AssDirector">'1.ข้อมูลเบื้องต้น'!$K$12</definedName>
    <definedName name="Att_1" localSheetId="13">'9.บันทึกการเจริญเติบโต'!#REF!</definedName>
    <definedName name="Att_1">'8.คุณลักษณะ'!$L$11</definedName>
    <definedName name="Att_10" localSheetId="13">'9.บันทึกการเจริญเติบโต'!#REF!</definedName>
    <definedName name="Att_10">'8.คุณลักษณะ'!$L$20</definedName>
    <definedName name="Att_11" localSheetId="13">'9.บันทึกการเจริญเติบโต'!#REF!</definedName>
    <definedName name="Att_11">'8.คุณลักษณะ'!$L$21</definedName>
    <definedName name="Att_12" localSheetId="13">'9.บันทึกการเจริญเติบโต'!#REF!</definedName>
    <definedName name="Att_12">'8.คุณลักษณะ'!$L$22</definedName>
    <definedName name="Att_13" localSheetId="13">'9.บันทึกการเจริญเติบโต'!#REF!</definedName>
    <definedName name="Att_13">'8.คุณลักษณะ'!$L$23</definedName>
    <definedName name="Att_14" localSheetId="13">'9.บันทึกการเจริญเติบโต'!#REF!</definedName>
    <definedName name="Att_14">'8.คุณลักษณะ'!$L$24</definedName>
    <definedName name="Att_15" localSheetId="13">'9.บันทึกการเจริญเติบโต'!#REF!</definedName>
    <definedName name="Att_15">'8.คุณลักษณะ'!$L$25</definedName>
    <definedName name="Att_16" localSheetId="13">'9.บันทึกการเจริญเติบโต'!#REF!</definedName>
    <definedName name="Att_16">'8.คุณลักษณะ'!$L$26</definedName>
    <definedName name="Att_17" localSheetId="13">'9.บันทึกการเจริญเติบโต'!#REF!</definedName>
    <definedName name="Att_17">'8.คุณลักษณะ'!$L$27</definedName>
    <definedName name="Att_18" localSheetId="13">'9.บันทึกการเจริญเติบโต'!#REF!</definedName>
    <definedName name="Att_18">'8.คุณลักษณะ'!$L$28</definedName>
    <definedName name="Att_19" localSheetId="13">'9.บันทึกการเจริญเติบโต'!#REF!</definedName>
    <definedName name="Att_19">'8.คุณลักษณะ'!$L$29</definedName>
    <definedName name="Att_2" localSheetId="13">'9.บันทึกการเจริญเติบโต'!#REF!</definedName>
    <definedName name="Att_2">'8.คุณลักษณะ'!$L$12</definedName>
    <definedName name="Att_20" localSheetId="13">'9.บันทึกการเจริญเติบโต'!#REF!</definedName>
    <definedName name="Att_20">'8.คุณลักษณะ'!$L$30</definedName>
    <definedName name="Att_21" localSheetId="13">'9.บันทึกการเจริญเติบโต'!#REF!</definedName>
    <definedName name="Att_21">'8.คุณลักษณะ'!$L$31</definedName>
    <definedName name="Att_22" localSheetId="13">'9.บันทึกการเจริญเติบโต'!#REF!</definedName>
    <definedName name="Att_22">'8.คุณลักษณะ'!$L$32</definedName>
    <definedName name="Att_23" localSheetId="13">'9.บันทึกการเจริญเติบโต'!#REF!</definedName>
    <definedName name="Att_23">'8.คุณลักษณะ'!$L$33</definedName>
    <definedName name="Att_24" localSheetId="13">'9.บันทึกการเจริญเติบโต'!#REF!</definedName>
    <definedName name="Att_24">'8.คุณลักษณะ'!$L$34</definedName>
    <definedName name="Att_25" localSheetId="13">'9.บันทึกการเจริญเติบโต'!#REF!</definedName>
    <definedName name="Att_25">'8.คุณลักษณะ'!$L$35</definedName>
    <definedName name="Att_26" localSheetId="13">'9.บันทึกการเจริญเติบโต'!#REF!</definedName>
    <definedName name="Att_26">'8.คุณลักษณะ'!$L$36</definedName>
    <definedName name="Att_27" localSheetId="13">'9.บันทึกการเจริญเติบโต'!#REF!</definedName>
    <definedName name="Att_27">'8.คุณลักษณะ'!$L$37</definedName>
    <definedName name="Att_28" localSheetId="13">'9.บันทึกการเจริญเติบโต'!#REF!</definedName>
    <definedName name="Att_28">'8.คุณลักษณะ'!$L$38</definedName>
    <definedName name="Att_29" localSheetId="13">'9.บันทึกการเจริญเติบโต'!#REF!</definedName>
    <definedName name="Att_29">'8.คุณลักษณะ'!$L$39</definedName>
    <definedName name="Att_3" localSheetId="13">'9.บันทึกการเจริญเติบโต'!#REF!</definedName>
    <definedName name="Att_3">'8.คุณลักษณะ'!$L$13</definedName>
    <definedName name="Att_30" localSheetId="13">'9.บันทึกการเจริญเติบโต'!#REF!</definedName>
    <definedName name="Att_30">'8.คุณลักษณะ'!$L$40</definedName>
    <definedName name="Att_31" localSheetId="13">'9.บันทึกการเจริญเติบโต'!#REF!</definedName>
    <definedName name="Att_31">'8.คุณลักษณะ'!$L$41</definedName>
    <definedName name="Att_32" localSheetId="13">'9.บันทึกการเจริญเติบโต'!#REF!</definedName>
    <definedName name="Att_32">'8.คุณลักษณะ'!$L$42</definedName>
    <definedName name="Att_33" localSheetId="13">'9.บันทึกการเจริญเติบโต'!#REF!</definedName>
    <definedName name="Att_33">'8.คุณลักษณะ'!$L$43</definedName>
    <definedName name="Att_34" localSheetId="13">'9.บันทึกการเจริญเติบโต'!#REF!</definedName>
    <definedName name="Att_34">'8.คุณลักษณะ'!$L$44</definedName>
    <definedName name="Att_35" localSheetId="13">'9.บันทึกการเจริญเติบโต'!#REF!</definedName>
    <definedName name="Att_35">'8.คุณลักษณะ'!$L$45</definedName>
    <definedName name="Att_36" localSheetId="13">'9.บันทึกการเจริญเติบโต'!#REF!</definedName>
    <definedName name="Att_36">'8.คุณลักษณะ'!$L$46</definedName>
    <definedName name="Att_37" localSheetId="13">'9.บันทึกการเจริญเติบโต'!#REF!</definedName>
    <definedName name="Att_37">'8.คุณลักษณะ'!$L$47</definedName>
    <definedName name="Att_38" localSheetId="13">'9.บันทึกการเจริญเติบโต'!#REF!</definedName>
    <definedName name="Att_38">'8.คุณลักษณะ'!$L$48</definedName>
    <definedName name="Att_39" localSheetId="13">'9.บันทึกการเจริญเติบโต'!#REF!</definedName>
    <definedName name="Att_39">'8.คุณลักษณะ'!$L$49</definedName>
    <definedName name="Att_4" localSheetId="13">'9.บันทึกการเจริญเติบโต'!#REF!</definedName>
    <definedName name="Att_4">'8.คุณลักษณะ'!$L$14</definedName>
    <definedName name="Att_40" localSheetId="13">'9.บันทึกการเจริญเติบโต'!#REF!</definedName>
    <definedName name="Att_40">'8.คุณลักษณะ'!$L$50</definedName>
    <definedName name="Att_41" localSheetId="13">'9.บันทึกการเจริญเติบโต'!#REF!</definedName>
    <definedName name="Att_41">'8.คุณลักษณะ'!$L$51</definedName>
    <definedName name="Att_42" localSheetId="13">'9.บันทึกการเจริญเติบโต'!#REF!</definedName>
    <definedName name="Att_42">'8.คุณลักษณะ'!$L$52</definedName>
    <definedName name="Att_43" localSheetId="13">'9.บันทึกการเจริญเติบโต'!#REF!</definedName>
    <definedName name="Att_43">'8.คุณลักษณะ'!$L$53</definedName>
    <definedName name="Att_44" localSheetId="13">'9.บันทึกการเจริญเติบโต'!#REF!</definedName>
    <definedName name="Att_44">'8.คุณลักษณะ'!$L$54</definedName>
    <definedName name="Att_45" localSheetId="13">'9.บันทึกการเจริญเติบโต'!#REF!</definedName>
    <definedName name="Att_45">'8.คุณลักษณะ'!$L$55</definedName>
    <definedName name="Att_5" localSheetId="13">'9.บันทึกการเจริญเติบโต'!#REF!</definedName>
    <definedName name="Att_5">'8.คุณลักษณะ'!$L$15</definedName>
    <definedName name="Att_6" localSheetId="13">'9.บันทึกการเจริญเติบโต'!#REF!</definedName>
    <definedName name="Att_6">'8.คุณลักษณะ'!$L$16</definedName>
    <definedName name="Att_7" localSheetId="13">'9.บันทึกการเจริญเติบโต'!#REF!</definedName>
    <definedName name="Att_7">'8.คุณลักษณะ'!$L$17</definedName>
    <definedName name="Att_8" localSheetId="13">'9.บันทึกการเจริญเติบโต'!#REF!</definedName>
    <definedName name="Att_8">'8.คุณลักษณะ'!$L$18</definedName>
    <definedName name="Att_9" localSheetId="13">'9.บันทึกการเจริญเติบโต'!#REF!</definedName>
    <definedName name="Att_9">'8.คุณลักษณะ'!$L$19</definedName>
    <definedName name="Attribute" localSheetId="17">'[3]8.คุณลักษณะ'!$L$11:$L$55</definedName>
    <definedName name="Attribute">'8.คุณลักษณะ'!$L$11:$L$55</definedName>
    <definedName name="Class" localSheetId="13">'[2]1.ข้อมูลเบื้องต้น'!$J$2</definedName>
    <definedName name="Class" localSheetId="17">'[3]1.ข้อมูลเบื้องต้น'!$K$2</definedName>
    <definedName name="Class">'1.ข้อมูลเบื้องต้น'!$K$2</definedName>
    <definedName name="CodeEle1" localSheetId="13">'[2]1.ข้อมูลเบื้องต้น'!$B$20</definedName>
    <definedName name="CodeEle1" localSheetId="17">'[3]1.ข้อมูลเบื้องต้น'!$B$20</definedName>
    <definedName name="CodeEle1">'1.ข้อมูลเบื้องต้น'!$B$20</definedName>
    <definedName name="CodeEle10" localSheetId="17">'[3]1.ข้อมูลเบื้องต้น'!$B$29</definedName>
    <definedName name="CodeEle10">'1.ข้อมูลเบื้องต้น'!$B$29</definedName>
    <definedName name="CodeEle11" localSheetId="17">'[3]1.ข้อมูลเบื้องต้น'!$B$30</definedName>
    <definedName name="CodeEle11">'1.ข้อมูลเบื้องต้น'!$B$30</definedName>
    <definedName name="CodeEle12" localSheetId="17">'[3]1.ข้อมูลเบื้องต้น'!$B$31</definedName>
    <definedName name="CodeEle12">'1.ข้อมูลเบื้องต้น'!$B$31</definedName>
    <definedName name="CodeEle2" localSheetId="13">'[2]1.ข้อมูลเบื้องต้น'!$B$21</definedName>
    <definedName name="CodeEle2" localSheetId="17">'[3]1.ข้อมูลเบื้องต้น'!$B$21</definedName>
    <definedName name="CodeEle2">'1.ข้อมูลเบื้องต้น'!$B$21</definedName>
    <definedName name="CodeEle3" localSheetId="13">'[2]1.ข้อมูลเบื้องต้น'!$B$22</definedName>
    <definedName name="CodeEle3" localSheetId="17">'[3]1.ข้อมูลเบื้องต้น'!$B$22</definedName>
    <definedName name="CodeEle3">'1.ข้อมูลเบื้องต้น'!$B$22</definedName>
    <definedName name="CodeEle4" localSheetId="13">'[2]1.ข้อมูลเบื้องต้น'!$B$23</definedName>
    <definedName name="CodeEle4" localSheetId="17">'[3]1.ข้อมูลเบื้องต้น'!$B$23</definedName>
    <definedName name="CodeEle4">'1.ข้อมูลเบื้องต้น'!$B$23</definedName>
    <definedName name="CodeEle5" localSheetId="13">'[2]1.ข้อมูลเบื้องต้น'!$B$24</definedName>
    <definedName name="CodeEle5" localSheetId="17">'[3]1.ข้อมูลเบื้องต้น'!$B$24</definedName>
    <definedName name="CodeEle5">'1.ข้อมูลเบื้องต้น'!$B$24</definedName>
    <definedName name="CodeEle6" localSheetId="17">'[3]1.ข้อมูลเบื้องต้น'!$B$25</definedName>
    <definedName name="CodeEle6">'1.ข้อมูลเบื้องต้น'!$B$25</definedName>
    <definedName name="CodeEle7" localSheetId="17">'[3]1.ข้อมูลเบื้องต้น'!$B$26</definedName>
    <definedName name="CodeEle7">'1.ข้อมูลเบื้องต้น'!$B$26</definedName>
    <definedName name="CodeEle8" localSheetId="17">'[3]1.ข้อมูลเบื้องต้น'!$B$27</definedName>
    <definedName name="CodeEle8">'1.ข้อมูลเบื้องต้น'!$B$27</definedName>
    <definedName name="CodeEle9" localSheetId="17">'[3]1.ข้อมูลเบื้องต้น'!$B$28</definedName>
    <definedName name="CodeEle9">'1.ข้อมูลเบื้องต้น'!$B$28</definedName>
    <definedName name="codegen1" localSheetId="13">'[2]1.ข้อมูลเบื้องต้น'!$B$7</definedName>
    <definedName name="codegen1" localSheetId="17">'[3]1.ข้อมูลเบื้องต้น'!$B$7</definedName>
    <definedName name="codegen1">'1.ข้อมูลเบื้องต้น'!$B$7</definedName>
    <definedName name="codegen10" localSheetId="13">'[2]1.ข้อมูลเบื้องต้น'!$B$16</definedName>
    <definedName name="codegen10" localSheetId="17">'[3]1.ข้อมูลเบื้องต้น'!$B$16</definedName>
    <definedName name="codegen10">'1.ข้อมูลเบื้องต้น'!$B$16</definedName>
    <definedName name="codegen11" localSheetId="13">'[2]1.ข้อมูลเบื้องต้น'!$B$17</definedName>
    <definedName name="codegen11" localSheetId="17">'[3]1.ข้อมูลเบื้องต้น'!$B$17</definedName>
    <definedName name="codegen11">'1.ข้อมูลเบื้องต้น'!$B$17</definedName>
    <definedName name="codegen12" localSheetId="13">'[2]1.ข้อมูลเบื้องต้น'!$B$18</definedName>
    <definedName name="codegen12" localSheetId="17">'[3]1.ข้อมูลเบื้องต้น'!$B$18</definedName>
    <definedName name="codegen12">'1.ข้อมูลเบื้องต้น'!$B$18</definedName>
    <definedName name="codegen2" localSheetId="13">'[2]1.ข้อมูลเบื้องต้น'!$B$8</definedName>
    <definedName name="codegen2" localSheetId="17">'[3]1.ข้อมูลเบื้องต้น'!$B$8</definedName>
    <definedName name="codegen2">'1.ข้อมูลเบื้องต้น'!$B$8</definedName>
    <definedName name="codegen3" localSheetId="13">'[2]1.ข้อมูลเบื้องต้น'!$B$9</definedName>
    <definedName name="codegen3" localSheetId="17">'[3]1.ข้อมูลเบื้องต้น'!$B$9</definedName>
    <definedName name="codegen3">'1.ข้อมูลเบื้องต้น'!$B$9</definedName>
    <definedName name="codegen4" localSheetId="13">'[2]1.ข้อมูลเบื้องต้น'!$B$10</definedName>
    <definedName name="codegen4" localSheetId="17">'[3]1.ข้อมูลเบื้องต้น'!$B$10</definedName>
    <definedName name="codegen4">'1.ข้อมูลเบื้องต้น'!$B$10</definedName>
    <definedName name="codegen5" localSheetId="13">'[2]1.ข้อมูลเบื้องต้น'!$B$11</definedName>
    <definedName name="codegen5" localSheetId="17">'[3]1.ข้อมูลเบื้องต้น'!$B$11</definedName>
    <definedName name="codegen5">'1.ข้อมูลเบื้องต้น'!$B$11</definedName>
    <definedName name="codegen6" localSheetId="13">'[2]1.ข้อมูลเบื้องต้น'!$B$12</definedName>
    <definedName name="codegen6" localSheetId="17">'[3]1.ข้อมูลเบื้องต้น'!$B$12</definedName>
    <definedName name="codegen6">'1.ข้อมูลเบื้องต้น'!$B$12</definedName>
    <definedName name="codegen7" localSheetId="13">'[2]1.ข้อมูลเบื้องต้น'!$B$13</definedName>
    <definedName name="codegen7" localSheetId="17">'[3]1.ข้อมูลเบื้องต้น'!$B$13</definedName>
    <definedName name="codegen7">'1.ข้อมูลเบื้องต้น'!$B$13</definedName>
    <definedName name="codegen8" localSheetId="13">'[2]1.ข้อมูลเบื้องต้น'!$B$14</definedName>
    <definedName name="codegen8" localSheetId="17">'[3]1.ข้อมูลเบื้องต้น'!$B$14</definedName>
    <definedName name="codegen8">'1.ข้อมูลเบื้องต้น'!$B$14</definedName>
    <definedName name="codegen9" localSheetId="13">'[2]1.ข้อมูลเบื้องต้น'!$B$15</definedName>
    <definedName name="codegen9" localSheetId="17">'[3]1.ข้อมูลเบื้องต้น'!$B$15</definedName>
    <definedName name="codegen9">'1.ข้อมูลเบื้องต้น'!$B$15</definedName>
    <definedName name="CreditEle1" localSheetId="13">'[2]1.ข้อมูลเบื้องต้น'!$D$20</definedName>
    <definedName name="CreditEle1" localSheetId="17">'[3]1.ข้อมูลเบื้องต้น'!$D$20</definedName>
    <definedName name="CreditEle1">'1.ข้อมูลเบื้องต้น'!$D$20</definedName>
    <definedName name="CreditEle10" localSheetId="17">'[3]1.ข้อมูลเบื้องต้น'!$D$29</definedName>
    <definedName name="CreditEle10">'1.ข้อมูลเบื้องต้น'!$D$29</definedName>
    <definedName name="CreditEle11" localSheetId="17">'[3]1.ข้อมูลเบื้องต้น'!$D$30</definedName>
    <definedName name="CreditEle11">'1.ข้อมูลเบื้องต้น'!$D$30</definedName>
    <definedName name="CreditEle12" localSheetId="17">'[3]1.ข้อมูลเบื้องต้น'!$D$31</definedName>
    <definedName name="CreditEle12">'1.ข้อมูลเบื้องต้น'!$D$31</definedName>
    <definedName name="CreditEle2" localSheetId="13">'[2]1.ข้อมูลเบื้องต้น'!$D$21</definedName>
    <definedName name="CreditEle2" localSheetId="17">'[3]1.ข้อมูลเบื้องต้น'!$D$21</definedName>
    <definedName name="CreditEle2">'1.ข้อมูลเบื้องต้น'!$D$21</definedName>
    <definedName name="CreditEle3" localSheetId="13">'[2]1.ข้อมูลเบื้องต้น'!$D$22</definedName>
    <definedName name="CreditEle3" localSheetId="17">'[3]1.ข้อมูลเบื้องต้น'!$D$22</definedName>
    <definedName name="CreditEle3">'1.ข้อมูลเบื้องต้น'!$D$22</definedName>
    <definedName name="CreditEle4" localSheetId="13">'[2]1.ข้อมูลเบื้องต้น'!$D$23</definedName>
    <definedName name="CreditEle4" localSheetId="17">'[3]1.ข้อมูลเบื้องต้น'!$D$23</definedName>
    <definedName name="CreditEle4">'1.ข้อมูลเบื้องต้น'!$D$23</definedName>
    <definedName name="CreditEle5" localSheetId="13">'[2]1.ข้อมูลเบื้องต้น'!$D$24</definedName>
    <definedName name="CreditEle5" localSheetId="17">'[3]1.ข้อมูลเบื้องต้น'!$D$24</definedName>
    <definedName name="CreditEle5">'1.ข้อมูลเบื้องต้น'!$D$24</definedName>
    <definedName name="CreditEle6" localSheetId="17">'[3]1.ข้อมูลเบื้องต้น'!$D$25</definedName>
    <definedName name="CreditEle6">'1.ข้อมูลเบื้องต้น'!$D$25</definedName>
    <definedName name="CreditEle7" localSheetId="17">'[3]1.ข้อมูลเบื้องต้น'!$D$26</definedName>
    <definedName name="CreditEle7">'1.ข้อมูลเบื้องต้น'!$D$26</definedName>
    <definedName name="CreditEle8" localSheetId="17">'[3]1.ข้อมูลเบื้องต้น'!$D$27</definedName>
    <definedName name="CreditEle8">'1.ข้อมูลเบื้องต้น'!$D$27</definedName>
    <definedName name="CreditEle9" localSheetId="17">'[3]1.ข้อมูลเบื้องต้น'!$D$28</definedName>
    <definedName name="CreditEle9">'1.ข้อมูลเบื้องต้น'!$D$28</definedName>
    <definedName name="CreditGen1" localSheetId="13">'[2]1.ข้อมูลเบื้องต้น'!$D$7</definedName>
    <definedName name="CreditGen1" localSheetId="17">'[3]1.ข้อมูลเบื้องต้น'!$D$7</definedName>
    <definedName name="CreditGen1">'1.ข้อมูลเบื้องต้น'!$D$7</definedName>
    <definedName name="CreditGen10" localSheetId="13">'[2]1.ข้อมูลเบื้องต้น'!$D$16</definedName>
    <definedName name="CreditGen10" localSheetId="17">'[3]1.ข้อมูลเบื้องต้น'!$D$16</definedName>
    <definedName name="CreditGen10">'1.ข้อมูลเบื้องต้น'!$D$16</definedName>
    <definedName name="CreditGen11" localSheetId="13">'[2]1.ข้อมูลเบื้องต้น'!$D$17</definedName>
    <definedName name="CreditGen11" localSheetId="17">'[3]1.ข้อมูลเบื้องต้น'!$D$17</definedName>
    <definedName name="CreditGen11">'1.ข้อมูลเบื้องต้น'!$D$17</definedName>
    <definedName name="CreditGen12" localSheetId="13">'[2]1.ข้อมูลเบื้องต้น'!$D$18</definedName>
    <definedName name="CreditGen12" localSheetId="17">'[3]1.ข้อมูลเบื้องต้น'!$D$18</definedName>
    <definedName name="CreditGen12">'1.ข้อมูลเบื้องต้น'!$D$18</definedName>
    <definedName name="CreditGen2" localSheetId="13">'[2]1.ข้อมูลเบื้องต้น'!$D$8</definedName>
    <definedName name="CreditGen2" localSheetId="17">'[3]1.ข้อมูลเบื้องต้น'!$D$8</definedName>
    <definedName name="CreditGen2">'1.ข้อมูลเบื้องต้น'!$D$8</definedName>
    <definedName name="CreditGen3" localSheetId="13">'[2]1.ข้อมูลเบื้องต้น'!$D$9</definedName>
    <definedName name="CreditGen3" localSheetId="17">'[3]1.ข้อมูลเบื้องต้น'!$D$9</definedName>
    <definedName name="CreditGen3">'1.ข้อมูลเบื้องต้น'!$D$9</definedName>
    <definedName name="CreditGen4" localSheetId="13">'[2]1.ข้อมูลเบื้องต้น'!$D$10</definedName>
    <definedName name="CreditGen4" localSheetId="17">'[3]1.ข้อมูลเบื้องต้น'!$D$10</definedName>
    <definedName name="CreditGen4">'1.ข้อมูลเบื้องต้น'!$D$10</definedName>
    <definedName name="CreditGen5" localSheetId="13">'[2]1.ข้อมูลเบื้องต้น'!$D$11</definedName>
    <definedName name="CreditGen5" localSheetId="17">'[3]1.ข้อมูลเบื้องต้น'!$D$11</definedName>
    <definedName name="CreditGen5">'1.ข้อมูลเบื้องต้น'!$D$11</definedName>
    <definedName name="CreditGen6" localSheetId="13">'[2]1.ข้อมูลเบื้องต้น'!$D$12</definedName>
    <definedName name="CreditGen6" localSheetId="17">'[3]1.ข้อมูลเบื้องต้น'!$D$12</definedName>
    <definedName name="CreditGen6">'1.ข้อมูลเบื้องต้น'!$D$12</definedName>
    <definedName name="CreditGen7" localSheetId="13">'[2]1.ข้อมูลเบื้องต้น'!$D$13</definedName>
    <definedName name="CreditGen7" localSheetId="17">'[3]1.ข้อมูลเบื้องต้น'!$D$13</definedName>
    <definedName name="CreditGen7">'1.ข้อมูลเบื้องต้น'!$D$13</definedName>
    <definedName name="CreditGen8" localSheetId="13">'[2]1.ข้อมูลเบื้องต้น'!$D$14</definedName>
    <definedName name="CreditGen8" localSheetId="17">'[3]1.ข้อมูลเบื้องต้น'!$D$14</definedName>
    <definedName name="CreditGen8">'1.ข้อมูลเบื้องต้น'!$D$14</definedName>
    <definedName name="CreditGen9" localSheetId="13">'[2]1.ข้อมูลเบื้องต้น'!$D$15</definedName>
    <definedName name="CreditGen9" localSheetId="17">'[3]1.ข้อมูลเบื้องต้น'!$D$15</definedName>
    <definedName name="CreditGen9">'1.ข้อมูลเบื้องต้น'!$D$15</definedName>
    <definedName name="Date">'1.ข้อมูลเบื้องต้น'!$K$16</definedName>
    <definedName name="Director" localSheetId="13">'[2]1.ข้อมูลเบื้องต้น'!$J$12</definedName>
    <definedName name="Director" localSheetId="17">'[3]1.ข้อมูลเบื้องต้น'!$K$14</definedName>
    <definedName name="Director">'1.ข้อมูลเบื้องต้น'!$K$14</definedName>
    <definedName name="EleGrade1" localSheetId="13">'[2]4.คีย์ปลายภาค'!$AC$11:$AC$55</definedName>
    <definedName name="EleGrade1" localSheetId="17">'[3]6.คีย์ปลายภาค'!$BS$6:$BS$50</definedName>
    <definedName name="EleGrade1">'6.คีย์ปลายภาค'!$BS$6:$BS$50</definedName>
    <definedName name="EleGrade10" localSheetId="17">'[3]6.คีย์ปลายภาค'!$DL$6:$DL$50</definedName>
    <definedName name="EleGrade10">'6.คีย์ปลายภาค'!$DL$6:$DL$50</definedName>
    <definedName name="EleGrade11" localSheetId="17">'[3]6.คีย์ปลายภาค'!$DQ$6:$DQ$50</definedName>
    <definedName name="EleGrade11">'6.คีย์ปลายภาค'!$DQ$6:$DQ$50</definedName>
    <definedName name="EleGrade12" localSheetId="17">'[3]6.คีย์ปลายภาค'!$DV$6:$DV$50</definedName>
    <definedName name="EleGrade12">'6.คีย์ปลายภาค'!$DV$6:$DV$50</definedName>
    <definedName name="EleGrade2" localSheetId="13">'[2]4.คีย์ปลายภาค'!$AE$11:$AE$55</definedName>
    <definedName name="EleGrade2" localSheetId="17">'[3]6.คีย์ปลายภาค'!$BX$6:$BX$50</definedName>
    <definedName name="EleGrade2">'6.คีย์ปลายภาค'!$BX$6:$BX$50</definedName>
    <definedName name="EleGrade3" localSheetId="13">'[2]4.คีย์ปลายภาค'!$AG$11:$AG$55</definedName>
    <definedName name="EleGrade3" localSheetId="17">'[3]6.คีย์ปลายภาค'!$CC$6:$CC$50</definedName>
    <definedName name="EleGrade3">'6.คีย์ปลายภาค'!$CC$6:$CC$50</definedName>
    <definedName name="EleGrade4" localSheetId="13">'[2]4.คีย์ปลายภาค'!$AI$11:$AI$55</definedName>
    <definedName name="EleGrade4" localSheetId="17">'[3]6.คีย์ปลายภาค'!$CH$6:$CH$50</definedName>
    <definedName name="EleGrade4">'6.คีย์ปลายภาค'!$CH$6:$CH$50</definedName>
    <definedName name="EleGrade5" localSheetId="13">'[2]4.คีย์ปลายภาค'!$AK$11:$AK$55</definedName>
    <definedName name="EleGrade5" localSheetId="17">'[3]6.คีย์ปลายภาค'!$CM$6:$CM$50</definedName>
    <definedName name="EleGrade5">'6.คีย์ปลายภาค'!$CM$6:$CM$50</definedName>
    <definedName name="EleGrade6" localSheetId="17">'[3]6.คีย์ปลายภาค'!$CR$6:$CR$50</definedName>
    <definedName name="EleGrade6">'6.คีย์ปลายภาค'!$CR$6:$CR$50</definedName>
    <definedName name="EleGrade7" localSheetId="17">'[3]6.คีย์ปลายภาค'!$CW$6:$CW$50</definedName>
    <definedName name="EleGrade7">'6.คีย์ปลายภาค'!$CW$6:$CW$50</definedName>
    <definedName name="EleGrade8" localSheetId="17">'[3]6.คีย์ปลายภาค'!$DB$6:$DB$50</definedName>
    <definedName name="EleGrade8">'6.คีย์ปลายภาค'!$DB$6:$DB$50</definedName>
    <definedName name="EleGrade9" localSheetId="17">'[3]6.คีย์ปลายภาค'!$DG$6:$DG$50</definedName>
    <definedName name="EleGrade9">'6.คีย์ปลายภาค'!$DG$6:$DG$50</definedName>
    <definedName name="EleMid1_1">'5.กลางภาค'!$T$8</definedName>
    <definedName name="EleMid1_10">'5.กลางภาค'!$T$17</definedName>
    <definedName name="EleMid1_11">'5.กลางภาค'!$T$18</definedName>
    <definedName name="EleMid1_12">'5.กลางภาค'!$T$19</definedName>
    <definedName name="EleMid1_13">'5.กลางภาค'!$T$20</definedName>
    <definedName name="EleMid1_14">'5.กลางภาค'!$T$21</definedName>
    <definedName name="EleMid1_15">'5.กลางภาค'!$T$22</definedName>
    <definedName name="EleMid1_16">'5.กลางภาค'!$T$23</definedName>
    <definedName name="EleMid1_17">'5.กลางภาค'!$T$24</definedName>
    <definedName name="EleMid1_18">'5.กลางภาค'!$T$25</definedName>
    <definedName name="EleMid1_19">'5.กลางภาค'!$T$26</definedName>
    <definedName name="EleMid1_2">'5.กลางภาค'!$T$9</definedName>
    <definedName name="EleMid1_20">'5.กลางภาค'!$T$27</definedName>
    <definedName name="EleMid1_21">'5.กลางภาค'!$T$28</definedName>
    <definedName name="EleMid1_22">'5.กลางภาค'!$T$29</definedName>
    <definedName name="EleMid1_23">'5.กลางภาค'!$T$30</definedName>
    <definedName name="EleMid1_24">'5.กลางภาค'!$T$31</definedName>
    <definedName name="EleMid1_25">'5.กลางภาค'!$T$32</definedName>
    <definedName name="EleMid1_26">'5.กลางภาค'!$T$33</definedName>
    <definedName name="EleMid1_27">'5.กลางภาค'!$T$34</definedName>
    <definedName name="EleMid1_28">'5.กลางภาค'!$T$35</definedName>
    <definedName name="EleMid1_29">'5.กลางภาค'!$T$36</definedName>
    <definedName name="EleMid1_3">'5.กลางภาค'!$T$10</definedName>
    <definedName name="EleMid1_30">'5.กลางภาค'!$T$37</definedName>
    <definedName name="EleMid1_31">'5.กลางภาค'!$T$38</definedName>
    <definedName name="EleMid1_32">'5.กลางภาค'!$T$39</definedName>
    <definedName name="EleMid1_33">'5.กลางภาค'!$T$40</definedName>
    <definedName name="EleMid1_34">'5.กลางภาค'!$T$41</definedName>
    <definedName name="EleMid1_35">'5.กลางภาค'!$T$42</definedName>
    <definedName name="EleMid1_36">'5.กลางภาค'!$T$43</definedName>
    <definedName name="EleMid1_37">'5.กลางภาค'!$T$44</definedName>
    <definedName name="EleMid1_38">'5.กลางภาค'!$T$45</definedName>
    <definedName name="EleMid1_39">'5.กลางภาค'!$T$46</definedName>
    <definedName name="EleMid1_4">'5.กลางภาค'!$T$11</definedName>
    <definedName name="EleMid1_40">'5.กลางภาค'!$T$47</definedName>
    <definedName name="EleMid1_41">'5.กลางภาค'!$T$48</definedName>
    <definedName name="EleMid1_42">'5.กลางภาค'!$T$49</definedName>
    <definedName name="EleMid1_43">'5.กลางภาค'!$T$50</definedName>
    <definedName name="EleMid1_44">'5.กลางภาค'!$T$51</definedName>
    <definedName name="EleMid1_45">'5.กลางภาค'!$T$52</definedName>
    <definedName name="EleMid1_5">'5.กลางภาค'!$T$12</definedName>
    <definedName name="EleMid1_6">'5.กลางภาค'!$T$13</definedName>
    <definedName name="EleMid1_7">'5.กลางภาค'!$T$14</definedName>
    <definedName name="EleMid1_8">'5.กลางภาค'!$T$15</definedName>
    <definedName name="EleMid1_9">'5.กลางภาค'!$T$16</definedName>
    <definedName name="EleMid2_1">'5.กลางภาค'!$U$8</definedName>
    <definedName name="EleMid2_10">'5.กลางภาค'!$U$17</definedName>
    <definedName name="EleMid2_11">'5.กลางภาค'!$U$18</definedName>
    <definedName name="EleMid2_12">'5.กลางภาค'!$U$19</definedName>
    <definedName name="EleMid2_13">'5.กลางภาค'!$U$20</definedName>
    <definedName name="EleMid2_14">'5.กลางภาค'!$U$21</definedName>
    <definedName name="EleMid2_15">'5.กลางภาค'!$U$22</definedName>
    <definedName name="EleMid2_16">'5.กลางภาค'!$U$23</definedName>
    <definedName name="EleMid2_17">'5.กลางภาค'!$U$24</definedName>
    <definedName name="EleMid2_18">'5.กลางภาค'!$U$25</definedName>
    <definedName name="EleMid2_19">'5.กลางภาค'!$U$26</definedName>
    <definedName name="EleMid2_2">'5.กลางภาค'!$U$9</definedName>
    <definedName name="EleMid2_20">'5.กลางภาค'!$U$27</definedName>
    <definedName name="EleMid2_21">'5.กลางภาค'!$U$28</definedName>
    <definedName name="EleMid2_22">'5.กลางภาค'!$U$29</definedName>
    <definedName name="EleMid2_23">'5.กลางภาค'!$U$30</definedName>
    <definedName name="EleMid2_24">'5.กลางภาค'!$U$31</definedName>
    <definedName name="EleMid2_25">'5.กลางภาค'!$U$32</definedName>
    <definedName name="EleMid2_26">'5.กลางภาค'!$U$33</definedName>
    <definedName name="EleMid2_27">'5.กลางภาค'!$U$34</definedName>
    <definedName name="EleMid2_28">'5.กลางภาค'!$U$35</definedName>
    <definedName name="EleMid2_29">'5.กลางภาค'!$U$36</definedName>
    <definedName name="EleMid2_3">'5.กลางภาค'!$U$10</definedName>
    <definedName name="EleMid2_30">'5.กลางภาค'!$U$37</definedName>
    <definedName name="EleMid2_31">'5.กลางภาค'!$U$38</definedName>
    <definedName name="EleMid2_32">'5.กลางภาค'!$U$39</definedName>
    <definedName name="EleMid2_33">'5.กลางภาค'!$U$40</definedName>
    <definedName name="EleMid2_34">'5.กลางภาค'!$U$41</definedName>
    <definedName name="EleMid2_35">'5.กลางภาค'!$U$42</definedName>
    <definedName name="EleMid2_36">'5.กลางภาค'!$U$43</definedName>
    <definedName name="EleMid2_37">'5.กลางภาค'!$U$44</definedName>
    <definedName name="EleMid2_38">'5.กลางภาค'!$U$45</definedName>
    <definedName name="EleMid2_39">'5.กลางภาค'!$U$46</definedName>
    <definedName name="EleMid2_4">'5.กลางภาค'!$U$11</definedName>
    <definedName name="EleMid2_40">'5.กลางภาค'!$U$47</definedName>
    <definedName name="EleMid2_41">'5.กลางภาค'!$U$48</definedName>
    <definedName name="EleMid2_42">'5.กลางภาค'!$U$49</definedName>
    <definedName name="EleMid2_43">'5.กลางภาค'!$U$50</definedName>
    <definedName name="EleMid2_44">'5.กลางภาค'!$U$51</definedName>
    <definedName name="EleMid2_45">'5.กลางภาค'!$U$52</definedName>
    <definedName name="EleMid2_5">'5.กลางภาค'!$U$12</definedName>
    <definedName name="EleMid2_6">'5.กลางภาค'!$U$13</definedName>
    <definedName name="EleMid2_7">'5.กลางภาค'!$U$14</definedName>
    <definedName name="EleMid2_8">'5.กลางภาค'!$U$15</definedName>
    <definedName name="EleMid2_9">'5.กลางภาค'!$U$16</definedName>
    <definedName name="EleMid3_1">'5.กลางภาค'!$V$8</definedName>
    <definedName name="EleMid3_10">'5.กลางภาค'!$V$17</definedName>
    <definedName name="EleMid3_11">'5.กลางภาค'!$V$18</definedName>
    <definedName name="EleMid3_12">'5.กลางภาค'!$V$19</definedName>
    <definedName name="EleMid3_13">'5.กลางภาค'!$V$20</definedName>
    <definedName name="EleMid3_14">'5.กลางภาค'!$V$21</definedName>
    <definedName name="EleMid3_15">'5.กลางภาค'!$V$22</definedName>
    <definedName name="EleMid3_16">'5.กลางภาค'!$V$23</definedName>
    <definedName name="EleMid3_17">'5.กลางภาค'!$V$24</definedName>
    <definedName name="EleMid3_18">'5.กลางภาค'!$V$25</definedName>
    <definedName name="EleMid3_19">'5.กลางภาค'!$V$26</definedName>
    <definedName name="EleMid3_2">'5.กลางภาค'!$V$9</definedName>
    <definedName name="EleMid3_20">'5.กลางภาค'!$V$27</definedName>
    <definedName name="EleMid3_21">'5.กลางภาค'!$V$28</definedName>
    <definedName name="EleMid3_22">'5.กลางภาค'!$V$29</definedName>
    <definedName name="EleMid3_23">'5.กลางภาค'!$V$30</definedName>
    <definedName name="EleMid3_24">'5.กลางภาค'!$V$31</definedName>
    <definedName name="EleMid3_25">'5.กลางภาค'!$V$32</definedName>
    <definedName name="EleMid3_26">'5.กลางภาค'!$V$33</definedName>
    <definedName name="EleMid3_27">'5.กลางภาค'!$V$34</definedName>
    <definedName name="EleMid3_28">'5.กลางภาค'!$V$35</definedName>
    <definedName name="EleMid3_29">'5.กลางภาค'!$V$36</definedName>
    <definedName name="EleMid3_3">'5.กลางภาค'!$V$10</definedName>
    <definedName name="EleMid3_30">'5.กลางภาค'!$V$37</definedName>
    <definedName name="EleMid3_31">'5.กลางภาค'!$V$38</definedName>
    <definedName name="EleMid3_32">'5.กลางภาค'!$V$39</definedName>
    <definedName name="EleMid3_33">'5.กลางภาค'!$V$40</definedName>
    <definedName name="EleMid3_34">'5.กลางภาค'!$V$41</definedName>
    <definedName name="EleMid3_35">'5.กลางภาค'!$V$42</definedName>
    <definedName name="EleMid3_36">'5.กลางภาค'!$V$43</definedName>
    <definedName name="EleMid3_37">'5.กลางภาค'!$V$44</definedName>
    <definedName name="EleMid3_38">'5.กลางภาค'!$V$45</definedName>
    <definedName name="EleMid3_39">'5.กลางภาค'!$V$46</definedName>
    <definedName name="EleMid3_4">'5.กลางภาค'!$V$11</definedName>
    <definedName name="EleMid3_40">'5.กลางภาค'!$V$47</definedName>
    <definedName name="EleMid3_41">'5.กลางภาค'!$V$48</definedName>
    <definedName name="EleMid3_42">'5.กลางภาค'!$V$49</definedName>
    <definedName name="EleMid3_43">'5.กลางภาค'!$V$50</definedName>
    <definedName name="EleMid3_44">'5.กลางภาค'!$V$51</definedName>
    <definedName name="EleMid3_45">'5.กลางภาค'!$V$52</definedName>
    <definedName name="EleMid3_5">'5.กลางภาค'!$V$12</definedName>
    <definedName name="EleMid3_6">'5.กลางภาค'!$V$13</definedName>
    <definedName name="EleMid3_7">'5.กลางภาค'!$V$14</definedName>
    <definedName name="EleMid3_8">'5.กลางภาค'!$V$15</definedName>
    <definedName name="EleMid3_9">'5.กลางภาค'!$V$16</definedName>
    <definedName name="EleMid4_1">'5.กลางภาค'!$W$8</definedName>
    <definedName name="EleMid4_10">'5.กลางภาค'!$W$17</definedName>
    <definedName name="EleMid4_11">'5.กลางภาค'!$W$18</definedName>
    <definedName name="EleMid4_12">'5.กลางภาค'!$W$19</definedName>
    <definedName name="EleMid4_13">'5.กลางภาค'!$W$20</definedName>
    <definedName name="EleMid4_14">'5.กลางภาค'!$W$21</definedName>
    <definedName name="EleMid4_15">'5.กลางภาค'!$W$22</definedName>
    <definedName name="EleMid4_16">'5.กลางภาค'!$W$23</definedName>
    <definedName name="EleMid4_17">'5.กลางภาค'!$W$24</definedName>
    <definedName name="EleMid4_18">'5.กลางภาค'!$W$25</definedName>
    <definedName name="EleMid4_19">'5.กลางภาค'!$W$26</definedName>
    <definedName name="EleMid4_2">'5.กลางภาค'!$W$9</definedName>
    <definedName name="EleMid4_20">'5.กลางภาค'!$W$27</definedName>
    <definedName name="EleMid4_21">'5.กลางภาค'!$W$28</definedName>
    <definedName name="EleMid4_22">'5.กลางภาค'!$W$29</definedName>
    <definedName name="EleMid4_23">'5.กลางภาค'!$W$30</definedName>
    <definedName name="EleMid4_24">'5.กลางภาค'!$W$31</definedName>
    <definedName name="EleMid4_25">'5.กลางภาค'!$W$32</definedName>
    <definedName name="EleMid4_26">'5.กลางภาค'!$W$33</definedName>
    <definedName name="EleMid4_27">'5.กลางภาค'!$W$34</definedName>
    <definedName name="EleMid4_28">'5.กลางภาค'!$W$35</definedName>
    <definedName name="EleMid4_29">'5.กลางภาค'!$W$36</definedName>
    <definedName name="EleMid4_3">'5.กลางภาค'!$W$10</definedName>
    <definedName name="EleMid4_30">'5.กลางภาค'!$W$37</definedName>
    <definedName name="EleMid4_31">'5.กลางภาค'!$W$38</definedName>
    <definedName name="EleMid4_32">'5.กลางภาค'!$W$39</definedName>
    <definedName name="EleMid4_33">'5.กลางภาค'!$W$40</definedName>
    <definedName name="EleMid4_34">'5.กลางภาค'!$W$41</definedName>
    <definedName name="EleMid4_35">'5.กลางภาค'!$W$42</definedName>
    <definedName name="EleMid4_36">'5.กลางภาค'!$W$43</definedName>
    <definedName name="EleMid4_37">'5.กลางภาค'!$W$44</definedName>
    <definedName name="EleMid4_38">'5.กลางภาค'!$W$45</definedName>
    <definedName name="EleMid4_39">'5.กลางภาค'!$W$46</definedName>
    <definedName name="EleMid4_4">'5.กลางภาค'!$W$11</definedName>
    <definedName name="EleMid4_40">'5.กลางภาค'!$W$47</definedName>
    <definedName name="EleMid4_41">'5.กลางภาค'!$W$48</definedName>
    <definedName name="EleMid4_42">'5.กลางภาค'!$W$49</definedName>
    <definedName name="EleMid4_43">'5.กลางภาค'!$W$50</definedName>
    <definedName name="EleMid4_44">'5.กลางภาค'!$W$51</definedName>
    <definedName name="EleMid4_45">'5.กลางภาค'!$W$52</definedName>
    <definedName name="EleMid4_5">'5.กลางภาค'!$W$12</definedName>
    <definedName name="EleMid4_6">'5.กลางภาค'!$W$13</definedName>
    <definedName name="EleMid4_7">'5.กลางภาค'!$W$14</definedName>
    <definedName name="EleMid4_8">'5.กลางภาค'!$W$15</definedName>
    <definedName name="EleMid4_9">'5.กลางภาค'!$W$16</definedName>
    <definedName name="EleMid5_1">'5.กลางภาค'!$X$8</definedName>
    <definedName name="EleMid5_10">'5.กลางภาค'!$X$17</definedName>
    <definedName name="EleMid5_11">'5.กลางภาค'!$X$18</definedName>
    <definedName name="EleMid5_12">'5.กลางภาค'!$X$19</definedName>
    <definedName name="EleMid5_13">'5.กลางภาค'!$X$20</definedName>
    <definedName name="EleMid5_14">'5.กลางภาค'!$X$21</definedName>
    <definedName name="EleMid5_15">'5.กลางภาค'!$X$22</definedName>
    <definedName name="EleMid5_16">'5.กลางภาค'!$X$23</definedName>
    <definedName name="EleMid5_17">'5.กลางภาค'!$X$24</definedName>
    <definedName name="EleMid5_18">'5.กลางภาค'!$X$25</definedName>
    <definedName name="EleMid5_19">'5.กลางภาค'!$X$26</definedName>
    <definedName name="EleMid5_2">'5.กลางภาค'!$X$9</definedName>
    <definedName name="EleMid5_20">'5.กลางภาค'!$X$27</definedName>
    <definedName name="EleMid5_21">'5.กลางภาค'!$X$28</definedName>
    <definedName name="EleMid5_22">'5.กลางภาค'!$X$29</definedName>
    <definedName name="EleMid5_23">'5.กลางภาค'!$X$30</definedName>
    <definedName name="EleMid5_24">'5.กลางภาค'!$X$31</definedName>
    <definedName name="EleMid5_25">'5.กลางภาค'!$X$32</definedName>
    <definedName name="EleMid5_26">'5.กลางภาค'!$X$33</definedName>
    <definedName name="EleMid5_27">'5.กลางภาค'!$X$34</definedName>
    <definedName name="EleMid5_28">'5.กลางภาค'!$X$35</definedName>
    <definedName name="EleMid5_29">'5.กลางภาค'!$X$36</definedName>
    <definedName name="EleMid5_3">'5.กลางภาค'!$X$10</definedName>
    <definedName name="EleMid5_30">'5.กลางภาค'!$X$37</definedName>
    <definedName name="EleMid5_31">'5.กลางภาค'!$X$38</definedName>
    <definedName name="EleMid5_32">'5.กลางภาค'!$X$39</definedName>
    <definedName name="EleMid5_33">'5.กลางภาค'!$X$40</definedName>
    <definedName name="EleMid5_34">'5.กลางภาค'!$X$41</definedName>
    <definedName name="EleMid5_35">'5.กลางภาค'!$X$42</definedName>
    <definedName name="EleMid5_36">'5.กลางภาค'!$X$43</definedName>
    <definedName name="EleMid5_37">'5.กลางภาค'!$X$44</definedName>
    <definedName name="EleMid5_38">'5.กลางภาค'!$X$45</definedName>
    <definedName name="EleMid5_39">'5.กลางภาค'!$X$46</definedName>
    <definedName name="EleMid5_4">'5.กลางภาค'!$X$11</definedName>
    <definedName name="EleMid5_40">'5.กลางภาค'!$X$47</definedName>
    <definedName name="EleMid5_41">'5.กลางภาค'!$X$48</definedName>
    <definedName name="EleMid5_42">'5.กลางภาค'!$X$49</definedName>
    <definedName name="EleMid5_43">'5.กลางภาค'!$X$50</definedName>
    <definedName name="EleMid5_44">'5.กลางภาค'!$X$51</definedName>
    <definedName name="EleMid5_45">'5.กลางภาค'!$X$52</definedName>
    <definedName name="EleMid5_5">'5.กลางภาค'!$X$12</definedName>
    <definedName name="EleMid5_6">'5.กลางภาค'!$X$13</definedName>
    <definedName name="EleMid5_7">'5.กลางภาค'!$X$14</definedName>
    <definedName name="EleMid5_8">'5.กลางภาค'!$X$15</definedName>
    <definedName name="EleMid5_9">'5.กลางภาค'!$X$16</definedName>
    <definedName name="Eval" localSheetId="13">'[2]1.ข้อมูลเบื้องต้น'!$J$8</definedName>
    <definedName name="Eval" localSheetId="17">'[3]1.ข้อมูลเบื้องต้น'!$K$8</definedName>
    <definedName name="Eval">'1.ข้อมูลเบื้องต้น'!$K$10</definedName>
    <definedName name="GenGrade1" localSheetId="13">'[2]4.คีย์ปลายภาค'!$E$11:$E$55</definedName>
    <definedName name="Gengrade1" localSheetId="17">'[3]6.คีย์ปลายภาค'!$K$6:$K$50</definedName>
    <definedName name="Gengrade1">'6.คีย์ปลายภาค'!$K$6:$K$50</definedName>
    <definedName name="GenGrade10" localSheetId="13">'[2]4.คีย์ปลายภาค'!$W$11:$W$55</definedName>
    <definedName name="Gengrade10" localSheetId="17">'[3]6.คีย์ปลายภาค'!$BD$6:$BD$50</definedName>
    <definedName name="Gengrade10">'6.คีย์ปลายภาค'!$BD$6:$BD$50</definedName>
    <definedName name="GenGrade11" localSheetId="13">'[2]4.คีย์ปลายภาค'!$Y$11:$Y$55</definedName>
    <definedName name="Gengrade11" localSheetId="17">'[3]6.คีย์ปลายภาค'!$BI$6:$BI$50</definedName>
    <definedName name="Gengrade11">'6.คีย์ปลายภาค'!$BI$6:$BI$50</definedName>
    <definedName name="GenGrade12" localSheetId="13">'[2]4.คีย์ปลายภาค'!$AA$11:$AA$55</definedName>
    <definedName name="Gengrade12" localSheetId="17">'[3]6.คีย์ปลายภาค'!$BN$6:$BN$50</definedName>
    <definedName name="Gengrade12">'6.คีย์ปลายภาค'!$BN$6:$BN$50</definedName>
    <definedName name="GenGrade2" localSheetId="13">'[2]4.คีย์ปลายภาค'!$G$11:$G$55</definedName>
    <definedName name="Gengrade2" localSheetId="17">'[3]6.คีย์ปลายภาค'!$P$6:$P$50</definedName>
    <definedName name="Gengrade2">'6.คีย์ปลายภาค'!$P$6:$P$50</definedName>
    <definedName name="GenGrade3" localSheetId="13">'[2]4.คีย์ปลายภาค'!$I$11:$I$55</definedName>
    <definedName name="Gengrade3" localSheetId="17">'[3]6.คีย์ปลายภาค'!$U$6:$U$50</definedName>
    <definedName name="Gengrade3">'6.คีย์ปลายภาค'!$U$6:$U$50</definedName>
    <definedName name="GenGrade4" localSheetId="13">'[2]4.คีย์ปลายภาค'!$K$11:$K$55</definedName>
    <definedName name="Gengrade4" localSheetId="17">'[3]6.คีย์ปลายภาค'!$Z$6:$Z$50</definedName>
    <definedName name="Gengrade4">'6.คีย์ปลายภาค'!$Z$6:$Z$50</definedName>
    <definedName name="GenGrade5" localSheetId="13">'[2]4.คีย์ปลายภาค'!$M$11:$M$55</definedName>
    <definedName name="Gengrade5" localSheetId="17">'[3]6.คีย์ปลายภาค'!$AE$6:$AE$50</definedName>
    <definedName name="Gengrade5">'6.คีย์ปลายภาค'!$AE$6:$AE$50</definedName>
    <definedName name="GenGrade6" localSheetId="13">'[2]4.คีย์ปลายภาค'!$O$11:$O$55</definedName>
    <definedName name="Gengrade6" localSheetId="17">'[3]6.คีย์ปลายภาค'!$AJ$6:$AJ$50</definedName>
    <definedName name="Gengrade6">'6.คีย์ปลายภาค'!$AJ$6:$AJ$50</definedName>
    <definedName name="GenGrade7" localSheetId="13">'[2]4.คีย์ปลายภาค'!$Q$11:$Q$55</definedName>
    <definedName name="Gengrade7" localSheetId="17">'[3]6.คีย์ปลายภาค'!$AO$6:$AO$50</definedName>
    <definedName name="Gengrade7">'6.คีย์ปลายภาค'!$AO$6:$AO$50</definedName>
    <definedName name="GenGrade8" localSheetId="13">'[2]4.คีย์ปลายภาค'!$S$11:$S$55</definedName>
    <definedName name="Gengrade8" localSheetId="17">'[3]6.คีย์ปลายภาค'!$AT$6:$AT$50</definedName>
    <definedName name="Gengrade8">'6.คีย์ปลายภาค'!$AT$6:$AT$50</definedName>
    <definedName name="GenGrade9" localSheetId="13">'[2]4.คีย์ปลายภาค'!$U$11:$U$55</definedName>
    <definedName name="Gengrade9" localSheetId="17">'[3]6.คีย์ปลายภาค'!$AY$6:$AY$50</definedName>
    <definedName name="Gengrade9">'6.คีย์ปลายภาค'!$AY$6:$AY$50</definedName>
    <definedName name="GenMid1_1">'5.กลางภาค'!$E$8</definedName>
    <definedName name="GenMid1_10">'5.กลางภาค'!$E$17</definedName>
    <definedName name="GenMid1_11">'5.กลางภาค'!$E$18</definedName>
    <definedName name="GenMid1_12">'5.กลางภาค'!$E$19</definedName>
    <definedName name="GenMid1_13">'5.กลางภาค'!$E$20</definedName>
    <definedName name="GenMid1_14">'5.กลางภาค'!$E$21</definedName>
    <definedName name="GenMid1_15">'5.กลางภาค'!$E$22</definedName>
    <definedName name="GenMid1_16">'5.กลางภาค'!$E$23</definedName>
    <definedName name="GenMid1_17">'5.กลางภาค'!$E$24</definedName>
    <definedName name="GenMid1_18">'5.กลางภาค'!$E$25</definedName>
    <definedName name="GenMid1_19">'5.กลางภาค'!$E$26</definedName>
    <definedName name="GenMid1_2">'5.กลางภาค'!$E$9</definedName>
    <definedName name="GenMid1_20">'5.กลางภาค'!$E$27</definedName>
    <definedName name="GenMid1_21">'5.กลางภาค'!$E$28</definedName>
    <definedName name="GenMid1_22">'5.กลางภาค'!$E$29</definedName>
    <definedName name="GenMid1_23">'5.กลางภาค'!$E$30</definedName>
    <definedName name="GenMid1_24">'5.กลางภาค'!$E$31</definedName>
    <definedName name="GenMid1_25">'5.กลางภาค'!$E$32</definedName>
    <definedName name="GenMid1_26">'5.กลางภาค'!$E$33</definedName>
    <definedName name="GenMid1_27">'5.กลางภาค'!$E$34</definedName>
    <definedName name="GenMid1_28">'5.กลางภาค'!$E$35</definedName>
    <definedName name="GenMid1_29">'5.กลางภาค'!$E$36</definedName>
    <definedName name="GenMid1_3">'5.กลางภาค'!$E$10</definedName>
    <definedName name="GenMid1_30">'5.กลางภาค'!$E$37</definedName>
    <definedName name="GenMid1_31">'5.กลางภาค'!$E$38</definedName>
    <definedName name="GenMid1_32">'5.กลางภาค'!$E$39</definedName>
    <definedName name="GenMid1_33">'5.กลางภาค'!$E$40</definedName>
    <definedName name="GenMid1_34">'5.กลางภาค'!$E$41</definedName>
    <definedName name="GenMid1_35">'5.กลางภาค'!$E$42</definedName>
    <definedName name="GenMid1_36">'5.กลางภาค'!$E$43</definedName>
    <definedName name="GenMid1_37">'5.กลางภาค'!$E$44</definedName>
    <definedName name="GenMid1_38">'5.กลางภาค'!$E$45</definedName>
    <definedName name="GenMid1_39">'5.กลางภาค'!$E$46</definedName>
    <definedName name="GenMid1_4">'5.กลางภาค'!$E$11</definedName>
    <definedName name="GenMid1_40">'5.กลางภาค'!$E$47</definedName>
    <definedName name="GenMid1_41">'5.กลางภาค'!$E$48</definedName>
    <definedName name="GenMid1_42">'5.กลางภาค'!$E$49</definedName>
    <definedName name="GenMid1_43">'5.กลางภาค'!$E$50</definedName>
    <definedName name="GenMid1_44">'5.กลางภาค'!$E$51</definedName>
    <definedName name="GenMid1_45">'5.กลางภาค'!$E$52</definedName>
    <definedName name="GenMid1_5">'5.กลางภาค'!$E$12</definedName>
    <definedName name="GenMid1_6">'5.กลางภาค'!$E$13</definedName>
    <definedName name="GenMid1_7">'5.กลางภาค'!$E$14</definedName>
    <definedName name="GenMid1_8">'5.กลางภาค'!$E$15</definedName>
    <definedName name="GenMid1_9">'5.กลางภาค'!$E$16</definedName>
    <definedName name="GenMid10_1">'5.กลางภาค'!$N$8</definedName>
    <definedName name="GenMid10_10">'5.กลางภาค'!$N$17</definedName>
    <definedName name="GenMid10_11">'5.กลางภาค'!$N$18</definedName>
    <definedName name="GenMid10_12">'5.กลางภาค'!$N$19</definedName>
    <definedName name="GenMid10_13">'5.กลางภาค'!$N$20</definedName>
    <definedName name="GenMid10_14">'5.กลางภาค'!$N$21</definedName>
    <definedName name="GenMid10_15">'5.กลางภาค'!$N$22</definedName>
    <definedName name="GenMid10_16">'5.กลางภาค'!$N$23</definedName>
    <definedName name="GenMid10_17">'5.กลางภาค'!$N$24</definedName>
    <definedName name="GenMid10_18">'5.กลางภาค'!$N$25</definedName>
    <definedName name="GenMid10_19">'5.กลางภาค'!$N$26</definedName>
    <definedName name="GenMid10_2">'5.กลางภาค'!$N$9</definedName>
    <definedName name="GenMid10_20">'5.กลางภาค'!$N$27</definedName>
    <definedName name="GenMid10_21">'5.กลางภาค'!$N$28</definedName>
    <definedName name="GenMid10_22">'5.กลางภาค'!$N$29</definedName>
    <definedName name="GenMid10_23">'5.กลางภาค'!$N$30</definedName>
    <definedName name="GenMid10_24">'5.กลางภาค'!$N$31</definedName>
    <definedName name="GenMid10_25">'5.กลางภาค'!$N$32</definedName>
    <definedName name="GenMid10_26">'5.กลางภาค'!$N$33</definedName>
    <definedName name="GenMid10_27">'5.กลางภาค'!$N$34</definedName>
    <definedName name="GenMid10_28">'5.กลางภาค'!$N$35</definedName>
    <definedName name="GenMid10_29">'5.กลางภาค'!$N$36</definedName>
    <definedName name="GenMid10_3">'5.กลางภาค'!$N$10</definedName>
    <definedName name="GenMid10_30">'5.กลางภาค'!$N$37</definedName>
    <definedName name="GenMid10_31">'5.กลางภาค'!$N$38</definedName>
    <definedName name="GenMid10_32">'5.กลางภาค'!$N$39</definedName>
    <definedName name="GenMid10_33">'5.กลางภาค'!$N$40</definedName>
    <definedName name="GenMid10_34">'5.กลางภาค'!$N$41</definedName>
    <definedName name="GenMid10_35">'5.กลางภาค'!$N$42</definedName>
    <definedName name="GenMid10_36">'5.กลางภาค'!$N$43</definedName>
    <definedName name="GenMid10_37">'5.กลางภาค'!$N$44</definedName>
    <definedName name="GenMid10_38">'5.กลางภาค'!$N$45</definedName>
    <definedName name="GenMid10_39">'5.กลางภาค'!$N$46</definedName>
    <definedName name="GenMid10_4">'5.กลางภาค'!$N$11</definedName>
    <definedName name="GenMid10_40">'5.กลางภาค'!$N$47</definedName>
    <definedName name="GenMid10_41">'5.กลางภาค'!$N$48</definedName>
    <definedName name="GenMid10_42">'5.กลางภาค'!$N$49</definedName>
    <definedName name="GenMid10_43">'5.กลางภาค'!$N$50</definedName>
    <definedName name="GenMid10_44">'5.กลางภาค'!$N$51</definedName>
    <definedName name="GenMid10_45">'5.กลางภาค'!$N$52</definedName>
    <definedName name="GenMid10_5">'5.กลางภาค'!$N$12</definedName>
    <definedName name="GenMid10_6">'5.กลางภาค'!$N$13</definedName>
    <definedName name="GenMid10_7">'5.กลางภาค'!$N$14</definedName>
    <definedName name="GenMid10_8">'5.กลางภาค'!$N$15</definedName>
    <definedName name="GenMid10_9">'5.กลางภาค'!$N$16</definedName>
    <definedName name="GenMid11_1">'5.กลางภาค'!$O$8</definedName>
    <definedName name="GenMid11_10">'5.กลางภาค'!$O$17</definedName>
    <definedName name="GenMid11_11">'5.กลางภาค'!$O$18</definedName>
    <definedName name="GenMid11_12">'5.กลางภาค'!$O$19</definedName>
    <definedName name="GenMid11_13">'5.กลางภาค'!$O$20</definedName>
    <definedName name="GenMid11_14">'5.กลางภาค'!$O$21</definedName>
    <definedName name="GenMid11_15">'5.กลางภาค'!$O$22</definedName>
    <definedName name="GenMid11_16">'5.กลางภาค'!$O$23</definedName>
    <definedName name="GenMid11_17">'5.กลางภาค'!$O$24</definedName>
    <definedName name="GenMid11_18">'5.กลางภาค'!$O$25</definedName>
    <definedName name="GenMid11_19">'5.กลางภาค'!$O$26</definedName>
    <definedName name="GenMid11_2">'5.กลางภาค'!$O$9</definedName>
    <definedName name="GenMid11_20">'5.กลางภาค'!$O$27</definedName>
    <definedName name="GenMid11_21">'5.กลางภาค'!$O$28</definedName>
    <definedName name="GenMid11_22">'5.กลางภาค'!$O$29</definedName>
    <definedName name="GenMid11_23">'5.กลางภาค'!$O$30</definedName>
    <definedName name="GenMid11_24">'5.กลางภาค'!$O$31</definedName>
    <definedName name="GenMid11_25">'5.กลางภาค'!$O$32</definedName>
    <definedName name="GenMid11_26">'5.กลางภาค'!$O$33</definedName>
    <definedName name="GenMid11_27">'5.กลางภาค'!$O$34</definedName>
    <definedName name="GenMid11_28">'5.กลางภาค'!$O$35</definedName>
    <definedName name="GenMid11_29">'5.กลางภาค'!$O$36</definedName>
    <definedName name="GenMid11_3">'5.กลางภาค'!$O$10</definedName>
    <definedName name="GenMid11_30">'5.กลางภาค'!$O$37</definedName>
    <definedName name="GenMid11_31">'5.กลางภาค'!$O$38</definedName>
    <definedName name="GenMid11_32">'5.กลางภาค'!$O$39</definedName>
    <definedName name="GenMid11_33">'5.กลางภาค'!$O$40</definedName>
    <definedName name="GenMid11_34">'5.กลางภาค'!$O$41</definedName>
    <definedName name="GenMid11_35">'5.กลางภาค'!$O$42</definedName>
    <definedName name="GenMid11_36">'5.กลางภาค'!$O$43</definedName>
    <definedName name="GenMid11_37">'5.กลางภาค'!$O$44</definedName>
    <definedName name="GenMid11_38">'5.กลางภาค'!$O$45</definedName>
    <definedName name="GenMid11_39">'5.กลางภาค'!$O$46</definedName>
    <definedName name="GenMid11_4">'5.กลางภาค'!$O$11</definedName>
    <definedName name="GenMid11_40">'5.กลางภาค'!$O$47</definedName>
    <definedName name="GenMid11_41">'5.กลางภาค'!$O$48</definedName>
    <definedName name="GenMid11_42">'5.กลางภาค'!$O$49</definedName>
    <definedName name="GenMid11_43">'5.กลางภาค'!$O$50</definedName>
    <definedName name="GenMid11_44">'5.กลางภาค'!$O$51</definedName>
    <definedName name="GenMid11_45">'5.กลางภาค'!$O$52</definedName>
    <definedName name="GenMid11_5">'5.กลางภาค'!$O$12</definedName>
    <definedName name="GenMid11_6">'5.กลางภาค'!$O$13</definedName>
    <definedName name="GenMid11_7">'5.กลางภาค'!$O$14</definedName>
    <definedName name="GenMid11_8">'5.กลางภาค'!$O$15</definedName>
    <definedName name="GenMid11_9">'5.กลางภาค'!$O$16</definedName>
    <definedName name="GenMid12_1">'5.กลางภาค'!$P$8</definedName>
    <definedName name="GenMid12_10">'5.กลางภาค'!$P$17</definedName>
    <definedName name="GenMid12_11">'5.กลางภาค'!$P$18</definedName>
    <definedName name="GenMid12_12">'5.กลางภาค'!$P$19</definedName>
    <definedName name="GenMid12_13">'5.กลางภาค'!$P$20</definedName>
    <definedName name="GenMid12_14">'5.กลางภาค'!$P$21</definedName>
    <definedName name="GenMid12_15">'5.กลางภาค'!$P$22</definedName>
    <definedName name="GenMid12_16">'5.กลางภาค'!$P$23</definedName>
    <definedName name="GenMid12_17">'5.กลางภาค'!$P$24</definedName>
    <definedName name="GenMid12_18">'5.กลางภาค'!$P$25</definedName>
    <definedName name="GenMid12_19">'5.กลางภาค'!$P$26</definedName>
    <definedName name="GenMid12_2">'5.กลางภาค'!$P$9</definedName>
    <definedName name="GenMid12_20">'5.กลางภาค'!$P$27</definedName>
    <definedName name="GenMid12_21">'5.กลางภาค'!$P$28</definedName>
    <definedName name="GenMid12_22">'5.กลางภาค'!$P$29</definedName>
    <definedName name="GenMid12_23">'5.กลางภาค'!$P$30</definedName>
    <definedName name="GenMid12_24">'5.กลางภาค'!$P$31</definedName>
    <definedName name="GenMid12_25">'5.กลางภาค'!$P$32</definedName>
    <definedName name="GenMid12_26">'5.กลางภาค'!$P$33</definedName>
    <definedName name="GenMid12_27">'5.กลางภาค'!$P$34</definedName>
    <definedName name="GenMid12_28">'5.กลางภาค'!$P$35</definedName>
    <definedName name="GenMid12_29">'5.กลางภาค'!$P$36</definedName>
    <definedName name="GenMid12_3">'5.กลางภาค'!$P$10</definedName>
    <definedName name="GenMid12_30">'5.กลางภาค'!$P$37</definedName>
    <definedName name="GenMid12_31">'5.กลางภาค'!$P$38</definedName>
    <definedName name="GenMid12_32">'5.กลางภาค'!$P$39</definedName>
    <definedName name="GenMid12_33">'5.กลางภาค'!$P$40</definedName>
    <definedName name="GenMid12_34">'5.กลางภาค'!$P$41</definedName>
    <definedName name="GenMid12_35">'5.กลางภาค'!$P$42</definedName>
    <definedName name="GenMid12_36">'5.กลางภาค'!$P$43</definedName>
    <definedName name="GenMid12_37">'5.กลางภาค'!$P$44</definedName>
    <definedName name="GenMid12_38">'5.กลางภาค'!$P$45</definedName>
    <definedName name="GenMid12_39">'5.กลางภาค'!$P$46</definedName>
    <definedName name="GenMid12_4">'5.กลางภาค'!$P$11</definedName>
    <definedName name="GenMid12_40">'5.กลางภาค'!$P$47</definedName>
    <definedName name="GenMid12_41">'5.กลางภาค'!$P$48</definedName>
    <definedName name="GenMid12_42">'5.กลางภาค'!$P$49</definedName>
    <definedName name="GenMid12_43">'5.กลางภาค'!$P$50</definedName>
    <definedName name="GenMid12_44">'5.กลางภาค'!$P$51</definedName>
    <definedName name="GenMid12_45">'5.กลางภาค'!$P$52</definedName>
    <definedName name="GenMid12_5">'5.กลางภาค'!$P$12</definedName>
    <definedName name="GenMid12_6">'5.กลางภาค'!$P$13</definedName>
    <definedName name="GenMid12_7">'5.กลางภาค'!$P$14</definedName>
    <definedName name="GenMid12_8">'5.กลางภาค'!$P$15</definedName>
    <definedName name="GenMid12_9">'5.กลางภาค'!$P$16</definedName>
    <definedName name="GenMid2_1">'5.กลางภาค'!$F$8</definedName>
    <definedName name="GenMid2_10">'5.กลางภาค'!$F$17</definedName>
    <definedName name="GenMid2_11">'5.กลางภาค'!$F$18</definedName>
    <definedName name="GenMid2_12">'5.กลางภาค'!$F$19</definedName>
    <definedName name="GenMid2_13">'5.กลางภาค'!$F$20</definedName>
    <definedName name="GenMid2_14">'5.กลางภาค'!$F$21</definedName>
    <definedName name="GenMid2_15">'5.กลางภาค'!$F$22</definedName>
    <definedName name="GenMid2_16">'5.กลางภาค'!$F$23</definedName>
    <definedName name="GenMid2_17">'5.กลางภาค'!$F$24</definedName>
    <definedName name="GenMid2_18">'5.กลางภาค'!$F$25</definedName>
    <definedName name="GenMid2_19">'5.กลางภาค'!$F$26</definedName>
    <definedName name="GenMid2_2">'5.กลางภาค'!$F$9</definedName>
    <definedName name="GenMid2_20">'5.กลางภาค'!$F$27</definedName>
    <definedName name="GenMid2_21">'5.กลางภาค'!$F$28</definedName>
    <definedName name="GenMid2_22">'5.กลางภาค'!$F$29</definedName>
    <definedName name="GenMid2_23">'5.กลางภาค'!$F$30</definedName>
    <definedName name="GenMid2_24">'5.กลางภาค'!$F$31</definedName>
    <definedName name="GenMid2_25">'5.กลางภาค'!$F$32</definedName>
    <definedName name="GenMid2_26">'5.กลางภาค'!$F$33</definedName>
    <definedName name="GenMid2_27">'5.กลางภาค'!$F$34</definedName>
    <definedName name="GenMid2_28">'5.กลางภาค'!$F$35</definedName>
    <definedName name="GenMid2_29">'5.กลางภาค'!$F$36</definedName>
    <definedName name="GenMid2_3">'5.กลางภาค'!$F$10</definedName>
    <definedName name="GenMid2_30">'5.กลางภาค'!$F$37</definedName>
    <definedName name="GenMid2_31">'5.กลางภาค'!$F$38</definedName>
    <definedName name="GenMid2_32">'5.กลางภาค'!$F$39</definedName>
    <definedName name="GenMid2_33">'5.กลางภาค'!$F$40</definedName>
    <definedName name="GenMid2_34">'5.กลางภาค'!$F$41</definedName>
    <definedName name="GenMid2_35">'5.กลางภาค'!$F$42</definedName>
    <definedName name="GenMid2_36">'5.กลางภาค'!$F$43</definedName>
    <definedName name="GenMid2_37">'5.กลางภาค'!$F$44</definedName>
    <definedName name="GenMid2_38">'5.กลางภาค'!$F$45</definedName>
    <definedName name="GenMid2_39">'5.กลางภาค'!$F$46</definedName>
    <definedName name="GenMid2_4">'5.กลางภาค'!$F$11</definedName>
    <definedName name="GenMid2_40">'5.กลางภาค'!$F$47</definedName>
    <definedName name="GenMid2_41">'5.กลางภาค'!$F$48</definedName>
    <definedName name="GenMid2_42">'5.กลางภาค'!$F$49</definedName>
    <definedName name="GenMid2_43">'5.กลางภาค'!$F$50</definedName>
    <definedName name="GenMid2_44">'5.กลางภาค'!$F$51</definedName>
    <definedName name="GenMid2_45">'5.กลางภาค'!$F$52</definedName>
    <definedName name="GenMid2_5">'5.กลางภาค'!$F$12</definedName>
    <definedName name="GenMid2_6">'5.กลางภาค'!$F$13</definedName>
    <definedName name="GenMid2_7">'5.กลางภาค'!$F$14</definedName>
    <definedName name="GenMid2_8">'5.กลางภาค'!$F$15</definedName>
    <definedName name="GenMid2_9">'5.กลางภาค'!$F$16</definedName>
    <definedName name="GenMid3_1">'5.กลางภาค'!$G$8</definedName>
    <definedName name="GenMid3_10">'5.กลางภาค'!$G$17</definedName>
    <definedName name="GenMid3_11">'5.กลางภาค'!$G$18</definedName>
    <definedName name="GenMid3_12">'5.กลางภาค'!$G$19</definedName>
    <definedName name="GenMid3_13">'5.กลางภาค'!$G$20</definedName>
    <definedName name="GenMid3_14">'5.กลางภาค'!$G$21</definedName>
    <definedName name="GenMid3_15">'5.กลางภาค'!$G$22</definedName>
    <definedName name="GenMid3_16">'5.กลางภาค'!$G$23</definedName>
    <definedName name="GenMid3_17">'5.กลางภาค'!$G$24</definedName>
    <definedName name="GenMid3_18">'5.กลางภาค'!$G$25</definedName>
    <definedName name="GenMid3_19">'5.กลางภาค'!$G$26</definedName>
    <definedName name="GenMid3_2">'5.กลางภาค'!$G$9</definedName>
    <definedName name="GenMid3_20">'5.กลางภาค'!$G$27</definedName>
    <definedName name="GenMid3_21">'5.กลางภาค'!$G$28</definedName>
    <definedName name="GenMid3_22">'5.กลางภาค'!$G$29</definedName>
    <definedName name="GenMid3_23">'5.กลางภาค'!$G$30</definedName>
    <definedName name="GenMid3_24">'5.กลางภาค'!$G$31</definedName>
    <definedName name="GenMid3_25">'5.กลางภาค'!$G$32</definedName>
    <definedName name="GenMid3_26">'5.กลางภาค'!$G$33</definedName>
    <definedName name="GenMid3_27">'5.กลางภาค'!$G$34</definedName>
    <definedName name="GenMid3_28">'5.กลางภาค'!$G$35</definedName>
    <definedName name="GenMid3_29">'5.กลางภาค'!$G$36</definedName>
    <definedName name="GenMid3_3">'5.กลางภาค'!$G$10</definedName>
    <definedName name="GenMid3_30">'5.กลางภาค'!$G$37</definedName>
    <definedName name="GenMid3_31">'5.กลางภาค'!$G$38</definedName>
    <definedName name="GenMid3_32">'5.กลางภาค'!$G$39</definedName>
    <definedName name="GenMid3_33">'5.กลางภาค'!$G$40</definedName>
    <definedName name="GenMid3_34">'5.กลางภาค'!$G$41</definedName>
    <definedName name="GenMid3_35">'5.กลางภาค'!$G$42</definedName>
    <definedName name="GenMid3_36">'5.กลางภาค'!$G$43</definedName>
    <definedName name="GenMid3_37">'5.กลางภาค'!$G$44</definedName>
    <definedName name="GenMid3_38">'5.กลางภาค'!$G$45</definedName>
    <definedName name="GenMid3_39">'5.กลางภาค'!$G$46</definedName>
    <definedName name="GenMid3_4">'5.กลางภาค'!$G$11</definedName>
    <definedName name="GenMid3_40">'5.กลางภาค'!$G$47</definedName>
    <definedName name="GenMid3_41">'5.กลางภาค'!$G$48</definedName>
    <definedName name="GenMid3_42">'5.กลางภาค'!$G$49</definedName>
    <definedName name="GenMid3_43">'5.กลางภาค'!$G$50</definedName>
    <definedName name="GenMid3_44">'5.กลางภาค'!$G$51</definedName>
    <definedName name="GenMid3_45">'5.กลางภาค'!$G$52</definedName>
    <definedName name="GenMid3_5">'5.กลางภาค'!$G$12</definedName>
    <definedName name="GenMid3_6">'5.กลางภาค'!$G$13</definedName>
    <definedName name="GenMid3_7">'5.กลางภาค'!$G$14</definedName>
    <definedName name="GenMid3_8">'5.กลางภาค'!$G$15</definedName>
    <definedName name="GenMid3_9">'5.กลางภาค'!$G$16</definedName>
    <definedName name="GenMid4_1">'5.กลางภาค'!$H$8</definedName>
    <definedName name="GenMid4_10">'5.กลางภาค'!$H$17</definedName>
    <definedName name="GenMid4_11">'5.กลางภาค'!$H$18</definedName>
    <definedName name="GenMid4_12">'5.กลางภาค'!$H$19</definedName>
    <definedName name="GenMid4_13">'5.กลางภาค'!$H$20</definedName>
    <definedName name="GenMid4_14">'5.กลางภาค'!$H$21</definedName>
    <definedName name="GenMid4_15">'5.กลางภาค'!$H$22</definedName>
    <definedName name="GenMid4_16">'5.กลางภาค'!$H$23</definedName>
    <definedName name="GenMid4_17">'5.กลางภาค'!$H$24</definedName>
    <definedName name="GenMid4_18">'5.กลางภาค'!$H$25</definedName>
    <definedName name="GenMid4_19">'5.กลางภาค'!$H$26</definedName>
    <definedName name="GenMid4_2">'5.กลางภาค'!$H$9</definedName>
    <definedName name="GenMid4_20">'5.กลางภาค'!$H$27</definedName>
    <definedName name="GenMid4_21">'5.กลางภาค'!$H$28</definedName>
    <definedName name="GenMid4_22">'5.กลางภาค'!$H$29</definedName>
    <definedName name="GenMid4_23">'5.กลางภาค'!$H$30</definedName>
    <definedName name="GenMid4_24">'5.กลางภาค'!$H$31</definedName>
    <definedName name="GenMid4_25">'5.กลางภาค'!$H$32</definedName>
    <definedName name="GenMid4_26">'5.กลางภาค'!$H$33</definedName>
    <definedName name="GenMid4_27">'5.กลางภาค'!$H$34</definedName>
    <definedName name="GenMid4_28">'5.กลางภาค'!$H$35</definedName>
    <definedName name="GenMid4_29">'5.กลางภาค'!$H$36</definedName>
    <definedName name="GenMid4_3">'5.กลางภาค'!$H$10</definedName>
    <definedName name="GenMid4_30">'5.กลางภาค'!$H$37</definedName>
    <definedName name="GenMid4_31">'5.กลางภาค'!$H$38</definedName>
    <definedName name="GenMid4_32">'5.กลางภาค'!$H$39</definedName>
    <definedName name="GenMid4_33">'5.กลางภาค'!$H$40</definedName>
    <definedName name="GenMid4_34">'5.กลางภาค'!$H$41</definedName>
    <definedName name="GenMid4_35">'5.กลางภาค'!$H$42</definedName>
    <definedName name="GenMid4_36">'5.กลางภาค'!$H$43</definedName>
    <definedName name="GenMid4_37">'5.กลางภาค'!$H$44</definedName>
    <definedName name="GenMid4_38">'5.กลางภาค'!$H$45</definedName>
    <definedName name="GenMid4_39">'5.กลางภาค'!$H$46</definedName>
    <definedName name="GenMid4_4">'5.กลางภาค'!$H$11</definedName>
    <definedName name="GenMid4_40">'5.กลางภาค'!$H$47</definedName>
    <definedName name="GenMid4_41">'5.กลางภาค'!$H$48</definedName>
    <definedName name="GenMid4_42">'5.กลางภาค'!$H$49</definedName>
    <definedName name="GenMid4_43">'5.กลางภาค'!$H$50</definedName>
    <definedName name="GenMid4_44">'5.กลางภาค'!$H$51</definedName>
    <definedName name="GenMid4_45">'5.กลางภาค'!$H$52</definedName>
    <definedName name="GenMid4_5">'5.กลางภาค'!$H$12</definedName>
    <definedName name="GenMid4_6">'5.กลางภาค'!$H$13</definedName>
    <definedName name="GenMid4_7">'5.กลางภาค'!$H$14</definedName>
    <definedName name="GenMid4_8">'5.กลางภาค'!$H$15</definedName>
    <definedName name="GenMid4_9">'5.กลางภาค'!$H$16</definedName>
    <definedName name="GenMid5_1">'5.กลางภาค'!$I$8</definedName>
    <definedName name="GenMid5_10">'5.กลางภาค'!$I$17</definedName>
    <definedName name="GenMid5_11">'5.กลางภาค'!$I$18</definedName>
    <definedName name="GenMid5_12">'5.กลางภาค'!$I$19</definedName>
    <definedName name="GenMid5_13">'5.กลางภาค'!$I$20</definedName>
    <definedName name="GenMid5_14">'5.กลางภาค'!$I$21</definedName>
    <definedName name="GenMid5_15">'5.กลางภาค'!$I$22</definedName>
    <definedName name="GenMid5_16">'5.กลางภาค'!$I$23</definedName>
    <definedName name="GenMid5_17">'5.กลางภาค'!$I$24</definedName>
    <definedName name="GenMid5_18">'5.กลางภาค'!$I$25</definedName>
    <definedName name="GenMid5_19">'5.กลางภาค'!$I$26</definedName>
    <definedName name="GenMid5_2">'5.กลางภาค'!$I$9</definedName>
    <definedName name="GenMid5_20">'5.กลางภาค'!$I$27</definedName>
    <definedName name="GenMid5_21">'5.กลางภาค'!$I$28</definedName>
    <definedName name="GenMid5_22">'5.กลางภาค'!$I$29</definedName>
    <definedName name="GenMid5_23">'5.กลางภาค'!$I$30</definedName>
    <definedName name="GenMid5_24">'5.กลางภาค'!$I$31</definedName>
    <definedName name="GenMid5_25">'5.กลางภาค'!$I$32</definedName>
    <definedName name="GenMid5_26">'5.กลางภาค'!$I$33</definedName>
    <definedName name="GenMid5_27">'5.กลางภาค'!$I$34</definedName>
    <definedName name="GenMid5_28">'5.กลางภาค'!$I$35</definedName>
    <definedName name="GenMid5_29">'5.กลางภาค'!$I$36</definedName>
    <definedName name="GenMid5_3">'5.กลางภาค'!$I$10</definedName>
    <definedName name="GenMid5_30">'5.กลางภาค'!$I$37</definedName>
    <definedName name="GenMid5_31">'5.กลางภาค'!$I$38</definedName>
    <definedName name="GenMid5_32">'5.กลางภาค'!$I$39</definedName>
    <definedName name="GenMid5_33">'5.กลางภาค'!$I$40</definedName>
    <definedName name="GenMid5_34">'5.กลางภาค'!$I$41</definedName>
    <definedName name="GenMid5_35">'5.กลางภาค'!$I$42</definedName>
    <definedName name="GenMid5_36">'5.กลางภาค'!$I$43</definedName>
    <definedName name="GenMid5_37">'5.กลางภาค'!$I$44</definedName>
    <definedName name="GenMid5_38">'5.กลางภาค'!$I$45</definedName>
    <definedName name="GenMid5_39">'5.กลางภาค'!$I$46</definedName>
    <definedName name="GenMid5_4">'5.กลางภาค'!$I$11</definedName>
    <definedName name="GenMid5_40">'5.กลางภาค'!$I$47</definedName>
    <definedName name="GenMid5_41">'5.กลางภาค'!$I$48</definedName>
    <definedName name="GenMid5_42">'5.กลางภาค'!$I$49</definedName>
    <definedName name="GenMid5_43">'5.กลางภาค'!$I$50</definedName>
    <definedName name="GenMid5_44">'5.กลางภาค'!$I$51</definedName>
    <definedName name="GenMid5_45">'5.กลางภาค'!$I$52</definedName>
    <definedName name="GenMid5_5">'5.กลางภาค'!$I$12</definedName>
    <definedName name="GenMid5_6">'5.กลางภาค'!$I$13</definedName>
    <definedName name="GenMid5_7">'5.กลางภาค'!$I$14</definedName>
    <definedName name="GenMid5_8">'5.กลางภาค'!$I$15</definedName>
    <definedName name="GenMid5_9">'5.กลางภาค'!$I$16</definedName>
    <definedName name="GenMid6_1">'5.กลางภาค'!$J$8</definedName>
    <definedName name="GenMid6_10">'5.กลางภาค'!$J$17</definedName>
    <definedName name="GenMid6_11">'5.กลางภาค'!$J$18</definedName>
    <definedName name="GenMid6_12">'5.กลางภาค'!$J$19</definedName>
    <definedName name="GenMid6_13">'5.กลางภาค'!$J$20</definedName>
    <definedName name="GenMid6_14">'5.กลางภาค'!$J$21</definedName>
    <definedName name="GenMid6_15">'5.กลางภาค'!$J$22</definedName>
    <definedName name="GenMid6_16">'5.กลางภาค'!$J$23</definedName>
    <definedName name="GenMid6_17">'5.กลางภาค'!$J$24</definedName>
    <definedName name="GenMid6_18">'5.กลางภาค'!$J$25</definedName>
    <definedName name="GenMid6_19">'5.กลางภาค'!$J$26</definedName>
    <definedName name="GenMid6_2">'5.กลางภาค'!$J$9</definedName>
    <definedName name="GenMid6_20">'5.กลางภาค'!$J$27</definedName>
    <definedName name="GenMid6_21">'5.กลางภาค'!$J$28</definedName>
    <definedName name="GenMid6_22">'5.กลางภาค'!$J$29</definedName>
    <definedName name="GenMid6_23">'5.กลางภาค'!$J$30</definedName>
    <definedName name="GenMid6_24">'5.กลางภาค'!$J$31</definedName>
    <definedName name="GenMid6_25">'5.กลางภาค'!$J$32</definedName>
    <definedName name="GenMid6_26">'5.กลางภาค'!$J$33</definedName>
    <definedName name="GenMid6_27">'5.กลางภาค'!$J$34</definedName>
    <definedName name="GenMid6_28">'5.กลางภาค'!$J$35</definedName>
    <definedName name="GenMid6_29">'5.กลางภาค'!$J$36</definedName>
    <definedName name="GenMid6_3">'5.กลางภาค'!$J$10</definedName>
    <definedName name="GenMid6_30">'5.กลางภาค'!$J$37</definedName>
    <definedName name="GenMid6_31">'5.กลางภาค'!$J$38</definedName>
    <definedName name="GenMid6_32">'5.กลางภาค'!$J$39</definedName>
    <definedName name="GenMid6_33">'5.กลางภาค'!$J$40</definedName>
    <definedName name="GenMid6_34">'5.กลางภาค'!$J$41</definedName>
    <definedName name="GenMid6_35">'5.กลางภาค'!$J$42</definedName>
    <definedName name="GenMid6_36">'5.กลางภาค'!$J$43</definedName>
    <definedName name="GenMid6_37">'5.กลางภาค'!$J$44</definedName>
    <definedName name="GenMid6_38">'5.กลางภาค'!$J$45</definedName>
    <definedName name="GenMid6_39">'5.กลางภาค'!$J$46</definedName>
    <definedName name="GenMid6_4">'5.กลางภาค'!$J$11</definedName>
    <definedName name="GenMid6_40">'5.กลางภาค'!$J$47</definedName>
    <definedName name="GenMid6_41">'5.กลางภาค'!$J$48</definedName>
    <definedName name="GenMid6_42">'5.กลางภาค'!$J$49</definedName>
    <definedName name="GenMid6_43">'5.กลางภาค'!$J$50</definedName>
    <definedName name="GenMid6_44">'5.กลางภาค'!$J$51</definedName>
    <definedName name="GenMid6_45">'5.กลางภาค'!$J$52</definedName>
    <definedName name="GenMid6_5">'5.กลางภาค'!$J$12</definedName>
    <definedName name="GenMid6_6">'5.กลางภาค'!$J$13</definedName>
    <definedName name="GenMid6_7">'5.กลางภาค'!$J$14</definedName>
    <definedName name="GenMid6_8">'5.กลางภาค'!$J$15</definedName>
    <definedName name="GenMid6_9">'5.กลางภาค'!$J$16</definedName>
    <definedName name="GenMid7_1">'5.กลางภาค'!$K$8</definedName>
    <definedName name="GenMid7_10">'5.กลางภาค'!$K$17</definedName>
    <definedName name="GenMid7_11">'5.กลางภาค'!$K$18</definedName>
    <definedName name="GenMid7_12">'5.กลางภาค'!$K$19</definedName>
    <definedName name="GenMid7_13">'5.กลางภาค'!$K$20</definedName>
    <definedName name="GenMid7_14">'5.กลางภาค'!$K$21</definedName>
    <definedName name="GenMid7_15">'5.กลางภาค'!$K$22</definedName>
    <definedName name="GenMid7_16">'5.กลางภาค'!$K$23</definedName>
    <definedName name="GenMid7_17">'5.กลางภาค'!$K$24</definedName>
    <definedName name="GenMid7_18">'5.กลางภาค'!$K$25</definedName>
    <definedName name="GenMid7_19">'5.กลางภาค'!$K$26</definedName>
    <definedName name="GenMid7_2">'5.กลางภาค'!$K$9</definedName>
    <definedName name="GenMid7_20">'5.กลางภาค'!$K$27</definedName>
    <definedName name="GenMid7_21">'5.กลางภาค'!$K$28</definedName>
    <definedName name="GenMid7_22">'5.กลางภาค'!$K$29</definedName>
    <definedName name="GenMid7_23">'5.กลางภาค'!$K$30</definedName>
    <definedName name="GenMid7_24">'5.กลางภาค'!$K$31</definedName>
    <definedName name="GenMid7_25">'5.กลางภาค'!$K$32</definedName>
    <definedName name="GenMid7_26">'5.กลางภาค'!$K$33</definedName>
    <definedName name="GenMid7_27">'5.กลางภาค'!$K$34</definedName>
    <definedName name="GenMid7_28">'5.กลางภาค'!$K$35</definedName>
    <definedName name="GenMid7_29">'5.กลางภาค'!$K$36</definedName>
    <definedName name="GenMid7_3">'5.กลางภาค'!$K$10</definedName>
    <definedName name="GenMid7_30">'5.กลางภาค'!$K$37</definedName>
    <definedName name="GenMid7_31">'5.กลางภาค'!$K$38</definedName>
    <definedName name="GenMid7_32">'5.กลางภาค'!$K$39</definedName>
    <definedName name="GenMid7_33">'5.กลางภาค'!$K$40</definedName>
    <definedName name="GenMid7_34">'5.กลางภาค'!$K$41</definedName>
    <definedName name="GenMid7_35">'5.กลางภาค'!$K$42</definedName>
    <definedName name="GenMid7_36">'5.กลางภาค'!$K$43</definedName>
    <definedName name="GenMid7_37">'5.กลางภาค'!$K$44</definedName>
    <definedName name="GenMid7_38">'5.กลางภาค'!$K$45</definedName>
    <definedName name="GenMid7_39">'5.กลางภาค'!$K$46</definedName>
    <definedName name="GenMid7_4">'5.กลางภาค'!$K$11</definedName>
    <definedName name="GenMid7_40">'5.กลางภาค'!$K$47</definedName>
    <definedName name="GenMid7_41">'5.กลางภาค'!$K$48</definedName>
    <definedName name="GenMid7_42">'5.กลางภาค'!$K$49</definedName>
    <definedName name="GenMid7_43">'5.กลางภาค'!$K$50</definedName>
    <definedName name="GenMid7_44">'5.กลางภาค'!$K$51</definedName>
    <definedName name="GenMid7_45">'5.กลางภาค'!$K$52</definedName>
    <definedName name="GenMid7_5">'5.กลางภาค'!$K$12</definedName>
    <definedName name="GenMid7_6">'5.กลางภาค'!$K$13</definedName>
    <definedName name="GenMid7_7">'5.กลางภาค'!$K$14</definedName>
    <definedName name="GenMid7_8">'5.กลางภาค'!$K$15</definedName>
    <definedName name="GenMid7_9">'5.กลางภาค'!$K$16</definedName>
    <definedName name="GenMid8_1">'5.กลางภาค'!$L$8</definedName>
    <definedName name="GenMid8_10">'5.กลางภาค'!$L$17</definedName>
    <definedName name="GenMid8_11">'5.กลางภาค'!$L$18</definedName>
    <definedName name="GenMid8_12">'5.กลางภาค'!$L$19</definedName>
    <definedName name="GenMid8_13">'5.กลางภาค'!$L$20</definedName>
    <definedName name="GenMid8_14">'5.กลางภาค'!$L$21</definedName>
    <definedName name="GenMid8_15">'5.กลางภาค'!$L$22</definedName>
    <definedName name="GenMid8_16">'5.กลางภาค'!$L$23</definedName>
    <definedName name="GenMid8_17">'5.กลางภาค'!$L$24</definedName>
    <definedName name="GenMid8_18">'5.กลางภาค'!$L$25</definedName>
    <definedName name="GenMid8_19">'5.กลางภาค'!$L$26</definedName>
    <definedName name="GenMid8_2">'5.กลางภาค'!$L$9</definedName>
    <definedName name="GenMid8_20">'5.กลางภาค'!$L$27</definedName>
    <definedName name="GenMid8_21">'5.กลางภาค'!$L$28</definedName>
    <definedName name="GenMid8_22">'5.กลางภาค'!$L$29</definedName>
    <definedName name="GenMid8_23">'5.กลางภาค'!$L$30</definedName>
    <definedName name="GenMid8_24">'5.กลางภาค'!$L$31</definedName>
    <definedName name="GenMid8_25">'5.กลางภาค'!$L$32</definedName>
    <definedName name="GenMid8_26">'5.กลางภาค'!$L$33</definedName>
    <definedName name="GenMid8_27">'5.กลางภาค'!$L$34</definedName>
    <definedName name="GenMid8_28">'5.กลางภาค'!$L$35</definedName>
    <definedName name="GenMid8_29">'5.กลางภาค'!$L$36</definedName>
    <definedName name="GenMid8_3">'5.กลางภาค'!$L$10</definedName>
    <definedName name="GenMid8_30">'5.กลางภาค'!$L$37</definedName>
    <definedName name="GenMid8_31">'5.กลางภาค'!$L$38</definedName>
    <definedName name="GenMid8_32">'5.กลางภาค'!$L$39</definedName>
    <definedName name="GenMid8_33">'5.กลางภาค'!$L$40</definedName>
    <definedName name="GenMid8_34">'5.กลางภาค'!$L$41</definedName>
    <definedName name="GenMid8_35">'5.กลางภาค'!$L$42</definedName>
    <definedName name="GenMid8_36">'5.กลางภาค'!$L$43</definedName>
    <definedName name="GenMid8_37">'5.กลางภาค'!$L$44</definedName>
    <definedName name="GenMid8_38">'5.กลางภาค'!$L$45</definedName>
    <definedName name="GenMid8_39">'5.กลางภาค'!$L$46</definedName>
    <definedName name="GenMid8_4">'5.กลางภาค'!$L$11</definedName>
    <definedName name="GenMid8_40">'5.กลางภาค'!$L$47</definedName>
    <definedName name="GenMid8_41">'5.กลางภาค'!$L$48</definedName>
    <definedName name="GenMid8_42">'5.กลางภาค'!$L$49</definedName>
    <definedName name="GenMid8_43">'5.กลางภาค'!$L$50</definedName>
    <definedName name="GenMid8_44">'5.กลางภาค'!$L$51</definedName>
    <definedName name="GenMid8_45">'5.กลางภาค'!$L$52</definedName>
    <definedName name="GenMid8_5">'5.กลางภาค'!$L$12</definedName>
    <definedName name="GenMid8_6">'5.กลางภาค'!$L$13</definedName>
    <definedName name="GenMid8_7">'5.กลางภาค'!$L$14</definedName>
    <definedName name="GenMid8_8">'5.กลางภาค'!$L$15</definedName>
    <definedName name="GenMid8_9">'5.กลางภาค'!$L$16</definedName>
    <definedName name="GenMid9_1">'5.กลางภาค'!$M$8</definedName>
    <definedName name="GenMid9_10">'5.กลางภาค'!$M$17</definedName>
    <definedName name="GenMid9_11">'5.กลางภาค'!$M$18</definedName>
    <definedName name="GenMid9_12">'5.กลางภาค'!$M$19</definedName>
    <definedName name="GenMid9_13">'5.กลางภาค'!$M$20</definedName>
    <definedName name="GenMid9_14">'5.กลางภาค'!$M$21</definedName>
    <definedName name="GenMid9_15">'5.กลางภาค'!$M$22</definedName>
    <definedName name="GenMid9_16">'5.กลางภาค'!$M$23</definedName>
    <definedName name="GenMid9_17">'5.กลางภาค'!$M$24</definedName>
    <definedName name="GenMid9_18">'5.กลางภาค'!$M$25</definedName>
    <definedName name="GenMid9_19">'5.กลางภาค'!$M$26</definedName>
    <definedName name="GenMid9_2">'5.กลางภาค'!$M$9</definedName>
    <definedName name="GenMid9_20">'5.กลางภาค'!$M$27</definedName>
    <definedName name="GenMid9_21">'5.กลางภาค'!$M$28</definedName>
    <definedName name="GenMid9_22">'5.กลางภาค'!$M$29</definedName>
    <definedName name="GenMid9_23">'5.กลางภาค'!$M$30</definedName>
    <definedName name="GenMid9_24">'5.กลางภาค'!$M$31</definedName>
    <definedName name="GenMid9_25">'5.กลางภาค'!$M$32</definedName>
    <definedName name="GenMid9_26">'5.กลางภาค'!$M$33</definedName>
    <definedName name="GenMid9_27">'5.กลางภาค'!$M$34</definedName>
    <definedName name="GenMid9_28">'5.กลางภาค'!$M$35</definedName>
    <definedName name="GenMid9_29">'5.กลางภาค'!$M$36</definedName>
    <definedName name="GenMid9_3">'5.กลางภาค'!$M$10</definedName>
    <definedName name="GenMid9_30">'5.กลางภาค'!$M$37</definedName>
    <definedName name="GenMid9_31">'5.กลางภาค'!$M$38</definedName>
    <definedName name="GenMid9_32">'5.กลางภาค'!$M$39</definedName>
    <definedName name="GenMid9_33">'5.กลางภาค'!$M$40</definedName>
    <definedName name="GenMid9_34">'5.กลางภาค'!$M$41</definedName>
    <definedName name="GenMid9_35">'5.กลางภาค'!$M$42</definedName>
    <definedName name="GenMid9_36">'5.กลางภาค'!$M$43</definedName>
    <definedName name="GenMid9_37">'5.กลางภาค'!$M$44</definedName>
    <definedName name="GenMid9_38">'5.กลางภาค'!$M$45</definedName>
    <definedName name="GenMid9_39">'5.กลางภาค'!$M$46</definedName>
    <definedName name="GenMid9_4">'5.กลางภาค'!$M$11</definedName>
    <definedName name="GenMid9_40">'5.กลางภาค'!$M$47</definedName>
    <definedName name="GenMid9_41">'5.กลางภาค'!$M$48</definedName>
    <definedName name="GenMid9_42">'5.กลางภาค'!$M$49</definedName>
    <definedName name="GenMid9_43">'5.กลางภาค'!$M$50</definedName>
    <definedName name="GenMid9_44">'5.กลางภาค'!$M$51</definedName>
    <definedName name="GenMid9_45">'5.กลางภาค'!$M$52</definedName>
    <definedName name="GenMid9_5">'5.กลางภาค'!$M$12</definedName>
    <definedName name="GenMid9_6">'5.กลางภาค'!$M$13</definedName>
    <definedName name="GenMid9_7">'5.กลางภาค'!$M$14</definedName>
    <definedName name="GenMid9_8">'5.กลางภาค'!$M$15</definedName>
    <definedName name="GenMid9_9">'5.กลางภาค'!$M$16</definedName>
    <definedName name="GPA_1" localSheetId="7">'6.2ปลายภาค'!$BR$9</definedName>
    <definedName name="GPA_1">'6.1ประกาศผลปลายภาค'!$AW$9</definedName>
    <definedName name="GPA_10" localSheetId="7">'6.2ปลายภาค'!$BR$18</definedName>
    <definedName name="GPA_10">'6.1ประกาศผลปลายภาค'!$AW$18</definedName>
    <definedName name="GPA_11" localSheetId="7">'6.2ปลายภาค'!$BR$19</definedName>
    <definedName name="GPA_11">'6.1ประกาศผลปลายภาค'!$AW$19</definedName>
    <definedName name="GPA_12" localSheetId="7">'6.2ปลายภาค'!$BR$20</definedName>
    <definedName name="GPA_12">'6.1ประกาศผลปลายภาค'!$AW$20</definedName>
    <definedName name="GPA_13" localSheetId="7">'6.2ปลายภาค'!$BR$21</definedName>
    <definedName name="GPA_13">'6.1ประกาศผลปลายภาค'!$AW$21</definedName>
    <definedName name="GPA_14" localSheetId="7">'6.2ปลายภาค'!$BR$22</definedName>
    <definedName name="GPA_14">'6.1ประกาศผลปลายภาค'!$AW$22</definedName>
    <definedName name="GPA_15" localSheetId="7">'6.2ปลายภาค'!$BR$23</definedName>
    <definedName name="GPA_15">'6.1ประกาศผลปลายภาค'!$AW$23</definedName>
    <definedName name="GPA_16" localSheetId="7">'6.2ปลายภาค'!$BR$24</definedName>
    <definedName name="GPA_16">'6.1ประกาศผลปลายภาค'!$AW$24</definedName>
    <definedName name="GPA_17" localSheetId="7">'6.2ปลายภาค'!$BR$25</definedName>
    <definedName name="GPA_17">'6.1ประกาศผลปลายภาค'!$AW$25</definedName>
    <definedName name="GPA_18" localSheetId="7">'6.2ปลายภาค'!$BR$26</definedName>
    <definedName name="GPA_18">'6.1ประกาศผลปลายภาค'!$AW$26</definedName>
    <definedName name="GPA_19" localSheetId="7">'6.2ปลายภาค'!$BR$27</definedName>
    <definedName name="GPA_19">'6.1ประกาศผลปลายภาค'!$AW$27</definedName>
    <definedName name="GPA_2" localSheetId="7">'6.2ปลายภาค'!$BR$10</definedName>
    <definedName name="GPA_2">'6.1ประกาศผลปลายภาค'!$AW$10</definedName>
    <definedName name="GPA_20" localSheetId="7">'6.2ปลายภาค'!$BR$28</definedName>
    <definedName name="GPA_20">'6.1ประกาศผลปลายภาค'!$AW$28</definedName>
    <definedName name="GPA_21" localSheetId="7">'6.2ปลายภาค'!$BR$29</definedName>
    <definedName name="GPA_21">'6.1ประกาศผลปลายภาค'!$AW$29</definedName>
    <definedName name="GPA_22" localSheetId="7">'6.2ปลายภาค'!$BR$30</definedName>
    <definedName name="GPA_22">'6.1ประกาศผลปลายภาค'!$AW$30</definedName>
    <definedName name="GPA_23" localSheetId="7">'6.2ปลายภาค'!$BR$31</definedName>
    <definedName name="GPA_23">'6.1ประกาศผลปลายภาค'!$AW$31</definedName>
    <definedName name="GPA_24" localSheetId="7">'6.2ปลายภาค'!$BR$32</definedName>
    <definedName name="GPA_24">'6.1ประกาศผลปลายภาค'!$AW$32</definedName>
    <definedName name="GPA_25" localSheetId="7">'6.2ปลายภาค'!$BR$33</definedName>
    <definedName name="GPA_25">'6.1ประกาศผลปลายภาค'!$AW$33</definedName>
    <definedName name="GPA_26" localSheetId="7">'6.2ปลายภาค'!$BR$34</definedName>
    <definedName name="GPA_26">'6.1ประกาศผลปลายภาค'!$AW$34</definedName>
    <definedName name="GPA_27" localSheetId="7">'6.2ปลายภาค'!$BR$35</definedName>
    <definedName name="GPA_27">'6.1ประกาศผลปลายภาค'!$AW$35</definedName>
    <definedName name="GPA_28" localSheetId="7">'6.2ปลายภาค'!$BR$36</definedName>
    <definedName name="GPA_28">'6.1ประกาศผลปลายภาค'!$AW$36</definedName>
    <definedName name="GPA_29" localSheetId="7">'6.2ปลายภาค'!$BR$37</definedName>
    <definedName name="GPA_29">'6.1ประกาศผลปลายภาค'!$AW$37</definedName>
    <definedName name="GPA_3" localSheetId="7">'6.2ปลายภาค'!$BR$11</definedName>
    <definedName name="GPA_3">'6.1ประกาศผลปลายภาค'!$AW$11</definedName>
    <definedName name="GPA_30" localSheetId="7">'6.2ปลายภาค'!$BR$38</definedName>
    <definedName name="GPA_30">'6.1ประกาศผลปลายภาค'!$AW$38</definedName>
    <definedName name="GPA_31" localSheetId="7">'6.2ปลายภาค'!$BR$39</definedName>
    <definedName name="GPA_31">'6.1ประกาศผลปลายภาค'!$AW$39</definedName>
    <definedName name="GPA_32" localSheetId="7">'6.2ปลายภาค'!$BR$40</definedName>
    <definedName name="GPA_32">'6.1ประกาศผลปลายภาค'!$AW$40</definedName>
    <definedName name="GPA_33" localSheetId="7">'6.2ปลายภาค'!$BR$41</definedName>
    <definedName name="GPA_33">'6.1ประกาศผลปลายภาค'!$AW$41</definedName>
    <definedName name="GPA_34" localSheetId="7">'6.2ปลายภาค'!$BR$42</definedName>
    <definedName name="GPA_34">'6.1ประกาศผลปลายภาค'!$AW$42</definedName>
    <definedName name="GPA_35" localSheetId="7">'6.2ปลายภาค'!$BR$43</definedName>
    <definedName name="GPA_35">'6.1ประกาศผลปลายภาค'!$AW$43</definedName>
    <definedName name="GPA_36" localSheetId="7">'6.2ปลายภาค'!$BR$44</definedName>
    <definedName name="GPA_36">'6.1ประกาศผลปลายภาค'!$AW$44</definedName>
    <definedName name="GPA_37" localSheetId="7">'6.2ปลายภาค'!$BR$45</definedName>
    <definedName name="GPA_37">'6.1ประกาศผลปลายภาค'!$AW$45</definedName>
    <definedName name="GPA_38" localSheetId="7">'6.2ปลายภาค'!$BR$46</definedName>
    <definedName name="GPA_38">'6.1ประกาศผลปลายภาค'!$AW$46</definedName>
    <definedName name="GPA_39" localSheetId="7">'6.2ปลายภาค'!$BR$47</definedName>
    <definedName name="GPA_39">'6.1ประกาศผลปลายภาค'!$AW$47</definedName>
    <definedName name="GPA_4" localSheetId="7">'6.2ปลายภาค'!$BR$12</definedName>
    <definedName name="GPA_4">'6.1ประกาศผลปลายภาค'!$AW$12</definedName>
    <definedName name="GPA_40" localSheetId="7">'6.2ปลายภาค'!$BR$48</definedName>
    <definedName name="GPA_40">'6.1ประกาศผลปลายภาค'!$AW$48</definedName>
    <definedName name="GPA_41" localSheetId="7">'6.2ปลายภาค'!$BR$49</definedName>
    <definedName name="GPA_41">'6.1ประกาศผลปลายภาค'!$AW$49</definedName>
    <definedName name="GPA_42" localSheetId="7">'6.2ปลายภาค'!$BR$50</definedName>
    <definedName name="GPA_42">'6.1ประกาศผลปลายภาค'!$AW$50</definedName>
    <definedName name="GPA_43" localSheetId="7">'6.2ปลายภาค'!$BR$51</definedName>
    <definedName name="GPA_43">'6.1ประกาศผลปลายภาค'!$AW$51</definedName>
    <definedName name="GPA_44" localSheetId="7">'6.2ปลายภาค'!$BR$52</definedName>
    <definedName name="GPA_44">'6.1ประกาศผลปลายภาค'!$AW$52</definedName>
    <definedName name="GPA_45" localSheetId="7">'6.2ปลายภาค'!$BR$53</definedName>
    <definedName name="GPA_45">'6.1ประกาศผลปลายภาค'!$AW$53</definedName>
    <definedName name="GPA_5" localSheetId="7">'6.2ปลายภาค'!$BR$13</definedName>
    <definedName name="GPA_5">'6.1ประกาศผลปลายภาค'!$AW$13</definedName>
    <definedName name="GPA_6" localSheetId="7">'6.2ปลายภาค'!$BR$14</definedName>
    <definedName name="GPA_6">'6.1ประกาศผลปลายภาค'!$AW$14</definedName>
    <definedName name="GPA_7" localSheetId="7">'6.2ปลายภาค'!$BR$15</definedName>
    <definedName name="GPA_7">'6.1ประกาศผลปลายภาค'!$AW$15</definedName>
    <definedName name="GPA_8" localSheetId="7">'6.2ปลายภาค'!$BR$16</definedName>
    <definedName name="GPA_8">'6.1ประกาศผลปลายภาค'!$AW$16</definedName>
    <definedName name="GPA_9" localSheetId="7">'6.2ปลายภาค'!$BR$17</definedName>
    <definedName name="GPA_9">'6.1ประกาศผลปลายภาค'!$AW$17</definedName>
    <definedName name="IDstu_1">'[2]2.ชื่อนักเรียน'!$B$11</definedName>
    <definedName name="IDstu1" localSheetId="17">'[3]2.ชื่อนักเรียน'!$B$11</definedName>
    <definedName name="IDstu1">'2.ชื่อนักเรียน'!$B$11</definedName>
    <definedName name="IDstu10" localSheetId="17">'[3]2.ชื่อนักเรียน'!$B$20</definedName>
    <definedName name="IDstu10">'2.ชื่อนักเรียน'!$B$20</definedName>
    <definedName name="IDstu11" localSheetId="17">'[3]2.ชื่อนักเรียน'!$B$21</definedName>
    <definedName name="IDstu11">'2.ชื่อนักเรียน'!$B$21</definedName>
    <definedName name="IDstu12" localSheetId="17">'[3]2.ชื่อนักเรียน'!$B$22</definedName>
    <definedName name="IDstu12">'2.ชื่อนักเรียน'!$B$22</definedName>
    <definedName name="IDstu13" localSheetId="17">'[3]2.ชื่อนักเรียน'!$B$23</definedName>
    <definedName name="IDstu13">'2.ชื่อนักเรียน'!$B$23</definedName>
    <definedName name="IDstu14" localSheetId="17">'[3]2.ชื่อนักเรียน'!$B$24</definedName>
    <definedName name="IDstu14">'2.ชื่อนักเรียน'!$B$24</definedName>
    <definedName name="IDstu15" localSheetId="17">'[3]2.ชื่อนักเรียน'!$B$25</definedName>
    <definedName name="IDstu15">'2.ชื่อนักเรียน'!$B$25</definedName>
    <definedName name="IDstu16" localSheetId="17">'[3]2.ชื่อนักเรียน'!$B$26</definedName>
    <definedName name="IDstu16">'2.ชื่อนักเรียน'!$B$26</definedName>
    <definedName name="IDstu17" localSheetId="17">'[3]2.ชื่อนักเรียน'!$B$27</definedName>
    <definedName name="IDstu17">'2.ชื่อนักเรียน'!$B$27</definedName>
    <definedName name="IDstu18" localSheetId="17">'[3]2.ชื่อนักเรียน'!$B$28</definedName>
    <definedName name="IDstu18">'2.ชื่อนักเรียน'!$B$28</definedName>
    <definedName name="IDstu19" localSheetId="17">'[3]2.ชื่อนักเรียน'!$B$29</definedName>
    <definedName name="IDstu19">'2.ชื่อนักเรียน'!$B$29</definedName>
    <definedName name="IDstu2" localSheetId="17">'[3]2.ชื่อนักเรียน'!$B$12</definedName>
    <definedName name="IDstu2">'2.ชื่อนักเรียน'!$B$12</definedName>
    <definedName name="IDstu20" localSheetId="17">'[3]2.ชื่อนักเรียน'!$B$30</definedName>
    <definedName name="IDstu20">'2.ชื่อนักเรียน'!$B$30</definedName>
    <definedName name="IDstu21" localSheetId="17">'[3]2.ชื่อนักเรียน'!$B$31</definedName>
    <definedName name="IDstu21">'2.ชื่อนักเรียน'!$B$31</definedName>
    <definedName name="IDstu22" localSheetId="17">'[3]2.ชื่อนักเรียน'!$B$32</definedName>
    <definedName name="IDstu22">'2.ชื่อนักเรียน'!$B$32</definedName>
    <definedName name="IDstu23" localSheetId="17">'[3]2.ชื่อนักเรียน'!$B$33</definedName>
    <definedName name="IDstu23">'2.ชื่อนักเรียน'!$B$33</definedName>
    <definedName name="IDstu24" localSheetId="17">'[3]2.ชื่อนักเรียน'!$B$34</definedName>
    <definedName name="IDstu24">'2.ชื่อนักเรียน'!$B$34</definedName>
    <definedName name="IDstu25" localSheetId="17">'[3]2.ชื่อนักเรียน'!$B$35</definedName>
    <definedName name="IDstu25">'2.ชื่อนักเรียน'!$B$35</definedName>
    <definedName name="IDstu26" localSheetId="17">'[3]2.ชื่อนักเรียน'!$B$36</definedName>
    <definedName name="IDstu26">'2.ชื่อนักเรียน'!$B$36</definedName>
    <definedName name="IDstu27" localSheetId="17">'[3]2.ชื่อนักเรียน'!$B$37</definedName>
    <definedName name="IDstu27">'2.ชื่อนักเรียน'!$B$37</definedName>
    <definedName name="IDstu28" localSheetId="17">'[3]2.ชื่อนักเรียน'!$B$38</definedName>
    <definedName name="IDstu28">'2.ชื่อนักเรียน'!$B$38</definedName>
    <definedName name="IDstu29" localSheetId="17">'[3]2.ชื่อนักเรียน'!$B$39</definedName>
    <definedName name="IDstu29">'2.ชื่อนักเรียน'!$B$39</definedName>
    <definedName name="IDstu3" localSheetId="17">'[3]2.ชื่อนักเรียน'!$B$13</definedName>
    <definedName name="IDstu3">'2.ชื่อนักเรียน'!$B$13</definedName>
    <definedName name="IDstu30" localSheetId="17">'[3]2.ชื่อนักเรียน'!$B$40</definedName>
    <definedName name="IDstu30">'2.ชื่อนักเรียน'!$B$40</definedName>
    <definedName name="IDstu31" localSheetId="17">'[3]2.ชื่อนักเรียน'!$B$41</definedName>
    <definedName name="IDstu31">'2.ชื่อนักเรียน'!$B$41</definedName>
    <definedName name="IDstu32" localSheetId="17">'[3]2.ชื่อนักเรียน'!$B$42</definedName>
    <definedName name="IDstu32">'2.ชื่อนักเรียน'!$B$42</definedName>
    <definedName name="IDstu33" localSheetId="17">'[3]2.ชื่อนักเรียน'!$B$43</definedName>
    <definedName name="IDstu33">'2.ชื่อนักเรียน'!$B$43</definedName>
    <definedName name="IDstu34" localSheetId="17">'[3]2.ชื่อนักเรียน'!$B$44</definedName>
    <definedName name="IDstu34">'2.ชื่อนักเรียน'!$B$44</definedName>
    <definedName name="IDstu35" localSheetId="17">'[3]2.ชื่อนักเรียน'!$B$45</definedName>
    <definedName name="IDstu35">'2.ชื่อนักเรียน'!$B$45</definedName>
    <definedName name="IDstu36" localSheetId="17">'[3]2.ชื่อนักเรียน'!$B$46</definedName>
    <definedName name="IDstu36">'2.ชื่อนักเรียน'!$B$46</definedName>
    <definedName name="IDstu37" localSheetId="17">'[3]2.ชื่อนักเรียน'!$B$47</definedName>
    <definedName name="IDstu37">'2.ชื่อนักเรียน'!$B$47</definedName>
    <definedName name="IDstu38" localSheetId="17">'[3]2.ชื่อนักเรียน'!$B$48</definedName>
    <definedName name="IDstu38">'2.ชื่อนักเรียน'!$B$48</definedName>
    <definedName name="IDstu39" localSheetId="17">'[3]2.ชื่อนักเรียน'!$B$49</definedName>
    <definedName name="IDstu39">'2.ชื่อนักเรียน'!$B$49</definedName>
    <definedName name="IDstu4" localSheetId="17">'[3]2.ชื่อนักเรียน'!$B$14</definedName>
    <definedName name="IDstu4">'2.ชื่อนักเรียน'!$B$14</definedName>
    <definedName name="IDstu40" localSheetId="17">'[3]2.ชื่อนักเรียน'!$B$50</definedName>
    <definedName name="IDstu40">'2.ชื่อนักเรียน'!$B$50</definedName>
    <definedName name="IDstu41" localSheetId="17">'[3]2.ชื่อนักเรียน'!$B$51</definedName>
    <definedName name="IDstu41">'2.ชื่อนักเรียน'!$B$51</definedName>
    <definedName name="IDstu42" localSheetId="17">'[3]2.ชื่อนักเรียน'!$B$52</definedName>
    <definedName name="IDstu42">'2.ชื่อนักเรียน'!$B$52</definedName>
    <definedName name="IDstu43" localSheetId="17">'[3]2.ชื่อนักเรียน'!$B$53</definedName>
    <definedName name="IDstu43">'2.ชื่อนักเรียน'!$B$53</definedName>
    <definedName name="IDstu44" localSheetId="17">'[3]2.ชื่อนักเรียน'!$B$54</definedName>
    <definedName name="IDstu44">'2.ชื่อนักเรียน'!$B$54</definedName>
    <definedName name="IDstu45" localSheetId="17">'[3]2.ชื่อนักเรียน'!$B$55</definedName>
    <definedName name="IDstu45">'2.ชื่อนักเรียน'!$B$55</definedName>
    <definedName name="IDstu5" localSheetId="17">'[3]2.ชื่อนักเรียน'!$B$15</definedName>
    <definedName name="IDstu5">'2.ชื่อนักเรียน'!$B$15</definedName>
    <definedName name="IDstu6" localSheetId="17">'[3]2.ชื่อนักเรียน'!$B$16</definedName>
    <definedName name="IDstu6">'2.ชื่อนักเรียน'!$B$16</definedName>
    <definedName name="IDstu7" localSheetId="17">'[3]2.ชื่อนักเรียน'!$B$17</definedName>
    <definedName name="IDstu7">'2.ชื่อนักเรียน'!$B$17</definedName>
    <definedName name="IDstu8" localSheetId="17">'[3]2.ชื่อนักเรียน'!$B$18</definedName>
    <definedName name="IDstu8">'2.ชื่อนักเรียน'!$B$18</definedName>
    <definedName name="IDstu9" localSheetId="17">'[3]2.ชื่อนักเรียน'!$B$19</definedName>
    <definedName name="IDstu9">'2.ชื่อนักเรียน'!$B$19</definedName>
    <definedName name="Midscore_1">'5.กลางภาค'!$E$8:$AE$8</definedName>
    <definedName name="Midscore_2">'5.กลางภาค'!$E$9:$AE$9</definedName>
    <definedName name="MidscoreF">'5.กลางภาค'!$E$7:$AE$7</definedName>
    <definedName name="Month">'1.ข้อมูลเบื้องต้น'!$L$16</definedName>
    <definedName name="Name_1">'[2]2.ชื่อนักเรียน'!$C$11</definedName>
    <definedName name="Name_10">'[2]2.ชื่อนักเรียน'!$C$20</definedName>
    <definedName name="Name_11">'[2]2.ชื่อนักเรียน'!$C$21</definedName>
    <definedName name="Name_12">'[2]2.ชื่อนักเรียน'!$C$22</definedName>
    <definedName name="Name_13">'[2]2.ชื่อนักเรียน'!$C$23</definedName>
    <definedName name="Name_14">'[2]2.ชื่อนักเรียน'!$C$24</definedName>
    <definedName name="Name_15">'[2]2.ชื่อนักเรียน'!$C$25</definedName>
    <definedName name="Name_16">'[2]2.ชื่อนักเรียน'!$C$26</definedName>
    <definedName name="Name_17">'[2]2.ชื่อนักเรียน'!$C$27</definedName>
    <definedName name="Name_18">'[2]2.ชื่อนักเรียน'!$C$28</definedName>
    <definedName name="Name_19">'[2]2.ชื่อนักเรียน'!$C$29</definedName>
    <definedName name="Name_2">'[2]2.ชื่อนักเรียน'!$C$12</definedName>
    <definedName name="Name_20">'[2]2.ชื่อนักเรียน'!$C$30</definedName>
    <definedName name="Name_21">'[2]2.ชื่อนักเรียน'!$C$31</definedName>
    <definedName name="Name_22">'[2]2.ชื่อนักเรียน'!$C$32</definedName>
    <definedName name="Name_23">'[2]2.ชื่อนักเรียน'!$C$33</definedName>
    <definedName name="Name_24">'[2]2.ชื่อนักเรียน'!$C$34</definedName>
    <definedName name="Name_25">'[2]2.ชื่อนักเรียน'!$C$35</definedName>
    <definedName name="Name_26">'[2]2.ชื่อนักเรียน'!$C$36</definedName>
    <definedName name="Name_27">'[2]2.ชื่อนักเรียน'!$C$37</definedName>
    <definedName name="Name_28">'[2]2.ชื่อนักเรียน'!$C$38</definedName>
    <definedName name="Name_29">'[2]2.ชื่อนักเรียน'!$C$39</definedName>
    <definedName name="Name_3">'[2]2.ชื่อนักเรียน'!$C$13</definedName>
    <definedName name="Name_30">'[2]2.ชื่อนักเรียน'!$C$40</definedName>
    <definedName name="Name_31">'[2]2.ชื่อนักเรียน'!$C$41</definedName>
    <definedName name="Name_32">'[2]2.ชื่อนักเรียน'!$C$42</definedName>
    <definedName name="Name_33">'[2]2.ชื่อนักเรียน'!$C$43</definedName>
    <definedName name="Name_34">'[2]2.ชื่อนักเรียน'!$C$44</definedName>
    <definedName name="Name_35">'[2]2.ชื่อนักเรียน'!$C$45</definedName>
    <definedName name="Name_36">'[2]2.ชื่อนักเรียน'!$C$46</definedName>
    <definedName name="Name_37">'[2]2.ชื่อนักเรียน'!$C$47</definedName>
    <definedName name="Name_38">'[2]2.ชื่อนักเรียน'!$C$48</definedName>
    <definedName name="Name_39">'[2]2.ชื่อนักเรียน'!$C$49</definedName>
    <definedName name="Name_4">'[2]2.ชื่อนักเรียน'!$C$14</definedName>
    <definedName name="Name_40">'[2]2.ชื่อนักเรียน'!$C$50</definedName>
    <definedName name="Name_41">'[2]2.ชื่อนักเรียน'!$C$51</definedName>
    <definedName name="Name_42">'[2]2.ชื่อนักเรียน'!$C$52</definedName>
    <definedName name="Name_43">'[2]2.ชื่อนักเรียน'!$C$53</definedName>
    <definedName name="Name_44">'[2]2.ชื่อนักเรียน'!$C$54</definedName>
    <definedName name="Name_45">'[2]2.ชื่อนักเรียน'!$C$55</definedName>
    <definedName name="Name_5">'[2]2.ชื่อนักเรียน'!$C$15</definedName>
    <definedName name="Name_6">'[2]2.ชื่อนักเรียน'!$C$16</definedName>
    <definedName name="Name_7">'[2]2.ชื่อนักเรียน'!$C$17</definedName>
    <definedName name="Name_8">'[2]2.ชื่อนักเรียน'!$C$18</definedName>
    <definedName name="Name_9">'[2]2.ชื่อนักเรียน'!$C$19</definedName>
    <definedName name="Name1" localSheetId="17">'[3]2.ชื่อนักเรียน'!$C$11</definedName>
    <definedName name="Name1">'2.ชื่อนักเรียน'!$C$11</definedName>
    <definedName name="Name10" localSheetId="17">'[3]2.ชื่อนักเรียน'!$C$20</definedName>
    <definedName name="Name10">'2.ชื่อนักเรียน'!$C$20</definedName>
    <definedName name="Name11" localSheetId="17">'[3]2.ชื่อนักเรียน'!$C$21</definedName>
    <definedName name="Name11">'2.ชื่อนักเรียน'!$C$21</definedName>
    <definedName name="Name12" localSheetId="17">'[3]2.ชื่อนักเรียน'!$C$22</definedName>
    <definedName name="Name12">'2.ชื่อนักเรียน'!$C$22</definedName>
    <definedName name="Name13" localSheetId="17">'[3]2.ชื่อนักเรียน'!$C$23</definedName>
    <definedName name="Name13">'2.ชื่อนักเรียน'!$C$23</definedName>
    <definedName name="Name14" localSheetId="17">'[3]2.ชื่อนักเรียน'!$C$24</definedName>
    <definedName name="Name14">'2.ชื่อนักเรียน'!$C$24</definedName>
    <definedName name="Name15" localSheetId="17">'[3]2.ชื่อนักเรียน'!$C$25</definedName>
    <definedName name="Name15">'2.ชื่อนักเรียน'!$C$25</definedName>
    <definedName name="Name16" localSheetId="17">'[3]2.ชื่อนักเรียน'!$C$26</definedName>
    <definedName name="Name16">'2.ชื่อนักเรียน'!$C$26</definedName>
    <definedName name="Name17" localSheetId="17">'[3]2.ชื่อนักเรียน'!$C$27</definedName>
    <definedName name="Name17">'2.ชื่อนักเรียน'!$C$27</definedName>
    <definedName name="Name18" localSheetId="17">'[3]2.ชื่อนักเรียน'!$C$28</definedName>
    <definedName name="Name18">'2.ชื่อนักเรียน'!$C$28</definedName>
    <definedName name="Name19" localSheetId="17">'[3]2.ชื่อนักเรียน'!$C$29</definedName>
    <definedName name="Name19">'2.ชื่อนักเรียน'!$C$29</definedName>
    <definedName name="Name2" localSheetId="17">'[3]2.ชื่อนักเรียน'!$C$12</definedName>
    <definedName name="Name2">'2.ชื่อนักเรียน'!$C$12</definedName>
    <definedName name="Name20" localSheetId="17">'[3]2.ชื่อนักเรียน'!$C$30</definedName>
    <definedName name="Name20">'2.ชื่อนักเรียน'!$C$30</definedName>
    <definedName name="Name21" localSheetId="17">'[3]2.ชื่อนักเรียน'!$C$31</definedName>
    <definedName name="Name21">'2.ชื่อนักเรียน'!$C$31</definedName>
    <definedName name="Name22" localSheetId="17">'[3]2.ชื่อนักเรียน'!$C$32</definedName>
    <definedName name="Name22">'2.ชื่อนักเรียน'!$C$32</definedName>
    <definedName name="Name23" localSheetId="17">'[3]2.ชื่อนักเรียน'!$C$33</definedName>
    <definedName name="Name23">'2.ชื่อนักเรียน'!$C$33</definedName>
    <definedName name="Name24" localSheetId="17">'[3]2.ชื่อนักเรียน'!$C$34</definedName>
    <definedName name="Name24">'2.ชื่อนักเรียน'!$C$34</definedName>
    <definedName name="Name25" localSheetId="17">'[3]2.ชื่อนักเรียน'!$C$35</definedName>
    <definedName name="Name25">'2.ชื่อนักเรียน'!$C$35</definedName>
    <definedName name="Name26" localSheetId="17">'[3]2.ชื่อนักเรียน'!$C$36</definedName>
    <definedName name="Name26">'2.ชื่อนักเรียน'!$C$36</definedName>
    <definedName name="Name27" localSheetId="17">'[3]2.ชื่อนักเรียน'!$C$37</definedName>
    <definedName name="Name27">'2.ชื่อนักเรียน'!$C$37</definedName>
    <definedName name="Name28" localSheetId="17">'[3]2.ชื่อนักเรียน'!$C$38</definedName>
    <definedName name="Name28">'2.ชื่อนักเรียน'!$C$38</definedName>
    <definedName name="Name29" localSheetId="17">'[3]2.ชื่อนักเรียน'!$C$39</definedName>
    <definedName name="Name29">'2.ชื่อนักเรียน'!$C$39</definedName>
    <definedName name="Name3" localSheetId="17">'[3]2.ชื่อนักเรียน'!$C$13</definedName>
    <definedName name="Name3">'2.ชื่อนักเรียน'!$C$13</definedName>
    <definedName name="Name30" localSheetId="17">'[3]2.ชื่อนักเรียน'!$C$40</definedName>
    <definedName name="Name30">'2.ชื่อนักเรียน'!$C$40</definedName>
    <definedName name="Name31" localSheetId="17">'[3]2.ชื่อนักเรียน'!$C$41</definedName>
    <definedName name="Name31">'2.ชื่อนักเรียน'!$C$41</definedName>
    <definedName name="Name32" localSheetId="17">'[3]2.ชื่อนักเรียน'!$C$42</definedName>
    <definedName name="Name32">'2.ชื่อนักเรียน'!$C$42</definedName>
    <definedName name="Name33" localSheetId="17">'[3]2.ชื่อนักเรียน'!$C$43</definedName>
    <definedName name="Name33">'2.ชื่อนักเรียน'!$C$43</definedName>
    <definedName name="Name34" localSheetId="17">'[3]2.ชื่อนักเรียน'!$C$44</definedName>
    <definedName name="Name34">'2.ชื่อนักเรียน'!$C$44</definedName>
    <definedName name="Name35" localSheetId="17">'[3]2.ชื่อนักเรียน'!$C$45</definedName>
    <definedName name="Name35">'2.ชื่อนักเรียน'!$C$45</definedName>
    <definedName name="Name36" localSheetId="17">'[3]2.ชื่อนักเรียน'!$C$46</definedName>
    <definedName name="Name36">'2.ชื่อนักเรียน'!$C$46</definedName>
    <definedName name="Name37" localSheetId="17">'[3]2.ชื่อนักเรียน'!$C$47</definedName>
    <definedName name="Name37">'2.ชื่อนักเรียน'!$C$47</definedName>
    <definedName name="Name38" localSheetId="17">'[3]2.ชื่อนักเรียน'!$C$48</definedName>
    <definedName name="Name38">'2.ชื่อนักเรียน'!$C$48</definedName>
    <definedName name="Name39" localSheetId="17">'[3]2.ชื่อนักเรียน'!$C$49</definedName>
    <definedName name="Name39">'2.ชื่อนักเรียน'!$C$49</definedName>
    <definedName name="Name4" localSheetId="17">'[3]2.ชื่อนักเรียน'!$C$14</definedName>
    <definedName name="Name4">'2.ชื่อนักเรียน'!$C$14</definedName>
    <definedName name="Name40" localSheetId="17">'[3]2.ชื่อนักเรียน'!$C$50</definedName>
    <definedName name="Name40">'2.ชื่อนักเรียน'!$C$50</definedName>
    <definedName name="Name41" localSheetId="17">'[3]2.ชื่อนักเรียน'!$C$51</definedName>
    <definedName name="Name41">'2.ชื่อนักเรียน'!$C$51</definedName>
    <definedName name="Name42" localSheetId="17">'[3]2.ชื่อนักเรียน'!$C$52</definedName>
    <definedName name="Name42">'2.ชื่อนักเรียน'!$C$52</definedName>
    <definedName name="Name43" localSheetId="17">'[3]2.ชื่อนักเรียน'!$C$53</definedName>
    <definedName name="Name43">'2.ชื่อนักเรียน'!$C$53</definedName>
    <definedName name="Name44" localSheetId="17">'[3]2.ชื่อนักเรียน'!$C$54</definedName>
    <definedName name="Name44">'2.ชื่อนักเรียน'!$C$54</definedName>
    <definedName name="Name45" localSheetId="17">'[3]2.ชื่อนักเรียน'!$C$55</definedName>
    <definedName name="Name45">'2.ชื่อนักเรียน'!$C$55</definedName>
    <definedName name="Name5" localSheetId="17">'[3]2.ชื่อนักเรียน'!$C$15</definedName>
    <definedName name="Name5">'2.ชื่อนักเรียน'!$C$15</definedName>
    <definedName name="Name6" localSheetId="17">'[3]2.ชื่อนักเรียน'!$C$16</definedName>
    <definedName name="Name6">'2.ชื่อนักเรียน'!$C$16</definedName>
    <definedName name="Name7" localSheetId="17">'[3]2.ชื่อนักเรียน'!$C$17</definedName>
    <definedName name="Name7">'2.ชื่อนักเรียน'!$C$17</definedName>
    <definedName name="Name8" localSheetId="17">'[3]2.ชื่อนักเรียน'!$C$18</definedName>
    <definedName name="Name8">'2.ชื่อนักเรียน'!$C$18</definedName>
    <definedName name="Name9" localSheetId="17">'[3]2.ชื่อนักเรียน'!$C$19</definedName>
    <definedName name="Name9">'2.ชื่อนักเรียน'!$C$19</definedName>
    <definedName name="Number_1">'[2]2.ชื่อนักเรียน'!$A$11</definedName>
    <definedName name="Number1">'2.ชื่อนักเรียน'!$A$11</definedName>
    <definedName name="Number10">'2.ชื่อนักเรียน'!$A$20</definedName>
    <definedName name="Number11">'2.ชื่อนักเรียน'!$A$21</definedName>
    <definedName name="Number12">'2.ชื่อนักเรียน'!$A$22</definedName>
    <definedName name="Number13">'2.ชื่อนักเรียน'!$A$23</definedName>
    <definedName name="Number14">'2.ชื่อนักเรียน'!$A$24</definedName>
    <definedName name="Number15">'2.ชื่อนักเรียน'!$A$25</definedName>
    <definedName name="Number16">'2.ชื่อนักเรียน'!$A$26</definedName>
    <definedName name="Number17">'2.ชื่อนักเรียน'!$A$27</definedName>
    <definedName name="Number18">'2.ชื่อนักเรียน'!$A$28</definedName>
    <definedName name="Number19">'2.ชื่อนักเรียน'!$A$29</definedName>
    <definedName name="Number2">'2.ชื่อนักเรียน'!$A$12</definedName>
    <definedName name="Number20">'2.ชื่อนักเรียน'!$A$30</definedName>
    <definedName name="Number21">'2.ชื่อนักเรียน'!$A$31</definedName>
    <definedName name="Number22">'2.ชื่อนักเรียน'!$A$32</definedName>
    <definedName name="Number23">'2.ชื่อนักเรียน'!$A$33</definedName>
    <definedName name="Number24">'2.ชื่อนักเรียน'!$A$34</definedName>
    <definedName name="Number25">'2.ชื่อนักเรียน'!$A$35</definedName>
    <definedName name="Number26">'2.ชื่อนักเรียน'!$A$36</definedName>
    <definedName name="Number27">'2.ชื่อนักเรียน'!$A$37</definedName>
    <definedName name="Number28">'2.ชื่อนักเรียน'!$A$38</definedName>
    <definedName name="Number29">'2.ชื่อนักเรียน'!$A$39</definedName>
    <definedName name="Number3">'2.ชื่อนักเรียน'!$A$13</definedName>
    <definedName name="Number30">'2.ชื่อนักเรียน'!$A$40</definedName>
    <definedName name="Number31">'2.ชื่อนักเรียน'!$A$41</definedName>
    <definedName name="Number32">'2.ชื่อนักเรียน'!$A$42</definedName>
    <definedName name="Number33">'2.ชื่อนักเรียน'!$A$43</definedName>
    <definedName name="Number34">'2.ชื่อนักเรียน'!$A$44</definedName>
    <definedName name="Number35">'2.ชื่อนักเรียน'!$A$45</definedName>
    <definedName name="Number36">'2.ชื่อนักเรียน'!$A$46</definedName>
    <definedName name="Number37">'2.ชื่อนักเรียน'!$A$47</definedName>
    <definedName name="Number38">'2.ชื่อนักเรียน'!$A$48</definedName>
    <definedName name="Number39">'2.ชื่อนักเรียน'!$A$49</definedName>
    <definedName name="Number4">'2.ชื่อนักเรียน'!$A$14</definedName>
    <definedName name="Number40">'2.ชื่อนักเรียน'!$A$50</definedName>
    <definedName name="Number41">'2.ชื่อนักเรียน'!$A$51</definedName>
    <definedName name="Number42">'2.ชื่อนักเรียน'!$A$52</definedName>
    <definedName name="Number43">'2.ชื่อนักเรียน'!$A$53</definedName>
    <definedName name="Number44">'2.ชื่อนักเรียน'!$A$54</definedName>
    <definedName name="Number45">'2.ชื่อนักเรียน'!$A$55</definedName>
    <definedName name="Number5">'2.ชื่อนักเรียน'!$A$15</definedName>
    <definedName name="Number6">'2.ชื่อนักเรียน'!$A$16</definedName>
    <definedName name="Number7">'2.ชื่อนักเรียน'!$A$17</definedName>
    <definedName name="Number8">'2.ชื่อนักเรียน'!$A$18</definedName>
    <definedName name="Number9">'2.ชื่อนักเรียน'!$A$19</definedName>
    <definedName name="_xlnm.Print_Area" localSheetId="1">'2.ชื่อนักเรียน'!$A$1:$V$55</definedName>
    <definedName name="_xlnm.Print_Area" localSheetId="2">'3.เวลาเรียน'!$D$1:$IR$50</definedName>
    <definedName name="_xlnm.Print_Area" localSheetId="4">'5.กลางภาค'!$A$1:$AG$57</definedName>
    <definedName name="_xlnm.Print_Area" localSheetId="6">'6.1ประกาศผลปลายภาค'!$A$1:$AW$62</definedName>
    <definedName name="_xlnm.Print_Area" localSheetId="7">'6.2ปลายภาค'!$A$1:$BR$58</definedName>
    <definedName name="_xlnm.Print_Area" localSheetId="11">'7.บันทึกการเจริญเติบโต'!$A$1:$P$55</definedName>
    <definedName name="_xlnm.Print_Area" localSheetId="12">'8.ความคิดเห็น'!$A$1:$S$55</definedName>
    <definedName name="_xlnm.Print_Area" localSheetId="10">'8.คุณลักษณะ'!$A$1:$L$55</definedName>
    <definedName name="_xlnm.Print_Area" localSheetId="14">ปถ.07!$A$1:$BS$58</definedName>
    <definedName name="_xlnm.Print_Area" localSheetId="15">รายงาน!$A$4:$BT$81</definedName>
    <definedName name="_xlnm.Print_Titles" localSheetId="4">'5.กลางภาค'!$4:$7</definedName>
    <definedName name="_xlnm.Print_Titles" localSheetId="11">'7.บันทึกการเจริญเติบโต'!$A:$D</definedName>
    <definedName name="_xlnm.Print_Titles" localSheetId="13">'9.บันทึกการเจริญเติบโต'!$A:$D</definedName>
    <definedName name="Read" localSheetId="17">'[3]7.อ่านคิดวิเคราะห์'!$I$11:$I$55</definedName>
    <definedName name="Read">'7.อ่านคิดวิเคราะห์'!$I$11:$I$55</definedName>
    <definedName name="Read_1" localSheetId="13">'[2]5.อ่านคิดวิเคราะห์'!$I$11</definedName>
    <definedName name="Read_1">'7.อ่านคิดวิเคราะห์'!$I$11</definedName>
    <definedName name="Read_10">'7.อ่านคิดวิเคราะห์'!$I$20</definedName>
    <definedName name="Read_11">'7.อ่านคิดวิเคราะห์'!$I$21</definedName>
    <definedName name="Read_12">'7.อ่านคิดวิเคราะห์'!$I$22</definedName>
    <definedName name="Read_13">'7.อ่านคิดวิเคราะห์'!$I$23</definedName>
    <definedName name="Read_14">'7.อ่านคิดวิเคราะห์'!$I$24</definedName>
    <definedName name="Read_15">'7.อ่านคิดวิเคราะห์'!$I$25</definedName>
    <definedName name="Read_16">'7.อ่านคิดวิเคราะห์'!$I$26</definedName>
    <definedName name="Read_17">'7.อ่านคิดวิเคราะห์'!$I$27</definedName>
    <definedName name="Read_18">'7.อ่านคิดวิเคราะห์'!$I$28</definedName>
    <definedName name="Read_19">'7.อ่านคิดวิเคราะห์'!$I$29</definedName>
    <definedName name="Read_2">'7.อ่านคิดวิเคราะห์'!$I$12</definedName>
    <definedName name="Read_20">'7.อ่านคิดวิเคราะห์'!$I$30</definedName>
    <definedName name="Read_21">'7.อ่านคิดวิเคราะห์'!$I$31</definedName>
    <definedName name="Read_22">'7.อ่านคิดวิเคราะห์'!$I$32</definedName>
    <definedName name="Read_23">'7.อ่านคิดวิเคราะห์'!$I$33</definedName>
    <definedName name="Read_24">'7.อ่านคิดวิเคราะห์'!$I$34</definedName>
    <definedName name="Read_25">'7.อ่านคิดวิเคราะห์'!$I$35</definedName>
    <definedName name="Read_26">'7.อ่านคิดวิเคราะห์'!$I$36</definedName>
    <definedName name="Read_27">'7.อ่านคิดวิเคราะห์'!$I$37</definedName>
    <definedName name="Read_28">'7.อ่านคิดวิเคราะห์'!$I$38</definedName>
    <definedName name="Read_29">'7.อ่านคิดวิเคราะห์'!$I$39</definedName>
    <definedName name="Read_3">'7.อ่านคิดวิเคราะห์'!$I$13</definedName>
    <definedName name="Read_30">'7.อ่านคิดวิเคราะห์'!$I$40</definedName>
    <definedName name="Read_31">'7.อ่านคิดวิเคราะห์'!$I$41</definedName>
    <definedName name="Read_32">'7.อ่านคิดวิเคราะห์'!$I$42</definedName>
    <definedName name="Read_33">'7.อ่านคิดวิเคราะห์'!$I$43</definedName>
    <definedName name="Read_34">'7.อ่านคิดวิเคราะห์'!$I$44</definedName>
    <definedName name="Read_35">'7.อ่านคิดวิเคราะห์'!$I$45</definedName>
    <definedName name="Read_36">'7.อ่านคิดวิเคราะห์'!$I$46</definedName>
    <definedName name="Read_37">'7.อ่านคิดวิเคราะห์'!$I$47</definedName>
    <definedName name="Read_38">'7.อ่านคิดวิเคราะห์'!$I$48</definedName>
    <definedName name="Read_39">'7.อ่านคิดวิเคราะห์'!$I$49</definedName>
    <definedName name="Read_4">'7.อ่านคิดวิเคราะห์'!$I$14</definedName>
    <definedName name="Read_40">'7.อ่านคิดวิเคราะห์'!$I$50</definedName>
    <definedName name="Read_41">'7.อ่านคิดวิเคราะห์'!$I$51</definedName>
    <definedName name="Read_42">'7.อ่านคิดวิเคราะห์'!$I$52</definedName>
    <definedName name="Read_43">'7.อ่านคิดวิเคราะห์'!$I$53</definedName>
    <definedName name="Read_44">'7.อ่านคิดวิเคราะห์'!$I$54</definedName>
    <definedName name="Read_45">'7.อ่านคิดวิเคราะห์'!$I$55</definedName>
    <definedName name="Read_5">'7.อ่านคิดวิเคราะห์'!$I$15</definedName>
    <definedName name="Read_6">'7.อ่านคิดวิเคราะห์'!$I$16</definedName>
    <definedName name="Read_7">'7.อ่านคิดวิเคราะห์'!$I$17</definedName>
    <definedName name="Read_8">'7.อ่านคิดวิเคราะห์'!$I$18</definedName>
    <definedName name="Read_9">'7.อ่านคิดวิเคราะห์'!$I$19</definedName>
    <definedName name="Semester" localSheetId="13">'[2]1.ข้อมูลเบื้องต้น'!$L$4</definedName>
    <definedName name="Semester" localSheetId="17">'[3]1.ข้อมูลเบื้องต้น'!$M$4</definedName>
    <definedName name="Semester">'1.ข้อมูลเบื้องต้น'!$M$4</definedName>
    <definedName name="StRank_1" localSheetId="7">'6.2ปลายภาค'!$BS$9</definedName>
    <definedName name="StRank_1">'6.1ประกาศผลปลายภาค'!$AX$9</definedName>
    <definedName name="StRank_10" localSheetId="7">'6.2ปลายภาค'!$BS$18</definedName>
    <definedName name="StRank_10">'6.1ประกาศผลปลายภาค'!$AX$18</definedName>
    <definedName name="StRank_11" localSheetId="7">'6.2ปลายภาค'!$BS$19</definedName>
    <definedName name="StRank_11">'6.1ประกาศผลปลายภาค'!$AX$19</definedName>
    <definedName name="StRank_12" localSheetId="7">'6.2ปลายภาค'!$BS$20</definedName>
    <definedName name="StRank_12">'6.1ประกาศผลปลายภาค'!$AX$20</definedName>
    <definedName name="StRank_13" localSheetId="7">'6.2ปลายภาค'!$BS$21</definedName>
    <definedName name="StRank_13">'6.1ประกาศผลปลายภาค'!$AX$21</definedName>
    <definedName name="StRank_14" localSheetId="7">'6.2ปลายภาค'!$BS$22</definedName>
    <definedName name="StRank_14">'6.1ประกาศผลปลายภาค'!$AX$22</definedName>
    <definedName name="StRank_15" localSheetId="7">'6.2ปลายภาค'!$BS$23</definedName>
    <definedName name="StRank_15">'6.1ประกาศผลปลายภาค'!$AX$23</definedName>
    <definedName name="StRank_16" localSheetId="7">'6.2ปลายภาค'!$BS$24</definedName>
    <definedName name="StRank_16">'6.1ประกาศผลปลายภาค'!$AX$24</definedName>
    <definedName name="StRank_17" localSheetId="7">'6.2ปลายภาค'!$BS$25</definedName>
    <definedName name="StRank_17">'6.1ประกาศผลปลายภาค'!$AX$25</definedName>
    <definedName name="StRank_18" localSheetId="7">'6.2ปลายภาค'!$BS$26</definedName>
    <definedName name="StRank_18">'6.1ประกาศผลปลายภาค'!$AX$26</definedName>
    <definedName name="StRank_19" localSheetId="7">'6.2ปลายภาค'!$BS$27</definedName>
    <definedName name="StRank_19">'6.1ประกาศผลปลายภาค'!$AX$27</definedName>
    <definedName name="StRank_2" localSheetId="7">'6.2ปลายภาค'!$BS$10</definedName>
    <definedName name="StRank_2">'6.1ประกาศผลปลายภาค'!$AX$10</definedName>
    <definedName name="StRank_20" localSheetId="7">'6.2ปลายภาค'!$BS$28</definedName>
    <definedName name="StRank_20">'6.1ประกาศผลปลายภาค'!$AX$28</definedName>
    <definedName name="StRank_21" localSheetId="7">'6.2ปลายภาค'!$BS$29</definedName>
    <definedName name="StRank_21">'6.1ประกาศผลปลายภาค'!$AX$29</definedName>
    <definedName name="StRank_22" localSheetId="7">'6.2ปลายภาค'!$BS$30</definedName>
    <definedName name="StRank_22">'6.1ประกาศผลปลายภาค'!$AX$30</definedName>
    <definedName name="StRank_23" localSheetId="7">'6.2ปลายภาค'!$BS$31</definedName>
    <definedName name="StRank_23">'6.1ประกาศผลปลายภาค'!$AX$31</definedName>
    <definedName name="StRank_24" localSheetId="7">'6.2ปลายภาค'!$BS$32</definedName>
    <definedName name="StRank_24">'6.1ประกาศผลปลายภาค'!$AX$32</definedName>
    <definedName name="StRank_25" localSheetId="7">'6.2ปลายภาค'!$BS$33</definedName>
    <definedName name="StRank_25">'6.1ประกาศผลปลายภาค'!$AX$33</definedName>
    <definedName name="StRank_26" localSheetId="7">'6.2ปลายภาค'!$BS$34</definedName>
    <definedName name="StRank_26">'6.1ประกาศผลปลายภาค'!$AX$34</definedName>
    <definedName name="StRank_27" localSheetId="7">'6.2ปลายภาค'!$BS$35</definedName>
    <definedName name="StRank_27">'6.1ประกาศผลปลายภาค'!$AX$35</definedName>
    <definedName name="StRank_28" localSheetId="7">'6.2ปลายภาค'!$BS$36</definedName>
    <definedName name="StRank_28">'6.1ประกาศผลปลายภาค'!$AX$36</definedName>
    <definedName name="StRank_29" localSheetId="7">'6.2ปลายภาค'!$BS$37</definedName>
    <definedName name="StRank_29">'6.1ประกาศผลปลายภาค'!$AX$37</definedName>
    <definedName name="StRank_3" localSheetId="7">'6.2ปลายภาค'!$BS$11</definedName>
    <definedName name="StRank_3">'6.1ประกาศผลปลายภาค'!$AX$11</definedName>
    <definedName name="StRank_30" localSheetId="7">'6.2ปลายภาค'!$BS$38</definedName>
    <definedName name="StRank_30">'6.1ประกาศผลปลายภาค'!$AX$38</definedName>
    <definedName name="StRank_31" localSheetId="7">'6.2ปลายภาค'!$BS$39</definedName>
    <definedName name="StRank_31">'6.1ประกาศผลปลายภาค'!$AX$39</definedName>
    <definedName name="StRank_32" localSheetId="7">'6.2ปลายภาค'!$BS$40</definedName>
    <definedName name="StRank_32">'6.1ประกาศผลปลายภาค'!$AX$40</definedName>
    <definedName name="StRank_33" localSheetId="7">'6.2ปลายภาค'!$BS$41</definedName>
    <definedName name="StRank_33">'6.1ประกาศผลปลายภาค'!$AX$41</definedName>
    <definedName name="StRank_34" localSheetId="7">'6.2ปลายภาค'!$BS$42</definedName>
    <definedName name="StRank_34">'6.1ประกาศผลปลายภาค'!$AX$42</definedName>
    <definedName name="StRank_35" localSheetId="7">'6.2ปลายภาค'!$BS$43</definedName>
    <definedName name="StRank_35">'6.1ประกาศผลปลายภาค'!$AX$43</definedName>
    <definedName name="StRank_36" localSheetId="7">'6.2ปลายภาค'!$BS$44</definedName>
    <definedName name="StRank_36">'6.1ประกาศผลปลายภาค'!$AX$44</definedName>
    <definedName name="StRank_37" localSheetId="7">'6.2ปลายภาค'!$BS$45</definedName>
    <definedName name="StRank_37">'6.1ประกาศผลปลายภาค'!$AX$45</definedName>
    <definedName name="StRank_38" localSheetId="7">'6.2ปลายภาค'!$BS$46</definedName>
    <definedName name="StRank_38">'6.1ประกาศผลปลายภาค'!$AX$46</definedName>
    <definedName name="StRank_39" localSheetId="7">'6.2ปลายภาค'!$BS$47</definedName>
    <definedName name="StRank_39">'6.1ประกาศผลปลายภาค'!$AX$47</definedName>
    <definedName name="StRank_4" localSheetId="7">'6.2ปลายภาค'!$BS$12</definedName>
    <definedName name="StRank_4">'6.1ประกาศผลปลายภาค'!$AX$12</definedName>
    <definedName name="StRank_40" localSheetId="7">'6.2ปลายภาค'!$BS$48</definedName>
    <definedName name="StRank_40">'6.1ประกาศผลปลายภาค'!$AX$48</definedName>
    <definedName name="StRank_41" localSheetId="7">'6.2ปลายภาค'!$BS$49</definedName>
    <definedName name="StRank_41">'6.1ประกาศผลปลายภาค'!$AX$49</definedName>
    <definedName name="StRank_42" localSheetId="7">'6.2ปลายภาค'!$BS$50</definedName>
    <definedName name="StRank_42">'6.1ประกาศผลปลายภาค'!$AX$50</definedName>
    <definedName name="StRank_43" localSheetId="7">'6.2ปลายภาค'!$BS$51</definedName>
    <definedName name="StRank_43">'6.1ประกาศผลปลายภาค'!$AX$51</definedName>
    <definedName name="StRank_44" localSheetId="7">'6.2ปลายภาค'!$BS$52</definedName>
    <definedName name="StRank_44">'6.1ประกาศผลปลายภาค'!$AX$52</definedName>
    <definedName name="StRank_45" localSheetId="7">'6.2ปลายภาค'!$BS$53</definedName>
    <definedName name="StRank_45">'6.1ประกาศผลปลายภาค'!$AX$53</definedName>
    <definedName name="StRank_5" localSheetId="7">'6.2ปลายภาค'!$BS$13</definedName>
    <definedName name="StRank_5">'6.1ประกาศผลปลายภาค'!$AX$13</definedName>
    <definedName name="StRank_6" localSheetId="7">'6.2ปลายภาค'!$BS$14</definedName>
    <definedName name="StRank_6">'6.1ประกาศผลปลายภาค'!$AX$14</definedName>
    <definedName name="StRank_7" localSheetId="7">'6.2ปลายภาค'!$BS$15</definedName>
    <definedName name="StRank_7">'6.1ประกาศผลปลายภาค'!$AX$15</definedName>
    <definedName name="StRank_8" localSheetId="7">'6.2ปลายภาค'!$BS$16</definedName>
    <definedName name="StRank_8">'6.1ประกาศผลปลายภาค'!$AX$16</definedName>
    <definedName name="StRank_9" localSheetId="7">'6.2ปลายภาค'!$BS$17</definedName>
    <definedName name="StRank_9">'6.1ประกาศผลปลายภาค'!$AX$17</definedName>
    <definedName name="SubEle1" localSheetId="13">'[2]1.ข้อมูลเบื้องต้น'!$C$20</definedName>
    <definedName name="SubEle1" localSheetId="17">'[3]1.ข้อมูลเบื้องต้น'!$C$20</definedName>
    <definedName name="SubEle1">'1.ข้อมูลเบื้องต้น'!$C$20</definedName>
    <definedName name="SubEle10" localSheetId="17">'[3]1.ข้อมูลเบื้องต้น'!$C$29</definedName>
    <definedName name="SubEle10">'1.ข้อมูลเบื้องต้น'!$C$29</definedName>
    <definedName name="SubEle11" localSheetId="17">'[3]1.ข้อมูลเบื้องต้น'!$C$30</definedName>
    <definedName name="SubEle11">'1.ข้อมูลเบื้องต้น'!$C$30</definedName>
    <definedName name="SubEle12" localSheetId="17">'[3]1.ข้อมูลเบื้องต้น'!$C$31</definedName>
    <definedName name="SubEle12">'1.ข้อมูลเบื้องต้น'!$C$31</definedName>
    <definedName name="SubEle2" localSheetId="13">'[2]1.ข้อมูลเบื้องต้น'!$C$21</definedName>
    <definedName name="SubEle2" localSheetId="17">'[3]1.ข้อมูลเบื้องต้น'!$C$21</definedName>
    <definedName name="SubEle2">'1.ข้อมูลเบื้องต้น'!$C$21</definedName>
    <definedName name="SubEle3" localSheetId="13">'[2]1.ข้อมูลเบื้องต้น'!$C$22</definedName>
    <definedName name="SubEle3" localSheetId="17">'[3]1.ข้อมูลเบื้องต้น'!$C$22</definedName>
    <definedName name="SubEle3">'1.ข้อมูลเบื้องต้น'!$C$22</definedName>
    <definedName name="SubEle4" localSheetId="13">'[2]1.ข้อมูลเบื้องต้น'!$C$23</definedName>
    <definedName name="SubEle4" localSheetId="17">'[3]1.ข้อมูลเบื้องต้น'!$C$23</definedName>
    <definedName name="SubEle4">'1.ข้อมูลเบื้องต้น'!$C$23</definedName>
    <definedName name="SubEle5" localSheetId="13">'[2]1.ข้อมูลเบื้องต้น'!$C$24</definedName>
    <definedName name="SubEle5" localSheetId="17">'[3]1.ข้อมูลเบื้องต้น'!$C$24</definedName>
    <definedName name="SubEle5">'1.ข้อมูลเบื้องต้น'!$C$24</definedName>
    <definedName name="SubEle6" localSheetId="17">'[3]1.ข้อมูลเบื้องต้น'!$C$25</definedName>
    <definedName name="SubEle6">'1.ข้อมูลเบื้องต้น'!$C$25</definedName>
    <definedName name="SubEle7" localSheetId="17">'[3]1.ข้อมูลเบื้องต้น'!$C$26</definedName>
    <definedName name="SubEle7">'1.ข้อมูลเบื้องต้น'!$C$26</definedName>
    <definedName name="SubEle8" localSheetId="17">'[3]1.ข้อมูลเบื้องต้น'!$C$27</definedName>
    <definedName name="SubEle8">'1.ข้อมูลเบื้องต้น'!$C$27</definedName>
    <definedName name="SubEle9" localSheetId="17">'[3]1.ข้อมูลเบื้องต้น'!$C$28</definedName>
    <definedName name="SubEle9">'1.ข้อมูลเบื้องต้น'!$C$28</definedName>
    <definedName name="SubGen1" localSheetId="13">'[2]1.ข้อมูลเบื้องต้น'!$C$7</definedName>
    <definedName name="SubGen1" localSheetId="17">'[3]1.ข้อมูลเบื้องต้น'!$C$7</definedName>
    <definedName name="SubGen1">'1.ข้อมูลเบื้องต้น'!$C$7</definedName>
    <definedName name="SubGen10" localSheetId="13">'[2]1.ข้อมูลเบื้องต้น'!$C$16</definedName>
    <definedName name="SubGen10" localSheetId="17">'[3]1.ข้อมูลเบื้องต้น'!$C$16</definedName>
    <definedName name="SubGen10">'1.ข้อมูลเบื้องต้น'!$C$16</definedName>
    <definedName name="SubGen11" localSheetId="13">'[2]1.ข้อมูลเบื้องต้น'!$C$17</definedName>
    <definedName name="SubGen11" localSheetId="17">'[3]1.ข้อมูลเบื้องต้น'!$C$17</definedName>
    <definedName name="SubGen11">'1.ข้อมูลเบื้องต้น'!$C$17</definedName>
    <definedName name="SubGen12" localSheetId="13">'[2]1.ข้อมูลเบื้องต้น'!$C$18</definedName>
    <definedName name="SubGen12" localSheetId="17">'[3]1.ข้อมูลเบื้องต้น'!$C$18</definedName>
    <definedName name="SubGen12">'1.ข้อมูลเบื้องต้น'!$C$18</definedName>
    <definedName name="SubGen2" localSheetId="13">'[2]1.ข้อมูลเบื้องต้น'!$C$8</definedName>
    <definedName name="SubGen2" localSheetId="17">'[3]1.ข้อมูลเบื้องต้น'!$C$8</definedName>
    <definedName name="SubGen2">'1.ข้อมูลเบื้องต้น'!$C$8</definedName>
    <definedName name="SubGen3" localSheetId="13">'[2]1.ข้อมูลเบื้องต้น'!$C$9</definedName>
    <definedName name="SubGen3" localSheetId="17">'[3]1.ข้อมูลเบื้องต้น'!$C$9</definedName>
    <definedName name="SubGen3">'1.ข้อมูลเบื้องต้น'!$C$9</definedName>
    <definedName name="SubGen4" localSheetId="13">'[2]1.ข้อมูลเบื้องต้น'!$C$10</definedName>
    <definedName name="SubGen4" localSheetId="17">'[3]1.ข้อมูลเบื้องต้น'!$C$10</definedName>
    <definedName name="SubGen4">'1.ข้อมูลเบื้องต้น'!$C$10</definedName>
    <definedName name="SubGen5" localSheetId="13">'[2]1.ข้อมูลเบื้องต้น'!$C$11</definedName>
    <definedName name="SubGen5" localSheetId="17">'[3]1.ข้อมูลเบื้องต้น'!$C$11</definedName>
    <definedName name="SubGen5">'1.ข้อมูลเบื้องต้น'!$C$11</definedName>
    <definedName name="SubGen6" localSheetId="13">'[2]1.ข้อมูลเบื้องต้น'!$C$12</definedName>
    <definedName name="SubGen6" localSheetId="17">'[3]1.ข้อมูลเบื้องต้น'!$C$12</definedName>
    <definedName name="SubGen6">'1.ข้อมูลเบื้องต้น'!$C$12</definedName>
    <definedName name="SubGen7" localSheetId="13">'[2]1.ข้อมูลเบื้องต้น'!$C$13</definedName>
    <definedName name="SubGen7" localSheetId="17">'[3]1.ข้อมูลเบื้องต้น'!$C$13</definedName>
    <definedName name="SubGen7">'1.ข้อมูลเบื้องต้น'!$C$13</definedName>
    <definedName name="SubGen8" localSheetId="13">'[2]1.ข้อมูลเบื้องต้น'!$C$14</definedName>
    <definedName name="SubGen8" localSheetId="17">'[3]1.ข้อมูลเบื้องต้น'!$C$14</definedName>
    <definedName name="SubGen8">'1.ข้อมูลเบื้องต้น'!$C$14</definedName>
    <definedName name="SubGen9" localSheetId="13">'[2]1.ข้อมูลเบื้องต้น'!$C$15</definedName>
    <definedName name="SubGen9" localSheetId="17">'[3]1.ข้อมูลเบื้องต้น'!$C$15</definedName>
    <definedName name="SubGen9">'1.ข้อมูลเบื้องต้น'!$C$15</definedName>
    <definedName name="Surname_1">'[2]2.ชื่อนักเรียน'!$D$11</definedName>
    <definedName name="Surname_10">'[2]2.ชื่อนักเรียน'!$D$20</definedName>
    <definedName name="Surname_11">'[2]2.ชื่อนักเรียน'!$D$21</definedName>
    <definedName name="Surname_12">'[2]2.ชื่อนักเรียน'!$D$22</definedName>
    <definedName name="Surname_13">'[2]2.ชื่อนักเรียน'!$D$23</definedName>
    <definedName name="Surname_14">'[2]2.ชื่อนักเรียน'!$D$24</definedName>
    <definedName name="Surname_15">'[2]2.ชื่อนักเรียน'!$D$25</definedName>
    <definedName name="Surname_16">'[2]2.ชื่อนักเรียน'!$D$26</definedName>
    <definedName name="Surname_17">'[2]2.ชื่อนักเรียน'!$D$27</definedName>
    <definedName name="Surname_18">'[2]2.ชื่อนักเรียน'!$D$28</definedName>
    <definedName name="Surname_19">'[2]2.ชื่อนักเรียน'!$D$29</definedName>
    <definedName name="Surname_2">'[2]2.ชื่อนักเรียน'!$D$12</definedName>
    <definedName name="Surname_20">'[2]2.ชื่อนักเรียน'!$D$30</definedName>
    <definedName name="Surname_21">'[2]2.ชื่อนักเรียน'!$D$31</definedName>
    <definedName name="Surname_22">'[2]2.ชื่อนักเรียน'!$D$32</definedName>
    <definedName name="Surname_23">'[2]2.ชื่อนักเรียน'!$D$33</definedName>
    <definedName name="Surname_24">'[2]2.ชื่อนักเรียน'!$D$34</definedName>
    <definedName name="Surname_25">'[2]2.ชื่อนักเรียน'!$D$35</definedName>
    <definedName name="Surname_26">'[2]2.ชื่อนักเรียน'!$D$36</definedName>
    <definedName name="Surname_27">'[2]2.ชื่อนักเรียน'!$D$37</definedName>
    <definedName name="Surname_28">'[2]2.ชื่อนักเรียน'!$D$38</definedName>
    <definedName name="Surname_29">'[2]2.ชื่อนักเรียน'!$D$39</definedName>
    <definedName name="Surname_3">'[2]2.ชื่อนักเรียน'!$D$13</definedName>
    <definedName name="Surname_30">'[2]2.ชื่อนักเรียน'!$D$40</definedName>
    <definedName name="Surname_31">'[2]2.ชื่อนักเรียน'!$D$41</definedName>
    <definedName name="Surname_32">'[2]2.ชื่อนักเรียน'!$D$42</definedName>
    <definedName name="Surname_33">'[2]2.ชื่อนักเรียน'!$D$43</definedName>
    <definedName name="Surname_34">'[2]2.ชื่อนักเรียน'!$D$44</definedName>
    <definedName name="Surname_35">'[2]2.ชื่อนักเรียน'!$D$45</definedName>
    <definedName name="Surname_36">'[2]2.ชื่อนักเรียน'!$D$46</definedName>
    <definedName name="Surname_37">'[2]2.ชื่อนักเรียน'!$D$47</definedName>
    <definedName name="Surname_38">'[2]2.ชื่อนักเรียน'!$D$48</definedName>
    <definedName name="Surname_39">'[2]2.ชื่อนักเรียน'!$D$49</definedName>
    <definedName name="Surname_4">'[2]2.ชื่อนักเรียน'!$D$14</definedName>
    <definedName name="Surname_40">'[2]2.ชื่อนักเรียน'!$D$50</definedName>
    <definedName name="Surname_41">'[2]2.ชื่อนักเรียน'!$D$51</definedName>
    <definedName name="Surname_42">'[2]2.ชื่อนักเรียน'!$D$52</definedName>
    <definedName name="Surname_43">'[2]2.ชื่อนักเรียน'!$D$53</definedName>
    <definedName name="Surname_44">'[2]2.ชื่อนักเรียน'!$D$54</definedName>
    <definedName name="Surname_45">'[2]2.ชื่อนักเรียน'!$D$55</definedName>
    <definedName name="Surname_5">'[2]2.ชื่อนักเรียน'!$D$15</definedName>
    <definedName name="Surname_6">'[2]2.ชื่อนักเรียน'!$D$16</definedName>
    <definedName name="Surname_7">'[2]2.ชื่อนักเรียน'!$D$17</definedName>
    <definedName name="Surname_8">'[2]2.ชื่อนักเรียน'!$D$18</definedName>
    <definedName name="Surname_9">'[2]2.ชื่อนักเรียน'!$D$19</definedName>
    <definedName name="Surname1" localSheetId="17">'[3]2.ชื่อนักเรียน'!$D$11</definedName>
    <definedName name="Surname1">'2.ชื่อนักเรียน'!$D$11</definedName>
    <definedName name="Surname10" localSheetId="17">'[3]2.ชื่อนักเรียน'!$D$20</definedName>
    <definedName name="Surname10">'2.ชื่อนักเรียน'!$D$20</definedName>
    <definedName name="Surname11" localSheetId="17">'[3]2.ชื่อนักเรียน'!$D$21</definedName>
    <definedName name="Surname11">'2.ชื่อนักเรียน'!$D$21</definedName>
    <definedName name="Surname12" localSheetId="17">'[3]2.ชื่อนักเรียน'!$D$22</definedName>
    <definedName name="Surname12">'2.ชื่อนักเรียน'!$D$22</definedName>
    <definedName name="Surname13" localSheetId="17">'[3]2.ชื่อนักเรียน'!$D$23</definedName>
    <definedName name="Surname13">'2.ชื่อนักเรียน'!$D$23</definedName>
    <definedName name="Surname14" localSheetId="17">'[3]2.ชื่อนักเรียน'!$D$24</definedName>
    <definedName name="Surname14">'2.ชื่อนักเรียน'!$D$24</definedName>
    <definedName name="Surname15" localSheetId="17">'[3]2.ชื่อนักเรียน'!$D$25</definedName>
    <definedName name="Surname15">'2.ชื่อนักเรียน'!$D$25</definedName>
    <definedName name="Surname16" localSheetId="17">'[3]2.ชื่อนักเรียน'!$D$26</definedName>
    <definedName name="Surname16">'2.ชื่อนักเรียน'!$D$26</definedName>
    <definedName name="Surname17" localSheetId="17">'[3]2.ชื่อนักเรียน'!$D$27</definedName>
    <definedName name="Surname17">'2.ชื่อนักเรียน'!$D$27</definedName>
    <definedName name="Surname18" localSheetId="17">'[3]2.ชื่อนักเรียน'!$D$28</definedName>
    <definedName name="Surname18">'2.ชื่อนักเรียน'!$D$28</definedName>
    <definedName name="Surname19" localSheetId="17">'[3]2.ชื่อนักเรียน'!$D$29</definedName>
    <definedName name="Surname19">'2.ชื่อนักเรียน'!$D$29</definedName>
    <definedName name="Surname2" localSheetId="17">'[3]2.ชื่อนักเรียน'!$D$12</definedName>
    <definedName name="Surname2">'2.ชื่อนักเรียน'!$D$12</definedName>
    <definedName name="Surname20" localSheetId="17">'[3]2.ชื่อนักเรียน'!$D$30</definedName>
    <definedName name="Surname20">'2.ชื่อนักเรียน'!$D$30</definedName>
    <definedName name="Surname21" localSheetId="17">'[3]2.ชื่อนักเรียน'!$D$31</definedName>
    <definedName name="Surname21">'2.ชื่อนักเรียน'!$D$31</definedName>
    <definedName name="Surname22" localSheetId="17">'[3]2.ชื่อนักเรียน'!$D$32</definedName>
    <definedName name="Surname22">'2.ชื่อนักเรียน'!$D$32</definedName>
    <definedName name="Surname23" localSheetId="17">'[3]2.ชื่อนักเรียน'!$D$33</definedName>
    <definedName name="Surname23">'2.ชื่อนักเรียน'!$D$33</definedName>
    <definedName name="Surname24" localSheetId="17">'[3]2.ชื่อนักเรียน'!$D$34</definedName>
    <definedName name="Surname24">'2.ชื่อนักเรียน'!$D$34</definedName>
    <definedName name="Surname25" localSheetId="17">'[3]2.ชื่อนักเรียน'!$D$35</definedName>
    <definedName name="Surname25">'2.ชื่อนักเรียน'!$D$35</definedName>
    <definedName name="Surname26" localSheetId="17">'[3]2.ชื่อนักเรียน'!$D$36</definedName>
    <definedName name="Surname26">'2.ชื่อนักเรียน'!$D$36</definedName>
    <definedName name="Surname27" localSheetId="17">'[3]2.ชื่อนักเรียน'!$D$37</definedName>
    <definedName name="Surname27">'2.ชื่อนักเรียน'!$D$37</definedName>
    <definedName name="Surname28" localSheetId="17">'[3]2.ชื่อนักเรียน'!$D$38</definedName>
    <definedName name="Surname28">'2.ชื่อนักเรียน'!$D$38</definedName>
    <definedName name="Surname29" localSheetId="17">'[3]2.ชื่อนักเรียน'!$D$39</definedName>
    <definedName name="Surname29">'2.ชื่อนักเรียน'!$D$39</definedName>
    <definedName name="Surname3" localSheetId="17">'[3]2.ชื่อนักเรียน'!$D$13</definedName>
    <definedName name="Surname3">'2.ชื่อนักเรียน'!$D$13</definedName>
    <definedName name="Surname30" localSheetId="17">'[3]2.ชื่อนักเรียน'!$D$40</definedName>
    <definedName name="Surname30">'2.ชื่อนักเรียน'!$D$40</definedName>
    <definedName name="Surname31" localSheetId="17">'[3]2.ชื่อนักเรียน'!$D$41</definedName>
    <definedName name="Surname31">'2.ชื่อนักเรียน'!$D$41</definedName>
    <definedName name="Surname32" localSheetId="17">'[3]2.ชื่อนักเรียน'!$D$42</definedName>
    <definedName name="Surname32">'2.ชื่อนักเรียน'!$D$42</definedName>
    <definedName name="Surname33" localSheetId="17">'[3]2.ชื่อนักเรียน'!$D$43</definedName>
    <definedName name="Surname33">'2.ชื่อนักเรียน'!$D$43</definedName>
    <definedName name="Surname34" localSheetId="17">'[3]2.ชื่อนักเรียน'!$D$44</definedName>
    <definedName name="Surname34">'2.ชื่อนักเรียน'!$D$44</definedName>
    <definedName name="Surname35" localSheetId="17">'[3]2.ชื่อนักเรียน'!$D$45</definedName>
    <definedName name="Surname35">'2.ชื่อนักเรียน'!$D$45</definedName>
    <definedName name="Surname36" localSheetId="17">'[3]2.ชื่อนักเรียน'!$D$46</definedName>
    <definedName name="Surname36">'2.ชื่อนักเรียน'!$D$46</definedName>
    <definedName name="Surname37" localSheetId="17">'[3]2.ชื่อนักเรียน'!$D$47</definedName>
    <definedName name="Surname37">'2.ชื่อนักเรียน'!$D$47</definedName>
    <definedName name="Surname38" localSheetId="17">'[3]2.ชื่อนักเรียน'!$D$48</definedName>
    <definedName name="Surname38">'2.ชื่อนักเรียน'!$D$48</definedName>
    <definedName name="Surname39" localSheetId="17">'[3]2.ชื่อนักเรียน'!$D$49</definedName>
    <definedName name="Surname39">'2.ชื่อนักเรียน'!$D$49</definedName>
    <definedName name="Surname4" localSheetId="17">'[3]2.ชื่อนักเรียน'!$D$14</definedName>
    <definedName name="Surname4">'2.ชื่อนักเรียน'!$D$14</definedName>
    <definedName name="Surname40" localSheetId="17">'[3]2.ชื่อนักเรียน'!$D$50</definedName>
    <definedName name="Surname40">'2.ชื่อนักเรียน'!$D$50</definedName>
    <definedName name="Surname41" localSheetId="17">'[3]2.ชื่อนักเรียน'!$D$51</definedName>
    <definedName name="Surname41">'2.ชื่อนักเรียน'!$D$51</definedName>
    <definedName name="Surname42" localSheetId="17">'[3]2.ชื่อนักเรียน'!$D$52</definedName>
    <definedName name="Surname42">'2.ชื่อนักเรียน'!$D$52</definedName>
    <definedName name="Surname43" localSheetId="17">'[3]2.ชื่อนักเรียน'!$D$53</definedName>
    <definedName name="Surname43">'2.ชื่อนักเรียน'!$D$53</definedName>
    <definedName name="Surname44" localSheetId="17">'[3]2.ชื่อนักเรียน'!$D$54</definedName>
    <definedName name="Surname44">'2.ชื่อนักเรียน'!$D$54</definedName>
    <definedName name="Surname45" localSheetId="17">'[3]2.ชื่อนักเรียน'!$D$55</definedName>
    <definedName name="Surname45">'2.ชื่อนักเรียน'!$D$55</definedName>
    <definedName name="Surname5" localSheetId="17">'[3]2.ชื่อนักเรียน'!$D$15</definedName>
    <definedName name="Surname5">'2.ชื่อนักเรียน'!$D$15</definedName>
    <definedName name="Surname6" localSheetId="17">'[3]2.ชื่อนักเรียน'!$D$16</definedName>
    <definedName name="Surname6">'2.ชื่อนักเรียน'!$D$16</definedName>
    <definedName name="Surname7" localSheetId="17">'[3]2.ชื่อนักเรียน'!$D$17</definedName>
    <definedName name="Surname7">'2.ชื่อนักเรียน'!$D$17</definedName>
    <definedName name="Surname8" localSheetId="17">'[3]2.ชื่อนักเรียน'!$D$18</definedName>
    <definedName name="Surname8">'2.ชื่อนักเรียน'!$D$18</definedName>
    <definedName name="Surname9" localSheetId="17">'[3]2.ชื่อนักเรียน'!$D$19</definedName>
    <definedName name="Surname9">'2.ชื่อนักเรียน'!$D$19</definedName>
    <definedName name="Time1" localSheetId="13">'[2]1.ข้อมูลเบื้องต้น'!$E$26</definedName>
    <definedName name="Time1" localSheetId="17">'[3]1.ข้อมูลเบื้องต้น'!$E$34</definedName>
    <definedName name="Time1">'1.ข้อมูลเบื้องต้น'!$E$34</definedName>
    <definedName name="Time2" localSheetId="13">'[2]1.ข้อมูลเบื้องต้น'!$E$27</definedName>
    <definedName name="Time2" localSheetId="17">'[3]1.ข้อมูลเบื้องต้น'!$E$35</definedName>
    <definedName name="Time2">'1.ข้อมูลเบื้องต้น'!$E$35</definedName>
    <definedName name="Time3" localSheetId="13">'[2]1.ข้อมูลเบื้องต้น'!$E$28</definedName>
    <definedName name="Time3" localSheetId="17">'[3]1.ข้อมูลเบื้องต้น'!$E$36</definedName>
    <definedName name="Time3">'1.ข้อมูลเบื้องต้น'!#REF!</definedName>
    <definedName name="Time4" localSheetId="13">'[2]1.ข้อมูลเบื้องต้น'!$E$29</definedName>
    <definedName name="Time4" localSheetId="17">'[3]1.ข้อมูลเบื้องต้น'!$E$37</definedName>
    <definedName name="Time4">'1.ข้อมูลเบื้องต้น'!$E$36</definedName>
    <definedName name="top" localSheetId="7">'6.2ปลายภาค'!$BT$8:$CQ$8</definedName>
    <definedName name="top" localSheetId="13">[2]final!$W$8:$AM$8</definedName>
    <definedName name="top">'6.1ประกาศผลปลายภาค'!$BQ$8:$CG$8</definedName>
    <definedName name="Year" localSheetId="13">'[2]1.ข้อมูลเบื้องต้น'!$L$2</definedName>
    <definedName name="Year" localSheetId="17">'[3]1.ข้อมูลเบื้องต้น'!$M$2</definedName>
    <definedName name="Year">'1.ข้อมูลเบื้องต้น'!$M$2</definedName>
    <definedName name="Z_D1BB6683_1C02_4800_8A34_4095A10BD8CF_.wvu.Cols" localSheetId="1" hidden="1">'2.ชื่อนักเรียน'!$Z:$AF</definedName>
    <definedName name="Z_D1BB6683_1C02_4800_8A34_4095A10BD8CF_.wvu.Cols" localSheetId="6" hidden="1">'6.1ประกาศผลปลายภาค'!$BQ:$CF</definedName>
    <definedName name="Z_D1BB6683_1C02_4800_8A34_4095A10BD8CF_.wvu.Cols" localSheetId="7" hidden="1">'6.2ปลายภาค'!$BT:$CJ</definedName>
    <definedName name="Z_D1BB6683_1C02_4800_8A34_4095A10BD8CF_.wvu.PrintArea" localSheetId="1" hidden="1">'2.ชื่อนักเรียน'!$A$1:$U$55</definedName>
    <definedName name="Z_D1BB6683_1C02_4800_8A34_4095A10BD8CF_.wvu.PrintArea" localSheetId="6" hidden="1">'6.1ประกาศผลปลายภาค'!$A$1:$AX$53</definedName>
    <definedName name="Z_D1BB6683_1C02_4800_8A34_4095A10BD8CF_.wvu.PrintArea" localSheetId="7" hidden="1">'6.2ปลายภาค'!$A$1:$BS$53</definedName>
    <definedName name="Z_D1BB6683_1C02_4800_8A34_4095A10BD8CF_.wvu.PrintTitles" localSheetId="4" hidden="1">'5.กลางภาค'!$4:$7</definedName>
    <definedName name="Z_D1BB6683_1C02_4800_8A34_4095A10BD8CF_.wvu.Rows" localSheetId="1" hidden="1">'2.ชื่อนักเรียน'!$4:$7</definedName>
    <definedName name="Z_D1BB6683_1C02_4800_8A34_4095A10BD8CF_.wvu.Rows" localSheetId="4" hidden="1">'5.กลางภาค'!$5:$5</definedName>
    <definedName name="Z_D1BB6683_1C02_4800_8A34_4095A10BD8CF_.wvu.Rows" localSheetId="6" hidden="1">'6.1ประกาศผลปลายภาค'!$6:$6</definedName>
    <definedName name="Z_D1BB6683_1C02_4800_8A34_4095A10BD8CF_.wvu.Rows" localSheetId="7" hidden="1">'6.2ปลายภาค'!$6:$6</definedName>
    <definedName name="Z_D1BB6683_1C02_4800_8A34_4095A10BD8CF_.wvu.Rows" localSheetId="8" hidden="1">'6.3พัฒนาผู้เรียน'!$3:$6,'6.3พัฒนาผู้เรียน'!$8:$8</definedName>
    <definedName name="Z_D1BB6683_1C02_4800_8A34_4095A10BD8CF_.wvu.Rows" localSheetId="11" hidden="1">'7.บันทึกการเจริญเติบโต'!$3:$8</definedName>
    <definedName name="Z_D1BB6683_1C02_4800_8A34_4095A10BD8CF_.wvu.Rows" localSheetId="9" hidden="1">'7.อ่านคิดวิเคราะห์'!$3:$6,'7.อ่านคิดวิเคราะห์'!$9:$9</definedName>
    <definedName name="Z_D1BB6683_1C02_4800_8A34_4095A10BD8CF_.wvu.Rows" localSheetId="12" hidden="1">'8.ความคิดเห็น'!$3:$8</definedName>
    <definedName name="Z_D1BB6683_1C02_4800_8A34_4095A10BD8CF_.wvu.Rows" localSheetId="10" hidden="1">'8.คุณลักษณะ'!$3:$8</definedName>
    <definedName name="Z_D1BB6683_1C02_4800_8A34_4095A10BD8CF_.wvu.Rows" localSheetId="13" hidden="1">'9.บันทึกการเจริญเติบโต'!$3:$8</definedName>
    <definedName name="เกรด0" localSheetId="17">#REF!</definedName>
    <definedName name="เกรด0">#REF!</definedName>
    <definedName name="เกรด1" localSheetId="17">#REF!</definedName>
    <definedName name="เกรด1">#REF!</definedName>
    <definedName name="เกรด1.5" localSheetId="17">#REF!</definedName>
    <definedName name="เกรด1.5">#REF!</definedName>
    <definedName name="เกรด2" localSheetId="17">#REF!</definedName>
    <definedName name="เกรด2">#REF!</definedName>
    <definedName name="เกรด2.5" localSheetId="17">#REF!</definedName>
    <definedName name="เกรด2.5">#REF!</definedName>
    <definedName name="เกรด3.5" localSheetId="17">#REF!</definedName>
    <definedName name="เกรด3.5">#REF!</definedName>
    <definedName name="เกรดสาม" localSheetId="17">#REF!</definedName>
    <definedName name="เกรดสาม">#REF!</definedName>
    <definedName name="เกรดสี่" localSheetId="17">#REF!</definedName>
    <definedName name="เกรดสี่">#REF!</definedName>
    <definedName name="ครูประจำชั้น" localSheetId="17">'[4]1.ข้อมูลเบื้องต้น'!$D$9</definedName>
    <definedName name="ครูประจำชั้น">'[5]1.ข้อมูลเบื้องต้น'!$D$9</definedName>
    <definedName name="ครูประจำชั้น1" localSheetId="17">'[4]1.ข้อมูลเบื้องต้น'!$D$9</definedName>
    <definedName name="ครูประจำชั้น1">'[5]1.ข้อมูลเบื้องต้น'!$D$9</definedName>
    <definedName name="ครูประจำชั้น2" localSheetId="17">'[4]1.ข้อมูลเบื้องต้น'!#REF!</definedName>
    <definedName name="ครูประจำชั้น2">'[5]1.ข้อมูลเบื้องต้น'!#REF!</definedName>
    <definedName name="ชั้น" localSheetId="17">'[4]1.ข้อมูลเบื้องต้น'!$C$7</definedName>
    <definedName name="ชั้น">'[5]1.ข้อมูลเบื้องต้น'!$C$7</definedName>
    <definedName name="เดือนอนุมัติ" localSheetId="17">'[4]1.ข้อมูลเบื้องต้น'!$E$15</definedName>
    <definedName name="เดือนอนุมัติ">'[5]1.ข้อมูลเบื้องต้น'!$E$15</definedName>
    <definedName name="ปีการศึกษา" localSheetId="17">'[4]1.ข้อมูลเบื้องต้น'!$F$7</definedName>
    <definedName name="ปีการศึกษา">'[5]1.ข้อมูลเบื้องต้น'!$F$7</definedName>
    <definedName name="ปีอนุมัติ" localSheetId="17">'[4]1.ข้อมูลเบื้องต้น'!$F$15</definedName>
    <definedName name="ปีอนุมัติ">'[5]1.ข้อมูลเบื้องต้น'!$F$15</definedName>
    <definedName name="ผอ" localSheetId="17">'[4]1.ข้อมูลเบื้องต้น'!$D$13</definedName>
    <definedName name="ผอ">'[5]1.ข้อมูลเบื้องต้น'!$D$13</definedName>
    <definedName name="ผู้สอน" localSheetId="17">'[4]1.ข้อมูลเบื้องต้น'!#REF!</definedName>
    <definedName name="ผู้สอน">'[5]1.ข้อมูลเบื้องต้น'!#REF!</definedName>
    <definedName name="ภาคเรียน" localSheetId="17">'[4]1.ข้อมูลเบื้องต้น'!#REF!</definedName>
    <definedName name="ภาคเรียน">'[5]1.ข้อมูลเบื้องต้น'!#REF!</definedName>
    <definedName name="มส" localSheetId="17">#REF!</definedName>
    <definedName name="มส">#REF!</definedName>
    <definedName name="ร" localSheetId="17">#REF!</definedName>
    <definedName name="ร">#REF!</definedName>
    <definedName name="รหัสวิชา" localSheetId="17">'[4]1.ข้อมูลเบื้องต้น'!#REF!</definedName>
    <definedName name="รหัสวิชา">'[5]1.ข้อมูลเบื้องต้น'!#REF!</definedName>
    <definedName name="รายวิชา" localSheetId="17">'[4]1.ข้อมูลเบื้องต้น'!#REF!</definedName>
    <definedName name="รายวิชา">'[5]1.ข้อมูลเบื้องต้น'!#REF!</definedName>
    <definedName name="วัดผล" localSheetId="17">'[4]1.ข้อมูลเบื้องต้น'!#REF!</definedName>
    <definedName name="วัดผล">'[5]1.ข้อมูลเบื้องต้น'!#REF!</definedName>
    <definedName name="วันอนุมัติ" localSheetId="17">'[4]1.ข้อมูลเบื้องต้น'!$D$15</definedName>
    <definedName name="วันอนุมัติ">'[5]1.ข้อมูลเบื้องต้น'!$D$15</definedName>
    <definedName name="หน่วยกิต" localSheetId="17">'[4]1.ข้อมูลเบื้องต้น'!#REF!</definedName>
    <definedName name="หน่วยกิต">'[5]1.ข้อมูลเบื้องต้น'!#REF!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4" i="12" l="1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G474" i="12"/>
  <c r="H473" i="12"/>
  <c r="G473" i="12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H455" i="12"/>
  <c r="H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H442" i="12"/>
  <c r="G442" i="12"/>
  <c r="H441" i="12"/>
  <c r="G441" i="12"/>
  <c r="H440" i="12"/>
  <c r="G440" i="12"/>
  <c r="H439" i="12"/>
  <c r="G439" i="12"/>
  <c r="H438" i="12"/>
  <c r="G438" i="12"/>
  <c r="H437" i="12"/>
  <c r="G437" i="12"/>
  <c r="H436" i="12"/>
  <c r="G436" i="12"/>
  <c r="H435" i="12"/>
  <c r="G435" i="12"/>
  <c r="H434" i="12"/>
  <c r="G434" i="12"/>
  <c r="H433" i="12"/>
  <c r="G433" i="12"/>
  <c r="H432" i="12"/>
  <c r="G432" i="12"/>
  <c r="H431" i="12"/>
  <c r="G431" i="12"/>
  <c r="H430" i="12"/>
  <c r="G430" i="12"/>
  <c r="H429" i="12"/>
  <c r="G429" i="12"/>
  <c r="H428" i="12"/>
  <c r="G428" i="12"/>
  <c r="H427" i="12"/>
  <c r="G427" i="12"/>
  <c r="H426" i="12"/>
  <c r="G426" i="12"/>
  <c r="H425" i="12"/>
  <c r="G425" i="12"/>
  <c r="H424" i="12"/>
  <c r="G424" i="12"/>
  <c r="H423" i="12"/>
  <c r="G423" i="12"/>
  <c r="H422" i="12"/>
  <c r="G422" i="12"/>
  <c r="H421" i="12"/>
  <c r="G421" i="12"/>
  <c r="H420" i="12"/>
  <c r="G420" i="12"/>
  <c r="H419" i="12"/>
  <c r="G419" i="12"/>
  <c r="H418" i="12"/>
  <c r="G418" i="12"/>
  <c r="H417" i="12"/>
  <c r="G417" i="12"/>
  <c r="H416" i="12"/>
  <c r="G416" i="12"/>
  <c r="H415" i="12"/>
  <c r="G415" i="12"/>
  <c r="H414" i="12"/>
  <c r="G414" i="12"/>
  <c r="H413" i="12"/>
  <c r="G413" i="12"/>
  <c r="H412" i="12"/>
  <c r="G412" i="12"/>
  <c r="H411" i="12"/>
  <c r="G411" i="12"/>
  <c r="H410" i="12"/>
  <c r="G410" i="12"/>
  <c r="H409" i="12"/>
  <c r="G409" i="12"/>
  <c r="H408" i="12"/>
  <c r="G408" i="12"/>
  <c r="H407" i="12"/>
  <c r="G407" i="12"/>
  <c r="H406" i="12"/>
  <c r="G406" i="12"/>
  <c r="H405" i="12"/>
  <c r="G405" i="12"/>
  <c r="H404" i="12"/>
  <c r="G404" i="12"/>
  <c r="H403" i="12"/>
  <c r="G403" i="12"/>
  <c r="H402" i="12"/>
  <c r="G402" i="12"/>
  <c r="H401" i="12"/>
  <c r="G401" i="12"/>
  <c r="H400" i="12"/>
  <c r="G400" i="12"/>
  <c r="H399" i="12"/>
  <c r="G399" i="12"/>
  <c r="H398" i="12"/>
  <c r="G398" i="12"/>
  <c r="H397" i="12"/>
  <c r="G397" i="12"/>
  <c r="H396" i="12"/>
  <c r="G396" i="12"/>
  <c r="H395" i="12"/>
  <c r="G395" i="12"/>
  <c r="H394" i="12"/>
  <c r="G394" i="12"/>
  <c r="H393" i="12"/>
  <c r="G393" i="12"/>
  <c r="H392" i="12"/>
  <c r="G392" i="12"/>
  <c r="H391" i="12"/>
  <c r="G391" i="12"/>
  <c r="H390" i="12"/>
  <c r="G390" i="12"/>
  <c r="H389" i="12"/>
  <c r="G389" i="12"/>
  <c r="H388" i="12"/>
  <c r="G388" i="12"/>
  <c r="H387" i="12"/>
  <c r="G387" i="12"/>
  <c r="H386" i="12"/>
  <c r="G386" i="12"/>
  <c r="H385" i="12"/>
  <c r="G385" i="12"/>
  <c r="H384" i="12"/>
  <c r="G384" i="12"/>
  <c r="H383" i="12"/>
  <c r="G383" i="12"/>
  <c r="H382" i="12"/>
  <c r="G382" i="12"/>
  <c r="H381" i="12"/>
  <c r="G381" i="12"/>
  <c r="H380" i="12"/>
  <c r="G380" i="12"/>
  <c r="H379" i="12"/>
  <c r="G379" i="12"/>
  <c r="H378" i="12"/>
  <c r="G378" i="12"/>
  <c r="H377" i="12"/>
  <c r="G377" i="12"/>
  <c r="H376" i="12"/>
  <c r="G376" i="12"/>
  <c r="H375" i="12"/>
  <c r="G375" i="12"/>
  <c r="H374" i="12"/>
  <c r="G374" i="12"/>
  <c r="H373" i="12"/>
  <c r="G373" i="12"/>
  <c r="H372" i="12"/>
  <c r="G372" i="12"/>
  <c r="H371" i="12"/>
  <c r="G371" i="12"/>
  <c r="H370" i="12"/>
  <c r="G370" i="12"/>
  <c r="H369" i="12"/>
  <c r="G369" i="12"/>
  <c r="H368" i="12"/>
  <c r="G368" i="12"/>
  <c r="H367" i="12"/>
  <c r="G367" i="12"/>
  <c r="H366" i="12"/>
  <c r="G366" i="12"/>
  <c r="H365" i="12"/>
  <c r="G365" i="12"/>
  <c r="H364" i="12"/>
  <c r="G364" i="12"/>
  <c r="H363" i="12"/>
  <c r="G363" i="12"/>
  <c r="H362" i="12"/>
  <c r="G362" i="12"/>
  <c r="H361" i="12"/>
  <c r="G361" i="12"/>
  <c r="H360" i="12"/>
  <c r="G360" i="12"/>
  <c r="H359" i="12"/>
  <c r="G359" i="12"/>
  <c r="H358" i="12"/>
  <c r="G358" i="12"/>
  <c r="H357" i="12"/>
  <c r="G357" i="12"/>
  <c r="H356" i="12"/>
  <c r="G356" i="12"/>
  <c r="H355" i="12"/>
  <c r="G355" i="12"/>
  <c r="H354" i="12"/>
  <c r="G354" i="12"/>
  <c r="H353" i="12"/>
  <c r="G353" i="12"/>
  <c r="H352" i="12"/>
  <c r="G352" i="12"/>
  <c r="H351" i="12"/>
  <c r="G351" i="12"/>
  <c r="H350" i="12"/>
  <c r="G350" i="12"/>
  <c r="H349" i="12"/>
  <c r="G349" i="12"/>
  <c r="H348" i="12"/>
  <c r="G348" i="12"/>
  <c r="H347" i="12"/>
  <c r="G347" i="12"/>
  <c r="H346" i="12"/>
  <c r="G346" i="12"/>
  <c r="H345" i="12"/>
  <c r="G345" i="12"/>
  <c r="H344" i="12"/>
  <c r="G344" i="12"/>
  <c r="H343" i="12"/>
  <c r="G343" i="12"/>
  <c r="H342" i="12"/>
  <c r="G342" i="12"/>
  <c r="H341" i="12"/>
  <c r="G341" i="12"/>
  <c r="H340" i="12"/>
  <c r="G340" i="12"/>
  <c r="H339" i="12"/>
  <c r="G339" i="12"/>
  <c r="H338" i="12"/>
  <c r="G338" i="12"/>
  <c r="H337" i="12"/>
  <c r="G337" i="12"/>
  <c r="H336" i="12"/>
  <c r="G336" i="12"/>
  <c r="H335" i="12"/>
  <c r="G335" i="12"/>
  <c r="H334" i="12"/>
  <c r="G334" i="12"/>
  <c r="H333" i="12"/>
  <c r="G333" i="12"/>
  <c r="H332" i="12"/>
  <c r="G332" i="12"/>
  <c r="H331" i="12"/>
  <c r="G331" i="12"/>
  <c r="H330" i="12"/>
  <c r="G330" i="12"/>
  <c r="H329" i="12"/>
  <c r="G329" i="12"/>
  <c r="H328" i="12"/>
  <c r="G328" i="12"/>
  <c r="H327" i="12"/>
  <c r="G327" i="12"/>
  <c r="H326" i="12"/>
  <c r="G326" i="12"/>
  <c r="H325" i="12"/>
  <c r="G325" i="12"/>
  <c r="H324" i="12"/>
  <c r="G324" i="12"/>
  <c r="H323" i="12"/>
  <c r="G323" i="12"/>
  <c r="H322" i="12"/>
  <c r="G322" i="12"/>
  <c r="H321" i="12"/>
  <c r="G321" i="12"/>
  <c r="H320" i="12"/>
  <c r="G320" i="12"/>
  <c r="H319" i="12"/>
  <c r="G319" i="12"/>
  <c r="H318" i="12"/>
  <c r="G318" i="12"/>
  <c r="H317" i="12"/>
  <c r="G317" i="12"/>
  <c r="H316" i="12"/>
  <c r="G316" i="12"/>
  <c r="H315" i="12"/>
  <c r="G315" i="12"/>
  <c r="H314" i="12"/>
  <c r="G314" i="12"/>
  <c r="H313" i="12"/>
  <c r="G313" i="12"/>
  <c r="H312" i="12"/>
  <c r="G312" i="12"/>
  <c r="H311" i="12"/>
  <c r="G311" i="12"/>
  <c r="H310" i="12"/>
  <c r="G310" i="12"/>
  <c r="H309" i="12"/>
  <c r="G309" i="12"/>
  <c r="H308" i="12"/>
  <c r="G308" i="12"/>
  <c r="H307" i="12"/>
  <c r="G307" i="12"/>
  <c r="H306" i="12"/>
  <c r="G306" i="12"/>
  <c r="H305" i="12"/>
  <c r="G305" i="12"/>
  <c r="H304" i="12"/>
  <c r="G304" i="12"/>
  <c r="H303" i="12"/>
  <c r="G303" i="12"/>
  <c r="H302" i="12"/>
  <c r="G302" i="12"/>
  <c r="H301" i="12"/>
  <c r="G301" i="12"/>
  <c r="H300" i="12"/>
  <c r="G300" i="12"/>
  <c r="H299" i="12"/>
  <c r="G299" i="12"/>
  <c r="H298" i="12"/>
  <c r="G298" i="12"/>
  <c r="H297" i="12"/>
  <c r="G297" i="12"/>
  <c r="H296" i="12"/>
  <c r="G296" i="12"/>
  <c r="H295" i="12"/>
  <c r="G295" i="12"/>
  <c r="H294" i="12"/>
  <c r="G294" i="12"/>
  <c r="H293" i="12"/>
  <c r="G293" i="12"/>
  <c r="H292" i="12"/>
  <c r="G292" i="12"/>
  <c r="H291" i="12"/>
  <c r="G291" i="12"/>
  <c r="H290" i="12"/>
  <c r="G290" i="12"/>
  <c r="H289" i="12"/>
  <c r="G289" i="12"/>
  <c r="H288" i="12"/>
  <c r="G288" i="12"/>
  <c r="H287" i="12"/>
  <c r="G287" i="12"/>
  <c r="H286" i="12"/>
  <c r="G286" i="12"/>
  <c r="H285" i="12"/>
  <c r="G285" i="12"/>
  <c r="H284" i="12"/>
  <c r="G284" i="12"/>
  <c r="H283" i="12"/>
  <c r="G283" i="12"/>
  <c r="H282" i="12"/>
  <c r="G282" i="12"/>
  <c r="H281" i="12"/>
  <c r="G281" i="12"/>
  <c r="H280" i="12"/>
  <c r="G280" i="12"/>
  <c r="H279" i="12"/>
  <c r="G279" i="12"/>
  <c r="H278" i="12"/>
  <c r="G278" i="12"/>
  <c r="H277" i="12"/>
  <c r="G277" i="12"/>
  <c r="H276" i="12"/>
  <c r="G276" i="12"/>
  <c r="H275" i="12"/>
  <c r="G275" i="12"/>
  <c r="H274" i="12"/>
  <c r="G274" i="12"/>
  <c r="H273" i="12"/>
  <c r="G273" i="12"/>
  <c r="H272" i="12"/>
  <c r="G272" i="12"/>
  <c r="H271" i="12"/>
  <c r="G271" i="12"/>
  <c r="H270" i="12"/>
  <c r="G270" i="12"/>
  <c r="H269" i="12"/>
  <c r="G269" i="12"/>
  <c r="H268" i="12"/>
  <c r="G268" i="12"/>
  <c r="H267" i="12"/>
  <c r="G267" i="12"/>
  <c r="H266" i="12"/>
  <c r="G266" i="12"/>
  <c r="H265" i="12"/>
  <c r="G265" i="12"/>
  <c r="H264" i="12"/>
  <c r="G264" i="12"/>
  <c r="H263" i="12"/>
  <c r="G263" i="12"/>
  <c r="H262" i="12"/>
  <c r="G262" i="12"/>
  <c r="H261" i="12"/>
  <c r="G261" i="12"/>
  <c r="H260" i="12"/>
  <c r="G260" i="12"/>
  <c r="H259" i="12"/>
  <c r="G259" i="12"/>
  <c r="H258" i="12"/>
  <c r="G258" i="12"/>
  <c r="H257" i="12"/>
  <c r="G257" i="12"/>
  <c r="H256" i="12"/>
  <c r="G256" i="12"/>
  <c r="H255" i="12"/>
  <c r="G255" i="12"/>
  <c r="H254" i="12"/>
  <c r="G254" i="12"/>
  <c r="H253" i="12"/>
  <c r="G253" i="12"/>
  <c r="H252" i="12"/>
  <c r="G252" i="12"/>
  <c r="H251" i="12"/>
  <c r="G251" i="12"/>
  <c r="H250" i="12"/>
  <c r="G250" i="12"/>
  <c r="H249" i="12"/>
  <c r="G249" i="12"/>
  <c r="H248" i="12"/>
  <c r="G248" i="12"/>
  <c r="H247" i="12"/>
  <c r="G247" i="12"/>
  <c r="H246" i="12"/>
  <c r="G246" i="12"/>
  <c r="H245" i="12"/>
  <c r="G245" i="12"/>
  <c r="H244" i="12"/>
  <c r="G244" i="12"/>
  <c r="H243" i="12"/>
  <c r="G243" i="12"/>
  <c r="H242" i="12"/>
  <c r="G242" i="12"/>
  <c r="H241" i="12"/>
  <c r="G241" i="12"/>
  <c r="H240" i="12"/>
  <c r="G240" i="12"/>
  <c r="H239" i="12"/>
  <c r="G239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H225" i="12"/>
  <c r="G225" i="12"/>
  <c r="H224" i="12"/>
  <c r="G224" i="12"/>
  <c r="H223" i="12"/>
  <c r="G223" i="12"/>
  <c r="H222" i="12"/>
  <c r="G222" i="12"/>
  <c r="H221" i="12"/>
  <c r="G221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H213" i="12"/>
  <c r="G213" i="12"/>
  <c r="H212" i="12"/>
  <c r="G212" i="12"/>
  <c r="H211" i="12"/>
  <c r="G211" i="12"/>
  <c r="H210" i="12"/>
  <c r="G210" i="12"/>
  <c r="H209" i="12"/>
  <c r="G209" i="12"/>
  <c r="H208" i="12"/>
  <c r="G208" i="12"/>
  <c r="H207" i="12"/>
  <c r="G207" i="12"/>
  <c r="H206" i="12"/>
  <c r="G206" i="12"/>
  <c r="H205" i="12"/>
  <c r="G205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H168" i="12"/>
  <c r="G168" i="12"/>
  <c r="H167" i="12"/>
  <c r="G167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H138" i="12"/>
  <c r="G138" i="12"/>
  <c r="H137" i="12"/>
  <c r="G13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G69" i="12"/>
  <c r="H68" i="12"/>
  <c r="G68" i="12"/>
  <c r="H67" i="12"/>
  <c r="G67" i="12"/>
  <c r="H66" i="12"/>
  <c r="G66" i="12"/>
  <c r="H65" i="12"/>
  <c r="G65" i="12"/>
  <c r="H64" i="12"/>
  <c r="G64" i="12"/>
  <c r="H63" i="12"/>
  <c r="G63" i="12"/>
  <c r="H62" i="12"/>
  <c r="G62" i="12"/>
  <c r="H61" i="12"/>
  <c r="G61" i="12"/>
  <c r="H60" i="12"/>
  <c r="G60" i="12"/>
  <c r="H59" i="12"/>
  <c r="G59" i="12"/>
  <c r="H58" i="12"/>
  <c r="G58" i="12"/>
  <c r="H57" i="12"/>
  <c r="G57" i="12"/>
  <c r="H56" i="12"/>
  <c r="G56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4" i="12"/>
  <c r="G4" i="12"/>
  <c r="H3" i="12"/>
  <c r="G3" i="12"/>
  <c r="AF68" i="16" l="1"/>
  <c r="AF69" i="16"/>
  <c r="DA69" i="16"/>
  <c r="AF70" i="16"/>
  <c r="R56" i="5"/>
  <c r="AR56" i="5"/>
  <c r="CC69" i="16"/>
  <c r="G55" i="6"/>
  <c r="F55" i="6"/>
  <c r="E55" i="6"/>
  <c r="D55" i="6"/>
  <c r="G54" i="6"/>
  <c r="F54" i="6"/>
  <c r="E54" i="6"/>
  <c r="D54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K59" i="5" l="1"/>
  <c r="AI59" i="5"/>
  <c r="AA56" i="5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X12" i="2" l="1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11" i="2"/>
  <c r="X11" i="2"/>
  <c r="EH50" i="18"/>
  <c r="EH49" i="18"/>
  <c r="EH48" i="18"/>
  <c r="EH47" i="18"/>
  <c r="EH46" i="18"/>
  <c r="EH45" i="18"/>
  <c r="EH44" i="18"/>
  <c r="EH43" i="18"/>
  <c r="EH42" i="18"/>
  <c r="EH41" i="18"/>
  <c r="EH40" i="18"/>
  <c r="EH39" i="18"/>
  <c r="EH38" i="18"/>
  <c r="EH37" i="18"/>
  <c r="EH36" i="18"/>
  <c r="EH35" i="18"/>
  <c r="EH34" i="18"/>
  <c r="EH33" i="18"/>
  <c r="EH32" i="18"/>
  <c r="EH31" i="18"/>
  <c r="EH30" i="18"/>
  <c r="EH29" i="18"/>
  <c r="EH28" i="18"/>
  <c r="EH27" i="18"/>
  <c r="EH26" i="18"/>
  <c r="EH25" i="18"/>
  <c r="EH24" i="18"/>
  <c r="EH23" i="18"/>
  <c r="EH22" i="18"/>
  <c r="EH21" i="18"/>
  <c r="EH20" i="18"/>
  <c r="EH19" i="18"/>
  <c r="EH18" i="18"/>
  <c r="EH17" i="18"/>
  <c r="EH16" i="18"/>
  <c r="EH15" i="18"/>
  <c r="EH14" i="18"/>
  <c r="EH13" i="18"/>
  <c r="EH12" i="18"/>
  <c r="EH11" i="18"/>
  <c r="EH10" i="18"/>
  <c r="EH9" i="18"/>
  <c r="EH8" i="18"/>
  <c r="EH7" i="18"/>
  <c r="EH6" i="18"/>
  <c r="IX4" i="19"/>
  <c r="HU3" i="19"/>
  <c r="H69" i="16"/>
  <c r="EF3" i="18"/>
  <c r="C39" i="11" l="1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DZ51" i="18"/>
  <c r="EA50" i="18"/>
  <c r="EA49" i="18"/>
  <c r="EA48" i="18"/>
  <c r="EA47" i="18"/>
  <c r="EA46" i="18"/>
  <c r="EA45" i="18"/>
  <c r="EA44" i="18"/>
  <c r="EA43" i="18"/>
  <c r="EA42" i="18"/>
  <c r="EA41" i="18"/>
  <c r="EA40" i="18"/>
  <c r="EA39" i="18"/>
  <c r="EA38" i="18"/>
  <c r="EA37" i="18"/>
  <c r="EA36" i="18"/>
  <c r="EA35" i="18"/>
  <c r="EA34" i="18"/>
  <c r="EA33" i="18"/>
  <c r="EA32" i="18"/>
  <c r="EA31" i="18"/>
  <c r="EA30" i="18"/>
  <c r="EA29" i="18"/>
  <c r="EA28" i="18"/>
  <c r="EA27" i="18"/>
  <c r="EA26" i="18"/>
  <c r="EA25" i="18"/>
  <c r="EA24" i="18"/>
  <c r="EA23" i="18"/>
  <c r="EA22" i="18"/>
  <c r="EA21" i="18"/>
  <c r="EA20" i="18"/>
  <c r="EA19" i="18"/>
  <c r="EA18" i="18"/>
  <c r="EA17" i="18"/>
  <c r="EA16" i="18"/>
  <c r="EA15" i="18"/>
  <c r="EA14" i="18"/>
  <c r="EA13" i="18"/>
  <c r="EA12" i="18"/>
  <c r="EA11" i="18"/>
  <c r="EA10" i="18"/>
  <c r="EA9" i="18"/>
  <c r="EA8" i="18"/>
  <c r="EA7" i="18"/>
  <c r="EA6" i="18"/>
  <c r="DD49" i="17"/>
  <c r="DD48" i="17"/>
  <c r="DD47" i="17"/>
  <c r="DD46" i="17"/>
  <c r="DD45" i="17"/>
  <c r="DD44" i="17"/>
  <c r="DD43" i="17"/>
  <c r="DD42" i="17"/>
  <c r="DD41" i="17"/>
  <c r="DD40" i="17"/>
  <c r="DD39" i="17"/>
  <c r="DD38" i="17"/>
  <c r="DD37" i="17"/>
  <c r="DD36" i="17"/>
  <c r="DD35" i="17"/>
  <c r="DD34" i="17"/>
  <c r="DD33" i="17"/>
  <c r="DD32" i="17"/>
  <c r="DD31" i="17"/>
  <c r="DD30" i="17"/>
  <c r="DD29" i="17"/>
  <c r="DD28" i="17"/>
  <c r="DD27" i="17"/>
  <c r="DD26" i="17"/>
  <c r="DD25" i="17"/>
  <c r="DD24" i="17"/>
  <c r="DD23" i="17"/>
  <c r="DD22" i="17"/>
  <c r="DD21" i="17"/>
  <c r="DD20" i="17"/>
  <c r="DD19" i="17"/>
  <c r="DD18" i="17"/>
  <c r="DD17" i="17"/>
  <c r="DD16" i="17"/>
  <c r="DD15" i="17"/>
  <c r="DD14" i="17"/>
  <c r="DD13" i="17"/>
  <c r="DD12" i="17"/>
  <c r="DD11" i="17"/>
  <c r="DD10" i="17"/>
  <c r="DD9" i="17"/>
  <c r="DD8" i="17"/>
  <c r="DD7" i="17"/>
  <c r="DD6" i="17"/>
  <c r="DD5" i="17"/>
  <c r="CW50" i="17"/>
  <c r="F32" i="1"/>
  <c r="D32" i="1"/>
  <c r="AV8" i="5" s="1"/>
  <c r="C32" i="1"/>
  <c r="I39" i="11" s="1"/>
  <c r="C7" i="1"/>
  <c r="C8" i="1"/>
  <c r="C9" i="1"/>
  <c r="C10" i="1"/>
  <c r="C11" i="1"/>
  <c r="C12" i="1"/>
  <c r="D7" i="1"/>
  <c r="D8" i="1"/>
  <c r="D9" i="1"/>
  <c r="D10" i="1"/>
  <c r="D11" i="1"/>
  <c r="D12" i="1"/>
  <c r="C13" i="1"/>
  <c r="D13" i="1"/>
  <c r="C14" i="1"/>
  <c r="D14" i="1"/>
  <c r="C15" i="1"/>
  <c r="D15" i="1"/>
  <c r="C16" i="1"/>
  <c r="D16" i="1"/>
  <c r="C17" i="1"/>
  <c r="D17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D29" i="1"/>
  <c r="D28" i="1"/>
  <c r="C29" i="1"/>
  <c r="C28" i="1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HO3" i="19"/>
  <c r="HJ3" i="19"/>
  <c r="HE3" i="19"/>
  <c r="GZ3" i="19"/>
  <c r="GU3" i="19"/>
  <c r="D2" i="19"/>
  <c r="FM2" i="19"/>
  <c r="EF2" i="19"/>
  <c r="CY2" i="19"/>
  <c r="BR2" i="19"/>
  <c r="AK2" i="19"/>
  <c r="S55" i="2"/>
  <c r="S54" i="2"/>
  <c r="S53" i="2"/>
  <c r="S52" i="2"/>
  <c r="S51" i="2"/>
  <c r="S50" i="2"/>
  <c r="S49" i="2"/>
  <c r="S48" i="2"/>
  <c r="S43" i="2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HU2" i="19"/>
  <c r="GU2" i="19"/>
  <c r="FM1" i="19"/>
  <c r="EF1" i="19"/>
  <c r="CY1" i="19"/>
  <c r="BR1" i="19"/>
  <c r="AK1" i="19"/>
  <c r="D1" i="19"/>
  <c r="B49" i="19"/>
  <c r="A49" i="19"/>
  <c r="B48" i="19"/>
  <c r="A48" i="19"/>
  <c r="B47" i="19"/>
  <c r="A47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A34" i="19"/>
  <c r="B33" i="19"/>
  <c r="A33" i="19"/>
  <c r="B32" i="19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B14" i="19"/>
  <c r="A14" i="19"/>
  <c r="B13" i="19"/>
  <c r="A13" i="19"/>
  <c r="B12" i="19"/>
  <c r="A12" i="19"/>
  <c r="B11" i="19"/>
  <c r="A11" i="19"/>
  <c r="B10" i="19"/>
  <c r="A10" i="19"/>
  <c r="B9" i="19"/>
  <c r="A9" i="19"/>
  <c r="B8" i="19"/>
  <c r="A8" i="19"/>
  <c r="B7" i="19"/>
  <c r="A7" i="19"/>
  <c r="B6" i="19"/>
  <c r="A6" i="19"/>
  <c r="B5" i="19"/>
  <c r="A5" i="19"/>
  <c r="F31" i="1"/>
  <c r="F30" i="1"/>
  <c r="F29" i="1"/>
  <c r="F28" i="1"/>
  <c r="F27" i="1"/>
  <c r="F26" i="1"/>
  <c r="F25" i="1"/>
  <c r="F24" i="1"/>
  <c r="F23" i="1"/>
  <c r="F22" i="1"/>
  <c r="F21" i="1"/>
  <c r="F20" i="1"/>
  <c r="D31" i="1"/>
  <c r="C31" i="1"/>
  <c r="D30" i="1"/>
  <c r="C30" i="1"/>
  <c r="D18" i="1"/>
  <c r="C18" i="1"/>
  <c r="HI21" i="19" l="1"/>
  <c r="HH21" i="19"/>
  <c r="HG21" i="19"/>
  <c r="HF21" i="19"/>
  <c r="HE21" i="19"/>
  <c r="CX21" i="19" s="1"/>
  <c r="HE10" i="19"/>
  <c r="CX10" i="19" s="1"/>
  <c r="HF10" i="19"/>
  <c r="HI10" i="19"/>
  <c r="HH10" i="19"/>
  <c r="HG10" i="19"/>
  <c r="HI16" i="19"/>
  <c r="HH16" i="19"/>
  <c r="HG16" i="19"/>
  <c r="HF16" i="19"/>
  <c r="HE16" i="19"/>
  <c r="CX16" i="19" s="1"/>
  <c r="HE22" i="19"/>
  <c r="CX22" i="19" s="1"/>
  <c r="HF22" i="19"/>
  <c r="HI22" i="19"/>
  <c r="HH22" i="19"/>
  <c r="HG22" i="19"/>
  <c r="HI28" i="19"/>
  <c r="HH28" i="19"/>
  <c r="HG28" i="19"/>
  <c r="HF28" i="19"/>
  <c r="HE28" i="19"/>
  <c r="CX28" i="19" s="1"/>
  <c r="HE34" i="19"/>
  <c r="CX34" i="19" s="1"/>
  <c r="HF34" i="19"/>
  <c r="HI34" i="19"/>
  <c r="HH34" i="19"/>
  <c r="HG34" i="19"/>
  <c r="HI40" i="19"/>
  <c r="HH40" i="19"/>
  <c r="HG40" i="19"/>
  <c r="HF40" i="19"/>
  <c r="HE40" i="19"/>
  <c r="CX40" i="19" s="1"/>
  <c r="ID46" i="19"/>
  <c r="HE46" i="19"/>
  <c r="CX46" i="19" s="1"/>
  <c r="HF46" i="19"/>
  <c r="IC46" i="19"/>
  <c r="IB46" i="19"/>
  <c r="IA46" i="19"/>
  <c r="HZ46" i="19"/>
  <c r="HI46" i="19"/>
  <c r="HH46" i="19"/>
  <c r="HG46" i="19"/>
  <c r="HI14" i="19"/>
  <c r="HH14" i="19"/>
  <c r="HG14" i="19"/>
  <c r="HF14" i="19"/>
  <c r="HE14" i="19"/>
  <c r="CX14" i="19" s="1"/>
  <c r="HI32" i="19"/>
  <c r="HH32" i="19"/>
  <c r="HG32" i="19"/>
  <c r="HF32" i="19"/>
  <c r="HE32" i="19"/>
  <c r="CX32" i="19" s="1"/>
  <c r="HI9" i="19"/>
  <c r="HH9" i="19"/>
  <c r="HG9" i="19"/>
  <c r="HE9" i="19"/>
  <c r="CX9" i="19" s="1"/>
  <c r="HF9" i="19"/>
  <c r="HI27" i="19"/>
  <c r="HE27" i="19"/>
  <c r="CX27" i="19" s="1"/>
  <c r="HH27" i="19"/>
  <c r="HG27" i="19"/>
  <c r="HF27" i="19"/>
  <c r="HE39" i="19"/>
  <c r="CX39" i="19" s="1"/>
  <c r="HI39" i="19"/>
  <c r="HH39" i="19"/>
  <c r="HG39" i="19"/>
  <c r="HF39" i="19"/>
  <c r="HI45" i="19"/>
  <c r="HH45" i="19"/>
  <c r="HG45" i="19"/>
  <c r="HF45" i="19"/>
  <c r="ID45" i="19"/>
  <c r="HE45" i="19"/>
  <c r="CX45" i="19" s="1"/>
  <c r="IC45" i="19"/>
  <c r="IB45" i="19"/>
  <c r="IA45" i="19"/>
  <c r="HZ45" i="19"/>
  <c r="HI8" i="19"/>
  <c r="HH8" i="19"/>
  <c r="HG8" i="19"/>
  <c r="HF8" i="19"/>
  <c r="HE8" i="19"/>
  <c r="CX8" i="19" s="1"/>
  <c r="HI20" i="19"/>
  <c r="HH20" i="19"/>
  <c r="HG20" i="19"/>
  <c r="HF20" i="19"/>
  <c r="HE20" i="19"/>
  <c r="CX20" i="19" s="1"/>
  <c r="HI26" i="19"/>
  <c r="HH26" i="19"/>
  <c r="HG26" i="19"/>
  <c r="HF26" i="19"/>
  <c r="HE26" i="19"/>
  <c r="CX26" i="19" s="1"/>
  <c r="HI38" i="19"/>
  <c r="HH38" i="19"/>
  <c r="HG38" i="19"/>
  <c r="HF38" i="19"/>
  <c r="HE38" i="19"/>
  <c r="CX38" i="19" s="1"/>
  <c r="IB44" i="19"/>
  <c r="IC44" i="19"/>
  <c r="IA44" i="19"/>
  <c r="HZ44" i="19"/>
  <c r="HI44" i="19"/>
  <c r="HH44" i="19"/>
  <c r="HG44" i="19"/>
  <c r="HF44" i="19"/>
  <c r="ID44" i="19"/>
  <c r="HE44" i="19"/>
  <c r="CX44" i="19" s="1"/>
  <c r="HF6" i="19"/>
  <c r="HH6" i="19"/>
  <c r="HG6" i="19"/>
  <c r="HI6" i="19"/>
  <c r="HE6" i="19"/>
  <c r="CX6" i="19" s="1"/>
  <c r="HE15" i="19"/>
  <c r="CX15" i="19" s="1"/>
  <c r="HI15" i="19"/>
  <c r="HH15" i="19"/>
  <c r="HG15" i="19"/>
  <c r="HF15" i="19"/>
  <c r="HI33" i="19"/>
  <c r="HH33" i="19"/>
  <c r="HG33" i="19"/>
  <c r="HF33" i="19"/>
  <c r="HE33" i="19"/>
  <c r="CX33" i="19" s="1"/>
  <c r="HF5" i="19"/>
  <c r="HE5" i="19"/>
  <c r="CX5" i="19" s="1"/>
  <c r="HG5" i="19"/>
  <c r="HI5" i="19"/>
  <c r="HH5" i="19"/>
  <c r="HI11" i="19"/>
  <c r="HH11" i="19"/>
  <c r="HG11" i="19"/>
  <c r="HF11" i="19"/>
  <c r="HE11" i="19"/>
  <c r="CX11" i="19" s="1"/>
  <c r="HF17" i="19"/>
  <c r="HE17" i="19"/>
  <c r="CX17" i="19" s="1"/>
  <c r="HG17" i="19"/>
  <c r="HI17" i="19"/>
  <c r="HH17" i="19"/>
  <c r="HI23" i="19"/>
  <c r="HH23" i="19"/>
  <c r="HG23" i="19"/>
  <c r="HF23" i="19"/>
  <c r="HE23" i="19"/>
  <c r="CX23" i="19" s="1"/>
  <c r="HF29" i="19"/>
  <c r="HE29" i="19"/>
  <c r="CX29" i="19" s="1"/>
  <c r="HG29" i="19"/>
  <c r="HI29" i="19"/>
  <c r="HH29" i="19"/>
  <c r="HI35" i="19"/>
  <c r="HH35" i="19"/>
  <c r="HG35" i="19"/>
  <c r="HF35" i="19"/>
  <c r="HE35" i="19"/>
  <c r="CX35" i="19" s="1"/>
  <c r="HF41" i="19"/>
  <c r="HE41" i="19"/>
  <c r="CX41" i="19" s="1"/>
  <c r="HG41" i="19"/>
  <c r="HI41" i="19"/>
  <c r="HH41" i="19"/>
  <c r="HZ47" i="19"/>
  <c r="HI47" i="19"/>
  <c r="HH47" i="19"/>
  <c r="HG47" i="19"/>
  <c r="HF47" i="19"/>
  <c r="ID47" i="19"/>
  <c r="HE47" i="19"/>
  <c r="CX47" i="19" s="1"/>
  <c r="IC47" i="19"/>
  <c r="IB47" i="19"/>
  <c r="IA47" i="19"/>
  <c r="HG12" i="19"/>
  <c r="HF12" i="19"/>
  <c r="HE12" i="19"/>
  <c r="CX12" i="19" s="1"/>
  <c r="HH12" i="19"/>
  <c r="HI12" i="19"/>
  <c r="HI18" i="19"/>
  <c r="HH18" i="19"/>
  <c r="HG18" i="19"/>
  <c r="HF18" i="19"/>
  <c r="HE18" i="19"/>
  <c r="CX18" i="19" s="1"/>
  <c r="HG24" i="19"/>
  <c r="HH24" i="19"/>
  <c r="HF24" i="19"/>
  <c r="HE24" i="19"/>
  <c r="CX24" i="19" s="1"/>
  <c r="HI24" i="19"/>
  <c r="HI30" i="19"/>
  <c r="HH30" i="19"/>
  <c r="HG30" i="19"/>
  <c r="HF30" i="19"/>
  <c r="HE30" i="19"/>
  <c r="CX30" i="19" s="1"/>
  <c r="HG36" i="19"/>
  <c r="HF36" i="19"/>
  <c r="HE36" i="19"/>
  <c r="CX36" i="19" s="1"/>
  <c r="HH36" i="19"/>
  <c r="HI36" i="19"/>
  <c r="HI42" i="19"/>
  <c r="HH42" i="19"/>
  <c r="HG42" i="19"/>
  <c r="HF42" i="19"/>
  <c r="HE42" i="19"/>
  <c r="CX42" i="19" s="1"/>
  <c r="HG48" i="19"/>
  <c r="HF48" i="19"/>
  <c r="ID48" i="19"/>
  <c r="HE48" i="19"/>
  <c r="CX48" i="19" s="1"/>
  <c r="IC48" i="19"/>
  <c r="IB48" i="19"/>
  <c r="IA48" i="19"/>
  <c r="HZ48" i="19"/>
  <c r="HH48" i="19"/>
  <c r="HI48" i="19"/>
  <c r="HH7" i="19"/>
  <c r="HG7" i="19"/>
  <c r="HI7" i="19"/>
  <c r="HF7" i="19"/>
  <c r="HE7" i="19"/>
  <c r="CX7" i="19" s="1"/>
  <c r="HI13" i="19"/>
  <c r="HG13" i="19"/>
  <c r="HH13" i="19"/>
  <c r="HF13" i="19"/>
  <c r="HE13" i="19"/>
  <c r="CX13" i="19" s="1"/>
  <c r="HH19" i="19"/>
  <c r="HG19" i="19"/>
  <c r="HF19" i="19"/>
  <c r="HE19" i="19"/>
  <c r="CX19" i="19" s="1"/>
  <c r="HI19" i="19"/>
  <c r="HI25" i="19"/>
  <c r="HH25" i="19"/>
  <c r="HG25" i="19"/>
  <c r="HF25" i="19"/>
  <c r="HE25" i="19"/>
  <c r="CX25" i="19" s="1"/>
  <c r="HH31" i="19"/>
  <c r="HG31" i="19"/>
  <c r="HF31" i="19"/>
  <c r="HE31" i="19"/>
  <c r="CX31" i="19" s="1"/>
  <c r="HI31" i="19"/>
  <c r="HI37" i="19"/>
  <c r="HH37" i="19"/>
  <c r="HG37" i="19"/>
  <c r="HF37" i="19"/>
  <c r="HE37" i="19"/>
  <c r="CX37" i="19" s="1"/>
  <c r="HH43" i="19"/>
  <c r="HG43" i="19"/>
  <c r="HF43" i="19"/>
  <c r="ID43" i="19"/>
  <c r="HE43" i="19"/>
  <c r="CX43" i="19" s="1"/>
  <c r="IC43" i="19"/>
  <c r="IB43" i="19"/>
  <c r="IA43" i="19"/>
  <c r="HZ43" i="19"/>
  <c r="HI43" i="19"/>
  <c r="IA49" i="19"/>
  <c r="HZ49" i="19"/>
  <c r="HI49" i="19"/>
  <c r="HH49" i="19"/>
  <c r="IB49" i="19"/>
  <c r="HG49" i="19"/>
  <c r="HF49" i="19"/>
  <c r="ID49" i="19"/>
  <c r="HE49" i="19"/>
  <c r="CX49" i="19" s="1"/>
  <c r="IC49" i="19"/>
  <c r="BH39" i="11"/>
  <c r="CW51" i="17"/>
  <c r="BE39" i="11"/>
  <c r="AF6" i="3"/>
  <c r="AF7" i="3" s="1"/>
  <c r="HU5" i="19"/>
  <c r="GS5" i="19" s="1"/>
  <c r="GZ5" i="19"/>
  <c r="BQ5" i="19" s="1"/>
  <c r="GU5" i="19"/>
  <c r="AJ5" i="19" s="1"/>
  <c r="BP7" i="13"/>
  <c r="BP8" i="13" s="1"/>
  <c r="CR7" i="13"/>
  <c r="BQ8" i="13"/>
  <c r="CR8" i="13"/>
  <c r="AV7" i="5"/>
  <c r="BK39" i="11"/>
  <c r="AJ39" i="11"/>
  <c r="AM39" i="11"/>
  <c r="AP39" i="11"/>
  <c r="AS39" i="11"/>
  <c r="AV39" i="11"/>
  <c r="AY39" i="11"/>
  <c r="BB39" i="11"/>
  <c r="DZ52" i="18"/>
  <c r="DZ53" i="18"/>
  <c r="DZ54" i="18"/>
  <c r="CW52" i="17"/>
  <c r="CW53" i="17"/>
  <c r="HN5" i="19"/>
  <c r="HK19" i="19"/>
  <c r="HJ27" i="19"/>
  <c r="EE27" i="19" s="1"/>
  <c r="HO31" i="19"/>
  <c r="FL31" i="19" s="1"/>
  <c r="HY35" i="19"/>
  <c r="HD39" i="19"/>
  <c r="HU43" i="19"/>
  <c r="GS43" i="19" s="1"/>
  <c r="HO6" i="19"/>
  <c r="FL6" i="19" s="1"/>
  <c r="HM16" i="19"/>
  <c r="HQ20" i="19"/>
  <c r="HK26" i="19"/>
  <c r="HS30" i="19"/>
  <c r="HQ7" i="19"/>
  <c r="HJ9" i="19"/>
  <c r="EE9" i="19" s="1"/>
  <c r="HK13" i="19"/>
  <c r="HN17" i="19"/>
  <c r="HM21" i="19"/>
  <c r="HK25" i="19"/>
  <c r="HN33" i="19"/>
  <c r="HR37" i="19"/>
  <c r="HQ45" i="19"/>
  <c r="HA49" i="19"/>
  <c r="HQ8" i="19"/>
  <c r="HK10" i="19"/>
  <c r="HK14" i="19"/>
  <c r="HO18" i="19"/>
  <c r="FL18" i="19" s="1"/>
  <c r="HN22" i="19"/>
  <c r="HJ32" i="19"/>
  <c r="EE32" i="19" s="1"/>
  <c r="HL38" i="19"/>
  <c r="HJ40" i="19"/>
  <c r="EE40" i="19" s="1"/>
  <c r="HR44" i="19"/>
  <c r="HB48" i="19"/>
  <c r="HO32" i="19"/>
  <c r="FL32" i="19" s="1"/>
  <c r="HA36" i="19"/>
  <c r="S13" i="2"/>
  <c r="S25" i="2"/>
  <c r="S16" i="2"/>
  <c r="S21" i="2"/>
  <c r="S28" i="2"/>
  <c r="S33" i="2"/>
  <c r="S37" i="2"/>
  <c r="S40" i="2"/>
  <c r="S45" i="2"/>
  <c r="HR12" i="19"/>
  <c r="HP14" i="19"/>
  <c r="GX20" i="19"/>
  <c r="HP24" i="19"/>
  <c r="HN26" i="19"/>
  <c r="GY7" i="19"/>
  <c r="HQ11" i="19"/>
  <c r="HN14" i="19"/>
  <c r="GW19" i="19"/>
  <c r="HD26" i="19"/>
  <c r="GY32" i="19"/>
  <c r="S20" i="2"/>
  <c r="S32" i="2"/>
  <c r="S44" i="2"/>
  <c r="GY19" i="19"/>
  <c r="HK7" i="19"/>
  <c r="HD12" i="19"/>
  <c r="GZ16" i="19"/>
  <c r="BQ16" i="19" s="1"/>
  <c r="HS23" i="19"/>
  <c r="HP26" i="19"/>
  <c r="HR32" i="19"/>
  <c r="S22" i="2"/>
  <c r="S34" i="2"/>
  <c r="S46" i="2"/>
  <c r="HD5" i="19"/>
  <c r="GV8" i="19"/>
  <c r="HL16" i="19"/>
  <c r="HD24" i="19"/>
  <c r="GZ28" i="19"/>
  <c r="BQ28" i="19" s="1"/>
  <c r="GV35" i="19"/>
  <c r="S11" i="2"/>
  <c r="S23" i="2"/>
  <c r="S35" i="2"/>
  <c r="S47" i="2"/>
  <c r="HS11" i="19"/>
  <c r="HQ23" i="19"/>
  <c r="GX8" i="19"/>
  <c r="HP12" i="19"/>
  <c r="GY17" i="19"/>
  <c r="GV20" i="19"/>
  <c r="HM28" i="19"/>
  <c r="GU36" i="19"/>
  <c r="AJ36" i="19" s="1"/>
  <c r="S12" i="2"/>
  <c r="S24" i="2"/>
  <c r="S36" i="2"/>
  <c r="HA17" i="19"/>
  <c r="HR5" i="19"/>
  <c r="HJ8" i="19"/>
  <c r="EE8" i="19" s="1"/>
  <c r="HC13" i="19"/>
  <c r="HK17" i="19"/>
  <c r="HR24" i="19"/>
  <c r="HA37" i="19"/>
  <c r="S14" i="2"/>
  <c r="S26" i="2"/>
  <c r="S38" i="2"/>
  <c r="GX6" i="19"/>
  <c r="HM17" i="19"/>
  <c r="HJ20" i="19"/>
  <c r="EE20" i="19" s="1"/>
  <c r="HC25" i="19"/>
  <c r="GU30" i="19"/>
  <c r="AJ30" i="19" s="1"/>
  <c r="S15" i="2"/>
  <c r="S27" i="2"/>
  <c r="S39" i="2"/>
  <c r="HP5" i="19"/>
  <c r="GZ6" i="19"/>
  <c r="BQ6" i="19" s="1"/>
  <c r="HR10" i="19"/>
  <c r="HO13" i="19"/>
  <c r="FL13" i="19" s="1"/>
  <c r="GX18" i="19"/>
  <c r="GX30" i="19"/>
  <c r="GU43" i="19"/>
  <c r="AJ43" i="19" s="1"/>
  <c r="HJ6" i="19"/>
  <c r="EE6" i="19" s="1"/>
  <c r="GU11" i="19"/>
  <c r="AJ11" i="19" s="1"/>
  <c r="HQ13" i="19"/>
  <c r="GZ18" i="19"/>
  <c r="BQ18" i="19" s="1"/>
  <c r="HR22" i="19"/>
  <c r="HO25" i="19"/>
  <c r="FL25" i="19" s="1"/>
  <c r="HK30" i="19"/>
  <c r="HS43" i="19"/>
  <c r="S17" i="2"/>
  <c r="S29" i="2"/>
  <c r="S41" i="2"/>
  <c r="HL6" i="19"/>
  <c r="HB14" i="19"/>
  <c r="HJ18" i="19"/>
  <c r="EE18" i="19" s="1"/>
  <c r="GU23" i="19"/>
  <c r="AJ23" i="19" s="1"/>
  <c r="HQ25" i="19"/>
  <c r="HM30" i="19"/>
  <c r="HN48" i="19"/>
  <c r="S18" i="2"/>
  <c r="S30" i="2"/>
  <c r="S42" i="2"/>
  <c r="GW7" i="19"/>
  <c r="HD14" i="19"/>
  <c r="HL18" i="19"/>
  <c r="HB26" i="19"/>
  <c r="GW32" i="19"/>
  <c r="HM49" i="19"/>
  <c r="S19" i="2"/>
  <c r="S31" i="2"/>
  <c r="HY15" i="19"/>
  <c r="HX15" i="19"/>
  <c r="HW15" i="19"/>
  <c r="HV15" i="19"/>
  <c r="HU15" i="19"/>
  <c r="HO15" i="19"/>
  <c r="FL15" i="19" s="1"/>
  <c r="GV22" i="19"/>
  <c r="HY19" i="19"/>
  <c r="HX19" i="19"/>
  <c r="HW19" i="19"/>
  <c r="HV19" i="19"/>
  <c r="HC5" i="19"/>
  <c r="HO5" i="19"/>
  <c r="FL5" i="19" s="1"/>
  <c r="GW6" i="19"/>
  <c r="GV7" i="19"/>
  <c r="GU8" i="19"/>
  <c r="AJ8" i="19" s="1"/>
  <c r="HS8" i="19"/>
  <c r="HR9" i="19"/>
  <c r="HQ10" i="19"/>
  <c r="HD11" i="19"/>
  <c r="HP11" i="19"/>
  <c r="HC12" i="19"/>
  <c r="HO12" i="19"/>
  <c r="FL12" i="19" s="1"/>
  <c r="HB13" i="19"/>
  <c r="HN13" i="19"/>
  <c r="HA14" i="19"/>
  <c r="HM14" i="19"/>
  <c r="GZ15" i="19"/>
  <c r="BQ15" i="19" s="1"/>
  <c r="HL15" i="19"/>
  <c r="GY16" i="19"/>
  <c r="HK16" i="19"/>
  <c r="GX17" i="19"/>
  <c r="HJ17" i="19"/>
  <c r="EE17" i="19" s="1"/>
  <c r="GW18" i="19"/>
  <c r="GV19" i="19"/>
  <c r="GU20" i="19"/>
  <c r="AJ20" i="19" s="1"/>
  <c r="HS20" i="19"/>
  <c r="HR21" i="19"/>
  <c r="HQ22" i="19"/>
  <c r="HD23" i="19"/>
  <c r="HP23" i="19"/>
  <c r="HC24" i="19"/>
  <c r="HO24" i="19"/>
  <c r="FL24" i="19" s="1"/>
  <c r="HB25" i="19"/>
  <c r="HN25" i="19"/>
  <c r="HA26" i="19"/>
  <c r="HM26" i="19"/>
  <c r="GZ27" i="19"/>
  <c r="BQ27" i="19" s="1"/>
  <c r="HL27" i="19"/>
  <c r="GY28" i="19"/>
  <c r="HL28" i="19"/>
  <c r="HB29" i="19"/>
  <c r="HS29" i="19"/>
  <c r="HJ30" i="19"/>
  <c r="EE30" i="19" s="1"/>
  <c r="HC31" i="19"/>
  <c r="GV32" i="19"/>
  <c r="HN32" i="19"/>
  <c r="GZ34" i="19"/>
  <c r="BQ34" i="19" s="1"/>
  <c r="HR34" i="19"/>
  <c r="HR35" i="19"/>
  <c r="GZ37" i="19"/>
  <c r="BQ37" i="19" s="1"/>
  <c r="GU39" i="19"/>
  <c r="AJ39" i="19" s="1"/>
  <c r="HV26" i="19"/>
  <c r="HA15" i="19"/>
  <c r="HD31" i="19"/>
  <c r="HA34" i="19"/>
  <c r="HS34" i="19"/>
  <c r="GY39" i="19"/>
  <c r="HX28" i="19"/>
  <c r="HQ5" i="19"/>
  <c r="GY6" i="19"/>
  <c r="HK6" i="19"/>
  <c r="GX7" i="19"/>
  <c r="HJ7" i="19"/>
  <c r="EE7" i="19" s="1"/>
  <c r="GW8" i="19"/>
  <c r="GV9" i="19"/>
  <c r="GU10" i="19"/>
  <c r="AJ10" i="19" s="1"/>
  <c r="HS10" i="19"/>
  <c r="HR11" i="19"/>
  <c r="HQ12" i="19"/>
  <c r="HD13" i="19"/>
  <c r="HP13" i="19"/>
  <c r="HC14" i="19"/>
  <c r="HO14" i="19"/>
  <c r="FL14" i="19" s="1"/>
  <c r="HB15" i="19"/>
  <c r="HN15" i="19"/>
  <c r="HA16" i="19"/>
  <c r="GZ17" i="19"/>
  <c r="BQ17" i="19" s="1"/>
  <c r="HL17" i="19"/>
  <c r="GY18" i="19"/>
  <c r="HK18" i="19"/>
  <c r="GX19" i="19"/>
  <c r="HJ19" i="19"/>
  <c r="EE19" i="19" s="1"/>
  <c r="GW20" i="19"/>
  <c r="GV21" i="19"/>
  <c r="GU22" i="19"/>
  <c r="AJ22" i="19" s="1"/>
  <c r="HS22" i="19"/>
  <c r="HR23" i="19"/>
  <c r="HQ24" i="19"/>
  <c r="HD25" i="19"/>
  <c r="HP25" i="19"/>
  <c r="HC26" i="19"/>
  <c r="HO26" i="19"/>
  <c r="FL26" i="19" s="1"/>
  <c r="HB27" i="19"/>
  <c r="HN27" i="19"/>
  <c r="HA28" i="19"/>
  <c r="HN28" i="19"/>
  <c r="GV30" i="19"/>
  <c r="HL30" i="19"/>
  <c r="GX32" i="19"/>
  <c r="HQ32" i="19"/>
  <c r="HC34" i="19"/>
  <c r="GU35" i="19"/>
  <c r="AJ35" i="19" s="1"/>
  <c r="GX36" i="19"/>
  <c r="HU31" i="19"/>
  <c r="GW39" i="19"/>
  <c r="GV39" i="19"/>
  <c r="HY39" i="19"/>
  <c r="HS39" i="19"/>
  <c r="HX39" i="19"/>
  <c r="HR39" i="19"/>
  <c r="HW39" i="19"/>
  <c r="HQ39" i="19"/>
  <c r="HV39" i="19"/>
  <c r="HU39" i="19"/>
  <c r="HO39" i="19"/>
  <c r="FL39" i="19" s="1"/>
  <c r="HC39" i="19"/>
  <c r="HN39" i="19"/>
  <c r="HB39" i="19"/>
  <c r="HM39" i="19"/>
  <c r="HA39" i="19"/>
  <c r="HL39" i="19"/>
  <c r="GZ39" i="19"/>
  <c r="BQ39" i="19" s="1"/>
  <c r="HJ39" i="19"/>
  <c r="EE39" i="19" s="1"/>
  <c r="GX39" i="19"/>
  <c r="HM15" i="19"/>
  <c r="HV16" i="19"/>
  <c r="HU16" i="19"/>
  <c r="HY16" i="19"/>
  <c r="HW16" i="19"/>
  <c r="HS5" i="19"/>
  <c r="HA6" i="19"/>
  <c r="HM6" i="19"/>
  <c r="GZ7" i="19"/>
  <c r="BQ7" i="19" s="1"/>
  <c r="HL7" i="19"/>
  <c r="GY8" i="19"/>
  <c r="HK8" i="19"/>
  <c r="GX9" i="19"/>
  <c r="GW10" i="19"/>
  <c r="GV11" i="19"/>
  <c r="GU12" i="19"/>
  <c r="AJ12" i="19" s="1"/>
  <c r="HS12" i="19"/>
  <c r="HR13" i="19"/>
  <c r="HQ14" i="19"/>
  <c r="HD15" i="19"/>
  <c r="HP15" i="19"/>
  <c r="HC16" i="19"/>
  <c r="HO16" i="19"/>
  <c r="FL16" i="19" s="1"/>
  <c r="HB17" i="19"/>
  <c r="HA18" i="19"/>
  <c r="HM18" i="19"/>
  <c r="GZ19" i="19"/>
  <c r="BQ19" i="19" s="1"/>
  <c r="HL19" i="19"/>
  <c r="GY20" i="19"/>
  <c r="HK20" i="19"/>
  <c r="GX21" i="19"/>
  <c r="HJ21" i="19"/>
  <c r="EE21" i="19" s="1"/>
  <c r="GW22" i="19"/>
  <c r="GV23" i="19"/>
  <c r="GU24" i="19"/>
  <c r="AJ24" i="19" s="1"/>
  <c r="HS24" i="19"/>
  <c r="HR25" i="19"/>
  <c r="HQ26" i="19"/>
  <c r="HD27" i="19"/>
  <c r="HP27" i="19"/>
  <c r="HC28" i="19"/>
  <c r="HR28" i="19"/>
  <c r="GY30" i="19"/>
  <c r="HP30" i="19"/>
  <c r="HB32" i="19"/>
  <c r="GU33" i="19"/>
  <c r="AJ33" i="19" s="1"/>
  <c r="HM33" i="19"/>
  <c r="GY35" i="19"/>
  <c r="HB36" i="19"/>
  <c r="HM37" i="19"/>
  <c r="HK39" i="19"/>
  <c r="HU7" i="19"/>
  <c r="HU9" i="19"/>
  <c r="HY9" i="19"/>
  <c r="HX9" i="19"/>
  <c r="HV9" i="19"/>
  <c r="HS9" i="19"/>
  <c r="GU21" i="19"/>
  <c r="AJ21" i="19" s="1"/>
  <c r="HS21" i="19"/>
  <c r="HA27" i="19"/>
  <c r="HO27" i="19"/>
  <c r="FL27" i="19" s="1"/>
  <c r="HB28" i="19"/>
  <c r="HJ33" i="19"/>
  <c r="EE33" i="19" s="1"/>
  <c r="HD34" i="19"/>
  <c r="HW11" i="19"/>
  <c r="HV11" i="19"/>
  <c r="HU11" i="19"/>
  <c r="HX11" i="19"/>
  <c r="HY17" i="19"/>
  <c r="HX17" i="19"/>
  <c r="HW17" i="19"/>
  <c r="HV17" i="19"/>
  <c r="HU17" i="19"/>
  <c r="HW23" i="19"/>
  <c r="HV23" i="19"/>
  <c r="HU23" i="19"/>
  <c r="GS23" i="19" s="1"/>
  <c r="HX23" i="19"/>
  <c r="HP29" i="19"/>
  <c r="HD29" i="19"/>
  <c r="HY29" i="19"/>
  <c r="HO29" i="19"/>
  <c r="FL29" i="19" s="1"/>
  <c r="HC29" i="19"/>
  <c r="HX29" i="19"/>
  <c r="HW29" i="19"/>
  <c r="HV29" i="19"/>
  <c r="HU29" i="19"/>
  <c r="HJ29" i="19"/>
  <c r="EE29" i="19" s="1"/>
  <c r="GX29" i="19"/>
  <c r="HW35" i="19"/>
  <c r="HM35" i="19"/>
  <c r="HA35" i="19"/>
  <c r="HV35" i="19"/>
  <c r="HL35" i="19"/>
  <c r="GZ35" i="19"/>
  <c r="BQ35" i="19" s="1"/>
  <c r="HU35" i="19"/>
  <c r="HJ35" i="19"/>
  <c r="EE35" i="19" s="1"/>
  <c r="GX35" i="19"/>
  <c r="GW35" i="19"/>
  <c r="HS35" i="19"/>
  <c r="HQ35" i="19"/>
  <c r="HP35" i="19"/>
  <c r="HD35" i="19"/>
  <c r="HX35" i="19"/>
  <c r="HS41" i="19"/>
  <c r="GU41" i="19"/>
  <c r="AJ41" i="19" s="1"/>
  <c r="HR41" i="19"/>
  <c r="HQ41" i="19"/>
  <c r="HP41" i="19"/>
  <c r="HD41" i="19"/>
  <c r="HY41" i="19"/>
  <c r="HO41" i="19"/>
  <c r="FL41" i="19" s="1"/>
  <c r="HC41" i="19"/>
  <c r="HX41" i="19"/>
  <c r="HN41" i="19"/>
  <c r="HB41" i="19"/>
  <c r="HW41" i="19"/>
  <c r="HM41" i="19"/>
  <c r="HA41" i="19"/>
  <c r="HV41" i="19"/>
  <c r="HL41" i="19"/>
  <c r="GZ41" i="19"/>
  <c r="BQ41" i="19" s="1"/>
  <c r="HU41" i="19"/>
  <c r="HK41" i="19"/>
  <c r="GY41" i="19"/>
  <c r="HJ41" i="19"/>
  <c r="EE41" i="19" s="1"/>
  <c r="GX41" i="19"/>
  <c r="GV41" i="19"/>
  <c r="HW47" i="19"/>
  <c r="HM47" i="19"/>
  <c r="HA47" i="19"/>
  <c r="HV47" i="19"/>
  <c r="HL47" i="19"/>
  <c r="GZ47" i="19"/>
  <c r="BQ47" i="19" s="1"/>
  <c r="HU47" i="19"/>
  <c r="HK47" i="19"/>
  <c r="GY47" i="19"/>
  <c r="HJ47" i="19"/>
  <c r="EE47" i="19" s="1"/>
  <c r="GX47" i="19"/>
  <c r="GW47" i="19"/>
  <c r="GV47" i="19"/>
  <c r="HS47" i="19"/>
  <c r="GU47" i="19"/>
  <c r="AJ47" i="19" s="1"/>
  <c r="HR47" i="19"/>
  <c r="HQ47" i="19"/>
  <c r="HP47" i="19"/>
  <c r="HD47" i="19"/>
  <c r="HX47" i="19"/>
  <c r="HN47" i="19"/>
  <c r="HB47" i="19"/>
  <c r="GV5" i="19"/>
  <c r="HB6" i="19"/>
  <c r="HN6" i="19"/>
  <c r="HA7" i="19"/>
  <c r="HM7" i="19"/>
  <c r="GZ8" i="19"/>
  <c r="BQ8" i="19" s="1"/>
  <c r="HL8" i="19"/>
  <c r="GY9" i="19"/>
  <c r="HK9" i="19"/>
  <c r="GX10" i="19"/>
  <c r="HJ10" i="19"/>
  <c r="EE10" i="19" s="1"/>
  <c r="GW11" i="19"/>
  <c r="GV12" i="19"/>
  <c r="GU13" i="19"/>
  <c r="AJ13" i="19" s="1"/>
  <c r="HS13" i="19"/>
  <c r="HR14" i="19"/>
  <c r="HQ15" i="19"/>
  <c r="HD16" i="19"/>
  <c r="HP16" i="19"/>
  <c r="HC17" i="19"/>
  <c r="HO17" i="19"/>
  <c r="FL17" i="19" s="1"/>
  <c r="HB18" i="19"/>
  <c r="HN18" i="19"/>
  <c r="HA19" i="19"/>
  <c r="HM19" i="19"/>
  <c r="GZ20" i="19"/>
  <c r="BQ20" i="19" s="1"/>
  <c r="HL20" i="19"/>
  <c r="GY21" i="19"/>
  <c r="HK21" i="19"/>
  <c r="GX22" i="19"/>
  <c r="HJ22" i="19"/>
  <c r="EE22" i="19" s="1"/>
  <c r="GW23" i="19"/>
  <c r="GV24" i="19"/>
  <c r="GU25" i="19"/>
  <c r="AJ25" i="19" s="1"/>
  <c r="HS25" i="19"/>
  <c r="HR26" i="19"/>
  <c r="HQ27" i="19"/>
  <c r="HD28" i="19"/>
  <c r="HS28" i="19"/>
  <c r="GZ30" i="19"/>
  <c r="BQ30" i="19" s="1"/>
  <c r="HQ30" i="19"/>
  <c r="HJ31" i="19"/>
  <c r="EE31" i="19" s="1"/>
  <c r="HC32" i="19"/>
  <c r="GV33" i="19"/>
  <c r="HB35" i="19"/>
  <c r="HP39" i="19"/>
  <c r="HW9" i="19"/>
  <c r="HV38" i="19"/>
  <c r="HU33" i="19"/>
  <c r="HO33" i="19"/>
  <c r="FL33" i="19" s="1"/>
  <c r="HC33" i="19"/>
  <c r="HL33" i="19"/>
  <c r="GZ33" i="19"/>
  <c r="BQ33" i="19" s="1"/>
  <c r="HK33" i="19"/>
  <c r="GY33" i="19"/>
  <c r="HY33" i="19"/>
  <c r="HX33" i="19"/>
  <c r="HR33" i="19"/>
  <c r="HV33" i="19"/>
  <c r="HN34" i="19"/>
  <c r="HB34" i="19"/>
  <c r="HY34" i="19"/>
  <c r="HK34" i="19"/>
  <c r="GY34" i="19"/>
  <c r="HX34" i="19"/>
  <c r="HJ34" i="19"/>
  <c r="EE34" i="19" s="1"/>
  <c r="GX34" i="19"/>
  <c r="HW34" i="19"/>
  <c r="HV34" i="19"/>
  <c r="HU34" i="19"/>
  <c r="HQ34" i="19"/>
  <c r="HN46" i="19"/>
  <c r="HB46" i="19"/>
  <c r="HM46" i="19"/>
  <c r="HA46" i="19"/>
  <c r="HL46" i="19"/>
  <c r="GZ46" i="19"/>
  <c r="BQ46" i="19" s="1"/>
  <c r="HY46" i="19"/>
  <c r="HK46" i="19"/>
  <c r="GY46" i="19"/>
  <c r="HX46" i="19"/>
  <c r="HJ46" i="19"/>
  <c r="EE46" i="19" s="1"/>
  <c r="GX46" i="19"/>
  <c r="HW46" i="19"/>
  <c r="GW46" i="19"/>
  <c r="HV46" i="19"/>
  <c r="GV46" i="19"/>
  <c r="HU46" i="19"/>
  <c r="HS46" i="19"/>
  <c r="GU46" i="19"/>
  <c r="AJ46" i="19" s="1"/>
  <c r="HR46" i="19"/>
  <c r="HQ46" i="19"/>
  <c r="HO46" i="19"/>
  <c r="FL46" i="19" s="1"/>
  <c r="HC46" i="19"/>
  <c r="GW5" i="19"/>
  <c r="HV5" i="19"/>
  <c r="HC6" i="19"/>
  <c r="HB7" i="19"/>
  <c r="HN7" i="19"/>
  <c r="HA8" i="19"/>
  <c r="HM8" i="19"/>
  <c r="GZ9" i="19"/>
  <c r="BQ9" i="19" s="1"/>
  <c r="HL9" i="19"/>
  <c r="GY10" i="19"/>
  <c r="GX11" i="19"/>
  <c r="HJ11" i="19"/>
  <c r="EE11" i="19" s="1"/>
  <c r="GW12" i="19"/>
  <c r="GV13" i="19"/>
  <c r="GU14" i="19"/>
  <c r="AJ14" i="19" s="1"/>
  <c r="HS14" i="19"/>
  <c r="HR15" i="19"/>
  <c r="HQ16" i="19"/>
  <c r="HD17" i="19"/>
  <c r="HP17" i="19"/>
  <c r="HC18" i="19"/>
  <c r="HB19" i="19"/>
  <c r="HN19" i="19"/>
  <c r="HA20" i="19"/>
  <c r="HM20" i="19"/>
  <c r="GZ21" i="19"/>
  <c r="BQ21" i="19" s="1"/>
  <c r="HL21" i="19"/>
  <c r="GY22" i="19"/>
  <c r="HK22" i="19"/>
  <c r="GX23" i="19"/>
  <c r="HJ23" i="19"/>
  <c r="EE23" i="19" s="1"/>
  <c r="GW24" i="19"/>
  <c r="GV25" i="19"/>
  <c r="GU26" i="19"/>
  <c r="AJ26" i="19" s="1"/>
  <c r="HS26" i="19"/>
  <c r="HR27" i="19"/>
  <c r="GU29" i="19"/>
  <c r="AJ29" i="19" s="1"/>
  <c r="HK29" i="19"/>
  <c r="HA30" i="19"/>
  <c r="HK31" i="19"/>
  <c r="GW33" i="19"/>
  <c r="HP33" i="19"/>
  <c r="HC35" i="19"/>
  <c r="GV38" i="19"/>
  <c r="GX40" i="19"/>
  <c r="HY11" i="19"/>
  <c r="HX40" i="19"/>
  <c r="HY10" i="19"/>
  <c r="HX10" i="19"/>
  <c r="HW10" i="19"/>
  <c r="HV10" i="19"/>
  <c r="HU10" i="19"/>
  <c r="HX6" i="19"/>
  <c r="HW6" i="19"/>
  <c r="HV6" i="19"/>
  <c r="HU6" i="19"/>
  <c r="HY6" i="19"/>
  <c r="HY12" i="19"/>
  <c r="HX12" i="19"/>
  <c r="HW12" i="19"/>
  <c r="HV12" i="19"/>
  <c r="HU12" i="19"/>
  <c r="HX18" i="19"/>
  <c r="HW18" i="19"/>
  <c r="HV18" i="19"/>
  <c r="HU18" i="19"/>
  <c r="HY18" i="19"/>
  <c r="HY24" i="19"/>
  <c r="HX24" i="19"/>
  <c r="HW24" i="19"/>
  <c r="HV24" i="19"/>
  <c r="HU24" i="19"/>
  <c r="HX30" i="19"/>
  <c r="HR30" i="19"/>
  <c r="HW30" i="19"/>
  <c r="HV30" i="19"/>
  <c r="HU30" i="19"/>
  <c r="HO30" i="19"/>
  <c r="FL30" i="19" s="1"/>
  <c r="HC30" i="19"/>
  <c r="HN30" i="19"/>
  <c r="HB30" i="19"/>
  <c r="GW30" i="19"/>
  <c r="HY30" i="19"/>
  <c r="HL36" i="19"/>
  <c r="GZ36" i="19"/>
  <c r="BQ36" i="19" s="1"/>
  <c r="HK36" i="19"/>
  <c r="GY36" i="19"/>
  <c r="GW36" i="19"/>
  <c r="GV36" i="19"/>
  <c r="HY36" i="19"/>
  <c r="HX36" i="19"/>
  <c r="HR36" i="19"/>
  <c r="HW36" i="19"/>
  <c r="HQ36" i="19"/>
  <c r="HV36" i="19"/>
  <c r="HP36" i="19"/>
  <c r="HD36" i="19"/>
  <c r="HU36" i="19"/>
  <c r="HO36" i="19"/>
  <c r="FL36" i="19" s="1"/>
  <c r="HC36" i="19"/>
  <c r="HX42" i="19"/>
  <c r="HR42" i="19"/>
  <c r="HW42" i="19"/>
  <c r="HQ42" i="19"/>
  <c r="HV42" i="19"/>
  <c r="HP42" i="19"/>
  <c r="HD42" i="19"/>
  <c r="HU42" i="19"/>
  <c r="HO42" i="19"/>
  <c r="FL42" i="19" s="1"/>
  <c r="HC42" i="19"/>
  <c r="HN42" i="19"/>
  <c r="HB42" i="19"/>
  <c r="HM42" i="19"/>
  <c r="HA42" i="19"/>
  <c r="HL42" i="19"/>
  <c r="GZ42" i="19"/>
  <c r="BQ42" i="19" s="1"/>
  <c r="HK42" i="19"/>
  <c r="GY42" i="19"/>
  <c r="HJ42" i="19"/>
  <c r="EE42" i="19" s="1"/>
  <c r="GX42" i="19"/>
  <c r="GW42" i="19"/>
  <c r="HY42" i="19"/>
  <c r="HS42" i="19"/>
  <c r="GU42" i="19"/>
  <c r="AJ42" i="19" s="1"/>
  <c r="HL48" i="19"/>
  <c r="GZ48" i="19"/>
  <c r="BQ48" i="19" s="1"/>
  <c r="HK48" i="19"/>
  <c r="GY48" i="19"/>
  <c r="HJ48" i="19"/>
  <c r="EE48" i="19" s="1"/>
  <c r="GX48" i="19"/>
  <c r="GW48" i="19"/>
  <c r="GV48" i="19"/>
  <c r="HY48" i="19"/>
  <c r="HS48" i="19"/>
  <c r="GU48" i="19"/>
  <c r="AJ48" i="19" s="1"/>
  <c r="HX48" i="19"/>
  <c r="HR48" i="19"/>
  <c r="HW48" i="19"/>
  <c r="HQ48" i="19"/>
  <c r="HV48" i="19"/>
  <c r="HP48" i="19"/>
  <c r="HD48" i="19"/>
  <c r="HU48" i="19"/>
  <c r="HO48" i="19"/>
  <c r="FL48" i="19" s="1"/>
  <c r="HC48" i="19"/>
  <c r="HM48" i="19"/>
  <c r="HA48" i="19"/>
  <c r="GX5" i="19"/>
  <c r="HJ5" i="19"/>
  <c r="EE5" i="19" s="1"/>
  <c r="HW5" i="19"/>
  <c r="HD6" i="19"/>
  <c r="HP6" i="19"/>
  <c r="HC7" i="19"/>
  <c r="HO7" i="19"/>
  <c r="FL7" i="19" s="1"/>
  <c r="HB8" i="19"/>
  <c r="HN8" i="19"/>
  <c r="HA9" i="19"/>
  <c r="HM9" i="19"/>
  <c r="GZ10" i="19"/>
  <c r="BQ10" i="19" s="1"/>
  <c r="HL10" i="19"/>
  <c r="GY11" i="19"/>
  <c r="HK11" i="19"/>
  <c r="GX12" i="19"/>
  <c r="HJ12" i="19"/>
  <c r="EE12" i="19" s="1"/>
  <c r="GW13" i="19"/>
  <c r="GV14" i="19"/>
  <c r="GU15" i="19"/>
  <c r="AJ15" i="19" s="1"/>
  <c r="HS15" i="19"/>
  <c r="HR16" i="19"/>
  <c r="HQ17" i="19"/>
  <c r="HD18" i="19"/>
  <c r="HP18" i="19"/>
  <c r="HC19" i="19"/>
  <c r="HO19" i="19"/>
  <c r="FL19" i="19" s="1"/>
  <c r="HB20" i="19"/>
  <c r="HN20" i="19"/>
  <c r="HA21" i="19"/>
  <c r="GZ22" i="19"/>
  <c r="BQ22" i="19" s="1"/>
  <c r="HL22" i="19"/>
  <c r="GY23" i="19"/>
  <c r="HK23" i="19"/>
  <c r="GX24" i="19"/>
  <c r="HJ24" i="19"/>
  <c r="EE24" i="19" s="1"/>
  <c r="GW25" i="19"/>
  <c r="GV26" i="19"/>
  <c r="GU27" i="19"/>
  <c r="AJ27" i="19" s="1"/>
  <c r="HS27" i="19"/>
  <c r="GV29" i="19"/>
  <c r="HL29" i="19"/>
  <c r="HD30" i="19"/>
  <c r="GU31" i="19"/>
  <c r="AJ31" i="19" s="1"/>
  <c r="HL31" i="19"/>
  <c r="GX33" i="19"/>
  <c r="HQ33" i="19"/>
  <c r="HJ36" i="19"/>
  <c r="EE36" i="19" s="1"/>
  <c r="GZ38" i="19"/>
  <c r="BQ38" i="19" s="1"/>
  <c r="HC40" i="19"/>
  <c r="HV14" i="19"/>
  <c r="HU21" i="19"/>
  <c r="HY21" i="19"/>
  <c r="HX21" i="19"/>
  <c r="HV21" i="19"/>
  <c r="HU45" i="19"/>
  <c r="HO45" i="19"/>
  <c r="FL45" i="19" s="1"/>
  <c r="HC45" i="19"/>
  <c r="HN45" i="19"/>
  <c r="HB45" i="19"/>
  <c r="HM45" i="19"/>
  <c r="HA45" i="19"/>
  <c r="HL45" i="19"/>
  <c r="GZ45" i="19"/>
  <c r="BQ45" i="19" s="1"/>
  <c r="HK45" i="19"/>
  <c r="GY45" i="19"/>
  <c r="HJ45" i="19"/>
  <c r="EE45" i="19" s="1"/>
  <c r="GX45" i="19"/>
  <c r="GW45" i="19"/>
  <c r="GV45" i="19"/>
  <c r="HY45" i="19"/>
  <c r="HS45" i="19"/>
  <c r="GU45" i="19"/>
  <c r="AJ45" i="19" s="1"/>
  <c r="HX45" i="19"/>
  <c r="HR45" i="19"/>
  <c r="HV45" i="19"/>
  <c r="HP45" i="19"/>
  <c r="HD45" i="19"/>
  <c r="HV28" i="19"/>
  <c r="HU28" i="19"/>
  <c r="HQ28" i="19"/>
  <c r="HP28" i="19"/>
  <c r="HY28" i="19"/>
  <c r="HK28" i="19"/>
  <c r="HW28" i="19"/>
  <c r="GW9" i="19"/>
  <c r="HC15" i="19"/>
  <c r="HN16" i="19"/>
  <c r="HW33" i="19"/>
  <c r="GY5" i="19"/>
  <c r="HK5" i="19"/>
  <c r="HX5" i="19"/>
  <c r="HQ6" i="19"/>
  <c r="HD7" i="19"/>
  <c r="HP7" i="19"/>
  <c r="HC8" i="19"/>
  <c r="HO8" i="19"/>
  <c r="FL8" i="19" s="1"/>
  <c r="HB9" i="19"/>
  <c r="HN9" i="19"/>
  <c r="HA10" i="19"/>
  <c r="HM10" i="19"/>
  <c r="GZ11" i="19"/>
  <c r="BQ11" i="19" s="1"/>
  <c r="HL11" i="19"/>
  <c r="GY12" i="19"/>
  <c r="HK12" i="19"/>
  <c r="GX13" i="19"/>
  <c r="HJ13" i="19"/>
  <c r="EE13" i="19" s="1"/>
  <c r="GW14" i="19"/>
  <c r="GV15" i="19"/>
  <c r="GU16" i="19"/>
  <c r="AJ16" i="19" s="1"/>
  <c r="HS16" i="19"/>
  <c r="HR17" i="19"/>
  <c r="HQ18" i="19"/>
  <c r="HD19" i="19"/>
  <c r="HP19" i="19"/>
  <c r="HC20" i="19"/>
  <c r="HO20" i="19"/>
  <c r="FL20" i="19" s="1"/>
  <c r="HB21" i="19"/>
  <c r="HN21" i="19"/>
  <c r="HA22" i="19"/>
  <c r="HM22" i="19"/>
  <c r="GZ23" i="19"/>
  <c r="HL23" i="19"/>
  <c r="GY24" i="19"/>
  <c r="HK24" i="19"/>
  <c r="GX25" i="19"/>
  <c r="HJ25" i="19"/>
  <c r="EE25" i="19" s="1"/>
  <c r="GW26" i="19"/>
  <c r="GV27" i="19"/>
  <c r="GU28" i="19"/>
  <c r="AJ28" i="19" s="1"/>
  <c r="GW29" i="19"/>
  <c r="HM29" i="19"/>
  <c r="GW31" i="19"/>
  <c r="HA33" i="19"/>
  <c r="HS33" i="19"/>
  <c r="HL34" i="19"/>
  <c r="HM36" i="19"/>
  <c r="HD46" i="19"/>
  <c r="HX16" i="19"/>
  <c r="HW45" i="19"/>
  <c r="HQ31" i="19"/>
  <c r="HN31" i="19"/>
  <c r="HB31" i="19"/>
  <c r="HM31" i="19"/>
  <c r="HA31" i="19"/>
  <c r="HY31" i="19"/>
  <c r="HX31" i="19"/>
  <c r="HW31" i="19"/>
  <c r="HV31" i="19"/>
  <c r="GV31" i="19"/>
  <c r="HY37" i="19"/>
  <c r="HK37" i="19"/>
  <c r="GY37" i="19"/>
  <c r="HX37" i="19"/>
  <c r="HJ37" i="19"/>
  <c r="EE37" i="19" s="1"/>
  <c r="GX37" i="19"/>
  <c r="HW37" i="19"/>
  <c r="HV37" i="19"/>
  <c r="GV37" i="19"/>
  <c r="HU37" i="19"/>
  <c r="HS37" i="19"/>
  <c r="GU37" i="19"/>
  <c r="AJ37" i="19" s="1"/>
  <c r="HQ37" i="19"/>
  <c r="HP37" i="19"/>
  <c r="HD37" i="19"/>
  <c r="HO37" i="19"/>
  <c r="FL37" i="19" s="1"/>
  <c r="HC37" i="19"/>
  <c r="HN37" i="19"/>
  <c r="HB37" i="19"/>
  <c r="HL37" i="19"/>
  <c r="HQ43" i="19"/>
  <c r="HP43" i="19"/>
  <c r="HD43" i="19"/>
  <c r="HO43" i="19"/>
  <c r="FL43" i="19" s="1"/>
  <c r="HC43" i="19"/>
  <c r="HN43" i="19"/>
  <c r="HB43" i="19"/>
  <c r="HM43" i="19"/>
  <c r="HA43" i="19"/>
  <c r="HL43" i="19"/>
  <c r="GZ43" i="19"/>
  <c r="BQ43" i="19" s="1"/>
  <c r="HY43" i="19"/>
  <c r="HK43" i="19"/>
  <c r="GY43" i="19"/>
  <c r="HX43" i="19"/>
  <c r="HJ43" i="19"/>
  <c r="EE43" i="19" s="1"/>
  <c r="GX43" i="19"/>
  <c r="HW43" i="19"/>
  <c r="GW43" i="19"/>
  <c r="HV43" i="19"/>
  <c r="GV43" i="19"/>
  <c r="HR43" i="19"/>
  <c r="HY49" i="19"/>
  <c r="HK49" i="19"/>
  <c r="GY49" i="19"/>
  <c r="HX49" i="19"/>
  <c r="HJ49" i="19"/>
  <c r="EE49" i="19" s="1"/>
  <c r="GX49" i="19"/>
  <c r="HW49" i="19"/>
  <c r="GW49" i="19"/>
  <c r="HV49" i="19"/>
  <c r="GV49" i="19"/>
  <c r="HU49" i="19"/>
  <c r="HS49" i="19"/>
  <c r="GU49" i="19"/>
  <c r="AJ49" i="19" s="1"/>
  <c r="HR49" i="19"/>
  <c r="HQ49" i="19"/>
  <c r="HP49" i="19"/>
  <c r="HD49" i="19"/>
  <c r="HO49" i="19"/>
  <c r="FL49" i="19" s="1"/>
  <c r="HC49" i="19"/>
  <c r="HN49" i="19"/>
  <c r="HB49" i="19"/>
  <c r="HL49" i="19"/>
  <c r="GZ49" i="19"/>
  <c r="BQ49" i="19" s="1"/>
  <c r="HL5" i="19"/>
  <c r="HY5" i="19"/>
  <c r="HR6" i="19"/>
  <c r="HD8" i="19"/>
  <c r="HP8" i="19"/>
  <c r="HC9" i="19"/>
  <c r="HO9" i="19"/>
  <c r="FL9" i="19" s="1"/>
  <c r="HB10" i="19"/>
  <c r="HN10" i="19"/>
  <c r="HA11" i="19"/>
  <c r="HM11" i="19"/>
  <c r="GZ12" i="19"/>
  <c r="BQ12" i="19" s="1"/>
  <c r="HL12" i="19"/>
  <c r="GY13" i="19"/>
  <c r="GX14" i="19"/>
  <c r="HJ14" i="19"/>
  <c r="EE14" i="19" s="1"/>
  <c r="GW15" i="19"/>
  <c r="GV16" i="19"/>
  <c r="GU17" i="19"/>
  <c r="AJ17" i="19" s="1"/>
  <c r="HS17" i="19"/>
  <c r="HR18" i="19"/>
  <c r="HQ19" i="19"/>
  <c r="HD20" i="19"/>
  <c r="HP20" i="19"/>
  <c r="HC21" i="19"/>
  <c r="HO21" i="19"/>
  <c r="FL21" i="19" s="1"/>
  <c r="HB22" i="19"/>
  <c r="HA23" i="19"/>
  <c r="HM23" i="19"/>
  <c r="GZ24" i="19"/>
  <c r="BQ24" i="19" s="1"/>
  <c r="HL24" i="19"/>
  <c r="GY25" i="19"/>
  <c r="GX26" i="19"/>
  <c r="HJ26" i="19"/>
  <c r="EE26" i="19" s="1"/>
  <c r="GW27" i="19"/>
  <c r="GV28" i="19"/>
  <c r="GY29" i="19"/>
  <c r="HN29" i="19"/>
  <c r="GX31" i="19"/>
  <c r="HP31" i="19"/>
  <c r="HB33" i="19"/>
  <c r="GU34" i="19"/>
  <c r="AJ34" i="19" s="1"/>
  <c r="HM34" i="19"/>
  <c r="HK35" i="19"/>
  <c r="HN36" i="19"/>
  <c r="GW41" i="19"/>
  <c r="HP46" i="19"/>
  <c r="HU19" i="19"/>
  <c r="HY47" i="19"/>
  <c r="HM27" i="19"/>
  <c r="HY22" i="19"/>
  <c r="HX22" i="19"/>
  <c r="HW22" i="19"/>
  <c r="HV22" i="19"/>
  <c r="HU22" i="19"/>
  <c r="HV40" i="19"/>
  <c r="GV40" i="19"/>
  <c r="HU40" i="19"/>
  <c r="HS40" i="19"/>
  <c r="GU40" i="19"/>
  <c r="AJ40" i="19" s="1"/>
  <c r="HR40" i="19"/>
  <c r="HQ40" i="19"/>
  <c r="HP40" i="19"/>
  <c r="HD40" i="19"/>
  <c r="HO40" i="19"/>
  <c r="FL40" i="19" s="1"/>
  <c r="HN40" i="19"/>
  <c r="HB40" i="19"/>
  <c r="HM40" i="19"/>
  <c r="HA40" i="19"/>
  <c r="HL40" i="19"/>
  <c r="GZ40" i="19"/>
  <c r="BQ40" i="19" s="1"/>
  <c r="HY40" i="19"/>
  <c r="HK40" i="19"/>
  <c r="GY40" i="19"/>
  <c r="HW40" i="19"/>
  <c r="GW40" i="19"/>
  <c r="GV10" i="19"/>
  <c r="HB16" i="19"/>
  <c r="GW21" i="19"/>
  <c r="HC27" i="19"/>
  <c r="HO28" i="19"/>
  <c r="FL28" i="19" s="1"/>
  <c r="HY7" i="19"/>
  <c r="HX7" i="19"/>
  <c r="HW7" i="19"/>
  <c r="HV7" i="19"/>
  <c r="HY13" i="19"/>
  <c r="HX13" i="19"/>
  <c r="HW13" i="19"/>
  <c r="HV13" i="19"/>
  <c r="HU13" i="19"/>
  <c r="HY25" i="19"/>
  <c r="HX25" i="19"/>
  <c r="HW25" i="19"/>
  <c r="HV25" i="19"/>
  <c r="HU25" i="19"/>
  <c r="HA5" i="19"/>
  <c r="HM5" i="19"/>
  <c r="GU6" i="19"/>
  <c r="AJ6" i="19" s="1"/>
  <c r="HS6" i="19"/>
  <c r="HR7" i="19"/>
  <c r="HD9" i="19"/>
  <c r="HP9" i="19"/>
  <c r="HC10" i="19"/>
  <c r="HO10" i="19"/>
  <c r="FL10" i="19" s="1"/>
  <c r="HB11" i="19"/>
  <c r="HN11" i="19"/>
  <c r="HA12" i="19"/>
  <c r="HM12" i="19"/>
  <c r="GZ13" i="19"/>
  <c r="BQ13" i="19" s="1"/>
  <c r="HL13" i="19"/>
  <c r="GY14" i="19"/>
  <c r="GX15" i="19"/>
  <c r="HJ15" i="19"/>
  <c r="EE15" i="19" s="1"/>
  <c r="GW16" i="19"/>
  <c r="GV17" i="19"/>
  <c r="GU18" i="19"/>
  <c r="AJ18" i="19" s="1"/>
  <c r="HS18" i="19"/>
  <c r="HR19" i="19"/>
  <c r="HD21" i="19"/>
  <c r="HP21" i="19"/>
  <c r="HC22" i="19"/>
  <c r="HO22" i="19"/>
  <c r="FL22" i="19" s="1"/>
  <c r="HB23" i="19"/>
  <c r="HN23" i="19"/>
  <c r="HA24" i="19"/>
  <c r="HM24" i="19"/>
  <c r="GZ25" i="19"/>
  <c r="BQ25" i="19" s="1"/>
  <c r="HL25" i="19"/>
  <c r="GY26" i="19"/>
  <c r="GX27" i="19"/>
  <c r="GW28" i="19"/>
  <c r="GZ29" i="19"/>
  <c r="BQ29" i="19" s="1"/>
  <c r="HQ29" i="19"/>
  <c r="GY31" i="19"/>
  <c r="HR31" i="19"/>
  <c r="HD33" i="19"/>
  <c r="GV34" i="19"/>
  <c r="HO34" i="19"/>
  <c r="FL34" i="19" s="1"/>
  <c r="HN35" i="19"/>
  <c r="HS36" i="19"/>
  <c r="HC47" i="19"/>
  <c r="HW21" i="19"/>
  <c r="HY27" i="19"/>
  <c r="HX27" i="19"/>
  <c r="HW27" i="19"/>
  <c r="HV27" i="19"/>
  <c r="HU27" i="19"/>
  <c r="GU9" i="19"/>
  <c r="AJ9" i="19" s="1"/>
  <c r="HY8" i="19"/>
  <c r="HX8" i="19"/>
  <c r="HW8" i="19"/>
  <c r="HV8" i="19"/>
  <c r="HU8" i="19"/>
  <c r="HY14" i="19"/>
  <c r="HX14" i="19"/>
  <c r="HW14" i="19"/>
  <c r="HU14" i="19"/>
  <c r="HY20" i="19"/>
  <c r="HX20" i="19"/>
  <c r="HW20" i="19"/>
  <c r="HV20" i="19"/>
  <c r="HU20" i="19"/>
  <c r="HY26" i="19"/>
  <c r="HX26" i="19"/>
  <c r="HW26" i="19"/>
  <c r="HU26" i="19"/>
  <c r="HP32" i="19"/>
  <c r="HD32" i="19"/>
  <c r="HY32" i="19"/>
  <c r="HX32" i="19"/>
  <c r="HW32" i="19"/>
  <c r="HM32" i="19"/>
  <c r="HA32" i="19"/>
  <c r="HV32" i="19"/>
  <c r="HL32" i="19"/>
  <c r="GZ32" i="19"/>
  <c r="BQ32" i="19" s="1"/>
  <c r="HU32" i="19"/>
  <c r="HS32" i="19"/>
  <c r="GU32" i="19"/>
  <c r="AJ32" i="19" s="1"/>
  <c r="HJ38" i="19"/>
  <c r="EE38" i="19" s="1"/>
  <c r="GX38" i="19"/>
  <c r="GW38" i="19"/>
  <c r="HS38" i="19"/>
  <c r="GU38" i="19"/>
  <c r="AJ38" i="19" s="1"/>
  <c r="HR38" i="19"/>
  <c r="HP38" i="19"/>
  <c r="HD38" i="19"/>
  <c r="HY38" i="19"/>
  <c r="HO38" i="19"/>
  <c r="FL38" i="19" s="1"/>
  <c r="HC38" i="19"/>
  <c r="HX38" i="19"/>
  <c r="HN38" i="19"/>
  <c r="HB38" i="19"/>
  <c r="HW38" i="19"/>
  <c r="HM38" i="19"/>
  <c r="HA38" i="19"/>
  <c r="HU38" i="19"/>
  <c r="HK38" i="19"/>
  <c r="GY38" i="19"/>
  <c r="HP44" i="19"/>
  <c r="HD44" i="19"/>
  <c r="HY44" i="19"/>
  <c r="HO44" i="19"/>
  <c r="FL44" i="19" s="1"/>
  <c r="HC44" i="19"/>
  <c r="HX44" i="19"/>
  <c r="HN44" i="19"/>
  <c r="HB44" i="19"/>
  <c r="HW44" i="19"/>
  <c r="HM44" i="19"/>
  <c r="HA44" i="19"/>
  <c r="HV44" i="19"/>
  <c r="HL44" i="19"/>
  <c r="GZ44" i="19"/>
  <c r="BQ44" i="19" s="1"/>
  <c r="HU44" i="19"/>
  <c r="HK44" i="19"/>
  <c r="GY44" i="19"/>
  <c r="HJ44" i="19"/>
  <c r="EE44" i="19" s="1"/>
  <c r="GX44" i="19"/>
  <c r="GW44" i="19"/>
  <c r="GV44" i="19"/>
  <c r="HS44" i="19"/>
  <c r="GU44" i="19"/>
  <c r="AJ44" i="19" s="1"/>
  <c r="HQ44" i="19"/>
  <c r="HB5" i="19"/>
  <c r="GV6" i="19"/>
  <c r="GU7" i="19"/>
  <c r="AJ7" i="19" s="1"/>
  <c r="HS7" i="19"/>
  <c r="HR8" i="19"/>
  <c r="HQ9" i="19"/>
  <c r="HD10" i="19"/>
  <c r="HP10" i="19"/>
  <c r="HC11" i="19"/>
  <c r="HO11" i="19"/>
  <c r="FL11" i="19" s="1"/>
  <c r="HB12" i="19"/>
  <c r="HN12" i="19"/>
  <c r="HA13" i="19"/>
  <c r="HM13" i="19"/>
  <c r="GZ14" i="19"/>
  <c r="BQ14" i="19" s="1"/>
  <c r="HL14" i="19"/>
  <c r="GY15" i="19"/>
  <c r="HK15" i="19"/>
  <c r="GX16" i="19"/>
  <c r="HJ16" i="19"/>
  <c r="EE16" i="19" s="1"/>
  <c r="GW17" i="19"/>
  <c r="GV18" i="19"/>
  <c r="GU19" i="19"/>
  <c r="AJ19" i="19" s="1"/>
  <c r="HS19" i="19"/>
  <c r="HR20" i="19"/>
  <c r="HQ21" i="19"/>
  <c r="HD22" i="19"/>
  <c r="HP22" i="19"/>
  <c r="HC23" i="19"/>
  <c r="HO23" i="19"/>
  <c r="FL23" i="19" s="1"/>
  <c r="HB24" i="19"/>
  <c r="HN24" i="19"/>
  <c r="HA25" i="19"/>
  <c r="HM25" i="19"/>
  <c r="GZ26" i="19"/>
  <c r="BQ26" i="19" s="1"/>
  <c r="HL26" i="19"/>
  <c r="GY27" i="19"/>
  <c r="HK27" i="19"/>
  <c r="GX28" i="19"/>
  <c r="HJ28" i="19"/>
  <c r="EE28" i="19" s="1"/>
  <c r="HA29" i="19"/>
  <c r="HR29" i="19"/>
  <c r="GZ31" i="19"/>
  <c r="BQ31" i="19" s="1"/>
  <c r="HS31" i="19"/>
  <c r="HK32" i="19"/>
  <c r="GW34" i="19"/>
  <c r="HP34" i="19"/>
  <c r="HO35" i="19"/>
  <c r="FL35" i="19" s="1"/>
  <c r="GW37" i="19"/>
  <c r="HQ38" i="19"/>
  <c r="GV42" i="19"/>
  <c r="IA42" i="19" s="1"/>
  <c r="HO47" i="19"/>
  <c r="FL47" i="19" s="1"/>
  <c r="HY23" i="19"/>
  <c r="AP62" i="5"/>
  <c r="C60" i="5"/>
  <c r="K61" i="5"/>
  <c r="K60" i="5"/>
  <c r="R61" i="5"/>
  <c r="D56" i="5"/>
  <c r="IC33" i="19" l="1"/>
  <c r="ID40" i="19"/>
  <c r="IB37" i="19"/>
  <c r="IA40" i="19"/>
  <c r="IC34" i="19"/>
  <c r="IB35" i="19"/>
  <c r="HZ39" i="19"/>
  <c r="IE39" i="19" s="1"/>
  <c r="IF39" i="19" s="1"/>
  <c r="IB34" i="19"/>
  <c r="IC35" i="19"/>
  <c r="IB38" i="19"/>
  <c r="IA37" i="19"/>
  <c r="IA35" i="19"/>
  <c r="IA26" i="19"/>
  <c r="IA6" i="19"/>
  <c r="IB22" i="19"/>
  <c r="IC38" i="19"/>
  <c r="IC23" i="19"/>
  <c r="IC22" i="19"/>
  <c r="IA36" i="19"/>
  <c r="IB33" i="19"/>
  <c r="ID35" i="19"/>
  <c r="IC39" i="19"/>
  <c r="IC37" i="19"/>
  <c r="ID22" i="19"/>
  <c r="ID34" i="19"/>
  <c r="ID33" i="19"/>
  <c r="IB41" i="19"/>
  <c r="ID36" i="19"/>
  <c r="IA23" i="19"/>
  <c r="ID27" i="19"/>
  <c r="ID37" i="19"/>
  <c r="IB42" i="19"/>
  <c r="IA41" i="19"/>
  <c r="ID38" i="19"/>
  <c r="ID23" i="19"/>
  <c r="IC42" i="19"/>
  <c r="IC41" i="19"/>
  <c r="IA16" i="19"/>
  <c r="IA39" i="19"/>
  <c r="IA34" i="19"/>
  <c r="ID42" i="19"/>
  <c r="IB36" i="19"/>
  <c r="ID41" i="19"/>
  <c r="IB39" i="19"/>
  <c r="ID39" i="19"/>
  <c r="IB40" i="19"/>
  <c r="IC40" i="19"/>
  <c r="IA38" i="19"/>
  <c r="IA33" i="19"/>
  <c r="IB23" i="19"/>
  <c r="IC36" i="19"/>
  <c r="IA22" i="19"/>
  <c r="HZ33" i="19"/>
  <c r="IE33" i="19" s="1"/>
  <c r="IF33" i="19" s="1"/>
  <c r="HZ41" i="19"/>
  <c r="IE41" i="19" s="1"/>
  <c r="IF41" i="19" s="1"/>
  <c r="HZ22" i="19"/>
  <c r="IE22" i="19" s="1"/>
  <c r="IF22" i="19" s="1"/>
  <c r="IA28" i="19"/>
  <c r="HZ35" i="19"/>
  <c r="IE35" i="19" s="1"/>
  <c r="IF35" i="19" s="1"/>
  <c r="HZ23" i="19"/>
  <c r="IE23" i="19" s="1"/>
  <c r="IF23" i="19" s="1"/>
  <c r="HZ42" i="19"/>
  <c r="IE42" i="19" s="1"/>
  <c r="IF42" i="19" s="1"/>
  <c r="HZ38" i="19"/>
  <c r="IE38" i="19" s="1"/>
  <c r="IF38" i="19" s="1"/>
  <c r="HZ37" i="19"/>
  <c r="IE37" i="19" s="1"/>
  <c r="IF37" i="19" s="1"/>
  <c r="HZ36" i="19"/>
  <c r="IE36" i="19" s="1"/>
  <c r="IF36" i="19" s="1"/>
  <c r="HZ40" i="19"/>
  <c r="IE40" i="19" s="1"/>
  <c r="IF40" i="19" s="1"/>
  <c r="HZ34" i="19"/>
  <c r="IE34" i="19" s="1"/>
  <c r="IF34" i="19" s="1"/>
  <c r="IA32" i="19"/>
  <c r="ID26" i="19"/>
  <c r="IC24" i="19"/>
  <c r="IB5" i="19"/>
  <c r="IA17" i="19"/>
  <c r="IB16" i="19"/>
  <c r="IA18" i="19"/>
  <c r="IC13" i="19"/>
  <c r="IA27" i="19"/>
  <c r="IB26" i="19"/>
  <c r="ID12" i="19"/>
  <c r="ID30" i="19"/>
  <c r="IC21" i="19"/>
  <c r="IB20" i="19"/>
  <c r="IA13" i="19"/>
  <c r="IB12" i="19"/>
  <c r="IB15" i="19"/>
  <c r="IA8" i="19"/>
  <c r="IA31" i="19"/>
  <c r="IA14" i="19"/>
  <c r="IB30" i="19"/>
  <c r="IC11" i="19"/>
  <c r="ID25" i="19"/>
  <c r="IC28" i="19"/>
  <c r="IB17" i="19"/>
  <c r="IC15" i="19"/>
  <c r="IC25" i="19"/>
  <c r="ID5" i="19"/>
  <c r="IB13" i="19"/>
  <c r="IC10" i="19"/>
  <c r="ID20" i="19"/>
  <c r="ID14" i="19"/>
  <c r="IC14" i="19"/>
  <c r="IA29" i="19"/>
  <c r="IA25" i="19"/>
  <c r="IA24" i="19"/>
  <c r="IB11" i="19"/>
  <c r="IC16" i="19"/>
  <c r="ID13" i="19"/>
  <c r="ID24" i="19"/>
  <c r="IC12" i="19"/>
  <c r="IB24" i="19"/>
  <c r="ID9" i="19"/>
  <c r="IA11" i="19"/>
  <c r="ID10" i="19"/>
  <c r="ID29" i="19"/>
  <c r="IB10" i="19"/>
  <c r="IC9" i="19"/>
  <c r="ID15" i="19"/>
  <c r="IA5" i="19"/>
  <c r="IA20" i="19"/>
  <c r="ID11" i="19"/>
  <c r="IB28" i="19"/>
  <c r="IB27" i="19"/>
  <c r="IA15" i="19"/>
  <c r="IB25" i="19"/>
  <c r="IC5" i="19"/>
  <c r="IB8" i="19"/>
  <c r="IA12" i="19"/>
  <c r="IC27" i="19"/>
  <c r="IC19" i="19"/>
  <c r="IB31" i="19"/>
  <c r="IB14" i="19"/>
  <c r="ID21" i="19"/>
  <c r="ID8" i="19"/>
  <c r="IC32" i="19"/>
  <c r="IB7" i="19"/>
  <c r="IA10" i="19"/>
  <c r="IB29" i="19"/>
  <c r="IB6" i="19"/>
  <c r="IC29" i="19"/>
  <c r="IA21" i="19"/>
  <c r="IC7" i="19"/>
  <c r="ID6" i="19"/>
  <c r="IB18" i="19"/>
  <c r="IC17" i="19"/>
  <c r="ID16" i="19"/>
  <c r="IB32" i="19"/>
  <c r="IC30" i="19"/>
  <c r="ID17" i="19"/>
  <c r="IC8" i="19"/>
  <c r="ID19" i="19"/>
  <c r="ID32" i="19"/>
  <c r="IB19" i="19"/>
  <c r="IC20" i="19"/>
  <c r="HZ31" i="19"/>
  <c r="IE31" i="19" s="1"/>
  <c r="IF31" i="19" s="1"/>
  <c r="HZ6" i="19"/>
  <c r="IE6" i="19" s="1"/>
  <c r="IF6" i="19" s="1"/>
  <c r="IB21" i="19"/>
  <c r="IC31" i="19"/>
  <c r="ID31" i="19"/>
  <c r="IB9" i="19"/>
  <c r="HZ21" i="19"/>
  <c r="IE21" i="19" s="1"/>
  <c r="IF21" i="19" s="1"/>
  <c r="IA30" i="19"/>
  <c r="IC26" i="19"/>
  <c r="ID18" i="19"/>
  <c r="IA9" i="19"/>
  <c r="ID28" i="19"/>
  <c r="IA19" i="19"/>
  <c r="IA7" i="19"/>
  <c r="IC18" i="19"/>
  <c r="IC6" i="19"/>
  <c r="ID7" i="19"/>
  <c r="HZ20" i="19"/>
  <c r="IE20" i="19" s="1"/>
  <c r="IF20" i="19" s="1"/>
  <c r="HZ8" i="19"/>
  <c r="IE8" i="19" s="1"/>
  <c r="IF8" i="19" s="1"/>
  <c r="HZ13" i="19"/>
  <c r="IE13" i="19" s="1"/>
  <c r="IF13" i="19" s="1"/>
  <c r="HZ32" i="19"/>
  <c r="IE32" i="19" s="1"/>
  <c r="IF32" i="19" s="1"/>
  <c r="HZ7" i="19"/>
  <c r="IE7" i="19" s="1"/>
  <c r="IF7" i="19" s="1"/>
  <c r="HZ12" i="19"/>
  <c r="IE12" i="19" s="1"/>
  <c r="IF12" i="19" s="1"/>
  <c r="HZ17" i="19"/>
  <c r="IE17" i="19" s="1"/>
  <c r="IF17" i="19" s="1"/>
  <c r="HZ27" i="19"/>
  <c r="IE27" i="19" s="1"/>
  <c r="IF27" i="19" s="1"/>
  <c r="HZ18" i="19"/>
  <c r="IE18" i="19" s="1"/>
  <c r="IF18" i="19" s="1"/>
  <c r="HZ30" i="19"/>
  <c r="IE30" i="19" s="1"/>
  <c r="IF30" i="19" s="1"/>
  <c r="HZ14" i="19"/>
  <c r="IE14" i="19" s="1"/>
  <c r="IF14" i="19" s="1"/>
  <c r="HZ16" i="19"/>
  <c r="IE16" i="19" s="1"/>
  <c r="IF16" i="19" s="1"/>
  <c r="HZ25" i="19"/>
  <c r="IE25" i="19" s="1"/>
  <c r="IF25" i="19" s="1"/>
  <c r="HZ24" i="19"/>
  <c r="IE24" i="19" s="1"/>
  <c r="IF24" i="19" s="1"/>
  <c r="HZ10" i="19"/>
  <c r="IE10" i="19" s="1"/>
  <c r="IF10" i="19" s="1"/>
  <c r="HZ19" i="19"/>
  <c r="IE19" i="19" s="1"/>
  <c r="IF19" i="19" s="1"/>
  <c r="HZ29" i="19"/>
  <c r="IE29" i="19" s="1"/>
  <c r="IF29" i="19" s="1"/>
  <c r="HZ15" i="19"/>
  <c r="IE15" i="19" s="1"/>
  <c r="IF15" i="19" s="1"/>
  <c r="HZ11" i="19"/>
  <c r="IE11" i="19" s="1"/>
  <c r="IF11" i="19" s="1"/>
  <c r="HZ26" i="19"/>
  <c r="IE26" i="19" s="1"/>
  <c r="IF26" i="19" s="1"/>
  <c r="HZ9" i="19"/>
  <c r="IE9" i="19" s="1"/>
  <c r="IF9" i="19" s="1"/>
  <c r="HZ28" i="19"/>
  <c r="IE28" i="19" s="1"/>
  <c r="IF28" i="19" s="1"/>
  <c r="AD39" i="11"/>
  <c r="HZ5" i="19"/>
  <c r="BQ23" i="19"/>
  <c r="GS26" i="19"/>
  <c r="GS37" i="19"/>
  <c r="GS10" i="19"/>
  <c r="GS11" i="19"/>
  <c r="GS8" i="19"/>
  <c r="GS12" i="19"/>
  <c r="GS9" i="19"/>
  <c r="GS28" i="19"/>
  <c r="GS13" i="19"/>
  <c r="IE48" i="19"/>
  <c r="GS48" i="19"/>
  <c r="GS24" i="19"/>
  <c r="IE46" i="19"/>
  <c r="GS46" i="19"/>
  <c r="GS7" i="19"/>
  <c r="GS15" i="19"/>
  <c r="GS20" i="19"/>
  <c r="GS19" i="19"/>
  <c r="IE45" i="19"/>
  <c r="IF45" i="19" s="1"/>
  <c r="GS45" i="19"/>
  <c r="GS29" i="19"/>
  <c r="GS40" i="19"/>
  <c r="GS17" i="19"/>
  <c r="GS16" i="19"/>
  <c r="GS39" i="19"/>
  <c r="GS34" i="19"/>
  <c r="GS27" i="19"/>
  <c r="GS6" i="19"/>
  <c r="GS35" i="19"/>
  <c r="IE49" i="19"/>
  <c r="GS49" i="19"/>
  <c r="GS21" i="19"/>
  <c r="GS31" i="19"/>
  <c r="GS38" i="19"/>
  <c r="IE44" i="19"/>
  <c r="IF44" i="19" s="1"/>
  <c r="GS44" i="19"/>
  <c r="GS14" i="19"/>
  <c r="GS22" i="19"/>
  <c r="GS42" i="19"/>
  <c r="GS36" i="19"/>
  <c r="GS18" i="19"/>
  <c r="IE47" i="19"/>
  <c r="GS47" i="19"/>
  <c r="IE43" i="19"/>
  <c r="IF43" i="19" s="1"/>
  <c r="GS32" i="19"/>
  <c r="GS25" i="19"/>
  <c r="GS30" i="19"/>
  <c r="GS33" i="19"/>
  <c r="GS41" i="19"/>
  <c r="A5" i="17"/>
  <c r="CZ5" i="17" l="1"/>
  <c r="CX5" i="17"/>
  <c r="CY5" i="17"/>
  <c r="T29" i="2"/>
  <c r="IF47" i="19"/>
  <c r="T53" i="2"/>
  <c r="IF49" i="19"/>
  <c r="T55" i="2"/>
  <c r="IF48" i="19"/>
  <c r="T54" i="2"/>
  <c r="IF46" i="19"/>
  <c r="T52" i="2"/>
  <c r="T35" i="2"/>
  <c r="T43" i="2"/>
  <c r="T31" i="2"/>
  <c r="T44" i="2"/>
  <c r="T12" i="2"/>
  <c r="T26" i="2"/>
  <c r="T47" i="2"/>
  <c r="T28" i="2"/>
  <c r="T22" i="2"/>
  <c r="T46" i="2"/>
  <c r="T17" i="2"/>
  <c r="T37" i="2"/>
  <c r="T24" i="2"/>
  <c r="T40" i="2"/>
  <c r="T23" i="2"/>
  <c r="T15" i="2"/>
  <c r="T39" i="2"/>
  <c r="T51" i="2"/>
  <c r="T21" i="2"/>
  <c r="T19" i="2"/>
  <c r="T16" i="2"/>
  <c r="T38" i="2"/>
  <c r="T20" i="2"/>
  <c r="T42" i="2"/>
  <c r="T36" i="2"/>
  <c r="T49" i="2"/>
  <c r="T48" i="2"/>
  <c r="T45" i="2"/>
  <c r="T18" i="2"/>
  <c r="T32" i="2"/>
  <c r="T33" i="2"/>
  <c r="T25" i="2"/>
  <c r="T30" i="2"/>
  <c r="T34" i="2"/>
  <c r="T50" i="2"/>
  <c r="T27" i="2"/>
  <c r="T41" i="2"/>
  <c r="T13" i="2"/>
  <c r="T14" i="2"/>
  <c r="IE5" i="19"/>
  <c r="IF5" i="19" s="1"/>
  <c r="U37" i="2" l="1"/>
  <c r="U38" i="2"/>
  <c r="U54" i="2"/>
  <c r="U50" i="2"/>
  <c r="U20" i="2"/>
  <c r="U30" i="2"/>
  <c r="U55" i="2"/>
  <c r="U42" i="2"/>
  <c r="U19" i="2"/>
  <c r="U17" i="2"/>
  <c r="U16" i="2"/>
  <c r="U21" i="2"/>
  <c r="U32" i="2"/>
  <c r="U51" i="2"/>
  <c r="U26" i="2"/>
  <c r="U53" i="2"/>
  <c r="U34" i="2"/>
  <c r="U25" i="2"/>
  <c r="U33" i="2"/>
  <c r="U47" i="2"/>
  <c r="U18" i="2"/>
  <c r="U39" i="2"/>
  <c r="U12" i="2"/>
  <c r="U45" i="2"/>
  <c r="U29" i="2"/>
  <c r="U27" i="2"/>
  <c r="U31" i="2"/>
  <c r="U52" i="2"/>
  <c r="U22" i="2"/>
  <c r="U15" i="2"/>
  <c r="U14" i="2"/>
  <c r="U48" i="2"/>
  <c r="U49" i="2"/>
  <c r="U40" i="2"/>
  <c r="U43" i="2"/>
  <c r="U46" i="2"/>
  <c r="U28" i="2"/>
  <c r="U44" i="2"/>
  <c r="U23" i="2"/>
  <c r="U13" i="2"/>
  <c r="U41" i="2"/>
  <c r="U36" i="2"/>
  <c r="U24" i="2"/>
  <c r="U35" i="2"/>
  <c r="T11" i="2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1" i="6"/>
  <c r="EG3" i="18"/>
  <c r="EE3" i="18"/>
  <c r="ED3" i="18"/>
  <c r="B2" i="18"/>
  <c r="DV50" i="18"/>
  <c r="DV49" i="18"/>
  <c r="DV48" i="18"/>
  <c r="DV47" i="18"/>
  <c r="DV46" i="18"/>
  <c r="DV45" i="18"/>
  <c r="DV44" i="18"/>
  <c r="DV43" i="18"/>
  <c r="DV42" i="18"/>
  <c r="DV41" i="18"/>
  <c r="DV40" i="18"/>
  <c r="DV39" i="18"/>
  <c r="DV38" i="18"/>
  <c r="DV37" i="18"/>
  <c r="DV36" i="18"/>
  <c r="DV35" i="18"/>
  <c r="DV34" i="18"/>
  <c r="DV33" i="18"/>
  <c r="DV32" i="18"/>
  <c r="DV31" i="18"/>
  <c r="DV30" i="18"/>
  <c r="DV29" i="18"/>
  <c r="DV28" i="18"/>
  <c r="DV27" i="18"/>
  <c r="DV26" i="18"/>
  <c r="DV25" i="18"/>
  <c r="DV24" i="18"/>
  <c r="DV23" i="18"/>
  <c r="DV22" i="18"/>
  <c r="DV21" i="18"/>
  <c r="DV20" i="18"/>
  <c r="DV19" i="18"/>
  <c r="DV18" i="18"/>
  <c r="DV17" i="18"/>
  <c r="DV16" i="18"/>
  <c r="DV15" i="18"/>
  <c r="DV14" i="18"/>
  <c r="DV13" i="18"/>
  <c r="DV12" i="18"/>
  <c r="DV11" i="18"/>
  <c r="DV10" i="18"/>
  <c r="DV9" i="18"/>
  <c r="DV8" i="18"/>
  <c r="DV7" i="18"/>
  <c r="DV6" i="18"/>
  <c r="DQ50" i="18"/>
  <c r="DQ49" i="18"/>
  <c r="DQ48" i="18"/>
  <c r="DQ47" i="18"/>
  <c r="DQ46" i="18"/>
  <c r="DQ45" i="18"/>
  <c r="DQ44" i="18"/>
  <c r="DQ43" i="18"/>
  <c r="DQ42" i="18"/>
  <c r="DQ41" i="18"/>
  <c r="DQ40" i="18"/>
  <c r="DQ39" i="18"/>
  <c r="DQ38" i="18"/>
  <c r="DQ37" i="18"/>
  <c r="DQ36" i="18"/>
  <c r="DQ35" i="18"/>
  <c r="DQ34" i="18"/>
  <c r="DQ33" i="18"/>
  <c r="DQ32" i="18"/>
  <c r="DQ31" i="18"/>
  <c r="DQ30" i="18"/>
  <c r="DQ29" i="18"/>
  <c r="DQ28" i="18"/>
  <c r="DQ27" i="18"/>
  <c r="DQ26" i="18"/>
  <c r="DQ25" i="18"/>
  <c r="DQ24" i="18"/>
  <c r="DQ23" i="18"/>
  <c r="DQ22" i="18"/>
  <c r="DQ21" i="18"/>
  <c r="DQ20" i="18"/>
  <c r="DQ19" i="18"/>
  <c r="DQ18" i="18"/>
  <c r="DQ17" i="18"/>
  <c r="DQ16" i="18"/>
  <c r="DQ15" i="18"/>
  <c r="DQ14" i="18"/>
  <c r="DQ13" i="18"/>
  <c r="DQ12" i="18"/>
  <c r="DQ11" i="18"/>
  <c r="DQ10" i="18"/>
  <c r="DQ9" i="18"/>
  <c r="DQ8" i="18"/>
  <c r="DQ7" i="18"/>
  <c r="DQ6" i="18"/>
  <c r="DL50" i="18"/>
  <c r="DL49" i="18"/>
  <c r="DL48" i="18"/>
  <c r="DL47" i="18"/>
  <c r="DL46" i="18"/>
  <c r="DL45" i="18"/>
  <c r="DL44" i="18"/>
  <c r="DL43" i="18"/>
  <c r="DL42" i="18"/>
  <c r="DL41" i="18"/>
  <c r="DL40" i="18"/>
  <c r="DL39" i="18"/>
  <c r="DL38" i="18"/>
  <c r="DL37" i="18"/>
  <c r="DL36" i="18"/>
  <c r="DL35" i="18"/>
  <c r="DL34" i="18"/>
  <c r="DL33" i="18"/>
  <c r="DL32" i="18"/>
  <c r="DL31" i="18"/>
  <c r="DL30" i="18"/>
  <c r="DL29" i="18"/>
  <c r="DL28" i="18"/>
  <c r="DL27" i="18"/>
  <c r="DL26" i="18"/>
  <c r="DL25" i="18"/>
  <c r="DL24" i="18"/>
  <c r="DL23" i="18"/>
  <c r="DL22" i="18"/>
  <c r="DL21" i="18"/>
  <c r="DL20" i="18"/>
  <c r="DL19" i="18"/>
  <c r="DL18" i="18"/>
  <c r="DL17" i="18"/>
  <c r="DL16" i="18"/>
  <c r="DL15" i="18"/>
  <c r="DL14" i="18"/>
  <c r="DL13" i="18"/>
  <c r="DL12" i="18"/>
  <c r="DL11" i="18"/>
  <c r="DL10" i="18"/>
  <c r="DL9" i="18"/>
  <c r="DL8" i="18"/>
  <c r="DL7" i="18"/>
  <c r="DL6" i="18"/>
  <c r="DG50" i="18"/>
  <c r="DG49" i="18"/>
  <c r="DG48" i="18"/>
  <c r="DG47" i="18"/>
  <c r="DG46" i="18"/>
  <c r="DG45" i="18"/>
  <c r="DG44" i="18"/>
  <c r="DG43" i="18"/>
  <c r="DG42" i="18"/>
  <c r="DG41" i="18"/>
  <c r="DG40" i="18"/>
  <c r="DG39" i="18"/>
  <c r="DG38" i="18"/>
  <c r="DG37" i="18"/>
  <c r="DG36" i="18"/>
  <c r="DG35" i="18"/>
  <c r="DG34" i="18"/>
  <c r="DG33" i="18"/>
  <c r="DG32" i="18"/>
  <c r="DG31" i="18"/>
  <c r="DG30" i="18"/>
  <c r="DG29" i="18"/>
  <c r="DG28" i="18"/>
  <c r="DG27" i="18"/>
  <c r="DG26" i="18"/>
  <c r="DG25" i="18"/>
  <c r="DG24" i="18"/>
  <c r="DG23" i="18"/>
  <c r="DG22" i="18"/>
  <c r="DG21" i="18"/>
  <c r="DG20" i="18"/>
  <c r="DG19" i="18"/>
  <c r="DG18" i="18"/>
  <c r="DG17" i="18"/>
  <c r="DG16" i="18"/>
  <c r="DG15" i="18"/>
  <c r="DG14" i="18"/>
  <c r="DG13" i="18"/>
  <c r="DG12" i="18"/>
  <c r="DG11" i="18"/>
  <c r="DG10" i="18"/>
  <c r="DG9" i="18"/>
  <c r="DG8" i="18"/>
  <c r="DG7" i="18"/>
  <c r="DG6" i="18"/>
  <c r="DB50" i="18"/>
  <c r="DB49" i="18"/>
  <c r="DB48" i="18"/>
  <c r="DB47" i="18"/>
  <c r="DB46" i="18"/>
  <c r="DB45" i="18"/>
  <c r="DB44" i="18"/>
  <c r="DB43" i="18"/>
  <c r="DB42" i="18"/>
  <c r="DB41" i="18"/>
  <c r="DB40" i="18"/>
  <c r="DB39" i="18"/>
  <c r="DB38" i="18"/>
  <c r="DB37" i="18"/>
  <c r="DB36" i="18"/>
  <c r="DB35" i="18"/>
  <c r="DB34" i="18"/>
  <c r="DB33" i="18"/>
  <c r="DB32" i="18"/>
  <c r="DB31" i="18"/>
  <c r="DB30" i="18"/>
  <c r="DB29" i="18"/>
  <c r="DB28" i="18"/>
  <c r="DB27" i="18"/>
  <c r="DB26" i="18"/>
  <c r="DB25" i="18"/>
  <c r="DB24" i="18"/>
  <c r="DB23" i="18"/>
  <c r="DB22" i="18"/>
  <c r="DB21" i="18"/>
  <c r="DB20" i="18"/>
  <c r="DB19" i="18"/>
  <c r="DB18" i="18"/>
  <c r="DB17" i="18"/>
  <c r="DB16" i="18"/>
  <c r="DB15" i="18"/>
  <c r="DB14" i="18"/>
  <c r="DB13" i="18"/>
  <c r="DB12" i="18"/>
  <c r="DB11" i="18"/>
  <c r="DB10" i="18"/>
  <c r="DB9" i="18"/>
  <c r="DB8" i="18"/>
  <c r="DB7" i="18"/>
  <c r="DB6" i="18"/>
  <c r="CW50" i="18"/>
  <c r="CW49" i="18"/>
  <c r="CW48" i="18"/>
  <c r="CW47" i="18"/>
  <c r="CW46" i="18"/>
  <c r="CW45" i="18"/>
  <c r="CW44" i="18"/>
  <c r="CW43" i="18"/>
  <c r="CW42" i="18"/>
  <c r="CW41" i="18"/>
  <c r="CW40" i="18"/>
  <c r="CW39" i="18"/>
  <c r="CW38" i="18"/>
  <c r="CW37" i="18"/>
  <c r="CW36" i="18"/>
  <c r="CW35" i="18"/>
  <c r="CW34" i="18"/>
  <c r="CW33" i="18"/>
  <c r="CW32" i="18"/>
  <c r="CW31" i="18"/>
  <c r="CW30" i="18"/>
  <c r="CW29" i="18"/>
  <c r="CW28" i="18"/>
  <c r="CW27" i="18"/>
  <c r="CW26" i="18"/>
  <c r="CW25" i="18"/>
  <c r="CW24" i="18"/>
  <c r="CW23" i="18"/>
  <c r="CW22" i="18"/>
  <c r="CW21" i="18"/>
  <c r="CW20" i="18"/>
  <c r="CW19" i="18"/>
  <c r="CW18" i="18"/>
  <c r="CW17" i="18"/>
  <c r="CW16" i="18"/>
  <c r="CW15" i="18"/>
  <c r="CW14" i="18"/>
  <c r="CW13" i="18"/>
  <c r="CW12" i="18"/>
  <c r="CW11" i="18"/>
  <c r="CW10" i="18"/>
  <c r="CW9" i="18"/>
  <c r="CW8" i="18"/>
  <c r="CW7" i="18"/>
  <c r="CW6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CR10" i="18"/>
  <c r="CR9" i="18"/>
  <c r="CR8" i="18"/>
  <c r="CR7" i="18"/>
  <c r="CR6" i="18"/>
  <c r="CM50" i="18"/>
  <c r="CM49" i="18"/>
  <c r="CM48" i="18"/>
  <c r="CM47" i="18"/>
  <c r="CM46" i="18"/>
  <c r="CM45" i="18"/>
  <c r="CM44" i="18"/>
  <c r="CM43" i="18"/>
  <c r="CM42" i="18"/>
  <c r="CM41" i="18"/>
  <c r="CM40" i="18"/>
  <c r="CM39" i="18"/>
  <c r="CM38" i="18"/>
  <c r="CM37" i="18"/>
  <c r="CM36" i="18"/>
  <c r="CM35" i="18"/>
  <c r="CM34" i="18"/>
  <c r="CM33" i="18"/>
  <c r="CM32" i="18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H50" i="18"/>
  <c r="CH49" i="18"/>
  <c r="CH48" i="18"/>
  <c r="CH47" i="18"/>
  <c r="CH46" i="18"/>
  <c r="CH45" i="18"/>
  <c r="CH44" i="18"/>
  <c r="CH43" i="18"/>
  <c r="CH42" i="18"/>
  <c r="CH41" i="18"/>
  <c r="CH40" i="18"/>
  <c r="CH39" i="18"/>
  <c r="CH38" i="18"/>
  <c r="CH37" i="18"/>
  <c r="CH36" i="18"/>
  <c r="CH35" i="18"/>
  <c r="CH34" i="18"/>
  <c r="CH33" i="18"/>
  <c r="CH32" i="18"/>
  <c r="CH31" i="18"/>
  <c r="CH30" i="18"/>
  <c r="CH29" i="18"/>
  <c r="CH28" i="18"/>
  <c r="CH27" i="18"/>
  <c r="CH26" i="18"/>
  <c r="CH25" i="18"/>
  <c r="CH24" i="18"/>
  <c r="CH23" i="18"/>
  <c r="CH22" i="18"/>
  <c r="CH21" i="18"/>
  <c r="CH20" i="18"/>
  <c r="CH19" i="18"/>
  <c r="CH18" i="18"/>
  <c r="CH17" i="18"/>
  <c r="CH16" i="18"/>
  <c r="CH15" i="18"/>
  <c r="CH14" i="18"/>
  <c r="CH13" i="18"/>
  <c r="CH12" i="18"/>
  <c r="CH11" i="18"/>
  <c r="CH10" i="18"/>
  <c r="CH9" i="18"/>
  <c r="CH8" i="18"/>
  <c r="CH7" i="18"/>
  <c r="CH6" i="18"/>
  <c r="CC50" i="18"/>
  <c r="CC49" i="18"/>
  <c r="CC48" i="18"/>
  <c r="CC47" i="18"/>
  <c r="CC46" i="18"/>
  <c r="CC45" i="18"/>
  <c r="CC44" i="18"/>
  <c r="CC43" i="18"/>
  <c r="CC42" i="18"/>
  <c r="CC41" i="18"/>
  <c r="CC40" i="18"/>
  <c r="CC39" i="18"/>
  <c r="CC38" i="18"/>
  <c r="CC37" i="18"/>
  <c r="CC36" i="18"/>
  <c r="CC35" i="18"/>
  <c r="CC34" i="18"/>
  <c r="CC33" i="18"/>
  <c r="CC32" i="18"/>
  <c r="CC31" i="18"/>
  <c r="CC30" i="18"/>
  <c r="CC29" i="18"/>
  <c r="CC28" i="18"/>
  <c r="CC27" i="18"/>
  <c r="CC26" i="18"/>
  <c r="CC25" i="18"/>
  <c r="CC24" i="18"/>
  <c r="CC23" i="18"/>
  <c r="CC22" i="18"/>
  <c r="CC21" i="18"/>
  <c r="CC20" i="18"/>
  <c r="CC19" i="18"/>
  <c r="CC18" i="18"/>
  <c r="CC17" i="18"/>
  <c r="CC16" i="18"/>
  <c r="CC15" i="18"/>
  <c r="CC14" i="18"/>
  <c r="CC13" i="18"/>
  <c r="CC12" i="18"/>
  <c r="CC11" i="18"/>
  <c r="CC10" i="18"/>
  <c r="CC9" i="18"/>
  <c r="CC8" i="18"/>
  <c r="CC7" i="18"/>
  <c r="CC6" i="18"/>
  <c r="BX50" i="18"/>
  <c r="BX49" i="18"/>
  <c r="BX48" i="18"/>
  <c r="BX47" i="18"/>
  <c r="BX46" i="18"/>
  <c r="BX45" i="18"/>
  <c r="BX44" i="18"/>
  <c r="BX43" i="18"/>
  <c r="BX42" i="18"/>
  <c r="BX41" i="18"/>
  <c r="BX40" i="18"/>
  <c r="BX39" i="18"/>
  <c r="BX38" i="18"/>
  <c r="BX37" i="18"/>
  <c r="BX36" i="18"/>
  <c r="BX35" i="18"/>
  <c r="BX34" i="18"/>
  <c r="BX33" i="18"/>
  <c r="BX32" i="18"/>
  <c r="BX31" i="18"/>
  <c r="BX30" i="18"/>
  <c r="BX29" i="18"/>
  <c r="BX28" i="18"/>
  <c r="BX27" i="18"/>
  <c r="BX26" i="18"/>
  <c r="BX25" i="18"/>
  <c r="BX24" i="18"/>
  <c r="BX23" i="18"/>
  <c r="BX22" i="18"/>
  <c r="BX21" i="18"/>
  <c r="BX20" i="18"/>
  <c r="BX19" i="18"/>
  <c r="BX18" i="18"/>
  <c r="BX17" i="18"/>
  <c r="BX16" i="18"/>
  <c r="BX15" i="18"/>
  <c r="BX14" i="18"/>
  <c r="BX13" i="18"/>
  <c r="BX12" i="18"/>
  <c r="BX11" i="18"/>
  <c r="BX10" i="18"/>
  <c r="BX9" i="18"/>
  <c r="BX8" i="18"/>
  <c r="BX7" i="18"/>
  <c r="BX6" i="18"/>
  <c r="BS50" i="18"/>
  <c r="BS49" i="18"/>
  <c r="BS48" i="18"/>
  <c r="BS47" i="18"/>
  <c r="BS46" i="18"/>
  <c r="BS45" i="18"/>
  <c r="BS44" i="18"/>
  <c r="BS43" i="18"/>
  <c r="BS42" i="18"/>
  <c r="BS41" i="18"/>
  <c r="BS40" i="18"/>
  <c r="BS39" i="18"/>
  <c r="BS38" i="18"/>
  <c r="BS37" i="18"/>
  <c r="BS36" i="18"/>
  <c r="BS35" i="18"/>
  <c r="BS34" i="18"/>
  <c r="BS33" i="18"/>
  <c r="BS32" i="18"/>
  <c r="BS31" i="18"/>
  <c r="BS30" i="18"/>
  <c r="BS29" i="18"/>
  <c r="BS28" i="18"/>
  <c r="BS27" i="18"/>
  <c r="BS26" i="18"/>
  <c r="BS25" i="18"/>
  <c r="BS24" i="18"/>
  <c r="BS23" i="18"/>
  <c r="BS22" i="18"/>
  <c r="BS21" i="18"/>
  <c r="BS20" i="18"/>
  <c r="BS19" i="18"/>
  <c r="BS18" i="18"/>
  <c r="BS17" i="18"/>
  <c r="BS16" i="18"/>
  <c r="BS15" i="18"/>
  <c r="BS14" i="18"/>
  <c r="BS13" i="18"/>
  <c r="BS12" i="18"/>
  <c r="BS11" i="18"/>
  <c r="BS10" i="18"/>
  <c r="BS9" i="18"/>
  <c r="BS8" i="18"/>
  <c r="BS7" i="18"/>
  <c r="BS6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2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6" i="18"/>
  <c r="DU51" i="18"/>
  <c r="DP51" i="18"/>
  <c r="DK51" i="18"/>
  <c r="DF51" i="18"/>
  <c r="DF53" i="18" s="1"/>
  <c r="DA51" i="18"/>
  <c r="DA52" i="18" s="1"/>
  <c r="CV51" i="18"/>
  <c r="CQ51" i="18"/>
  <c r="CL51" i="18"/>
  <c r="CG51" i="18"/>
  <c r="CB51" i="18"/>
  <c r="BW51" i="18"/>
  <c r="BR51" i="18"/>
  <c r="BR52" i="18" s="1"/>
  <c r="BM51" i="18"/>
  <c r="BM55" i="18" s="1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DM50" i="18" s="1"/>
  <c r="BJ49" i="18"/>
  <c r="C49" i="18"/>
  <c r="B49" i="18"/>
  <c r="BJ48" i="18"/>
  <c r="C48" i="18"/>
  <c r="B48" i="18"/>
  <c r="BJ47" i="18"/>
  <c r="C47" i="18"/>
  <c r="B47" i="18"/>
  <c r="BJ46" i="18"/>
  <c r="C46" i="18"/>
  <c r="B46" i="18"/>
  <c r="BJ45" i="18"/>
  <c r="C45" i="18"/>
  <c r="B45" i="18"/>
  <c r="BJ44" i="18"/>
  <c r="C44" i="18"/>
  <c r="B44" i="18"/>
  <c r="BJ43" i="18"/>
  <c r="C43" i="18"/>
  <c r="B43" i="18"/>
  <c r="BJ42" i="18"/>
  <c r="C42" i="18"/>
  <c r="B42" i="18"/>
  <c r="BJ41" i="18"/>
  <c r="C41" i="18"/>
  <c r="B41" i="18"/>
  <c r="BJ40" i="18"/>
  <c r="C40" i="18"/>
  <c r="B40" i="18"/>
  <c r="BJ39" i="18"/>
  <c r="C39" i="18"/>
  <c r="B39" i="18"/>
  <c r="DR39" i="18" s="1"/>
  <c r="BJ38" i="18"/>
  <c r="C38" i="18"/>
  <c r="B38" i="18"/>
  <c r="BJ37" i="18"/>
  <c r="C37" i="18"/>
  <c r="B37" i="18"/>
  <c r="BJ36" i="18"/>
  <c r="C36" i="18"/>
  <c r="B36" i="18"/>
  <c r="BJ35" i="18"/>
  <c r="C35" i="18"/>
  <c r="B35" i="18"/>
  <c r="BJ34" i="18"/>
  <c r="C34" i="18"/>
  <c r="B34" i="18"/>
  <c r="BJ33" i="18"/>
  <c r="C33" i="18"/>
  <c r="B33" i="18"/>
  <c r="BJ32" i="18"/>
  <c r="C32" i="18"/>
  <c r="B32" i="18"/>
  <c r="BJ31" i="18"/>
  <c r="C31" i="18"/>
  <c r="B31" i="18"/>
  <c r="BJ30" i="18"/>
  <c r="C30" i="18"/>
  <c r="B30" i="18"/>
  <c r="BJ29" i="18"/>
  <c r="C29" i="18"/>
  <c r="B29" i="18"/>
  <c r="BJ28" i="18"/>
  <c r="C28" i="18"/>
  <c r="B28" i="18"/>
  <c r="BJ27" i="18"/>
  <c r="C27" i="18"/>
  <c r="B27" i="18"/>
  <c r="BJ26" i="18"/>
  <c r="C26" i="18"/>
  <c r="B26" i="18"/>
  <c r="BJ25" i="18"/>
  <c r="C25" i="18"/>
  <c r="B25" i="18"/>
  <c r="BJ24" i="18"/>
  <c r="C24" i="18"/>
  <c r="B24" i="18"/>
  <c r="BJ23" i="18"/>
  <c r="C23" i="18"/>
  <c r="B23" i="18"/>
  <c r="BJ22" i="18"/>
  <c r="C22" i="18"/>
  <c r="B22" i="18"/>
  <c r="DR22" i="18" s="1"/>
  <c r="BJ21" i="18"/>
  <c r="C21" i="18"/>
  <c r="B21" i="18"/>
  <c r="BJ20" i="18"/>
  <c r="C20" i="18"/>
  <c r="B20" i="18"/>
  <c r="BJ19" i="18"/>
  <c r="C19" i="18"/>
  <c r="B19" i="18"/>
  <c r="BJ18" i="18"/>
  <c r="C18" i="18"/>
  <c r="B18" i="18"/>
  <c r="BJ17" i="18"/>
  <c r="C17" i="18"/>
  <c r="B17" i="18"/>
  <c r="BJ16" i="18"/>
  <c r="C16" i="18"/>
  <c r="B16" i="18"/>
  <c r="BJ15" i="18"/>
  <c r="C15" i="18"/>
  <c r="B15" i="18"/>
  <c r="BJ14" i="18"/>
  <c r="C14" i="18"/>
  <c r="B14" i="18"/>
  <c r="BJ13" i="18"/>
  <c r="C13" i="18"/>
  <c r="B13" i="18"/>
  <c r="BJ12" i="18"/>
  <c r="C12" i="18"/>
  <c r="B12" i="18"/>
  <c r="BJ11" i="18"/>
  <c r="C11" i="18"/>
  <c r="B11" i="18"/>
  <c r="BJ10" i="18"/>
  <c r="C10" i="18"/>
  <c r="B10" i="18"/>
  <c r="BJ9" i="18"/>
  <c r="C9" i="18"/>
  <c r="B9" i="18"/>
  <c r="BJ8" i="18"/>
  <c r="C8" i="18"/>
  <c r="B8" i="18"/>
  <c r="BJ7" i="18"/>
  <c r="C7" i="18"/>
  <c r="B7" i="18"/>
  <c r="BJ6" i="18"/>
  <c r="BM5" i="18" s="1"/>
  <c r="C6" i="18"/>
  <c r="B6" i="18"/>
  <c r="B52" i="3"/>
  <c r="AF52" i="3" s="1"/>
  <c r="B51" i="3"/>
  <c r="AF51" i="3" s="1"/>
  <c r="B50" i="3"/>
  <c r="AF50" i="3" s="1"/>
  <c r="B49" i="3"/>
  <c r="AF49" i="3" s="1"/>
  <c r="B48" i="3"/>
  <c r="AF48" i="3" s="1"/>
  <c r="B47" i="3"/>
  <c r="AF47" i="3" s="1"/>
  <c r="B46" i="3"/>
  <c r="AF46" i="3" s="1"/>
  <c r="B45" i="3"/>
  <c r="AF45" i="3" s="1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Q53" i="13" l="1"/>
  <c r="CR53" i="13" s="1"/>
  <c r="BE53" i="13"/>
  <c r="BN52" i="13"/>
  <c r="BB52" i="13"/>
  <c r="BK51" i="13"/>
  <c r="AX51" i="13"/>
  <c r="BH50" i="13"/>
  <c r="BQ49" i="13"/>
  <c r="CR49" i="13" s="1"/>
  <c r="BE49" i="13"/>
  <c r="BN48" i="13"/>
  <c r="BB48" i="13"/>
  <c r="BK47" i="13"/>
  <c r="AX47" i="13"/>
  <c r="BH46" i="13"/>
  <c r="BF47" i="13"/>
  <c r="BC47" i="13"/>
  <c r="BP53" i="13"/>
  <c r="BD53" i="13"/>
  <c r="BM52" i="13"/>
  <c r="BA52" i="13"/>
  <c r="BJ51" i="13"/>
  <c r="AV51" i="13"/>
  <c r="BG50" i="13"/>
  <c r="BP49" i="13"/>
  <c r="BD49" i="13"/>
  <c r="BM48" i="13"/>
  <c r="BA48" i="13"/>
  <c r="BJ47" i="13"/>
  <c r="AV47" i="13"/>
  <c r="BG46" i="13"/>
  <c r="BI48" i="13"/>
  <c r="BO53" i="13"/>
  <c r="BC53" i="13"/>
  <c r="BL52" i="13"/>
  <c r="AZ52" i="13"/>
  <c r="BI51" i="13"/>
  <c r="AT51" i="13"/>
  <c r="BF50" i="13"/>
  <c r="BO49" i="13"/>
  <c r="BC49" i="13"/>
  <c r="BL48" i="13"/>
  <c r="AZ48" i="13"/>
  <c r="BI47" i="13"/>
  <c r="AT47" i="13"/>
  <c r="BF46" i="13"/>
  <c r="AT48" i="13"/>
  <c r="BN53" i="13"/>
  <c r="BB53" i="13"/>
  <c r="BK52" i="13"/>
  <c r="AX52" i="13"/>
  <c r="BH51" i="13"/>
  <c r="BQ50" i="13"/>
  <c r="CR50" i="13" s="1"/>
  <c r="BE50" i="13"/>
  <c r="BN49" i="13"/>
  <c r="BB49" i="13"/>
  <c r="BK48" i="13"/>
  <c r="AX48" i="13"/>
  <c r="BH47" i="13"/>
  <c r="BQ46" i="13"/>
  <c r="CR46" i="13" s="1"/>
  <c r="BE46" i="13"/>
  <c r="BO46" i="13"/>
  <c r="BM53" i="13"/>
  <c r="BA53" i="13"/>
  <c r="BJ52" i="13"/>
  <c r="AV52" i="13"/>
  <c r="BG51" i="13"/>
  <c r="BP50" i="13"/>
  <c r="BD50" i="13"/>
  <c r="BM49" i="13"/>
  <c r="BA49" i="13"/>
  <c r="BJ48" i="13"/>
  <c r="AV48" i="13"/>
  <c r="BG47" i="13"/>
  <c r="BP46" i="13"/>
  <c r="BD46" i="13"/>
  <c r="BL53" i="13"/>
  <c r="AZ53" i="13"/>
  <c r="BI52" i="13"/>
  <c r="AT52" i="13"/>
  <c r="BF51" i="13"/>
  <c r="BO50" i="13"/>
  <c r="BC50" i="13"/>
  <c r="BL49" i="13"/>
  <c r="AZ49" i="13"/>
  <c r="BK53" i="13"/>
  <c r="AX53" i="13"/>
  <c r="BH52" i="13"/>
  <c r="BQ51" i="13"/>
  <c r="CR51" i="13" s="1"/>
  <c r="BE51" i="13"/>
  <c r="BN50" i="13"/>
  <c r="BB50" i="13"/>
  <c r="BK49" i="13"/>
  <c r="AX49" i="13"/>
  <c r="BH48" i="13"/>
  <c r="BQ47" i="13"/>
  <c r="CR47" i="13" s="1"/>
  <c r="BE47" i="13"/>
  <c r="BN46" i="13"/>
  <c r="BB46" i="13"/>
  <c r="AT53" i="13"/>
  <c r="BF52" i="13"/>
  <c r="BC51" i="13"/>
  <c r="BL50" i="13"/>
  <c r="AZ50" i="13"/>
  <c r="BI49" i="13"/>
  <c r="AT49" i="13"/>
  <c r="BO47" i="13"/>
  <c r="BJ53" i="13"/>
  <c r="AV53" i="13"/>
  <c r="BG52" i="13"/>
  <c r="BP51" i="13"/>
  <c r="BD51" i="13"/>
  <c r="BM50" i="13"/>
  <c r="BA50" i="13"/>
  <c r="BJ49" i="13"/>
  <c r="AV49" i="13"/>
  <c r="BG48" i="13"/>
  <c r="BP47" i="13"/>
  <c r="BD47" i="13"/>
  <c r="BM46" i="13"/>
  <c r="BA46" i="13"/>
  <c r="BO51" i="13"/>
  <c r="BF48" i="13"/>
  <c r="BI53" i="13"/>
  <c r="BH53" i="13"/>
  <c r="BQ52" i="13"/>
  <c r="CR52" i="13" s="1"/>
  <c r="BE52" i="13"/>
  <c r="BN51" i="13"/>
  <c r="BB51" i="13"/>
  <c r="BK50" i="13"/>
  <c r="AX50" i="13"/>
  <c r="BH49" i="13"/>
  <c r="BQ48" i="13"/>
  <c r="CR48" i="13" s="1"/>
  <c r="BE48" i="13"/>
  <c r="BN47" i="13"/>
  <c r="BB47" i="13"/>
  <c r="BK46" i="13"/>
  <c r="AX46" i="13"/>
  <c r="BG53" i="13"/>
  <c r="BP52" i="13"/>
  <c r="BD52" i="13"/>
  <c r="BM51" i="13"/>
  <c r="BA51" i="13"/>
  <c r="BJ50" i="13"/>
  <c r="AV50" i="13"/>
  <c r="BG49" i="13"/>
  <c r="BP48" i="13"/>
  <c r="BD48" i="13"/>
  <c r="BM47" i="13"/>
  <c r="BA47" i="13"/>
  <c r="BJ46" i="13"/>
  <c r="AV46" i="13"/>
  <c r="BC46" i="13"/>
  <c r="AZ46" i="13"/>
  <c r="BF53" i="13"/>
  <c r="BO52" i="13"/>
  <c r="BC52" i="13"/>
  <c r="BL51" i="13"/>
  <c r="AZ51" i="13"/>
  <c r="BI50" i="13"/>
  <c r="AT50" i="13"/>
  <c r="BF49" i="13"/>
  <c r="BO48" i="13"/>
  <c r="BC48" i="13"/>
  <c r="BL47" i="13"/>
  <c r="AZ47" i="13"/>
  <c r="BI46" i="13"/>
  <c r="AT46" i="13"/>
  <c r="BL46" i="13"/>
  <c r="AY50" i="13"/>
  <c r="AY51" i="13"/>
  <c r="AY49" i="13"/>
  <c r="AY52" i="13"/>
  <c r="AY46" i="13"/>
  <c r="AY53" i="13"/>
  <c r="AY47" i="13"/>
  <c r="AY48" i="13"/>
  <c r="AW46" i="13"/>
  <c r="AW47" i="13"/>
  <c r="AW48" i="13"/>
  <c r="AW49" i="13"/>
  <c r="AW50" i="13"/>
  <c r="AW51" i="13"/>
  <c r="AW52" i="13"/>
  <c r="AW53" i="13"/>
  <c r="AU47" i="13"/>
  <c r="AU50" i="13"/>
  <c r="AU52" i="13"/>
  <c r="AU49" i="13"/>
  <c r="AU51" i="13"/>
  <c r="AU48" i="13"/>
  <c r="AU53" i="13"/>
  <c r="AU46" i="13"/>
  <c r="AF37" i="3"/>
  <c r="AF39" i="3"/>
  <c r="AF40" i="3"/>
  <c r="AF42" i="3"/>
  <c r="AF38" i="3"/>
  <c r="AF41" i="3"/>
  <c r="AF43" i="3"/>
  <c r="AF36" i="3"/>
  <c r="AF44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8" i="3"/>
  <c r="AF10" i="3"/>
  <c r="AF12" i="3"/>
  <c r="AF14" i="3"/>
  <c r="AF16" i="3"/>
  <c r="AF18" i="3"/>
  <c r="AF20" i="3"/>
  <c r="AF22" i="3"/>
  <c r="AF24" i="3"/>
  <c r="AF26" i="3"/>
  <c r="AF28" i="3"/>
  <c r="AF30" i="3"/>
  <c r="AF32" i="3"/>
  <c r="AF34" i="3"/>
  <c r="DR50" i="18"/>
  <c r="DW36" i="18"/>
  <c r="DY36" i="18"/>
  <c r="DX36" i="18"/>
  <c r="DW39" i="18"/>
  <c r="DY39" i="18"/>
  <c r="DX39" i="18"/>
  <c r="DW42" i="18"/>
  <c r="DX42" i="18"/>
  <c r="DY42" i="18"/>
  <c r="DW45" i="18"/>
  <c r="DY45" i="18"/>
  <c r="DX45" i="18"/>
  <c r="DR48" i="18"/>
  <c r="DW48" i="18"/>
  <c r="DY48" i="18"/>
  <c r="DX48" i="18"/>
  <c r="L45" i="3"/>
  <c r="E46" i="3"/>
  <c r="AH46" i="3"/>
  <c r="AG46" i="3"/>
  <c r="DM37" i="18"/>
  <c r="DW37" i="18"/>
  <c r="DY37" i="18"/>
  <c r="DX37" i="18"/>
  <c r="X47" i="3"/>
  <c r="AH47" i="3"/>
  <c r="AG47" i="3"/>
  <c r="DW40" i="18"/>
  <c r="DY40" i="18"/>
  <c r="DX40" i="18"/>
  <c r="DW43" i="18"/>
  <c r="DY43" i="18"/>
  <c r="DX43" i="18"/>
  <c r="DW46" i="18"/>
  <c r="DY46" i="18"/>
  <c r="DX46" i="18"/>
  <c r="DW49" i="18"/>
  <c r="DY49" i="18"/>
  <c r="DX49" i="18"/>
  <c r="AH52" i="3"/>
  <c r="AG52" i="3"/>
  <c r="AH48" i="3"/>
  <c r="AG48" i="3"/>
  <c r="G49" i="3"/>
  <c r="AG49" i="3"/>
  <c r="AH49" i="3"/>
  <c r="P50" i="3"/>
  <c r="AG50" i="3"/>
  <c r="AH50" i="3"/>
  <c r="DW38" i="18"/>
  <c r="DX38" i="18"/>
  <c r="DY38" i="18"/>
  <c r="O51" i="3"/>
  <c r="AG51" i="3"/>
  <c r="AH51" i="3"/>
  <c r="DW41" i="18"/>
  <c r="DY41" i="18"/>
  <c r="DX41" i="18"/>
  <c r="DW44" i="18"/>
  <c r="DX44" i="18"/>
  <c r="DY44" i="18"/>
  <c r="DW47" i="18"/>
  <c r="DY47" i="18"/>
  <c r="DX47" i="18"/>
  <c r="DW50" i="18"/>
  <c r="DX50" i="18"/>
  <c r="DY50" i="18"/>
  <c r="DX23" i="18"/>
  <c r="DW23" i="18"/>
  <c r="DY23" i="18"/>
  <c r="DY26" i="18"/>
  <c r="DX26" i="18"/>
  <c r="DW26" i="18"/>
  <c r="DW29" i="18"/>
  <c r="DY29" i="18"/>
  <c r="DX29" i="18"/>
  <c r="AU12" i="5"/>
  <c r="AV12" i="5"/>
  <c r="AU24" i="5"/>
  <c r="AV24" i="5"/>
  <c r="AU36" i="5"/>
  <c r="AV36" i="5"/>
  <c r="DW32" i="18"/>
  <c r="DY32" i="18"/>
  <c r="DX32" i="18"/>
  <c r="DX35" i="18"/>
  <c r="DW35" i="18"/>
  <c r="DY35" i="18"/>
  <c r="AU13" i="5"/>
  <c r="AV13" i="5"/>
  <c r="AU25" i="5"/>
  <c r="AV25" i="5"/>
  <c r="AU37" i="5"/>
  <c r="AV37" i="5"/>
  <c r="AU14" i="5"/>
  <c r="AV14" i="5"/>
  <c r="AU26" i="5"/>
  <c r="AV26" i="5"/>
  <c r="AU38" i="5"/>
  <c r="AV38" i="5"/>
  <c r="DR6" i="18"/>
  <c r="DU5" i="18" s="1"/>
  <c r="DX6" i="18"/>
  <c r="DW6" i="18"/>
  <c r="DZ5" i="18" s="1"/>
  <c r="DZ55" i="18" s="1"/>
  <c r="DY6" i="18"/>
  <c r="DW9" i="18"/>
  <c r="DX9" i="18"/>
  <c r="DY9" i="18"/>
  <c r="DW12" i="18"/>
  <c r="DX12" i="18"/>
  <c r="DY12" i="18"/>
  <c r="DW15" i="18"/>
  <c r="DX15" i="18"/>
  <c r="DY15" i="18"/>
  <c r="DY18" i="18"/>
  <c r="DX18" i="18"/>
  <c r="DW18" i="18"/>
  <c r="DY21" i="18"/>
  <c r="DW21" i="18"/>
  <c r="DX21" i="18"/>
  <c r="AU15" i="5"/>
  <c r="AV15" i="5"/>
  <c r="AU27" i="5"/>
  <c r="AV27" i="5"/>
  <c r="AV46" i="5"/>
  <c r="AU47" i="5"/>
  <c r="AV47" i="5"/>
  <c r="AU46" i="5"/>
  <c r="AV45" i="5"/>
  <c r="AU48" i="5"/>
  <c r="AV44" i="5"/>
  <c r="AU49" i="5"/>
  <c r="AV43" i="5"/>
  <c r="AU50" i="5"/>
  <c r="AV42" i="5"/>
  <c r="AU39" i="5"/>
  <c r="AU51" i="5"/>
  <c r="AV53" i="5"/>
  <c r="AV41" i="5"/>
  <c r="AU40" i="5"/>
  <c r="AU52" i="5"/>
  <c r="AV52" i="5"/>
  <c r="AV40" i="5"/>
  <c r="AU41" i="5"/>
  <c r="AU53" i="5"/>
  <c r="AV51" i="5"/>
  <c r="AV39" i="5"/>
  <c r="AU42" i="5"/>
  <c r="AV50" i="5"/>
  <c r="AU43" i="5"/>
  <c r="AV49" i="5"/>
  <c r="AU44" i="5"/>
  <c r="AV48" i="5"/>
  <c r="AU45" i="5"/>
  <c r="DW24" i="18"/>
  <c r="DY24" i="18"/>
  <c r="DX24" i="18"/>
  <c r="DX27" i="18"/>
  <c r="DW27" i="18"/>
  <c r="DY27" i="18"/>
  <c r="DX30" i="18"/>
  <c r="DW30" i="18"/>
  <c r="DY30" i="18"/>
  <c r="AV16" i="5"/>
  <c r="AU16" i="5"/>
  <c r="AU28" i="5"/>
  <c r="AV28" i="5"/>
  <c r="DW33" i="18"/>
  <c r="DY33" i="18"/>
  <c r="DX33" i="18"/>
  <c r="AV17" i="5"/>
  <c r="AU17" i="5"/>
  <c r="AV29" i="5"/>
  <c r="AU29" i="5"/>
  <c r="AV18" i="5"/>
  <c r="AU18" i="5"/>
  <c r="AV30" i="5"/>
  <c r="AU30" i="5"/>
  <c r="DX7" i="18"/>
  <c r="DW7" i="18"/>
  <c r="DY7" i="18"/>
  <c r="DY10" i="18"/>
  <c r="DX10" i="18"/>
  <c r="DW10" i="18"/>
  <c r="DY13" i="18"/>
  <c r="DW13" i="18"/>
  <c r="DX13" i="18"/>
  <c r="DW16" i="18"/>
  <c r="DX16" i="18"/>
  <c r="DY16" i="18"/>
  <c r="DX19" i="18"/>
  <c r="DW19" i="18"/>
  <c r="DY19" i="18"/>
  <c r="DW22" i="18"/>
  <c r="DX22" i="18"/>
  <c r="DY22" i="18"/>
  <c r="AV19" i="5"/>
  <c r="AU19" i="5"/>
  <c r="AV31" i="5"/>
  <c r="AU31" i="5"/>
  <c r="DW25" i="18"/>
  <c r="DY25" i="18"/>
  <c r="DX25" i="18"/>
  <c r="DW28" i="18"/>
  <c r="DX28" i="18"/>
  <c r="DY28" i="18"/>
  <c r="DR30" i="18"/>
  <c r="AV20" i="5"/>
  <c r="AU20" i="5"/>
  <c r="AV32" i="5"/>
  <c r="AU32" i="5"/>
  <c r="DR31" i="18"/>
  <c r="DX31" i="18"/>
  <c r="DW31" i="18"/>
  <c r="DY31" i="18"/>
  <c r="DY34" i="18"/>
  <c r="DX34" i="18"/>
  <c r="DW34" i="18"/>
  <c r="AU9" i="5"/>
  <c r="AV9" i="5"/>
  <c r="AV21" i="5"/>
  <c r="AU21" i="5"/>
  <c r="AV33" i="5"/>
  <c r="AU33" i="5"/>
  <c r="AU10" i="5"/>
  <c r="AV10" i="5"/>
  <c r="AV22" i="5"/>
  <c r="AU22" i="5"/>
  <c r="AV34" i="5"/>
  <c r="AU34" i="5"/>
  <c r="DW8" i="18"/>
  <c r="DX8" i="18"/>
  <c r="DY8" i="18"/>
  <c r="DR11" i="18"/>
  <c r="DX11" i="18"/>
  <c r="DW11" i="18"/>
  <c r="DY11" i="18"/>
  <c r="DX14" i="18"/>
  <c r="DW14" i="18"/>
  <c r="DY14" i="18"/>
  <c r="DW17" i="18"/>
  <c r="DX17" i="18"/>
  <c r="DY17" i="18"/>
  <c r="DW20" i="18"/>
  <c r="DX20" i="18"/>
  <c r="DY20" i="18"/>
  <c r="AU11" i="5"/>
  <c r="AV11" i="5"/>
  <c r="AU23" i="5"/>
  <c r="AV23" i="5"/>
  <c r="AU35" i="5"/>
  <c r="AV35" i="5"/>
  <c r="U11" i="2"/>
  <c r="DA81" i="16"/>
  <c r="AF80" i="16"/>
  <c r="H12" i="6"/>
  <c r="BQ19" i="13"/>
  <c r="CR19" i="13" s="1"/>
  <c r="BP19" i="13"/>
  <c r="BQ31" i="13"/>
  <c r="CR31" i="13" s="1"/>
  <c r="BP31" i="13"/>
  <c r="BQ43" i="13"/>
  <c r="CR43" i="13" s="1"/>
  <c r="BP43" i="13"/>
  <c r="BQ20" i="13"/>
  <c r="CR20" i="13" s="1"/>
  <c r="BP20" i="13"/>
  <c r="BQ32" i="13"/>
  <c r="CR32" i="13" s="1"/>
  <c r="BP32" i="13"/>
  <c r="BQ44" i="13"/>
  <c r="CR44" i="13" s="1"/>
  <c r="BP44" i="13"/>
  <c r="BP10" i="13"/>
  <c r="BQ10" i="13"/>
  <c r="CR10" i="13" s="1"/>
  <c r="BQ22" i="13"/>
  <c r="CR22" i="13" s="1"/>
  <c r="BP22" i="13"/>
  <c r="BQ34" i="13"/>
  <c r="CR34" i="13" s="1"/>
  <c r="BP34" i="13"/>
  <c r="BP11" i="13"/>
  <c r="BQ11" i="13"/>
  <c r="CR11" i="13" s="1"/>
  <c r="BQ23" i="13"/>
  <c r="CR23" i="13" s="1"/>
  <c r="BP23" i="13"/>
  <c r="BQ35" i="13"/>
  <c r="CR35" i="13" s="1"/>
  <c r="BP35" i="13"/>
  <c r="BQ12" i="13"/>
  <c r="CR12" i="13" s="1"/>
  <c r="BP12" i="13"/>
  <c r="BP24" i="13"/>
  <c r="BQ24" i="13"/>
  <c r="CR24" i="13" s="1"/>
  <c r="BP36" i="13"/>
  <c r="BQ36" i="13"/>
  <c r="CR36" i="13" s="1"/>
  <c r="BQ21" i="13"/>
  <c r="CR21" i="13" s="1"/>
  <c r="BP21" i="13"/>
  <c r="BQ13" i="13"/>
  <c r="CR13" i="13" s="1"/>
  <c r="BP13" i="13"/>
  <c r="BQ25" i="13"/>
  <c r="CR25" i="13" s="1"/>
  <c r="BP25" i="13"/>
  <c r="BQ37" i="13"/>
  <c r="CR37" i="13" s="1"/>
  <c r="BP37" i="13"/>
  <c r="BQ45" i="13"/>
  <c r="CR45" i="13" s="1"/>
  <c r="BP45" i="13"/>
  <c r="BQ14" i="13"/>
  <c r="CR14" i="13" s="1"/>
  <c r="BP14" i="13"/>
  <c r="BQ26" i="13"/>
  <c r="CR26" i="13" s="1"/>
  <c r="BP26" i="13"/>
  <c r="BQ38" i="13"/>
  <c r="CR38" i="13" s="1"/>
  <c r="BP38" i="13"/>
  <c r="BP9" i="13"/>
  <c r="BQ9" i="13"/>
  <c r="CR9" i="13" s="1"/>
  <c r="BQ15" i="13"/>
  <c r="CR15" i="13" s="1"/>
  <c r="BP15" i="13"/>
  <c r="BQ27" i="13"/>
  <c r="CR27" i="13" s="1"/>
  <c r="BP27" i="13"/>
  <c r="BQ39" i="13"/>
  <c r="CR39" i="13" s="1"/>
  <c r="BP39" i="13"/>
  <c r="BQ16" i="13"/>
  <c r="CR16" i="13" s="1"/>
  <c r="BP16" i="13"/>
  <c r="BQ28" i="13"/>
  <c r="CR28" i="13" s="1"/>
  <c r="BP28" i="13"/>
  <c r="BQ40" i="13"/>
  <c r="CR40" i="13" s="1"/>
  <c r="BP40" i="13"/>
  <c r="BQ17" i="13"/>
  <c r="CR17" i="13" s="1"/>
  <c r="BP17" i="13"/>
  <c r="BQ29" i="13"/>
  <c r="CR29" i="13" s="1"/>
  <c r="BP29" i="13"/>
  <c r="BQ41" i="13"/>
  <c r="CR41" i="13" s="1"/>
  <c r="BP41" i="13"/>
  <c r="BQ33" i="13"/>
  <c r="CR33" i="13" s="1"/>
  <c r="BP33" i="13"/>
  <c r="BP18" i="13"/>
  <c r="BQ18" i="13"/>
  <c r="CR18" i="13" s="1"/>
  <c r="BP30" i="13"/>
  <c r="BQ30" i="13"/>
  <c r="CR30" i="13" s="1"/>
  <c r="BP42" i="13"/>
  <c r="BQ42" i="13"/>
  <c r="CR42" i="13" s="1"/>
  <c r="DR20" i="18"/>
  <c r="DR26" i="18"/>
  <c r="DR46" i="18"/>
  <c r="DR9" i="18"/>
  <c r="DM35" i="18"/>
  <c r="DM48" i="18"/>
  <c r="DR15" i="18"/>
  <c r="DR18" i="18"/>
  <c r="DR21" i="18"/>
  <c r="DR40" i="18"/>
  <c r="DR24" i="18"/>
  <c r="DR27" i="18"/>
  <c r="DR38" i="18"/>
  <c r="DR44" i="18"/>
  <c r="DR7" i="18"/>
  <c r="DR33" i="18"/>
  <c r="DR35" i="18"/>
  <c r="DM17" i="18"/>
  <c r="DM41" i="18"/>
  <c r="DR13" i="18"/>
  <c r="DM16" i="18"/>
  <c r="DM46" i="18"/>
  <c r="DM28" i="18"/>
  <c r="DM11" i="18"/>
  <c r="DR37" i="18"/>
  <c r="DM31" i="18"/>
  <c r="DM13" i="18"/>
  <c r="DM9" i="18"/>
  <c r="DM33" i="18"/>
  <c r="DM7" i="18"/>
  <c r="CN27" i="18"/>
  <c r="CN29" i="18"/>
  <c r="DM42" i="18"/>
  <c r="CN25" i="18"/>
  <c r="Q12" i="18"/>
  <c r="CN23" i="18"/>
  <c r="CN36" i="18"/>
  <c r="DH45" i="18"/>
  <c r="DH47" i="18"/>
  <c r="AZ49" i="18"/>
  <c r="Q8" i="18"/>
  <c r="DH16" i="18"/>
  <c r="DM14" i="18"/>
  <c r="BY10" i="18"/>
  <c r="DR42" i="18"/>
  <c r="DR16" i="18"/>
  <c r="CD6" i="18"/>
  <c r="CG5" i="18" s="1"/>
  <c r="CN17" i="18"/>
  <c r="CN28" i="18"/>
  <c r="DR12" i="18"/>
  <c r="Q15" i="18"/>
  <c r="DM23" i="18"/>
  <c r="DR25" i="18"/>
  <c r="DR36" i="18"/>
  <c r="L39" i="18"/>
  <c r="DM45" i="18"/>
  <c r="DM47" i="18"/>
  <c r="DM49" i="18"/>
  <c r="DM18" i="18"/>
  <c r="AF38" i="18"/>
  <c r="Q34" i="18"/>
  <c r="DR29" i="18"/>
  <c r="DM43" i="18"/>
  <c r="DR14" i="18"/>
  <c r="DM25" i="18"/>
  <c r="CN30" i="18"/>
  <c r="DH41" i="18"/>
  <c r="DR10" i="18"/>
  <c r="CN13" i="18"/>
  <c r="DM21" i="18"/>
  <c r="DR23" i="18"/>
  <c r="CN26" i="18"/>
  <c r="DR34" i="18"/>
  <c r="E37" i="18"/>
  <c r="DR45" i="18"/>
  <c r="DR47" i="18"/>
  <c r="DR49" i="18"/>
  <c r="DM40" i="18"/>
  <c r="DH19" i="18"/>
  <c r="BE32" i="18"/>
  <c r="DR8" i="18"/>
  <c r="BT11" i="18"/>
  <c r="DM19" i="18"/>
  <c r="CN24" i="18"/>
  <c r="DR32" i="18"/>
  <c r="CN35" i="18"/>
  <c r="DR43" i="18"/>
  <c r="G46" i="18"/>
  <c r="BY48" i="18"/>
  <c r="BT50" i="18"/>
  <c r="DM29" i="18"/>
  <c r="CN9" i="18"/>
  <c r="BY33" i="18"/>
  <c r="CN40" i="18"/>
  <c r="DH21" i="18"/>
  <c r="DR19" i="18"/>
  <c r="DM22" i="18"/>
  <c r="Q44" i="18"/>
  <c r="AZ7" i="18"/>
  <c r="DR17" i="18"/>
  <c r="DH20" i="18"/>
  <c r="DR28" i="18"/>
  <c r="CS31" i="18"/>
  <c r="DR41" i="18"/>
  <c r="DH28" i="18"/>
  <c r="DH43" i="18"/>
  <c r="DH48" i="18"/>
  <c r="DH14" i="18"/>
  <c r="BM52" i="18"/>
  <c r="L17" i="3"/>
  <c r="E29" i="3"/>
  <c r="X10" i="13"/>
  <c r="DH46" i="18"/>
  <c r="DH50" i="18"/>
  <c r="BM53" i="18"/>
  <c r="P10" i="3"/>
  <c r="DH25" i="18"/>
  <c r="DH49" i="18"/>
  <c r="BM54" i="18"/>
  <c r="H19" i="3"/>
  <c r="DH6" i="18"/>
  <c r="DK5" i="18" s="1"/>
  <c r="P21" i="3"/>
  <c r="DH18" i="18"/>
  <c r="DH26" i="18"/>
  <c r="DH40" i="18"/>
  <c r="DH30" i="18"/>
  <c r="DH38" i="18"/>
  <c r="DH42" i="18"/>
  <c r="AC17" i="3"/>
  <c r="N25" i="3"/>
  <c r="DH11" i="18"/>
  <c r="DH13" i="18"/>
  <c r="AA22" i="3"/>
  <c r="P11" i="3"/>
  <c r="L14" i="3"/>
  <c r="DH7" i="18"/>
  <c r="DH17" i="18"/>
  <c r="DH23" i="18"/>
  <c r="E35" i="3"/>
  <c r="DH29" i="18"/>
  <c r="DH35" i="18"/>
  <c r="DH37" i="18"/>
  <c r="T16" i="3"/>
  <c r="DH31" i="18"/>
  <c r="DM6" i="18"/>
  <c r="DP5" i="18" s="1"/>
  <c r="DM30" i="18"/>
  <c r="BL9" i="13"/>
  <c r="DH44" i="18"/>
  <c r="M9" i="5"/>
  <c r="AA10" i="13"/>
  <c r="DM8" i="18"/>
  <c r="DH15" i="18"/>
  <c r="DM20" i="18"/>
  <c r="DH27" i="18"/>
  <c r="DM32" i="18"/>
  <c r="DH39" i="18"/>
  <c r="DM44" i="18"/>
  <c r="S11" i="13"/>
  <c r="DH8" i="18"/>
  <c r="DH32" i="18"/>
  <c r="DH10" i="18"/>
  <c r="DM15" i="18"/>
  <c r="DH22" i="18"/>
  <c r="DM27" i="18"/>
  <c r="DH34" i="18"/>
  <c r="DM39" i="18"/>
  <c r="DM10" i="18"/>
  <c r="DM34" i="18"/>
  <c r="DH12" i="18"/>
  <c r="DH24" i="18"/>
  <c r="DH36" i="18"/>
  <c r="DM12" i="18"/>
  <c r="DM24" i="18"/>
  <c r="DM36" i="18"/>
  <c r="AT15" i="13"/>
  <c r="DH9" i="18"/>
  <c r="DM26" i="18"/>
  <c r="DH33" i="18"/>
  <c r="DM38" i="18"/>
  <c r="AP9" i="5"/>
  <c r="AN10" i="5"/>
  <c r="DD4" i="17"/>
  <c r="DB4" i="17" s="1"/>
  <c r="S14" i="5"/>
  <c r="Q11" i="5"/>
  <c r="AR11" i="5"/>
  <c r="Z10" i="13"/>
  <c r="Y10" i="13"/>
  <c r="M26" i="3"/>
  <c r="BA34" i="13"/>
  <c r="P9" i="13"/>
  <c r="S24" i="13"/>
  <c r="S10" i="5"/>
  <c r="R9" i="13"/>
  <c r="H10" i="3"/>
  <c r="S9" i="5"/>
  <c r="AA9" i="13"/>
  <c r="H18" i="3"/>
  <c r="U9" i="5"/>
  <c r="AB9" i="13"/>
  <c r="R10" i="5"/>
  <c r="AO10" i="5"/>
  <c r="AO9" i="5"/>
  <c r="V8" i="3"/>
  <c r="H21" i="3"/>
  <c r="O52" i="5"/>
  <c r="AA12" i="13"/>
  <c r="W14" i="13"/>
  <c r="AE16" i="13"/>
  <c r="L29" i="13"/>
  <c r="AC33" i="13"/>
  <c r="X38" i="13"/>
  <c r="AC44" i="13"/>
  <c r="AF51" i="13"/>
  <c r="BH10" i="13"/>
  <c r="AR19" i="13"/>
  <c r="N13" i="5"/>
  <c r="O20" i="5"/>
  <c r="Q27" i="5"/>
  <c r="R34" i="5"/>
  <c r="S41" i="5"/>
  <c r="U48" i="5"/>
  <c r="AT17" i="5"/>
  <c r="AJ25" i="5"/>
  <c r="AK32" i="5"/>
  <c r="AL39" i="5"/>
  <c r="AN46" i="5"/>
  <c r="AO53" i="5"/>
  <c r="K14" i="13"/>
  <c r="AC18" i="13"/>
  <c r="M23" i="13"/>
  <c r="Y32" i="13"/>
  <c r="K43" i="13"/>
  <c r="M50" i="13"/>
  <c r="M14" i="5"/>
  <c r="N21" i="5"/>
  <c r="U24" i="5"/>
  <c r="V31" i="5"/>
  <c r="R42" i="5"/>
  <c r="S49" i="5"/>
  <c r="N53" i="5"/>
  <c r="AS11" i="5"/>
  <c r="AS18" i="5"/>
  <c r="AO29" i="5"/>
  <c r="AP36" i="5"/>
  <c r="AR43" i="5"/>
  <c r="AL47" i="5"/>
  <c r="T11" i="13"/>
  <c r="X19" i="13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AJ9" i="5"/>
  <c r="AT9" i="5"/>
  <c r="AS10" i="5"/>
  <c r="AP12" i="5"/>
  <c r="AK16" i="5"/>
  <c r="AR19" i="5"/>
  <c r="AL23" i="5"/>
  <c r="AS26" i="5"/>
  <c r="AN30" i="5"/>
  <c r="AT33" i="5"/>
  <c r="AO37" i="5"/>
  <c r="AJ41" i="5"/>
  <c r="AP44" i="5"/>
  <c r="AK48" i="5"/>
  <c r="AR51" i="5"/>
  <c r="N10" i="13"/>
  <c r="AH10" i="13"/>
  <c r="K9" i="13"/>
  <c r="V9" i="13"/>
  <c r="AF9" i="13"/>
  <c r="AD11" i="13"/>
  <c r="N13" i="13"/>
  <c r="L15" i="13"/>
  <c r="V17" i="13"/>
  <c r="AC20" i="13"/>
  <c r="W25" i="13"/>
  <c r="P30" i="13"/>
  <c r="K35" i="13"/>
  <c r="AB39" i="13"/>
  <c r="X46" i="13"/>
  <c r="AA53" i="13"/>
  <c r="BI10" i="13"/>
  <c r="BN24" i="13"/>
  <c r="U16" i="5"/>
  <c r="V23" i="5"/>
  <c r="W30" i="5"/>
  <c r="M38" i="5"/>
  <c r="N45" i="5"/>
  <c r="AN14" i="5"/>
  <c r="AO21" i="5"/>
  <c r="AP28" i="5"/>
  <c r="AR35" i="5"/>
  <c r="AS42" i="5"/>
  <c r="AT49" i="5"/>
  <c r="P12" i="13"/>
  <c r="R16" i="13"/>
  <c r="AF27" i="13"/>
  <c r="S37" i="13"/>
  <c r="R11" i="5"/>
  <c r="S17" i="5"/>
  <c r="O28" i="5"/>
  <c r="Q35" i="5"/>
  <c r="W38" i="5"/>
  <c r="M46" i="5"/>
  <c r="AL15" i="5"/>
  <c r="AN22" i="5"/>
  <c r="AT25" i="5"/>
  <c r="AJ33" i="5"/>
  <c r="AK40" i="5"/>
  <c r="AS50" i="5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AK9" i="5"/>
  <c r="AJ10" i="5"/>
  <c r="AT10" i="5"/>
  <c r="AO13" i="5"/>
  <c r="AJ17" i="5"/>
  <c r="AP20" i="5"/>
  <c r="AK24" i="5"/>
  <c r="AR27" i="5"/>
  <c r="AL31" i="5"/>
  <c r="AS34" i="5"/>
  <c r="AN38" i="5"/>
  <c r="AT41" i="5"/>
  <c r="AO45" i="5"/>
  <c r="AJ49" i="5"/>
  <c r="AP52" i="5"/>
  <c r="P10" i="13"/>
  <c r="Q10" i="13"/>
  <c r="L9" i="13"/>
  <c r="W9" i="13"/>
  <c r="AH9" i="13"/>
  <c r="AE11" i="13"/>
  <c r="X13" i="13"/>
  <c r="AA15" i="13"/>
  <c r="L18" i="13"/>
  <c r="AG21" i="13"/>
  <c r="AA26" i="13"/>
  <c r="U31" i="13"/>
  <c r="O36" i="13"/>
  <c r="P41" i="13"/>
  <c r="S48" i="13"/>
  <c r="BJ9" i="13"/>
  <c r="BE11" i="13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AP13" i="5"/>
  <c r="AO14" i="5"/>
  <c r="AL16" i="5"/>
  <c r="AJ18" i="5"/>
  <c r="AS19" i="5"/>
  <c r="AR20" i="5"/>
  <c r="AO22" i="5"/>
  <c r="AL24" i="5"/>
  <c r="AJ26" i="5"/>
  <c r="AT26" i="5"/>
  <c r="AR28" i="5"/>
  <c r="AO30" i="5"/>
  <c r="AN31" i="5"/>
  <c r="AK33" i="5"/>
  <c r="AT34" i="5"/>
  <c r="AR36" i="5"/>
  <c r="AP37" i="5"/>
  <c r="AN39" i="5"/>
  <c r="AK41" i="5"/>
  <c r="AT42" i="5"/>
  <c r="AR44" i="5"/>
  <c r="AP45" i="5"/>
  <c r="AN47" i="5"/>
  <c r="AK49" i="5"/>
  <c r="AJ50" i="5"/>
  <c r="AS51" i="5"/>
  <c r="R12" i="13"/>
  <c r="AB12" i="13"/>
  <c r="Z13" i="13"/>
  <c r="X14" i="13"/>
  <c r="AB15" i="13"/>
  <c r="S16" i="13"/>
  <c r="W17" i="13"/>
  <c r="AF18" i="13"/>
  <c r="AA19" i="13"/>
  <c r="AE20" i="13"/>
  <c r="K22" i="13"/>
  <c r="P23" i="13"/>
  <c r="T24" i="13"/>
  <c r="AC26" i="13"/>
  <c r="AG27" i="13"/>
  <c r="M29" i="13"/>
  <c r="S30" i="13"/>
  <c r="W31" i="13"/>
  <c r="AA32" i="13"/>
  <c r="AF33" i="13"/>
  <c r="L35" i="13"/>
  <c r="P36" i="13"/>
  <c r="U37" i="13"/>
  <c r="Y38" i="13"/>
  <c r="AC39" i="13"/>
  <c r="Q41" i="13"/>
  <c r="L43" i="13"/>
  <c r="AE44" i="13"/>
  <c r="Y46" i="13"/>
  <c r="T48" i="13"/>
  <c r="O50" i="13"/>
  <c r="AG51" i="13"/>
  <c r="AB53" i="13"/>
  <c r="BB12" i="13"/>
  <c r="AR16" i="13"/>
  <c r="AW20" i="13"/>
  <c r="AX27" i="13"/>
  <c r="BL36" i="13"/>
  <c r="BM41" i="13"/>
  <c r="AX39" i="13"/>
  <c r="BM36" i="13"/>
  <c r="BF34" i="13"/>
  <c r="AV32" i="13"/>
  <c r="BJ29" i="13"/>
  <c r="BD27" i="13"/>
  <c r="AS25" i="13"/>
  <c r="BD23" i="13"/>
  <c r="BN21" i="13"/>
  <c r="AX20" i="13"/>
  <c r="AS19" i="13"/>
  <c r="BM17" i="13"/>
  <c r="BN16" i="13"/>
  <c r="AS16" i="13"/>
  <c r="AV15" i="13"/>
  <c r="AX14" i="13"/>
  <c r="BA13" i="13"/>
  <c r="BD12" i="13"/>
  <c r="BF11" i="13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AL11" i="5"/>
  <c r="AK12" i="5"/>
  <c r="AJ13" i="5"/>
  <c r="AT13" i="5"/>
  <c r="AS14" i="5"/>
  <c r="AR15" i="5"/>
  <c r="AP16" i="5"/>
  <c r="AO17" i="5"/>
  <c r="AN18" i="5"/>
  <c r="AL19" i="5"/>
  <c r="AK20" i="5"/>
  <c r="AJ21" i="5"/>
  <c r="AT21" i="5"/>
  <c r="AS22" i="5"/>
  <c r="AR23" i="5"/>
  <c r="AP24" i="5"/>
  <c r="AO25" i="5"/>
  <c r="AN26" i="5"/>
  <c r="AL27" i="5"/>
  <c r="AK28" i="5"/>
  <c r="AJ29" i="5"/>
  <c r="AT29" i="5"/>
  <c r="AS30" i="5"/>
  <c r="AR31" i="5"/>
  <c r="AP32" i="5"/>
  <c r="AO33" i="5"/>
  <c r="AN34" i="5"/>
  <c r="AL35" i="5"/>
  <c r="AK36" i="5"/>
  <c r="AJ37" i="5"/>
  <c r="AT37" i="5"/>
  <c r="AS38" i="5"/>
  <c r="AR39" i="5"/>
  <c r="AP40" i="5"/>
  <c r="AO41" i="5"/>
  <c r="AN42" i="5"/>
  <c r="AL43" i="5"/>
  <c r="AK44" i="5"/>
  <c r="AJ45" i="5"/>
  <c r="AT45" i="5"/>
  <c r="AS46" i="5"/>
  <c r="AR47" i="5"/>
  <c r="AP48" i="5"/>
  <c r="AO49" i="5"/>
  <c r="AN50" i="5"/>
  <c r="AL51" i="5"/>
  <c r="AK52" i="5"/>
  <c r="AJ53" i="5"/>
  <c r="AT53" i="5"/>
  <c r="N11" i="13"/>
  <c r="X11" i="13"/>
  <c r="K12" i="13"/>
  <c r="V12" i="13"/>
  <c r="AF12" i="13"/>
  <c r="S13" i="13"/>
  <c r="AD13" i="13"/>
  <c r="P14" i="13"/>
  <c r="AD14" i="13"/>
  <c r="T15" i="13"/>
  <c r="AH15" i="13"/>
  <c r="X16" i="13"/>
  <c r="O17" i="13"/>
  <c r="AB17" i="13"/>
  <c r="T18" i="13"/>
  <c r="P19" i="13"/>
  <c r="O20" i="13"/>
  <c r="S21" i="13"/>
  <c r="X22" i="13"/>
  <c r="AB23" i="13"/>
  <c r="AF24" i="13"/>
  <c r="M26" i="13"/>
  <c r="Q27" i="13"/>
  <c r="U28" i="13"/>
  <c r="AA29" i="13"/>
  <c r="AE30" i="13"/>
  <c r="K32" i="13"/>
  <c r="P33" i="13"/>
  <c r="T34" i="13"/>
  <c r="X35" i="13"/>
  <c r="AC36" i="13"/>
  <c r="AG37" i="13"/>
  <c r="M39" i="13"/>
  <c r="S40" i="13"/>
  <c r="M42" i="13"/>
  <c r="AF43" i="13"/>
  <c r="AA45" i="13"/>
  <c r="U47" i="13"/>
  <c r="P49" i="13"/>
  <c r="K51" i="13"/>
  <c r="AC52" i="13"/>
  <c r="AS49" i="13"/>
  <c r="AZ13" i="13"/>
  <c r="BM16" i="13"/>
  <c r="BJ21" i="13"/>
  <c r="BI29" i="13"/>
  <c r="AT39" i="13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AR12" i="5"/>
  <c r="AN15" i="5"/>
  <c r="AK17" i="5"/>
  <c r="AT18" i="5"/>
  <c r="AP21" i="5"/>
  <c r="AN23" i="5"/>
  <c r="AK25" i="5"/>
  <c r="AS27" i="5"/>
  <c r="AP29" i="5"/>
  <c r="AL32" i="5"/>
  <c r="AJ34" i="5"/>
  <c r="AS35" i="5"/>
  <c r="AO38" i="5"/>
  <c r="AL40" i="5"/>
  <c r="AJ42" i="5"/>
  <c r="AS43" i="5"/>
  <c r="AO46" i="5"/>
  <c r="AL48" i="5"/>
  <c r="AT50" i="5"/>
  <c r="AR52" i="5"/>
  <c r="AP53" i="5"/>
  <c r="O13" i="13"/>
  <c r="L14" i="13"/>
  <c r="O15" i="13"/>
  <c r="AH16" i="13"/>
  <c r="N18" i="13"/>
  <c r="X25" i="13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AN11" i="5"/>
  <c r="AL12" i="5"/>
  <c r="AK13" i="5"/>
  <c r="AJ14" i="5"/>
  <c r="AT14" i="5"/>
  <c r="AS15" i="5"/>
  <c r="AR16" i="5"/>
  <c r="AP17" i="5"/>
  <c r="AO18" i="5"/>
  <c r="AN19" i="5"/>
  <c r="AL20" i="5"/>
  <c r="AK21" i="5"/>
  <c r="AJ22" i="5"/>
  <c r="AT22" i="5"/>
  <c r="AS23" i="5"/>
  <c r="AR24" i="5"/>
  <c r="AP25" i="5"/>
  <c r="AO26" i="5"/>
  <c r="AN27" i="5"/>
  <c r="AL28" i="5"/>
  <c r="AK29" i="5"/>
  <c r="AJ30" i="5"/>
  <c r="AT30" i="5"/>
  <c r="AS31" i="5"/>
  <c r="AR32" i="5"/>
  <c r="AP33" i="5"/>
  <c r="AO34" i="5"/>
  <c r="AN35" i="5"/>
  <c r="AL36" i="5"/>
  <c r="AK37" i="5"/>
  <c r="AJ38" i="5"/>
  <c r="AT38" i="5"/>
  <c r="AS39" i="5"/>
  <c r="AR40" i="5"/>
  <c r="AP41" i="5"/>
  <c r="AO42" i="5"/>
  <c r="AN43" i="5"/>
  <c r="AL44" i="5"/>
  <c r="AK45" i="5"/>
  <c r="AJ46" i="5"/>
  <c r="AT46" i="5"/>
  <c r="AS47" i="5"/>
  <c r="AR48" i="5"/>
  <c r="AP49" i="5"/>
  <c r="AO50" i="5"/>
  <c r="AN51" i="5"/>
  <c r="AL52" i="5"/>
  <c r="AK53" i="5"/>
  <c r="O11" i="13"/>
  <c r="Z11" i="13"/>
  <c r="L12" i="13"/>
  <c r="W12" i="13"/>
  <c r="AH12" i="13"/>
  <c r="T13" i="13"/>
  <c r="AE13" i="13"/>
  <c r="R14" i="13"/>
  <c r="AE14" i="13"/>
  <c r="V15" i="13"/>
  <c r="L16" i="13"/>
  <c r="Z16" i="13"/>
  <c r="P17" i="13"/>
  <c r="AE17" i="13"/>
  <c r="U18" i="13"/>
  <c r="Q19" i="13"/>
  <c r="P20" i="13"/>
  <c r="U21" i="13"/>
  <c r="Y22" i="13"/>
  <c r="AC23" i="13"/>
  <c r="K25" i="13"/>
  <c r="O26" i="13"/>
  <c r="S27" i="13"/>
  <c r="X28" i="13"/>
  <c r="AB29" i="13"/>
  <c r="AF30" i="13"/>
  <c r="M32" i="13"/>
  <c r="Q33" i="13"/>
  <c r="U34" i="13"/>
  <c r="AA35" i="13"/>
  <c r="AE36" i="13"/>
  <c r="K38" i="13"/>
  <c r="P39" i="13"/>
  <c r="T40" i="13"/>
  <c r="O42" i="13"/>
  <c r="AG43" i="13"/>
  <c r="AB45" i="13"/>
  <c r="W47" i="13"/>
  <c r="Q49" i="13"/>
  <c r="L51" i="13"/>
  <c r="AE52" i="13"/>
  <c r="AS50" i="13"/>
  <c r="AW14" i="13"/>
  <c r="BJ17" i="13"/>
  <c r="BA23" i="13"/>
  <c r="AR32" i="13"/>
  <c r="BE41" i="13"/>
  <c r="BO45" i="13"/>
  <c r="BK45" i="13"/>
  <c r="BG45" i="13"/>
  <c r="BC45" i="13"/>
  <c r="AY45" i="13"/>
  <c r="AU45" i="13"/>
  <c r="BO44" i="13"/>
  <c r="BK44" i="13"/>
  <c r="BG44" i="13"/>
  <c r="BC44" i="13"/>
  <c r="AY44" i="13"/>
  <c r="AU44" i="13"/>
  <c r="BO43" i="13"/>
  <c r="BK43" i="13"/>
  <c r="BG43" i="13"/>
  <c r="BC43" i="13"/>
  <c r="AY43" i="13"/>
  <c r="AU43" i="13"/>
  <c r="BO42" i="13"/>
  <c r="BK42" i="13"/>
  <c r="BG42" i="13"/>
  <c r="BC42" i="13"/>
  <c r="AY42" i="13"/>
  <c r="AU42" i="13"/>
  <c r="BO41" i="13"/>
  <c r="BK41" i="13"/>
  <c r="BG41" i="13"/>
  <c r="BC41" i="13"/>
  <c r="AY41" i="13"/>
  <c r="AU41" i="13"/>
  <c r="BO40" i="13"/>
  <c r="BK40" i="13"/>
  <c r="BG40" i="13"/>
  <c r="BC40" i="13"/>
  <c r="AY40" i="13"/>
  <c r="AU40" i="13"/>
  <c r="BO39" i="13"/>
  <c r="BK39" i="13"/>
  <c r="BG39" i="13"/>
  <c r="BC39" i="13"/>
  <c r="AY39" i="13"/>
  <c r="AU39" i="13"/>
  <c r="BO38" i="13"/>
  <c r="BK38" i="13"/>
  <c r="BG38" i="13"/>
  <c r="BC38" i="13"/>
  <c r="AY38" i="13"/>
  <c r="AU38" i="13"/>
  <c r="BO37" i="13"/>
  <c r="BK37" i="13"/>
  <c r="BG37" i="13"/>
  <c r="BC37" i="13"/>
  <c r="AY37" i="13"/>
  <c r="AU37" i="13"/>
  <c r="BO36" i="13"/>
  <c r="BK36" i="13"/>
  <c r="BG36" i="13"/>
  <c r="BC36" i="13"/>
  <c r="AY36" i="13"/>
  <c r="AU36" i="13"/>
  <c r="BO35" i="13"/>
  <c r="BK35" i="13"/>
  <c r="BG35" i="13"/>
  <c r="BC35" i="13"/>
  <c r="AY35" i="13"/>
  <c r="AU35" i="13"/>
  <c r="BO34" i="13"/>
  <c r="BK34" i="13"/>
  <c r="BG34" i="13"/>
  <c r="BC34" i="13"/>
  <c r="AY34" i="13"/>
  <c r="AU34" i="13"/>
  <c r="BO33" i="13"/>
  <c r="BK33" i="13"/>
  <c r="BG33" i="13"/>
  <c r="BC33" i="13"/>
  <c r="AY33" i="13"/>
  <c r="AU33" i="13"/>
  <c r="BO32" i="13"/>
  <c r="BK32" i="13"/>
  <c r="BG32" i="13"/>
  <c r="BC32" i="13"/>
  <c r="AY32" i="13"/>
  <c r="AU32" i="13"/>
  <c r="BO31" i="13"/>
  <c r="BK31" i="13"/>
  <c r="BG31" i="13"/>
  <c r="BC31" i="13"/>
  <c r="AY31" i="13"/>
  <c r="AU31" i="13"/>
  <c r="BO30" i="13"/>
  <c r="BK30" i="13"/>
  <c r="BG30" i="13"/>
  <c r="BC30" i="13"/>
  <c r="AY30" i="13"/>
  <c r="AU30" i="13"/>
  <c r="BO29" i="13"/>
  <c r="BK29" i="13"/>
  <c r="BG29" i="13"/>
  <c r="BC29" i="13"/>
  <c r="AY29" i="13"/>
  <c r="AU29" i="13"/>
  <c r="BO28" i="13"/>
  <c r="BK28" i="13"/>
  <c r="BG28" i="13"/>
  <c r="BC28" i="13"/>
  <c r="AY28" i="13"/>
  <c r="AU28" i="13"/>
  <c r="BO27" i="13"/>
  <c r="BK27" i="13"/>
  <c r="BG27" i="13"/>
  <c r="BC27" i="13"/>
  <c r="AY27" i="13"/>
  <c r="AU27" i="13"/>
  <c r="BO26" i="13"/>
  <c r="BK26" i="13"/>
  <c r="BG26" i="13"/>
  <c r="BC26" i="13"/>
  <c r="AY26" i="13"/>
  <c r="AU26" i="13"/>
  <c r="BO25" i="13"/>
  <c r="BK25" i="13"/>
  <c r="BG25" i="13"/>
  <c r="BC25" i="13"/>
  <c r="AY25" i="13"/>
  <c r="AU25" i="13"/>
  <c r="BO24" i="13"/>
  <c r="BK24" i="13"/>
  <c r="BG24" i="13"/>
  <c r="BC24" i="13"/>
  <c r="AY24" i="13"/>
  <c r="AU24" i="13"/>
  <c r="BO23" i="13"/>
  <c r="BK23" i="13"/>
  <c r="BG23" i="13"/>
  <c r="BC23" i="13"/>
  <c r="AY23" i="13"/>
  <c r="AU23" i="13"/>
  <c r="BO22" i="13"/>
  <c r="BK22" i="13"/>
  <c r="BG22" i="13"/>
  <c r="BC22" i="13"/>
  <c r="AY22" i="13"/>
  <c r="AU22" i="13"/>
  <c r="BO21" i="13"/>
  <c r="BK21" i="13"/>
  <c r="BG21" i="13"/>
  <c r="BC21" i="13"/>
  <c r="AY21" i="13"/>
  <c r="AU21" i="13"/>
  <c r="BO20" i="13"/>
  <c r="BK20" i="13"/>
  <c r="BG20" i="13"/>
  <c r="BC20" i="13"/>
  <c r="AY20" i="13"/>
  <c r="AU20" i="13"/>
  <c r="BO19" i="13"/>
  <c r="BK19" i="13"/>
  <c r="BG19" i="13"/>
  <c r="BC19" i="13"/>
  <c r="AY19" i="13"/>
  <c r="AU19" i="13"/>
  <c r="BO18" i="13"/>
  <c r="BK18" i="13"/>
  <c r="BG18" i="13"/>
  <c r="BC18" i="13"/>
  <c r="AY18" i="13"/>
  <c r="AU18" i="13"/>
  <c r="BO17" i="13"/>
  <c r="BK17" i="13"/>
  <c r="BN45" i="13"/>
  <c r="BJ45" i="13"/>
  <c r="BF45" i="13"/>
  <c r="BB45" i="13"/>
  <c r="AX45" i="13"/>
  <c r="AT45" i="13"/>
  <c r="BN44" i="13"/>
  <c r="BJ44" i="13"/>
  <c r="BF44" i="13"/>
  <c r="BB44" i="13"/>
  <c r="AX44" i="13"/>
  <c r="AT44" i="13"/>
  <c r="BN43" i="13"/>
  <c r="BJ43" i="13"/>
  <c r="BF43" i="13"/>
  <c r="BB43" i="13"/>
  <c r="AX43" i="13"/>
  <c r="AT43" i="13"/>
  <c r="BN42" i="13"/>
  <c r="BJ42" i="13"/>
  <c r="BF42" i="13"/>
  <c r="BB42" i="13"/>
  <c r="AX42" i="13"/>
  <c r="AT42" i="13"/>
  <c r="BN41" i="13"/>
  <c r="BJ41" i="13"/>
  <c r="BF41" i="13"/>
  <c r="BB41" i="13"/>
  <c r="BM45" i="13"/>
  <c r="BI45" i="13"/>
  <c r="BE45" i="13"/>
  <c r="BA45" i="13"/>
  <c r="AW45" i="13"/>
  <c r="AS45" i="13"/>
  <c r="BM44" i="13"/>
  <c r="BI44" i="13"/>
  <c r="BE44" i="13"/>
  <c r="BL45" i="13"/>
  <c r="AV45" i="13"/>
  <c r="BD44" i="13"/>
  <c r="AV44" i="13"/>
  <c r="BL43" i="13"/>
  <c r="BD43" i="13"/>
  <c r="AV43" i="13"/>
  <c r="BL42" i="13"/>
  <c r="BD42" i="13"/>
  <c r="AV42" i="13"/>
  <c r="BL41" i="13"/>
  <c r="BD41" i="13"/>
  <c r="AW41" i="13"/>
  <c r="AR41" i="13"/>
  <c r="BJ40" i="13"/>
  <c r="BE40" i="13"/>
  <c r="AZ40" i="13"/>
  <c r="AT40" i="13"/>
  <c r="BM39" i="13"/>
  <c r="BH39" i="13"/>
  <c r="BB39" i="13"/>
  <c r="AW39" i="13"/>
  <c r="AR39" i="13"/>
  <c r="BJ38" i="13"/>
  <c r="BE38" i="13"/>
  <c r="AZ38" i="13"/>
  <c r="AT38" i="13"/>
  <c r="BM37" i="13"/>
  <c r="BH37" i="13"/>
  <c r="BB37" i="13"/>
  <c r="AW37" i="13"/>
  <c r="AR37" i="13"/>
  <c r="BJ36" i="13"/>
  <c r="BE36" i="13"/>
  <c r="AZ36" i="13"/>
  <c r="AT36" i="13"/>
  <c r="BM35" i="13"/>
  <c r="BH35" i="13"/>
  <c r="BB35" i="13"/>
  <c r="AW35" i="13"/>
  <c r="AR35" i="13"/>
  <c r="BJ34" i="13"/>
  <c r="BE34" i="13"/>
  <c r="AZ34" i="13"/>
  <c r="AT34" i="13"/>
  <c r="BM33" i="13"/>
  <c r="BH33" i="13"/>
  <c r="BB33" i="13"/>
  <c r="AW33" i="13"/>
  <c r="AR33" i="13"/>
  <c r="BJ32" i="13"/>
  <c r="BE32" i="13"/>
  <c r="AZ32" i="13"/>
  <c r="AT32" i="13"/>
  <c r="BM31" i="13"/>
  <c r="BH31" i="13"/>
  <c r="BB31" i="13"/>
  <c r="AW31" i="13"/>
  <c r="AR31" i="13"/>
  <c r="BJ30" i="13"/>
  <c r="BE30" i="13"/>
  <c r="AZ30" i="13"/>
  <c r="AT30" i="13"/>
  <c r="BM29" i="13"/>
  <c r="BH29" i="13"/>
  <c r="BB29" i="13"/>
  <c r="AW29" i="13"/>
  <c r="AR29" i="13"/>
  <c r="BJ28" i="13"/>
  <c r="BE28" i="13"/>
  <c r="AZ28" i="13"/>
  <c r="AT28" i="13"/>
  <c r="BM27" i="13"/>
  <c r="BH27" i="13"/>
  <c r="BB27" i="13"/>
  <c r="AW27" i="13"/>
  <c r="AR27" i="13"/>
  <c r="BJ26" i="13"/>
  <c r="BE26" i="13"/>
  <c r="AZ26" i="13"/>
  <c r="AT26" i="13"/>
  <c r="BM25" i="13"/>
  <c r="BH25" i="13"/>
  <c r="BB25" i="13"/>
  <c r="AW25" i="13"/>
  <c r="AR25" i="13"/>
  <c r="BJ24" i="13"/>
  <c r="BE24" i="13"/>
  <c r="AZ24" i="13"/>
  <c r="AT24" i="13"/>
  <c r="BM23" i="13"/>
  <c r="BH23" i="13"/>
  <c r="BB23" i="13"/>
  <c r="AW23" i="13"/>
  <c r="AR23" i="13"/>
  <c r="BJ22" i="13"/>
  <c r="BE22" i="13"/>
  <c r="AZ22" i="13"/>
  <c r="AT22" i="13"/>
  <c r="BM21" i="13"/>
  <c r="BH21" i="13"/>
  <c r="BB21" i="13"/>
  <c r="AW21" i="13"/>
  <c r="AR21" i="13"/>
  <c r="BJ20" i="13"/>
  <c r="BE20" i="13"/>
  <c r="AZ20" i="13"/>
  <c r="AT20" i="13"/>
  <c r="BH45" i="13"/>
  <c r="AR45" i="13"/>
  <c r="BA44" i="13"/>
  <c r="AS44" i="13"/>
  <c r="BI43" i="13"/>
  <c r="BA43" i="13"/>
  <c r="AS43" i="13"/>
  <c r="BI42" i="13"/>
  <c r="BA42" i="13"/>
  <c r="AS42" i="13"/>
  <c r="BI41" i="13"/>
  <c r="BA41" i="13"/>
  <c r="AV41" i="13"/>
  <c r="BN40" i="13"/>
  <c r="BI40" i="13"/>
  <c r="BD40" i="13"/>
  <c r="AX40" i="13"/>
  <c r="AS40" i="13"/>
  <c r="BL39" i="13"/>
  <c r="BF39" i="13"/>
  <c r="BA39" i="13"/>
  <c r="AV39" i="13"/>
  <c r="BN38" i="13"/>
  <c r="BI38" i="13"/>
  <c r="BD38" i="13"/>
  <c r="AX38" i="13"/>
  <c r="AS38" i="13"/>
  <c r="BL37" i="13"/>
  <c r="BF37" i="13"/>
  <c r="BA37" i="13"/>
  <c r="AV37" i="13"/>
  <c r="BN36" i="13"/>
  <c r="BI36" i="13"/>
  <c r="BD36" i="13"/>
  <c r="AX36" i="13"/>
  <c r="AS36" i="13"/>
  <c r="BL35" i="13"/>
  <c r="BF35" i="13"/>
  <c r="BA35" i="13"/>
  <c r="AV35" i="13"/>
  <c r="BN34" i="13"/>
  <c r="BI34" i="13"/>
  <c r="BD34" i="13"/>
  <c r="AX34" i="13"/>
  <c r="AS34" i="13"/>
  <c r="BL33" i="13"/>
  <c r="BF33" i="13"/>
  <c r="BA33" i="13"/>
  <c r="AV33" i="13"/>
  <c r="BN32" i="13"/>
  <c r="BI32" i="13"/>
  <c r="BD32" i="13"/>
  <c r="AX32" i="13"/>
  <c r="AS32" i="13"/>
  <c r="BL31" i="13"/>
  <c r="BF31" i="13"/>
  <c r="BA31" i="13"/>
  <c r="AV31" i="13"/>
  <c r="BN30" i="13"/>
  <c r="BI30" i="13"/>
  <c r="BD30" i="13"/>
  <c r="AX30" i="13"/>
  <c r="AS30" i="13"/>
  <c r="BL29" i="13"/>
  <c r="BF29" i="13"/>
  <c r="BA29" i="13"/>
  <c r="AV29" i="13"/>
  <c r="BN28" i="13"/>
  <c r="BI28" i="13"/>
  <c r="BD28" i="13"/>
  <c r="AX28" i="13"/>
  <c r="AS28" i="13"/>
  <c r="BL27" i="13"/>
  <c r="BF27" i="13"/>
  <c r="BA27" i="13"/>
  <c r="AV27" i="13"/>
  <c r="BN26" i="13"/>
  <c r="BI26" i="13"/>
  <c r="BD26" i="13"/>
  <c r="AX26" i="13"/>
  <c r="AS26" i="13"/>
  <c r="BL25" i="13"/>
  <c r="BF25" i="13"/>
  <c r="BA25" i="13"/>
  <c r="AV25" i="13"/>
  <c r="BD45" i="13"/>
  <c r="AZ44" i="13"/>
  <c r="BH43" i="13"/>
  <c r="AR43" i="13"/>
  <c r="AZ42" i="13"/>
  <c r="BH41" i="13"/>
  <c r="AT41" i="13"/>
  <c r="BH40" i="13"/>
  <c r="AW40" i="13"/>
  <c r="BJ39" i="13"/>
  <c r="AZ39" i="13"/>
  <c r="BM38" i="13"/>
  <c r="BB38" i="13"/>
  <c r="AR38" i="13"/>
  <c r="BE37" i="13"/>
  <c r="AT37" i="13"/>
  <c r="BH36" i="13"/>
  <c r="AW36" i="13"/>
  <c r="BJ35" i="13"/>
  <c r="AZ35" i="13"/>
  <c r="BM34" i="13"/>
  <c r="BB34" i="13"/>
  <c r="AR34" i="13"/>
  <c r="BE33" i="13"/>
  <c r="AT33" i="13"/>
  <c r="BH32" i="13"/>
  <c r="AW32" i="13"/>
  <c r="BJ31" i="13"/>
  <c r="AZ31" i="13"/>
  <c r="BM30" i="13"/>
  <c r="BB30" i="13"/>
  <c r="AR30" i="13"/>
  <c r="BE29" i="13"/>
  <c r="AT29" i="13"/>
  <c r="BH28" i="13"/>
  <c r="AW28" i="13"/>
  <c r="BJ27" i="13"/>
  <c r="AZ27" i="13"/>
  <c r="BM26" i="13"/>
  <c r="BB26" i="13"/>
  <c r="AR26" i="13"/>
  <c r="BE25" i="13"/>
  <c r="AT25" i="13"/>
  <c r="BL24" i="13"/>
  <c r="BD24" i="13"/>
  <c r="AW24" i="13"/>
  <c r="BN23" i="13"/>
  <c r="BF23" i="13"/>
  <c r="AZ23" i="13"/>
  <c r="AS23" i="13"/>
  <c r="BI22" i="13"/>
  <c r="BB22" i="13"/>
  <c r="AV22" i="13"/>
  <c r="BL21" i="13"/>
  <c r="BE21" i="13"/>
  <c r="AX21" i="13"/>
  <c r="BN20" i="13"/>
  <c r="BH20" i="13"/>
  <c r="BA20" i="13"/>
  <c r="AS20" i="13"/>
  <c r="BL19" i="13"/>
  <c r="BF19" i="13"/>
  <c r="BA19" i="13"/>
  <c r="AV19" i="13"/>
  <c r="BN18" i="13"/>
  <c r="BI18" i="13"/>
  <c r="BD18" i="13"/>
  <c r="AX18" i="13"/>
  <c r="AS18" i="13"/>
  <c r="BL17" i="13"/>
  <c r="BG17" i="13"/>
  <c r="BC17" i="13"/>
  <c r="AY17" i="13"/>
  <c r="AU17" i="13"/>
  <c r="BO16" i="13"/>
  <c r="BK16" i="13"/>
  <c r="BG16" i="13"/>
  <c r="BC16" i="13"/>
  <c r="AY16" i="13"/>
  <c r="AU16" i="13"/>
  <c r="BO15" i="13"/>
  <c r="BK15" i="13"/>
  <c r="BG15" i="13"/>
  <c r="BC15" i="13"/>
  <c r="AY15" i="13"/>
  <c r="AU15" i="13"/>
  <c r="BO14" i="13"/>
  <c r="BK14" i="13"/>
  <c r="BG14" i="13"/>
  <c r="BC14" i="13"/>
  <c r="AY14" i="13"/>
  <c r="AU14" i="13"/>
  <c r="BO13" i="13"/>
  <c r="BK13" i="13"/>
  <c r="BG13" i="13"/>
  <c r="BC13" i="13"/>
  <c r="AY13" i="13"/>
  <c r="AU13" i="13"/>
  <c r="BO12" i="13"/>
  <c r="BK12" i="13"/>
  <c r="BG12" i="13"/>
  <c r="BC12" i="13"/>
  <c r="AY12" i="13"/>
  <c r="AU12" i="13"/>
  <c r="BO11" i="13"/>
  <c r="BK11" i="13"/>
  <c r="BG11" i="13"/>
  <c r="BC11" i="13"/>
  <c r="AY11" i="13"/>
  <c r="AU11" i="13"/>
  <c r="BO10" i="13"/>
  <c r="BK10" i="13"/>
  <c r="BG10" i="13"/>
  <c r="BC10" i="13"/>
  <c r="AY10" i="13"/>
  <c r="AU10" i="13"/>
  <c r="BO9" i="13"/>
  <c r="CQ9" i="13" s="1"/>
  <c r="BK9" i="13"/>
  <c r="BG9" i="13"/>
  <c r="BC9" i="13"/>
  <c r="AY9" i="13"/>
  <c r="AU9" i="13"/>
  <c r="AS51" i="13"/>
  <c r="AS47" i="13"/>
  <c r="AR52" i="13"/>
  <c r="AR48" i="13"/>
  <c r="AH53" i="13"/>
  <c r="AD53" i="13"/>
  <c r="Z53" i="13"/>
  <c r="V53" i="13"/>
  <c r="R53" i="13"/>
  <c r="N53" i="13"/>
  <c r="AH52" i="13"/>
  <c r="AD52" i="13"/>
  <c r="Z52" i="13"/>
  <c r="V52" i="13"/>
  <c r="R52" i="13"/>
  <c r="N52" i="13"/>
  <c r="AH51" i="13"/>
  <c r="AD51" i="13"/>
  <c r="Z51" i="13"/>
  <c r="V51" i="13"/>
  <c r="R51" i="13"/>
  <c r="N51" i="13"/>
  <c r="AH50" i="13"/>
  <c r="AD50" i="13"/>
  <c r="Z50" i="13"/>
  <c r="V50" i="13"/>
  <c r="R50" i="13"/>
  <c r="N50" i="13"/>
  <c r="AH49" i="13"/>
  <c r="AD49" i="13"/>
  <c r="Z49" i="13"/>
  <c r="V49" i="13"/>
  <c r="R49" i="13"/>
  <c r="N49" i="13"/>
  <c r="AH48" i="13"/>
  <c r="AD48" i="13"/>
  <c r="Z48" i="13"/>
  <c r="V48" i="13"/>
  <c r="R48" i="13"/>
  <c r="N48" i="13"/>
  <c r="AH47" i="13"/>
  <c r="AD47" i="13"/>
  <c r="Z47" i="13"/>
  <c r="V47" i="13"/>
  <c r="R47" i="13"/>
  <c r="N47" i="13"/>
  <c r="AH46" i="13"/>
  <c r="AD46" i="13"/>
  <c r="Z46" i="13"/>
  <c r="V46" i="13"/>
  <c r="R46" i="13"/>
  <c r="N46" i="13"/>
  <c r="AH45" i="13"/>
  <c r="AD45" i="13"/>
  <c r="Z45" i="13"/>
  <c r="V45" i="13"/>
  <c r="R45" i="13"/>
  <c r="N45" i="13"/>
  <c r="AH44" i="13"/>
  <c r="AD44" i="13"/>
  <c r="Z44" i="13"/>
  <c r="V44" i="13"/>
  <c r="R44" i="13"/>
  <c r="N44" i="13"/>
  <c r="AH43" i="13"/>
  <c r="AD43" i="13"/>
  <c r="Z43" i="13"/>
  <c r="V43" i="13"/>
  <c r="R43" i="13"/>
  <c r="N43" i="13"/>
  <c r="AH42" i="13"/>
  <c r="AD42" i="13"/>
  <c r="Z42" i="13"/>
  <c r="V42" i="13"/>
  <c r="R42" i="13"/>
  <c r="N42" i="13"/>
  <c r="AH41" i="13"/>
  <c r="AD41" i="13"/>
  <c r="Z41" i="13"/>
  <c r="V41" i="13"/>
  <c r="R41" i="13"/>
  <c r="N41" i="13"/>
  <c r="AH40" i="13"/>
  <c r="AD40" i="13"/>
  <c r="Z40" i="13"/>
  <c r="V40" i="13"/>
  <c r="R40" i="13"/>
  <c r="N40" i="13"/>
  <c r="AH39" i="13"/>
  <c r="AD39" i="13"/>
  <c r="Z39" i="13"/>
  <c r="V39" i="13"/>
  <c r="R39" i="13"/>
  <c r="N39" i="13"/>
  <c r="AH38" i="13"/>
  <c r="AD38" i="13"/>
  <c r="Z38" i="13"/>
  <c r="V38" i="13"/>
  <c r="R38" i="13"/>
  <c r="N38" i="13"/>
  <c r="AH37" i="13"/>
  <c r="AD37" i="13"/>
  <c r="Z37" i="13"/>
  <c r="V37" i="13"/>
  <c r="R37" i="13"/>
  <c r="N37" i="13"/>
  <c r="AH36" i="13"/>
  <c r="AD36" i="13"/>
  <c r="Z36" i="13"/>
  <c r="V36" i="13"/>
  <c r="R36" i="13"/>
  <c r="N36" i="13"/>
  <c r="AH35" i="13"/>
  <c r="AD35" i="13"/>
  <c r="Z35" i="13"/>
  <c r="V35" i="13"/>
  <c r="R35" i="13"/>
  <c r="N35" i="13"/>
  <c r="AH34" i="13"/>
  <c r="AD34" i="13"/>
  <c r="Z34" i="13"/>
  <c r="V34" i="13"/>
  <c r="R34" i="13"/>
  <c r="N34" i="13"/>
  <c r="AH33" i="13"/>
  <c r="AD33" i="13"/>
  <c r="Z33" i="13"/>
  <c r="V33" i="13"/>
  <c r="R33" i="13"/>
  <c r="N33" i="13"/>
  <c r="AH32" i="13"/>
  <c r="AD32" i="13"/>
  <c r="Z32" i="13"/>
  <c r="V32" i="13"/>
  <c r="R32" i="13"/>
  <c r="N32" i="13"/>
  <c r="AH31" i="13"/>
  <c r="AD31" i="13"/>
  <c r="Z31" i="13"/>
  <c r="V31" i="13"/>
  <c r="R31" i="13"/>
  <c r="N31" i="13"/>
  <c r="AH30" i="13"/>
  <c r="AD30" i="13"/>
  <c r="Z30" i="13"/>
  <c r="V30" i="13"/>
  <c r="R30" i="13"/>
  <c r="N30" i="13"/>
  <c r="AH29" i="13"/>
  <c r="AD29" i="13"/>
  <c r="Z29" i="13"/>
  <c r="V29" i="13"/>
  <c r="R29" i="13"/>
  <c r="N29" i="13"/>
  <c r="AH28" i="13"/>
  <c r="AD28" i="13"/>
  <c r="Z28" i="13"/>
  <c r="V28" i="13"/>
  <c r="R28" i="13"/>
  <c r="N28" i="13"/>
  <c r="AH27" i="13"/>
  <c r="AD27" i="13"/>
  <c r="Z27" i="13"/>
  <c r="V27" i="13"/>
  <c r="R27" i="13"/>
  <c r="N27" i="13"/>
  <c r="AH26" i="13"/>
  <c r="AD26" i="13"/>
  <c r="Z26" i="13"/>
  <c r="V26" i="13"/>
  <c r="R26" i="13"/>
  <c r="N26" i="13"/>
  <c r="AH25" i="13"/>
  <c r="AD25" i="13"/>
  <c r="Z25" i="13"/>
  <c r="V25" i="13"/>
  <c r="R25" i="13"/>
  <c r="N25" i="13"/>
  <c r="AH24" i="13"/>
  <c r="AD24" i="13"/>
  <c r="Z24" i="13"/>
  <c r="V24" i="13"/>
  <c r="R24" i="13"/>
  <c r="N24" i="13"/>
  <c r="AH23" i="13"/>
  <c r="AD23" i="13"/>
  <c r="Z23" i="13"/>
  <c r="V23" i="13"/>
  <c r="R23" i="13"/>
  <c r="N23" i="13"/>
  <c r="AH22" i="13"/>
  <c r="AD22" i="13"/>
  <c r="Z22" i="13"/>
  <c r="V22" i="13"/>
  <c r="R22" i="13"/>
  <c r="N22" i="13"/>
  <c r="AH21" i="13"/>
  <c r="AD21" i="13"/>
  <c r="Z21" i="13"/>
  <c r="V21" i="13"/>
  <c r="R21" i="13"/>
  <c r="N21" i="13"/>
  <c r="AH20" i="13"/>
  <c r="AD20" i="13"/>
  <c r="Z20" i="13"/>
  <c r="V20" i="13"/>
  <c r="R20" i="13"/>
  <c r="N20" i="13"/>
  <c r="AH19" i="13"/>
  <c r="AD19" i="13"/>
  <c r="Z19" i="13"/>
  <c r="V19" i="13"/>
  <c r="R19" i="13"/>
  <c r="N19" i="13"/>
  <c r="AH18" i="13"/>
  <c r="AD18" i="13"/>
  <c r="Z18" i="13"/>
  <c r="V18" i="13"/>
  <c r="R18" i="13"/>
  <c r="AZ45" i="13"/>
  <c r="AR44" i="13"/>
  <c r="AW43" i="13"/>
  <c r="AW42" i="13"/>
  <c r="AZ41" i="13"/>
  <c r="BL40" i="13"/>
  <c r="AV40" i="13"/>
  <c r="BE39" i="13"/>
  <c r="AS39" i="13"/>
  <c r="BA38" i="13"/>
  <c r="BJ37" i="13"/>
  <c r="AX37" i="13"/>
  <c r="BF36" i="13"/>
  <c r="AR36" i="13"/>
  <c r="BD35" i="13"/>
  <c r="BL34" i="13"/>
  <c r="AW34" i="13"/>
  <c r="BI33" i="13"/>
  <c r="AS33" i="13"/>
  <c r="BB32" i="13"/>
  <c r="BN31" i="13"/>
  <c r="AX31" i="13"/>
  <c r="BH30" i="13"/>
  <c r="AV30" i="13"/>
  <c r="BD29" i="13"/>
  <c r="BM28" i="13"/>
  <c r="BA28" i="13"/>
  <c r="BI27" i="13"/>
  <c r="AT27" i="13"/>
  <c r="BF26" i="13"/>
  <c r="BN25" i="13"/>
  <c r="AZ25" i="13"/>
  <c r="BM24" i="13"/>
  <c r="BB24" i="13"/>
  <c r="AS24" i="13"/>
  <c r="BI23" i="13"/>
  <c r="AX23" i="13"/>
  <c r="BM22" i="13"/>
  <c r="BD22" i="13"/>
  <c r="AS22" i="13"/>
  <c r="BI21" i="13"/>
  <c r="AZ21" i="13"/>
  <c r="BM20" i="13"/>
  <c r="BD20" i="13"/>
  <c r="AV20" i="13"/>
  <c r="BJ19" i="13"/>
  <c r="BD19" i="13"/>
  <c r="AW19" i="13"/>
  <c r="BM18" i="13"/>
  <c r="BF18" i="13"/>
  <c r="AZ18" i="13"/>
  <c r="AR18" i="13"/>
  <c r="BI17" i="13"/>
  <c r="BD17" i="13"/>
  <c r="AX17" i="13"/>
  <c r="AS17" i="13"/>
  <c r="BL16" i="13"/>
  <c r="BF16" i="13"/>
  <c r="BA16" i="13"/>
  <c r="AV16" i="13"/>
  <c r="BN15" i="13"/>
  <c r="BI15" i="13"/>
  <c r="BD15" i="13"/>
  <c r="AX15" i="13"/>
  <c r="AS15" i="13"/>
  <c r="BL14" i="13"/>
  <c r="BF14" i="13"/>
  <c r="BA14" i="13"/>
  <c r="AV14" i="13"/>
  <c r="BN13" i="13"/>
  <c r="BI13" i="13"/>
  <c r="BD13" i="13"/>
  <c r="AX13" i="13"/>
  <c r="AS13" i="13"/>
  <c r="BL12" i="13"/>
  <c r="BF12" i="13"/>
  <c r="BA12" i="13"/>
  <c r="AV12" i="13"/>
  <c r="BN11" i="13"/>
  <c r="BI11" i="13"/>
  <c r="BD11" i="13"/>
  <c r="AX11" i="13"/>
  <c r="AS11" i="13"/>
  <c r="BL10" i="13"/>
  <c r="BF10" i="13"/>
  <c r="BA10" i="13"/>
  <c r="AV10" i="13"/>
  <c r="BN9" i="13"/>
  <c r="BI9" i="13"/>
  <c r="BD9" i="13"/>
  <c r="AX9" i="13"/>
  <c r="AS53" i="13"/>
  <c r="AS48" i="13"/>
  <c r="AR51" i="13"/>
  <c r="AR46" i="13"/>
  <c r="AE53" i="13"/>
  <c r="Y53" i="13"/>
  <c r="T53" i="13"/>
  <c r="O53" i="13"/>
  <c r="AG52" i="13"/>
  <c r="AB52" i="13"/>
  <c r="W52" i="13"/>
  <c r="Q52" i="13"/>
  <c r="L52" i="13"/>
  <c r="AE51" i="13"/>
  <c r="Y51" i="13"/>
  <c r="T51" i="13"/>
  <c r="O51" i="13"/>
  <c r="AG50" i="13"/>
  <c r="AB50" i="13"/>
  <c r="W50" i="13"/>
  <c r="Q50" i="13"/>
  <c r="L50" i="13"/>
  <c r="AE49" i="13"/>
  <c r="Y49" i="13"/>
  <c r="T49" i="13"/>
  <c r="O49" i="13"/>
  <c r="AG48" i="13"/>
  <c r="AB48" i="13"/>
  <c r="W48" i="13"/>
  <c r="Q48" i="13"/>
  <c r="L48" i="13"/>
  <c r="AE47" i="13"/>
  <c r="Y47" i="13"/>
  <c r="T47" i="13"/>
  <c r="O47" i="13"/>
  <c r="AG46" i="13"/>
  <c r="AB46" i="13"/>
  <c r="W46" i="13"/>
  <c r="Q46" i="13"/>
  <c r="L46" i="13"/>
  <c r="AE45" i="13"/>
  <c r="Y45" i="13"/>
  <c r="T45" i="13"/>
  <c r="O45" i="13"/>
  <c r="AG44" i="13"/>
  <c r="AB44" i="13"/>
  <c r="W44" i="13"/>
  <c r="Q44" i="13"/>
  <c r="L44" i="13"/>
  <c r="AE43" i="13"/>
  <c r="Y43" i="13"/>
  <c r="T43" i="13"/>
  <c r="O43" i="13"/>
  <c r="AG42" i="13"/>
  <c r="AB42" i="13"/>
  <c r="W42" i="13"/>
  <c r="Q42" i="13"/>
  <c r="L42" i="13"/>
  <c r="AE41" i="13"/>
  <c r="Y41" i="13"/>
  <c r="T41" i="13"/>
  <c r="O41" i="13"/>
  <c r="AG40" i="13"/>
  <c r="AB40" i="13"/>
  <c r="W40" i="13"/>
  <c r="Q40" i="13"/>
  <c r="L40" i="13"/>
  <c r="AE39" i="13"/>
  <c r="Y39" i="13"/>
  <c r="T39" i="13"/>
  <c r="O39" i="13"/>
  <c r="AG38" i="13"/>
  <c r="AB38" i="13"/>
  <c r="W38" i="13"/>
  <c r="Q38" i="13"/>
  <c r="L38" i="13"/>
  <c r="AE37" i="13"/>
  <c r="Y37" i="13"/>
  <c r="T37" i="13"/>
  <c r="O37" i="13"/>
  <c r="AG36" i="13"/>
  <c r="AB36" i="13"/>
  <c r="W36" i="13"/>
  <c r="Q36" i="13"/>
  <c r="L36" i="13"/>
  <c r="AE35" i="13"/>
  <c r="Y35" i="13"/>
  <c r="T35" i="13"/>
  <c r="O35" i="13"/>
  <c r="AG34" i="13"/>
  <c r="AB34" i="13"/>
  <c r="W34" i="13"/>
  <c r="Q34" i="13"/>
  <c r="L34" i="13"/>
  <c r="AE33" i="13"/>
  <c r="Y33" i="13"/>
  <c r="T33" i="13"/>
  <c r="O33" i="13"/>
  <c r="AG32" i="13"/>
  <c r="AB32" i="13"/>
  <c r="W32" i="13"/>
  <c r="Q32" i="13"/>
  <c r="L32" i="13"/>
  <c r="AE31" i="13"/>
  <c r="Y31" i="13"/>
  <c r="T31" i="13"/>
  <c r="O31" i="13"/>
  <c r="AG30" i="13"/>
  <c r="AB30" i="13"/>
  <c r="W30" i="13"/>
  <c r="Q30" i="13"/>
  <c r="L30" i="13"/>
  <c r="AE29" i="13"/>
  <c r="Y29" i="13"/>
  <c r="T29" i="13"/>
  <c r="O29" i="13"/>
  <c r="AG28" i="13"/>
  <c r="AB28" i="13"/>
  <c r="W28" i="13"/>
  <c r="Q28" i="13"/>
  <c r="L28" i="13"/>
  <c r="AE27" i="13"/>
  <c r="Y27" i="13"/>
  <c r="T27" i="13"/>
  <c r="O27" i="13"/>
  <c r="AG26" i="13"/>
  <c r="AB26" i="13"/>
  <c r="W26" i="13"/>
  <c r="Q26" i="13"/>
  <c r="L26" i="13"/>
  <c r="AE25" i="13"/>
  <c r="Y25" i="13"/>
  <c r="T25" i="13"/>
  <c r="O25" i="13"/>
  <c r="AG24" i="13"/>
  <c r="AB24" i="13"/>
  <c r="W24" i="13"/>
  <c r="Q24" i="13"/>
  <c r="L24" i="13"/>
  <c r="AE23" i="13"/>
  <c r="Y23" i="13"/>
  <c r="T23" i="13"/>
  <c r="O23" i="13"/>
  <c r="AG22" i="13"/>
  <c r="AB22" i="13"/>
  <c r="W22" i="13"/>
  <c r="Q22" i="13"/>
  <c r="L22" i="13"/>
  <c r="AE21" i="13"/>
  <c r="Y21" i="13"/>
  <c r="T21" i="13"/>
  <c r="O21" i="13"/>
  <c r="AG20" i="13"/>
  <c r="AB20" i="13"/>
  <c r="W20" i="13"/>
  <c r="Q20" i="13"/>
  <c r="L20" i="13"/>
  <c r="AE19" i="13"/>
  <c r="Y19" i="13"/>
  <c r="T19" i="13"/>
  <c r="O19" i="13"/>
  <c r="AG18" i="13"/>
  <c r="AB18" i="13"/>
  <c r="W18" i="13"/>
  <c r="Q18" i="13"/>
  <c r="M18" i="13"/>
  <c r="AG17" i="13"/>
  <c r="AC17" i="13"/>
  <c r="Y17" i="13"/>
  <c r="U17" i="13"/>
  <c r="Q17" i="13"/>
  <c r="M17" i="13"/>
  <c r="AG16" i="13"/>
  <c r="AC16" i="13"/>
  <c r="Y16" i="13"/>
  <c r="U16" i="13"/>
  <c r="Q16" i="13"/>
  <c r="M16" i="13"/>
  <c r="AG15" i="13"/>
  <c r="AC15" i="13"/>
  <c r="Y15" i="13"/>
  <c r="U15" i="13"/>
  <c r="Q15" i="13"/>
  <c r="M15" i="13"/>
  <c r="AG14" i="13"/>
  <c r="AC14" i="13"/>
  <c r="Y14" i="13"/>
  <c r="U14" i="13"/>
  <c r="Q14" i="13"/>
  <c r="M14" i="13"/>
  <c r="AG13" i="13"/>
  <c r="AC13" i="13"/>
  <c r="Y13" i="13"/>
  <c r="U13" i="13"/>
  <c r="Q13" i="13"/>
  <c r="M13" i="13"/>
  <c r="AG12" i="13"/>
  <c r="AC12" i="13"/>
  <c r="Y12" i="13"/>
  <c r="U12" i="13"/>
  <c r="Q12" i="13"/>
  <c r="M12" i="13"/>
  <c r="AG11" i="13"/>
  <c r="AC11" i="13"/>
  <c r="Y11" i="13"/>
  <c r="U11" i="13"/>
  <c r="Q11" i="13"/>
  <c r="M11" i="13"/>
  <c r="AG9" i="13"/>
  <c r="AC9" i="13"/>
  <c r="Y9" i="13"/>
  <c r="U9" i="13"/>
  <c r="Q9" i="13"/>
  <c r="M9" i="13"/>
  <c r="AE10" i="13"/>
  <c r="W10" i="13"/>
  <c r="O10" i="13"/>
  <c r="AB10" i="13"/>
  <c r="T10" i="13"/>
  <c r="M10" i="13"/>
  <c r="AQ53" i="5"/>
  <c r="AM53" i="5"/>
  <c r="AQ52" i="5"/>
  <c r="AM52" i="5"/>
  <c r="AQ51" i="5"/>
  <c r="AM51" i="5"/>
  <c r="AQ50" i="5"/>
  <c r="AM50" i="5"/>
  <c r="AQ49" i="5"/>
  <c r="AM49" i="5"/>
  <c r="AQ48" i="5"/>
  <c r="AM48" i="5"/>
  <c r="AQ47" i="5"/>
  <c r="AM47" i="5"/>
  <c r="AQ46" i="5"/>
  <c r="AM46" i="5"/>
  <c r="AQ45" i="5"/>
  <c r="AM45" i="5"/>
  <c r="AQ44" i="5"/>
  <c r="AM44" i="5"/>
  <c r="AQ43" i="5"/>
  <c r="AM43" i="5"/>
  <c r="AQ42" i="5"/>
  <c r="AM42" i="5"/>
  <c r="AQ41" i="5"/>
  <c r="AM41" i="5"/>
  <c r="AQ40" i="5"/>
  <c r="AM40" i="5"/>
  <c r="AQ39" i="5"/>
  <c r="AM39" i="5"/>
  <c r="AQ38" i="5"/>
  <c r="AM38" i="5"/>
  <c r="AQ37" i="5"/>
  <c r="AM37" i="5"/>
  <c r="AQ36" i="5"/>
  <c r="AM36" i="5"/>
  <c r="AQ35" i="5"/>
  <c r="AM35" i="5"/>
  <c r="AQ34" i="5"/>
  <c r="AM34" i="5"/>
  <c r="AQ33" i="5"/>
  <c r="AM33" i="5"/>
  <c r="AQ32" i="5"/>
  <c r="AM32" i="5"/>
  <c r="AQ31" i="5"/>
  <c r="AM31" i="5"/>
  <c r="AQ30" i="5"/>
  <c r="AM30" i="5"/>
  <c r="AQ29" i="5"/>
  <c r="AM29" i="5"/>
  <c r="AQ28" i="5"/>
  <c r="AM28" i="5"/>
  <c r="AQ27" i="5"/>
  <c r="AM27" i="5"/>
  <c r="AQ26" i="5"/>
  <c r="AM26" i="5"/>
  <c r="AQ25" i="5"/>
  <c r="AM25" i="5"/>
  <c r="AQ24" i="5"/>
  <c r="AM24" i="5"/>
  <c r="AQ23" i="5"/>
  <c r="AM23" i="5"/>
  <c r="AQ22" i="5"/>
  <c r="AM22" i="5"/>
  <c r="AQ21" i="5"/>
  <c r="AM21" i="5"/>
  <c r="AQ20" i="5"/>
  <c r="AM20" i="5"/>
  <c r="AQ19" i="5"/>
  <c r="AM19" i="5"/>
  <c r="AQ18" i="5"/>
  <c r="AM18" i="5"/>
  <c r="AQ17" i="5"/>
  <c r="AM17" i="5"/>
  <c r="AQ16" i="5"/>
  <c r="AM16" i="5"/>
  <c r="AQ15" i="5"/>
  <c r="AM15" i="5"/>
  <c r="AQ14" i="5"/>
  <c r="AM14" i="5"/>
  <c r="AQ13" i="5"/>
  <c r="AM13" i="5"/>
  <c r="AQ12" i="5"/>
  <c r="AM12" i="5"/>
  <c r="AQ11" i="5"/>
  <c r="AM11" i="5"/>
  <c r="AQ10" i="5"/>
  <c r="AM10" i="5"/>
  <c r="AQ9" i="5"/>
  <c r="AM9" i="5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AR42" i="13"/>
  <c r="AX41" i="13"/>
  <c r="BF40" i="13"/>
  <c r="AR40" i="13"/>
  <c r="BD39" i="13"/>
  <c r="BL38" i="13"/>
  <c r="AW38" i="13"/>
  <c r="BI37" i="13"/>
  <c r="AS37" i="13"/>
  <c r="BB36" i="13"/>
  <c r="BN35" i="13"/>
  <c r="AX35" i="13"/>
  <c r="BH34" i="13"/>
  <c r="AV34" i="13"/>
  <c r="BD33" i="13"/>
  <c r="BM32" i="13"/>
  <c r="BA32" i="13"/>
  <c r="BI31" i="13"/>
  <c r="AT31" i="13"/>
  <c r="BF30" i="13"/>
  <c r="BN29" i="13"/>
  <c r="AZ29" i="13"/>
  <c r="BL28" i="13"/>
  <c r="AV28" i="13"/>
  <c r="BE27" i="13"/>
  <c r="AS27" i="13"/>
  <c r="BA26" i="13"/>
  <c r="BJ25" i="13"/>
  <c r="AX25" i="13"/>
  <c r="BI24" i="13"/>
  <c r="BA24" i="13"/>
  <c r="AR24" i="13"/>
  <c r="BE23" i="13"/>
  <c r="AV23" i="13"/>
  <c r="BA22" i="13"/>
  <c r="AR22" i="13"/>
  <c r="BF21" i="13"/>
  <c r="AV21" i="13"/>
  <c r="BL20" i="13"/>
  <c r="AR20" i="13"/>
  <c r="BI19" i="13"/>
  <c r="AT19" i="13"/>
  <c r="BE18" i="13"/>
  <c r="BN17" i="13"/>
  <c r="BB17" i="13"/>
  <c r="BJ16" i="13"/>
  <c r="AZ16" i="13"/>
  <c r="BM15" i="13"/>
  <c r="BB15" i="13"/>
  <c r="AR15" i="13"/>
  <c r="BE14" i="13"/>
  <c r="AT14" i="13"/>
  <c r="BH13" i="13"/>
  <c r="AW13" i="13"/>
  <c r="BJ12" i="13"/>
  <c r="AZ12" i="13"/>
  <c r="BM11" i="13"/>
  <c r="BB11" i="13"/>
  <c r="BJ10" i="13"/>
  <c r="AZ10" i="13"/>
  <c r="BM9" i="13"/>
  <c r="BB9" i="13"/>
  <c r="AS52" i="13"/>
  <c r="AR50" i="13"/>
  <c r="AC53" i="13"/>
  <c r="M53" i="13"/>
  <c r="AA52" i="13"/>
  <c r="P52" i="13"/>
  <c r="AC51" i="13"/>
  <c r="S51" i="13"/>
  <c r="AF50" i="13"/>
  <c r="U50" i="13"/>
  <c r="K50" i="13"/>
  <c r="X49" i="13"/>
  <c r="M49" i="13"/>
  <c r="AA48" i="13"/>
  <c r="P48" i="13"/>
  <c r="AC47" i="13"/>
  <c r="S47" i="13"/>
  <c r="AF46" i="13"/>
  <c r="U46" i="13"/>
  <c r="K46" i="13"/>
  <c r="X45" i="13"/>
  <c r="M45" i="13"/>
  <c r="AA44" i="13"/>
  <c r="P44" i="13"/>
  <c r="AC43" i="13"/>
  <c r="S43" i="13"/>
  <c r="AF42" i="13"/>
  <c r="U42" i="13"/>
  <c r="K42" i="13"/>
  <c r="X41" i="13"/>
  <c r="M41" i="13"/>
  <c r="AA40" i="13"/>
  <c r="BL44" i="13"/>
  <c r="BM43" i="13"/>
  <c r="BM42" i="13"/>
  <c r="BL22" i="13"/>
  <c r="BB20" i="13"/>
  <c r="BB19" i="13"/>
  <c r="BL18" i="13"/>
  <c r="AW18" i="13"/>
  <c r="BH17" i="13"/>
  <c r="AW17" i="13"/>
  <c r="AR17" i="13"/>
  <c r="BE16" i="13"/>
  <c r="AT16" i="13"/>
  <c r="BH15" i="13"/>
  <c r="AW15" i="13"/>
  <c r="BJ14" i="13"/>
  <c r="AZ14" i="13"/>
  <c r="BM13" i="13"/>
  <c r="BB13" i="13"/>
  <c r="AR13" i="13"/>
  <c r="BE12" i="13"/>
  <c r="AT12" i="13"/>
  <c r="BH11" i="13"/>
  <c r="AW11" i="13"/>
  <c r="AR11" i="13"/>
  <c r="BE10" i="13"/>
  <c r="AT10" i="13"/>
  <c r="BH9" i="13"/>
  <c r="AW9" i="13"/>
  <c r="AS46" i="13"/>
  <c r="AR9" i="13"/>
  <c r="X53" i="13"/>
  <c r="S53" i="13"/>
  <c r="AF52" i="13"/>
  <c r="U52" i="13"/>
  <c r="K52" i="13"/>
  <c r="X51" i="13"/>
  <c r="M51" i="13"/>
  <c r="AA50" i="13"/>
  <c r="P50" i="13"/>
  <c r="AC49" i="13"/>
  <c r="S49" i="13"/>
  <c r="AF48" i="13"/>
  <c r="U48" i="13"/>
  <c r="K48" i="13"/>
  <c r="X47" i="13"/>
  <c r="M47" i="13"/>
  <c r="AA46" i="13"/>
  <c r="P46" i="13"/>
  <c r="AC45" i="13"/>
  <c r="S45" i="13"/>
  <c r="AF44" i="13"/>
  <c r="U44" i="13"/>
  <c r="K44" i="13"/>
  <c r="X43" i="13"/>
  <c r="M43" i="13"/>
  <c r="AA42" i="13"/>
  <c r="P42" i="13"/>
  <c r="AC41" i="13"/>
  <c r="S41" i="13"/>
  <c r="AF40" i="13"/>
  <c r="U40" i="13"/>
  <c r="BH44" i="13"/>
  <c r="BH42" i="13"/>
  <c r="AS41" i="13"/>
  <c r="BN39" i="13"/>
  <c r="BH38" i="13"/>
  <c r="BD37" i="13"/>
  <c r="BA36" i="13"/>
  <c r="AT35" i="13"/>
  <c r="BN33" i="13"/>
  <c r="BL32" i="13"/>
  <c r="BE31" i="13"/>
  <c r="BA30" i="13"/>
  <c r="AX29" i="13"/>
  <c r="AR28" i="13"/>
  <c r="BL26" i="13"/>
  <c r="BI25" i="13"/>
  <c r="BH24" i="13"/>
  <c r="BL23" i="13"/>
  <c r="AT23" i="13"/>
  <c r="AX22" i="13"/>
  <c r="BD21" i="13"/>
  <c r="BI20" i="13"/>
  <c r="BN19" i="13"/>
  <c r="AZ19" i="13"/>
  <c r="BJ18" i="13"/>
  <c r="AV18" i="13"/>
  <c r="BF17" i="13"/>
  <c r="AV17" i="13"/>
  <c r="BI16" i="13"/>
  <c r="AX16" i="13"/>
  <c r="BL15" i="13"/>
  <c r="BA15" i="13"/>
  <c r="BN14" i="13"/>
  <c r="BD14" i="13"/>
  <c r="AS14" i="13"/>
  <c r="BF13" i="13"/>
  <c r="AV13" i="13"/>
  <c r="BI12" i="13"/>
  <c r="AX12" i="13"/>
  <c r="BL11" i="13"/>
  <c r="BA11" i="13"/>
  <c r="BN10" i="13"/>
  <c r="BD10" i="13"/>
  <c r="AS10" i="13"/>
  <c r="BF9" i="13"/>
  <c r="AV9" i="13"/>
  <c r="AS9" i="13"/>
  <c r="AG53" i="13"/>
  <c r="W53" i="13"/>
  <c r="L53" i="13"/>
  <c r="Y52" i="13"/>
  <c r="O52" i="13"/>
  <c r="AB51" i="13"/>
  <c r="Q51" i="13"/>
  <c r="AE50" i="13"/>
  <c r="T50" i="13"/>
  <c r="AG49" i="13"/>
  <c r="W49" i="13"/>
  <c r="L49" i="13"/>
  <c r="Y48" i="13"/>
  <c r="O48" i="13"/>
  <c r="AB47" i="13"/>
  <c r="Q47" i="13"/>
  <c r="AE46" i="13"/>
  <c r="T46" i="13"/>
  <c r="AG45" i="13"/>
  <c r="W45" i="13"/>
  <c r="L45" i="13"/>
  <c r="Y44" i="13"/>
  <c r="O44" i="13"/>
  <c r="AB43" i="13"/>
  <c r="Q43" i="13"/>
  <c r="AE42" i="13"/>
  <c r="T42" i="13"/>
  <c r="AG41" i="13"/>
  <c r="W41" i="13"/>
  <c r="L41" i="13"/>
  <c r="Y40" i="13"/>
  <c r="P40" i="13"/>
  <c r="AG39" i="13"/>
  <c r="AA39" i="13"/>
  <c r="S39" i="13"/>
  <c r="L39" i="13"/>
  <c r="AC38" i="13"/>
  <c r="U38" i="13"/>
  <c r="O38" i="13"/>
  <c r="AF37" i="13"/>
  <c r="X37" i="13"/>
  <c r="Q37" i="13"/>
  <c r="K37" i="13"/>
  <c r="AA36" i="13"/>
  <c r="T36" i="13"/>
  <c r="M36" i="13"/>
  <c r="AC35" i="13"/>
  <c r="W35" i="13"/>
  <c r="P35" i="13"/>
  <c r="AF34" i="13"/>
  <c r="Y34" i="13"/>
  <c r="S34" i="13"/>
  <c r="K34" i="13"/>
  <c r="AB33" i="13"/>
  <c r="U33" i="13"/>
  <c r="M33" i="13"/>
  <c r="AE32" i="13"/>
  <c r="X32" i="13"/>
  <c r="P32" i="13"/>
  <c r="AG31" i="13"/>
  <c r="AA31" i="13"/>
  <c r="S31" i="13"/>
  <c r="L31" i="13"/>
  <c r="AC30" i="13"/>
  <c r="U30" i="13"/>
  <c r="O30" i="13"/>
  <c r="AF29" i="13"/>
  <c r="X29" i="13"/>
  <c r="Q29" i="13"/>
  <c r="K29" i="13"/>
  <c r="AA28" i="13"/>
  <c r="T28" i="13"/>
  <c r="M28" i="13"/>
  <c r="AC27" i="13"/>
  <c r="W27" i="13"/>
  <c r="P27" i="13"/>
  <c r="AF26" i="13"/>
  <c r="Y26" i="13"/>
  <c r="S26" i="13"/>
  <c r="K26" i="13"/>
  <c r="AB25" i="13"/>
  <c r="U25" i="13"/>
  <c r="M25" i="13"/>
  <c r="AE24" i="13"/>
  <c r="X24" i="13"/>
  <c r="P24" i="13"/>
  <c r="AG23" i="13"/>
  <c r="AA23" i="13"/>
  <c r="S23" i="13"/>
  <c r="L23" i="13"/>
  <c r="AC22" i="13"/>
  <c r="U22" i="13"/>
  <c r="O22" i="13"/>
  <c r="AF21" i="13"/>
  <c r="X21" i="13"/>
  <c r="Q21" i="13"/>
  <c r="K21" i="13"/>
  <c r="AA20" i="13"/>
  <c r="T20" i="13"/>
  <c r="M20" i="13"/>
  <c r="AC19" i="13"/>
  <c r="AW44" i="13"/>
  <c r="BE42" i="13"/>
  <c r="BM40" i="13"/>
  <c r="BI39" i="13"/>
  <c r="BF38" i="13"/>
  <c r="AZ37" i="13"/>
  <c r="AV36" i="13"/>
  <c r="AS35" i="13"/>
  <c r="BJ33" i="13"/>
  <c r="BF32" i="13"/>
  <c r="BD31" i="13"/>
  <c r="AW30" i="13"/>
  <c r="AS29" i="13"/>
  <c r="BN27" i="13"/>
  <c r="BH26" i="13"/>
  <c r="BD25" i="13"/>
  <c r="BF24" i="13"/>
  <c r="BJ23" i="13"/>
  <c r="BN22" i="13"/>
  <c r="AW22" i="13"/>
  <c r="BA21" i="13"/>
  <c r="BF20" i="13"/>
  <c r="BM19" i="13"/>
  <c r="AX19" i="13"/>
  <c r="BH18" i="13"/>
  <c r="AT18" i="13"/>
  <c r="BE17" i="13"/>
  <c r="AT17" i="13"/>
  <c r="BH16" i="13"/>
  <c r="AW16" i="13"/>
  <c r="BJ15" i="13"/>
  <c r="AZ15" i="13"/>
  <c r="BM14" i="13"/>
  <c r="BB14" i="13"/>
  <c r="AR14" i="13"/>
  <c r="BE13" i="13"/>
  <c r="AT13" i="13"/>
  <c r="BH12" i="13"/>
  <c r="AW12" i="13"/>
  <c r="BJ11" i="13"/>
  <c r="AZ11" i="13"/>
  <c r="BM10" i="13"/>
  <c r="BB10" i="13"/>
  <c r="AR10" i="13"/>
  <c r="BE9" i="13"/>
  <c r="AT9" i="13"/>
  <c r="AR53" i="13"/>
  <c r="AF53" i="13"/>
  <c r="U53" i="13"/>
  <c r="K53" i="13"/>
  <c r="X52" i="13"/>
  <c r="M52" i="13"/>
  <c r="AA51" i="13"/>
  <c r="P51" i="13"/>
  <c r="AC50" i="13"/>
  <c r="S50" i="13"/>
  <c r="AF49" i="13"/>
  <c r="U49" i="13"/>
  <c r="K49" i="13"/>
  <c r="X48" i="13"/>
  <c r="M48" i="13"/>
  <c r="AA47" i="13"/>
  <c r="P47" i="13"/>
  <c r="AC46" i="13"/>
  <c r="S46" i="13"/>
  <c r="AF45" i="13"/>
  <c r="U45" i="13"/>
  <c r="K45" i="13"/>
  <c r="X44" i="13"/>
  <c r="M44" i="13"/>
  <c r="AA43" i="13"/>
  <c r="P43" i="13"/>
  <c r="AC42" i="13"/>
  <c r="S42" i="13"/>
  <c r="AF41" i="13"/>
  <c r="U41" i="13"/>
  <c r="K41" i="13"/>
  <c r="X40" i="13"/>
  <c r="O40" i="13"/>
  <c r="AF39" i="13"/>
  <c r="X39" i="13"/>
  <c r="Q39" i="13"/>
  <c r="K39" i="13"/>
  <c r="AA38" i="13"/>
  <c r="T38" i="13"/>
  <c r="M38" i="13"/>
  <c r="AC37" i="13"/>
  <c r="W37" i="13"/>
  <c r="P37" i="13"/>
  <c r="AF36" i="13"/>
  <c r="Y36" i="13"/>
  <c r="S36" i="13"/>
  <c r="K36" i="13"/>
  <c r="AB35" i="13"/>
  <c r="U35" i="13"/>
  <c r="M35" i="13"/>
  <c r="AE34" i="13"/>
  <c r="X34" i="13"/>
  <c r="P34" i="13"/>
  <c r="AG33" i="13"/>
  <c r="AA33" i="13"/>
  <c r="S33" i="13"/>
  <c r="L33" i="13"/>
  <c r="AC32" i="13"/>
  <c r="U32" i="13"/>
  <c r="O32" i="13"/>
  <c r="AF31" i="13"/>
  <c r="X31" i="13"/>
  <c r="Q31" i="13"/>
  <c r="K31" i="13"/>
  <c r="AA30" i="13"/>
  <c r="T30" i="13"/>
  <c r="M30" i="13"/>
  <c r="AC29" i="13"/>
  <c r="W29" i="13"/>
  <c r="P29" i="13"/>
  <c r="AF28" i="13"/>
  <c r="Y28" i="13"/>
  <c r="S28" i="13"/>
  <c r="K28" i="13"/>
  <c r="AB27" i="13"/>
  <c r="U27" i="13"/>
  <c r="M27" i="13"/>
  <c r="AE26" i="13"/>
  <c r="X26" i="13"/>
  <c r="P26" i="13"/>
  <c r="AG25" i="13"/>
  <c r="AA25" i="13"/>
  <c r="S25" i="13"/>
  <c r="L25" i="13"/>
  <c r="AC24" i="13"/>
  <c r="U24" i="13"/>
  <c r="O24" i="13"/>
  <c r="AF23" i="13"/>
  <c r="X23" i="13"/>
  <c r="Q23" i="13"/>
  <c r="K23" i="13"/>
  <c r="AA22" i="13"/>
  <c r="T22" i="13"/>
  <c r="M22" i="13"/>
  <c r="AC21" i="13"/>
  <c r="W21" i="13"/>
  <c r="P21" i="13"/>
  <c r="AF20" i="13"/>
  <c r="Y20" i="13"/>
  <c r="S20" i="13"/>
  <c r="K20" i="13"/>
  <c r="AB19" i="13"/>
  <c r="U19" i="13"/>
  <c r="M19" i="13"/>
  <c r="AE18" i="13"/>
  <c r="X18" i="13"/>
  <c r="P18" i="13"/>
  <c r="K18" i="13"/>
  <c r="AD17" i="13"/>
  <c r="X17" i="13"/>
  <c r="S17" i="13"/>
  <c r="N17" i="13"/>
  <c r="AF16" i="13"/>
  <c r="AA16" i="13"/>
  <c r="V16" i="13"/>
  <c r="P16" i="13"/>
  <c r="K16" i="13"/>
  <c r="AD15" i="13"/>
  <c r="X15" i="13"/>
  <c r="S15" i="13"/>
  <c r="N15" i="13"/>
  <c r="AF14" i="13"/>
  <c r="AA14" i="13"/>
  <c r="V14" i="13"/>
  <c r="V45" i="18"/>
  <c r="E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AL9" i="5"/>
  <c r="AR9" i="5"/>
  <c r="AK10" i="5"/>
  <c r="AP10" i="5"/>
  <c r="AJ11" i="5"/>
  <c r="AO11" i="5"/>
  <c r="AT11" i="5"/>
  <c r="AN12" i="5"/>
  <c r="AS12" i="5"/>
  <c r="AL13" i="5"/>
  <c r="AR13" i="5"/>
  <c r="AK14" i="5"/>
  <c r="AP14" i="5"/>
  <c r="AJ15" i="5"/>
  <c r="AO15" i="5"/>
  <c r="AT15" i="5"/>
  <c r="AN16" i="5"/>
  <c r="AS16" i="5"/>
  <c r="AL17" i="5"/>
  <c r="AR17" i="5"/>
  <c r="AK18" i="5"/>
  <c r="AP18" i="5"/>
  <c r="AJ19" i="5"/>
  <c r="AO19" i="5"/>
  <c r="AT19" i="5"/>
  <c r="AN20" i="5"/>
  <c r="AS20" i="5"/>
  <c r="AL21" i="5"/>
  <c r="AR21" i="5"/>
  <c r="AK22" i="5"/>
  <c r="AP22" i="5"/>
  <c r="AJ23" i="5"/>
  <c r="AO23" i="5"/>
  <c r="AT23" i="5"/>
  <c r="AN24" i="5"/>
  <c r="AS24" i="5"/>
  <c r="AL25" i="5"/>
  <c r="AR25" i="5"/>
  <c r="AK26" i="5"/>
  <c r="AP26" i="5"/>
  <c r="AJ27" i="5"/>
  <c r="AO27" i="5"/>
  <c r="AT27" i="5"/>
  <c r="AN28" i="5"/>
  <c r="AS28" i="5"/>
  <c r="AL29" i="5"/>
  <c r="AR29" i="5"/>
  <c r="AK30" i="5"/>
  <c r="AP30" i="5"/>
  <c r="AJ31" i="5"/>
  <c r="AO31" i="5"/>
  <c r="AT31" i="5"/>
  <c r="AN32" i="5"/>
  <c r="AS32" i="5"/>
  <c r="AL33" i="5"/>
  <c r="AR33" i="5"/>
  <c r="AK34" i="5"/>
  <c r="AP34" i="5"/>
  <c r="AJ35" i="5"/>
  <c r="AO35" i="5"/>
  <c r="AT35" i="5"/>
  <c r="AN36" i="5"/>
  <c r="AS36" i="5"/>
  <c r="AL37" i="5"/>
  <c r="AR37" i="5"/>
  <c r="AK38" i="5"/>
  <c r="AP38" i="5"/>
  <c r="AJ39" i="5"/>
  <c r="AO39" i="5"/>
  <c r="AT39" i="5"/>
  <c r="AN40" i="5"/>
  <c r="AS40" i="5"/>
  <c r="AL41" i="5"/>
  <c r="AR41" i="5"/>
  <c r="AK42" i="5"/>
  <c r="AP42" i="5"/>
  <c r="AJ43" i="5"/>
  <c r="AO43" i="5"/>
  <c r="AT43" i="5"/>
  <c r="AN44" i="5"/>
  <c r="AS44" i="5"/>
  <c r="AL45" i="5"/>
  <c r="AR45" i="5"/>
  <c r="AK46" i="5"/>
  <c r="AP46" i="5"/>
  <c r="AJ47" i="5"/>
  <c r="AO47" i="5"/>
  <c r="AT47" i="5"/>
  <c r="AN48" i="5"/>
  <c r="AS48" i="5"/>
  <c r="AL49" i="5"/>
  <c r="AR49" i="5"/>
  <c r="AK50" i="5"/>
  <c r="AP50" i="5"/>
  <c r="AJ51" i="5"/>
  <c r="AO51" i="5"/>
  <c r="AT51" i="5"/>
  <c r="AN52" i="5"/>
  <c r="AS52" i="5"/>
  <c r="AL53" i="5"/>
  <c r="AR53" i="5"/>
  <c r="K10" i="13"/>
  <c r="R10" i="13"/>
  <c r="AD10" i="13"/>
  <c r="S10" i="13"/>
  <c r="AC10" i="13"/>
  <c r="N9" i="13"/>
  <c r="S9" i="13"/>
  <c r="X9" i="13"/>
  <c r="AD9" i="13"/>
  <c r="K11" i="13"/>
  <c r="P11" i="13"/>
  <c r="V11" i="13"/>
  <c r="AA11" i="13"/>
  <c r="AF11" i="13"/>
  <c r="N12" i="13"/>
  <c r="S12" i="13"/>
  <c r="X12" i="13"/>
  <c r="AD12" i="13"/>
  <c r="K13" i="13"/>
  <c r="P13" i="13"/>
  <c r="V13" i="13"/>
  <c r="AA13" i="13"/>
  <c r="AF13" i="13"/>
  <c r="N14" i="13"/>
  <c r="S14" i="13"/>
  <c r="Z14" i="13"/>
  <c r="AH14" i="13"/>
  <c r="P15" i="13"/>
  <c r="W15" i="13"/>
  <c r="AE15" i="13"/>
  <c r="N16" i="13"/>
  <c r="T16" i="13"/>
  <c r="AB16" i="13"/>
  <c r="K17" i="13"/>
  <c r="R17" i="13"/>
  <c r="Z17" i="13"/>
  <c r="AF17" i="13"/>
  <c r="O18" i="13"/>
  <c r="Y18" i="13"/>
  <c r="K19" i="13"/>
  <c r="S19" i="13"/>
  <c r="AF19" i="13"/>
  <c r="U20" i="13"/>
  <c r="L21" i="13"/>
  <c r="AA21" i="13"/>
  <c r="P22" i="13"/>
  <c r="AE22" i="13"/>
  <c r="U23" i="13"/>
  <c r="K24" i="13"/>
  <c r="Y24" i="13"/>
  <c r="P25" i="13"/>
  <c r="AC25" i="13"/>
  <c r="T26" i="13"/>
  <c r="K27" i="13"/>
  <c r="X27" i="13"/>
  <c r="O28" i="13"/>
  <c r="AC28" i="13"/>
  <c r="S29" i="13"/>
  <c r="AG29" i="13"/>
  <c r="X30" i="13"/>
  <c r="M31" i="13"/>
  <c r="AB31" i="13"/>
  <c r="S32" i="13"/>
  <c r="AF32" i="13"/>
  <c r="W33" i="13"/>
  <c r="M34" i="13"/>
  <c r="AA34" i="13"/>
  <c r="Q35" i="13"/>
  <c r="AF35" i="13"/>
  <c r="U36" i="13"/>
  <c r="L37" i="13"/>
  <c r="AA37" i="13"/>
  <c r="P38" i="13"/>
  <c r="AE38" i="13"/>
  <c r="U39" i="13"/>
  <c r="K40" i="13"/>
  <c r="AC40" i="13"/>
  <c r="AA41" i="13"/>
  <c r="X42" i="13"/>
  <c r="U43" i="13"/>
  <c r="S44" i="13"/>
  <c r="P45" i="13"/>
  <c r="M46" i="13"/>
  <c r="K47" i="13"/>
  <c r="AF47" i="13"/>
  <c r="AC48" i="13"/>
  <c r="AA49" i="13"/>
  <c r="X50" i="13"/>
  <c r="U51" i="13"/>
  <c r="S52" i="13"/>
  <c r="P53" i="13"/>
  <c r="AR47" i="13"/>
  <c r="AZ9" i="13"/>
  <c r="AW10" i="13"/>
  <c r="AT11" i="13"/>
  <c r="AR12" i="13"/>
  <c r="BM12" i="13"/>
  <c r="BJ13" i="13"/>
  <c r="BH14" i="13"/>
  <c r="BE15" i="13"/>
  <c r="BB16" i="13"/>
  <c r="AZ17" i="13"/>
  <c r="BA18" i="13"/>
  <c r="BE19" i="13"/>
  <c r="AS21" i="13"/>
  <c r="BF22" i="13"/>
  <c r="AV24" i="13"/>
  <c r="AV26" i="13"/>
  <c r="BB28" i="13"/>
  <c r="BL30" i="13"/>
  <c r="AX33" i="13"/>
  <c r="BE35" i="13"/>
  <c r="BN37" i="13"/>
  <c r="BA40" i="13"/>
  <c r="AZ43" i="13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AN9" i="5"/>
  <c r="AS9" i="5"/>
  <c r="AL10" i="5"/>
  <c r="AR10" i="5"/>
  <c r="AK11" i="5"/>
  <c r="AP11" i="5"/>
  <c r="AJ12" i="5"/>
  <c r="AO12" i="5"/>
  <c r="AT12" i="5"/>
  <c r="AN13" i="5"/>
  <c r="AS13" i="5"/>
  <c r="AL14" i="5"/>
  <c r="AR14" i="5"/>
  <c r="AK15" i="5"/>
  <c r="AP15" i="5"/>
  <c r="AJ16" i="5"/>
  <c r="AO16" i="5"/>
  <c r="AT16" i="5"/>
  <c r="AN17" i="5"/>
  <c r="AS17" i="5"/>
  <c r="AL18" i="5"/>
  <c r="AR18" i="5"/>
  <c r="AK19" i="5"/>
  <c r="AP19" i="5"/>
  <c r="AJ20" i="5"/>
  <c r="AO20" i="5"/>
  <c r="AT20" i="5"/>
  <c r="AN21" i="5"/>
  <c r="AS21" i="5"/>
  <c r="AL22" i="5"/>
  <c r="AR22" i="5"/>
  <c r="AK23" i="5"/>
  <c r="AP23" i="5"/>
  <c r="AJ24" i="5"/>
  <c r="AO24" i="5"/>
  <c r="AT24" i="5"/>
  <c r="AN25" i="5"/>
  <c r="AS25" i="5"/>
  <c r="AL26" i="5"/>
  <c r="AR26" i="5"/>
  <c r="AK27" i="5"/>
  <c r="AP27" i="5"/>
  <c r="AJ28" i="5"/>
  <c r="AO28" i="5"/>
  <c r="AT28" i="5"/>
  <c r="AN29" i="5"/>
  <c r="AS29" i="5"/>
  <c r="AL30" i="5"/>
  <c r="AR30" i="5"/>
  <c r="AK31" i="5"/>
  <c r="AP31" i="5"/>
  <c r="AJ32" i="5"/>
  <c r="AO32" i="5"/>
  <c r="AT32" i="5"/>
  <c r="AN33" i="5"/>
  <c r="AS33" i="5"/>
  <c r="AL34" i="5"/>
  <c r="AR34" i="5"/>
  <c r="AK35" i="5"/>
  <c r="AP35" i="5"/>
  <c r="AJ36" i="5"/>
  <c r="AO36" i="5"/>
  <c r="AT36" i="5"/>
  <c r="AN37" i="5"/>
  <c r="AS37" i="5"/>
  <c r="AL38" i="5"/>
  <c r="AR38" i="5"/>
  <c r="AK39" i="5"/>
  <c r="AP39" i="5"/>
  <c r="AJ40" i="5"/>
  <c r="AO40" i="5"/>
  <c r="AT40" i="5"/>
  <c r="AN41" i="5"/>
  <c r="AS41" i="5"/>
  <c r="AL42" i="5"/>
  <c r="AR42" i="5"/>
  <c r="AK43" i="5"/>
  <c r="AP43" i="5"/>
  <c r="AJ44" i="5"/>
  <c r="AO44" i="5"/>
  <c r="AT44" i="5"/>
  <c r="AN45" i="5"/>
  <c r="AS45" i="5"/>
  <c r="AL46" i="5"/>
  <c r="AR46" i="5"/>
  <c r="AK47" i="5"/>
  <c r="AP47" i="5"/>
  <c r="AJ48" i="5"/>
  <c r="AO48" i="5"/>
  <c r="AT48" i="5"/>
  <c r="AN49" i="5"/>
  <c r="AS49" i="5"/>
  <c r="AL50" i="5"/>
  <c r="AR50" i="5"/>
  <c r="AK51" i="5"/>
  <c r="AP51" i="5"/>
  <c r="AJ52" i="5"/>
  <c r="AO52" i="5"/>
  <c r="AT52" i="5"/>
  <c r="AN53" i="5"/>
  <c r="AS53" i="5"/>
  <c r="L10" i="13"/>
  <c r="V10" i="13"/>
  <c r="AF10" i="13"/>
  <c r="U10" i="13"/>
  <c r="AG10" i="13"/>
  <c r="O9" i="13"/>
  <c r="T9" i="13"/>
  <c r="Z9" i="13"/>
  <c r="AE9" i="13"/>
  <c r="L11" i="13"/>
  <c r="R11" i="13"/>
  <c r="W11" i="13"/>
  <c r="AB11" i="13"/>
  <c r="AH11" i="13"/>
  <c r="O12" i="13"/>
  <c r="T12" i="13"/>
  <c r="Z12" i="13"/>
  <c r="AE12" i="13"/>
  <c r="L13" i="13"/>
  <c r="R13" i="13"/>
  <c r="W13" i="13"/>
  <c r="AB13" i="13"/>
  <c r="AH13" i="13"/>
  <c r="O14" i="13"/>
  <c r="T14" i="13"/>
  <c r="AB14" i="13"/>
  <c r="K15" i="13"/>
  <c r="R15" i="13"/>
  <c r="Z15" i="13"/>
  <c r="AF15" i="13"/>
  <c r="O16" i="13"/>
  <c r="W16" i="13"/>
  <c r="AD16" i="13"/>
  <c r="L17" i="13"/>
  <c r="T17" i="13"/>
  <c r="AA17" i="13"/>
  <c r="AH17" i="13"/>
  <c r="S18" i="13"/>
  <c r="AA18" i="13"/>
  <c r="L19" i="13"/>
  <c r="W19" i="13"/>
  <c r="AG19" i="13"/>
  <c r="X20" i="13"/>
  <c r="M21" i="13"/>
  <c r="AB21" i="13"/>
  <c r="S22" i="13"/>
  <c r="AF22" i="13"/>
  <c r="W23" i="13"/>
  <c r="M24" i="13"/>
  <c r="AA24" i="13"/>
  <c r="Q25" i="13"/>
  <c r="AF25" i="13"/>
  <c r="U26" i="13"/>
  <c r="L27" i="13"/>
  <c r="AA27" i="13"/>
  <c r="P28" i="13"/>
  <c r="AE28" i="13"/>
  <c r="U29" i="13"/>
  <c r="K30" i="13"/>
  <c r="Y30" i="13"/>
  <c r="P31" i="13"/>
  <c r="AC31" i="13"/>
  <c r="T32" i="13"/>
  <c r="K33" i="13"/>
  <c r="X33" i="13"/>
  <c r="O34" i="13"/>
  <c r="AC34" i="13"/>
  <c r="S35" i="13"/>
  <c r="AG35" i="13"/>
  <c r="X36" i="13"/>
  <c r="M37" i="13"/>
  <c r="AB37" i="13"/>
  <c r="S38" i="13"/>
  <c r="AF38" i="13"/>
  <c r="W39" i="13"/>
  <c r="M40" i="13"/>
  <c r="AE40" i="13"/>
  <c r="AB41" i="13"/>
  <c r="Y42" i="13"/>
  <c r="W43" i="13"/>
  <c r="T44" i="13"/>
  <c r="Q45" i="13"/>
  <c r="O46" i="13"/>
  <c r="L47" i="13"/>
  <c r="AG47" i="13"/>
  <c r="AE48" i="13"/>
  <c r="AB49" i="13"/>
  <c r="Y50" i="13"/>
  <c r="W51" i="13"/>
  <c r="T52" i="13"/>
  <c r="Q53" i="13"/>
  <c r="AR49" i="13"/>
  <c r="BA9" i="13"/>
  <c r="AX10" i="13"/>
  <c r="AV11" i="13"/>
  <c r="AS12" i="13"/>
  <c r="BN12" i="13"/>
  <c r="BL13" i="13"/>
  <c r="BI14" i="13"/>
  <c r="BF15" i="13"/>
  <c r="BD16" i="13"/>
  <c r="BA17" i="13"/>
  <c r="BB18" i="13"/>
  <c r="BH19" i="13"/>
  <c r="AT21" i="13"/>
  <c r="BH22" i="13"/>
  <c r="AX24" i="13"/>
  <c r="AW26" i="13"/>
  <c r="BF28" i="13"/>
  <c r="AS31" i="13"/>
  <c r="AZ33" i="13"/>
  <c r="BI35" i="13"/>
  <c r="AV38" i="13"/>
  <c r="BB40" i="13"/>
  <c r="BE43" i="13"/>
  <c r="Y53" i="18"/>
  <c r="Y52" i="18"/>
  <c r="DA53" i="18"/>
  <c r="DA54" i="18"/>
  <c r="CD28" i="18"/>
  <c r="E7" i="18"/>
  <c r="AP28" i="18"/>
  <c r="AA17" i="18"/>
  <c r="E27" i="18"/>
  <c r="AK9" i="18"/>
  <c r="E25" i="18"/>
  <c r="AU25" i="18"/>
  <c r="BE28" i="18"/>
  <c r="CS28" i="18"/>
  <c r="CN33" i="18"/>
  <c r="E13" i="18"/>
  <c r="CD17" i="18"/>
  <c r="CX27" i="18"/>
  <c r="E28" i="18"/>
  <c r="AZ34" i="18"/>
  <c r="CX24" i="18"/>
  <c r="CD25" i="18"/>
  <c r="AA28" i="18"/>
  <c r="BO28" i="18"/>
  <c r="E33" i="18"/>
  <c r="BY9" i="18"/>
  <c r="E11" i="18"/>
  <c r="AU17" i="18"/>
  <c r="E24" i="18"/>
  <c r="AA25" i="18"/>
  <c r="BY25" i="18"/>
  <c r="AP27" i="18"/>
  <c r="V28" i="18"/>
  <c r="CX28" i="18"/>
  <c r="V29" i="18"/>
  <c r="CD29" i="18"/>
  <c r="BE33" i="18"/>
  <c r="L36" i="18"/>
  <c r="CN38" i="18"/>
  <c r="E39" i="18"/>
  <c r="CS44" i="18"/>
  <c r="AZ8" i="18"/>
  <c r="BT8" i="18"/>
  <c r="BY15" i="18"/>
  <c r="BE24" i="18"/>
  <c r="AA29" i="18"/>
  <c r="CS29" i="18"/>
  <c r="CI31" i="18"/>
  <c r="E50" i="18"/>
  <c r="BE15" i="18"/>
  <c r="AP31" i="18"/>
  <c r="E8" i="18"/>
  <c r="AZ9" i="18"/>
  <c r="AZ15" i="18"/>
  <c r="CN15" i="18"/>
  <c r="BY17" i="18"/>
  <c r="BE25" i="18"/>
  <c r="CX25" i="18"/>
  <c r="BO27" i="18"/>
  <c r="BE29" i="18"/>
  <c r="G31" i="18"/>
  <c r="CS32" i="18"/>
  <c r="F38" i="18"/>
  <c r="DC23" i="18"/>
  <c r="Q26" i="18"/>
  <c r="AU30" i="18"/>
  <c r="DC30" i="18"/>
  <c r="Q35" i="18"/>
  <c r="Q40" i="18"/>
  <c r="AZ11" i="18"/>
  <c r="AZ12" i="18"/>
  <c r="Q13" i="18"/>
  <c r="AA23" i="18"/>
  <c r="BY23" i="18"/>
  <c r="V24" i="18"/>
  <c r="V26" i="18"/>
  <c r="Q27" i="18"/>
  <c r="AU27" i="18"/>
  <c r="BY27" i="18"/>
  <c r="DC27" i="18"/>
  <c r="V30" i="18"/>
  <c r="BE30" i="18"/>
  <c r="CD30" i="18"/>
  <c r="AK35" i="18"/>
  <c r="BY35" i="18"/>
  <c r="Q39" i="18"/>
  <c r="BY39" i="18"/>
  <c r="AK40" i="18"/>
  <c r="BY40" i="18"/>
  <c r="BE45" i="18"/>
  <c r="BT48" i="18"/>
  <c r="BY49" i="18"/>
  <c r="AK12" i="18"/>
  <c r="BY26" i="18"/>
  <c r="BY30" i="18"/>
  <c r="BT35" i="18"/>
  <c r="BT40" i="18"/>
  <c r="BT13" i="18"/>
  <c r="DC24" i="18"/>
  <c r="BE26" i="18"/>
  <c r="CD26" i="18"/>
  <c r="AK8" i="18"/>
  <c r="BY8" i="18"/>
  <c r="E9" i="18"/>
  <c r="AK13" i="18"/>
  <c r="BY13" i="18"/>
  <c r="E15" i="18"/>
  <c r="E17" i="18"/>
  <c r="BE17" i="18"/>
  <c r="DC17" i="18"/>
  <c r="AU23" i="18"/>
  <c r="CD23" i="18"/>
  <c r="AA24" i="18"/>
  <c r="BY24" i="18"/>
  <c r="V25" i="18"/>
  <c r="DC25" i="18"/>
  <c r="AA26" i="18"/>
  <c r="CS26" i="18"/>
  <c r="V27" i="18"/>
  <c r="BE27" i="18"/>
  <c r="CD27" i="18"/>
  <c r="Q28" i="18"/>
  <c r="AU28" i="18"/>
  <c r="BY28" i="18"/>
  <c r="DC28" i="18"/>
  <c r="E29" i="18"/>
  <c r="AP29" i="18"/>
  <c r="BO29" i="18"/>
  <c r="CX29" i="18"/>
  <c r="AA30" i="18"/>
  <c r="CS30" i="18"/>
  <c r="AK31" i="18"/>
  <c r="E32" i="18"/>
  <c r="AZ33" i="18"/>
  <c r="E34" i="18"/>
  <c r="BT34" i="18"/>
  <c r="AZ35" i="18"/>
  <c r="AZ38" i="18"/>
  <c r="AZ39" i="18"/>
  <c r="CN39" i="18"/>
  <c r="AZ40" i="18"/>
  <c r="CD48" i="18"/>
  <c r="BY12" i="18"/>
  <c r="V23" i="18"/>
  <c r="AU26" i="18"/>
  <c r="DC26" i="18"/>
  <c r="Q30" i="18"/>
  <c r="Q9" i="18"/>
  <c r="BT9" i="18"/>
  <c r="BY11" i="18"/>
  <c r="E12" i="18"/>
  <c r="BT12" i="18"/>
  <c r="AZ13" i="18"/>
  <c r="AK15" i="18"/>
  <c r="BT15" i="18"/>
  <c r="V17" i="18"/>
  <c r="E23" i="18"/>
  <c r="BE23" i="18"/>
  <c r="CX23" i="18"/>
  <c r="AU24" i="18"/>
  <c r="CD24" i="18"/>
  <c r="E26" i="18"/>
  <c r="AP26" i="18"/>
  <c r="BO26" i="18"/>
  <c r="CX26" i="18"/>
  <c r="AA27" i="18"/>
  <c r="CS27" i="18"/>
  <c r="Q29" i="18"/>
  <c r="AU29" i="18"/>
  <c r="BY29" i="18"/>
  <c r="DC29" i="18"/>
  <c r="E30" i="18"/>
  <c r="AP30" i="18"/>
  <c r="BO30" i="18"/>
  <c r="CX30" i="18"/>
  <c r="AK34" i="18"/>
  <c r="BY34" i="18"/>
  <c r="E35" i="18"/>
  <c r="BE39" i="18"/>
  <c r="E40" i="18"/>
  <c r="AK48" i="18"/>
  <c r="CS48" i="18"/>
  <c r="F49" i="18"/>
  <c r="L10" i="18"/>
  <c r="BT14" i="18"/>
  <c r="AK14" i="18"/>
  <c r="CN19" i="18"/>
  <c r="CX19" i="18"/>
  <c r="BY19" i="18"/>
  <c r="AU19" i="18"/>
  <c r="V19" i="18"/>
  <c r="CS19" i="18"/>
  <c r="BO19" i="18"/>
  <c r="AP19" i="18"/>
  <c r="Q19" i="18"/>
  <c r="BE10" i="18"/>
  <c r="CN10" i="18"/>
  <c r="L14" i="18"/>
  <c r="CI16" i="18"/>
  <c r="BO16" i="18"/>
  <c r="L16" i="18"/>
  <c r="AZ16" i="18"/>
  <c r="CN18" i="18"/>
  <c r="CX18" i="18"/>
  <c r="BY18" i="18"/>
  <c r="AU18" i="18"/>
  <c r="V18" i="18"/>
  <c r="CS18" i="18"/>
  <c r="BO18" i="18"/>
  <c r="AP18" i="18"/>
  <c r="Q18" i="18"/>
  <c r="G18" i="18"/>
  <c r="G19" i="18"/>
  <c r="CN20" i="18"/>
  <c r="CX20" i="18"/>
  <c r="BY20" i="18"/>
  <c r="AU20" i="18"/>
  <c r="V20" i="18"/>
  <c r="CS20" i="18"/>
  <c r="BO20" i="18"/>
  <c r="AP20" i="18"/>
  <c r="Q20" i="18"/>
  <c r="G20" i="18"/>
  <c r="CN21" i="18"/>
  <c r="CX21" i="18"/>
  <c r="BY21" i="18"/>
  <c r="AU21" i="18"/>
  <c r="V21" i="18"/>
  <c r="CS21" i="18"/>
  <c r="BO21" i="18"/>
  <c r="AP21" i="18"/>
  <c r="Q21" i="18"/>
  <c r="G21" i="18"/>
  <c r="CN22" i="18"/>
  <c r="CX22" i="18"/>
  <c r="BY22" i="18"/>
  <c r="AU22" i="18"/>
  <c r="V22" i="18"/>
  <c r="CS22" i="18"/>
  <c r="BO22" i="18"/>
  <c r="AP22" i="18"/>
  <c r="Q22" i="18"/>
  <c r="G22" i="18"/>
  <c r="CN41" i="18"/>
  <c r="AZ41" i="18"/>
  <c r="E41" i="18"/>
  <c r="BY41" i="18"/>
  <c r="AK41" i="18"/>
  <c r="Q41" i="18"/>
  <c r="CS42" i="18"/>
  <c r="F42" i="18"/>
  <c r="BT42" i="18"/>
  <c r="CX47" i="18"/>
  <c r="BT47" i="18"/>
  <c r="L47" i="18"/>
  <c r="AU47" i="18"/>
  <c r="L7" i="18"/>
  <c r="BY7" i="18"/>
  <c r="Q10" i="18"/>
  <c r="L11" i="18"/>
  <c r="BE11" i="18"/>
  <c r="CN11" i="18"/>
  <c r="Q14" i="18"/>
  <c r="BY14" i="18"/>
  <c r="AA18" i="18"/>
  <c r="CD18" i="18"/>
  <c r="AA19" i="18"/>
  <c r="CD19" i="18"/>
  <c r="AA20" i="18"/>
  <c r="CD20" i="18"/>
  <c r="AA21" i="18"/>
  <c r="CD21" i="18"/>
  <c r="AA22" i="18"/>
  <c r="CD22" i="18"/>
  <c r="BY36" i="18"/>
  <c r="AZ36" i="18"/>
  <c r="E36" i="18"/>
  <c r="BT36" i="18"/>
  <c r="AK36" i="18"/>
  <c r="Q36" i="18"/>
  <c r="BT37" i="18"/>
  <c r="AK37" i="18"/>
  <c r="Q37" i="18"/>
  <c r="L37" i="18"/>
  <c r="BY37" i="18"/>
  <c r="CX44" i="18"/>
  <c r="E44" i="18"/>
  <c r="BE44" i="18"/>
  <c r="AK44" i="18"/>
  <c r="V7" i="18"/>
  <c r="L8" i="18"/>
  <c r="BE8" i="18"/>
  <c r="CN8" i="18"/>
  <c r="AK10" i="18"/>
  <c r="BT10" i="18"/>
  <c r="Q11" i="18"/>
  <c r="L12" i="18"/>
  <c r="BE12" i="18"/>
  <c r="CN12" i="18"/>
  <c r="AZ14" i="18"/>
  <c r="CN14" i="18"/>
  <c r="BY16" i="18"/>
  <c r="AK18" i="18"/>
  <c r="CI18" i="18"/>
  <c r="AK19" i="18"/>
  <c r="CI19" i="18"/>
  <c r="AK20" i="18"/>
  <c r="CI20" i="18"/>
  <c r="AK21" i="18"/>
  <c r="CI21" i="18"/>
  <c r="AK22" i="18"/>
  <c r="CI22" i="18"/>
  <c r="BE36" i="18"/>
  <c r="AZ37" i="18"/>
  <c r="CN37" i="18"/>
  <c r="BT41" i="18"/>
  <c r="CD47" i="18"/>
  <c r="AP50" i="18"/>
  <c r="L9" i="18"/>
  <c r="BE9" i="18"/>
  <c r="E10" i="18"/>
  <c r="AZ10" i="18"/>
  <c r="AK11" i="18"/>
  <c r="L13" i="18"/>
  <c r="BE13" i="18"/>
  <c r="E14" i="18"/>
  <c r="BE14" i="18"/>
  <c r="L15" i="18"/>
  <c r="AK16" i="18"/>
  <c r="CX16" i="18"/>
  <c r="E18" i="18"/>
  <c r="BE18" i="18"/>
  <c r="DC18" i="18"/>
  <c r="E19" i="18"/>
  <c r="BE19" i="18"/>
  <c r="DC19" i="18"/>
  <c r="E20" i="18"/>
  <c r="BE20" i="18"/>
  <c r="DC20" i="18"/>
  <c r="E21" i="18"/>
  <c r="BE21" i="18"/>
  <c r="DC21" i="18"/>
  <c r="E22" i="18"/>
  <c r="BE22" i="18"/>
  <c r="DC22" i="18"/>
  <c r="CD31" i="18"/>
  <c r="BE31" i="18"/>
  <c r="AA31" i="18"/>
  <c r="E31" i="18"/>
  <c r="BY31" i="18"/>
  <c r="AU31" i="18"/>
  <c r="V31" i="18"/>
  <c r="Q31" i="18"/>
  <c r="BO31" i="18"/>
  <c r="BE37" i="18"/>
  <c r="L41" i="18"/>
  <c r="AF42" i="18"/>
  <c r="BY44" i="18"/>
  <c r="AA47" i="18"/>
  <c r="CN47" i="18"/>
  <c r="G17" i="18"/>
  <c r="AK17" i="18"/>
  <c r="CS17" i="18"/>
  <c r="G23" i="18"/>
  <c r="AK23" i="18"/>
  <c r="CI23" i="18"/>
  <c r="G24" i="18"/>
  <c r="AK24" i="18"/>
  <c r="CI24" i="18"/>
  <c r="G25" i="18"/>
  <c r="AK25" i="18"/>
  <c r="CI25" i="18"/>
  <c r="L33" i="18"/>
  <c r="L34" i="18"/>
  <c r="BE34" i="18"/>
  <c r="CN34" i="18"/>
  <c r="L45" i="18"/>
  <c r="CS45" i="18"/>
  <c r="Q17" i="18"/>
  <c r="AP17" i="18"/>
  <c r="BO17" i="18"/>
  <c r="CX17" i="18"/>
  <c r="Q23" i="18"/>
  <c r="AP23" i="18"/>
  <c r="BO23" i="18"/>
  <c r="CS23" i="18"/>
  <c r="Q24" i="18"/>
  <c r="AP24" i="18"/>
  <c r="BO24" i="18"/>
  <c r="CS24" i="18"/>
  <c r="Q25" i="18"/>
  <c r="AP25" i="18"/>
  <c r="BO25" i="18"/>
  <c r="CS25" i="18"/>
  <c r="G26" i="18"/>
  <c r="AK26" i="18"/>
  <c r="CI26" i="18"/>
  <c r="G27" i="18"/>
  <c r="AK27" i="18"/>
  <c r="CI27" i="18"/>
  <c r="G28" i="18"/>
  <c r="AK28" i="18"/>
  <c r="CI28" i="18"/>
  <c r="G29" i="18"/>
  <c r="AK29" i="18"/>
  <c r="CI29" i="18"/>
  <c r="G30" i="18"/>
  <c r="AK30" i="18"/>
  <c r="CI30" i="18"/>
  <c r="Q33" i="18"/>
  <c r="L35" i="18"/>
  <c r="BE35" i="18"/>
  <c r="L40" i="18"/>
  <c r="BE40" i="18"/>
  <c r="M32" i="3"/>
  <c r="L10" i="3"/>
  <c r="H15" i="3"/>
  <c r="L19" i="3"/>
  <c r="M29" i="3"/>
  <c r="F6" i="18"/>
  <c r="AP6" i="18"/>
  <c r="AS5" i="18" s="1"/>
  <c r="M28" i="3"/>
  <c r="M40" i="3"/>
  <c r="H13" i="3"/>
  <c r="P17" i="3"/>
  <c r="M22" i="3"/>
  <c r="G26" i="3"/>
  <c r="E42" i="3"/>
  <c r="AB29" i="3"/>
  <c r="Q6" i="18"/>
  <c r="T5" i="18" s="1"/>
  <c r="AZ6" i="18"/>
  <c r="BC5" i="18" s="1"/>
  <c r="CS6" i="18"/>
  <c r="CV5" i="18" s="1"/>
  <c r="CX7" i="18"/>
  <c r="CD7" i="18"/>
  <c r="AP7" i="18"/>
  <c r="DC7" i="18"/>
  <c r="CI7" i="18"/>
  <c r="BO7" i="18"/>
  <c r="AU7" i="18"/>
  <c r="AA7" i="18"/>
  <c r="G7" i="18"/>
  <c r="F7" i="18"/>
  <c r="AF7" i="18"/>
  <c r="BE7" i="18"/>
  <c r="CN7" i="18"/>
  <c r="M9" i="3"/>
  <c r="P9" i="3"/>
  <c r="L13" i="3"/>
  <c r="H17" i="3"/>
  <c r="I25" i="3"/>
  <c r="H9" i="3"/>
  <c r="P13" i="3"/>
  <c r="L15" i="3"/>
  <c r="F23" i="3"/>
  <c r="E31" i="3"/>
  <c r="O43" i="3"/>
  <c r="AK6" i="18"/>
  <c r="AN5" i="18" s="1"/>
  <c r="BT6" i="18"/>
  <c r="BW5" i="18" s="1"/>
  <c r="Q7" i="18"/>
  <c r="CS7" i="18"/>
  <c r="CX8" i="18"/>
  <c r="CD8" i="18"/>
  <c r="AP8" i="18"/>
  <c r="V8" i="18"/>
  <c r="DC8" i="18"/>
  <c r="CI8" i="18"/>
  <c r="BO8" i="18"/>
  <c r="AU8" i="18"/>
  <c r="AA8" i="18"/>
  <c r="G8" i="18"/>
  <c r="F8" i="18"/>
  <c r="AF8" i="18"/>
  <c r="CS8" i="18"/>
  <c r="CX9" i="18"/>
  <c r="CD9" i="18"/>
  <c r="AP9" i="18"/>
  <c r="V9" i="18"/>
  <c r="DC9" i="18"/>
  <c r="CI9" i="18"/>
  <c r="BO9" i="18"/>
  <c r="AU9" i="18"/>
  <c r="AA9" i="18"/>
  <c r="G9" i="18"/>
  <c r="F9" i="18"/>
  <c r="AF9" i="18"/>
  <c r="CS9" i="18"/>
  <c r="CX10" i="18"/>
  <c r="CD10" i="18"/>
  <c r="AP10" i="18"/>
  <c r="V10" i="18"/>
  <c r="DC10" i="18"/>
  <c r="CI10" i="18"/>
  <c r="BO10" i="18"/>
  <c r="AU10" i="18"/>
  <c r="AA10" i="18"/>
  <c r="G10" i="18"/>
  <c r="F10" i="18"/>
  <c r="AF10" i="18"/>
  <c r="CS10" i="18"/>
  <c r="CX11" i="18"/>
  <c r="CD11" i="18"/>
  <c r="AP11" i="18"/>
  <c r="V11" i="18"/>
  <c r="DC11" i="18"/>
  <c r="CI11" i="18"/>
  <c r="BO11" i="18"/>
  <c r="AU11" i="18"/>
  <c r="AA11" i="18"/>
  <c r="G11" i="18"/>
  <c r="F11" i="18"/>
  <c r="AF11" i="18"/>
  <c r="CS11" i="18"/>
  <c r="CX12" i="18"/>
  <c r="CD12" i="18"/>
  <c r="AP12" i="18"/>
  <c r="V12" i="18"/>
  <c r="DC12" i="18"/>
  <c r="CI12" i="18"/>
  <c r="BO12" i="18"/>
  <c r="AU12" i="18"/>
  <c r="AA12" i="18"/>
  <c r="G12" i="18"/>
  <c r="F12" i="18"/>
  <c r="AF12" i="18"/>
  <c r="CS12" i="18"/>
  <c r="CX13" i="18"/>
  <c r="CD13" i="18"/>
  <c r="AP13" i="18"/>
  <c r="V13" i="18"/>
  <c r="DC13" i="18"/>
  <c r="CI13" i="18"/>
  <c r="BO13" i="18"/>
  <c r="AU13" i="18"/>
  <c r="AA13" i="18"/>
  <c r="G13" i="18"/>
  <c r="F13" i="18"/>
  <c r="AF13" i="18"/>
  <c r="CS13" i="18"/>
  <c r="CX14" i="18"/>
  <c r="CD14" i="18"/>
  <c r="AP14" i="18"/>
  <c r="V14" i="18"/>
  <c r="DC14" i="18"/>
  <c r="CI14" i="18"/>
  <c r="BO14" i="18"/>
  <c r="AU14" i="18"/>
  <c r="AA14" i="18"/>
  <c r="G14" i="18"/>
  <c r="F14" i="18"/>
  <c r="AF14" i="18"/>
  <c r="CS14" i="18"/>
  <c r="CX15" i="18"/>
  <c r="CD15" i="18"/>
  <c r="AP15" i="18"/>
  <c r="V15" i="18"/>
  <c r="DC15" i="18"/>
  <c r="CI15" i="18"/>
  <c r="BO15" i="18"/>
  <c r="AU15" i="18"/>
  <c r="AA15" i="18"/>
  <c r="G15" i="18"/>
  <c r="F15" i="18"/>
  <c r="AF15" i="18"/>
  <c r="CS15" i="18"/>
  <c r="E16" i="18"/>
  <c r="Q16" i="18"/>
  <c r="BE16" i="18"/>
  <c r="DC6" i="18"/>
  <c r="DF5" i="18" s="1"/>
  <c r="CI6" i="18"/>
  <c r="CL5" i="18" s="1"/>
  <c r="BO6" i="18"/>
  <c r="BR5" i="18" s="1"/>
  <c r="AU6" i="18"/>
  <c r="AX5" i="18" s="1"/>
  <c r="AA6" i="18"/>
  <c r="AD5" i="18" s="1"/>
  <c r="G6" i="18"/>
  <c r="J5" i="18" s="1"/>
  <c r="AF6" i="18"/>
  <c r="AI5" i="18" s="1"/>
  <c r="BY6" i="18"/>
  <c r="CB5" i="18" s="1"/>
  <c r="M20" i="3"/>
  <c r="M36" i="3"/>
  <c r="AA10" i="3"/>
  <c r="M14" i="3"/>
  <c r="AB14" i="3"/>
  <c r="P14" i="3"/>
  <c r="AB18" i="3"/>
  <c r="L18" i="3"/>
  <c r="N22" i="3"/>
  <c r="H22" i="3"/>
  <c r="N26" i="3"/>
  <c r="J30" i="3"/>
  <c r="I30" i="3"/>
  <c r="E34" i="3"/>
  <c r="P38" i="3"/>
  <c r="K38" i="3"/>
  <c r="K42" i="3"/>
  <c r="L9" i="3"/>
  <c r="L11" i="3"/>
  <c r="H14" i="3"/>
  <c r="P15" i="3"/>
  <c r="P18" i="3"/>
  <c r="L21" i="3"/>
  <c r="K23" i="3"/>
  <c r="M27" i="3"/>
  <c r="M33" i="3"/>
  <c r="E6" i="18"/>
  <c r="L6" i="18"/>
  <c r="O5" i="18" s="1"/>
  <c r="V6" i="18"/>
  <c r="BE6" i="18"/>
  <c r="BH5" i="18" s="1"/>
  <c r="CN6" i="18"/>
  <c r="CQ5" i="18" s="1"/>
  <c r="CX6" i="18"/>
  <c r="DA5" i="18" s="1"/>
  <c r="AK7" i="18"/>
  <c r="BT7" i="18"/>
  <c r="CN16" i="18"/>
  <c r="BT16" i="18"/>
  <c r="CD16" i="18"/>
  <c r="AP16" i="18"/>
  <c r="V16" i="18"/>
  <c r="DC16" i="18"/>
  <c r="CS16" i="18"/>
  <c r="AU16" i="18"/>
  <c r="AA16" i="18"/>
  <c r="G16" i="18"/>
  <c r="F16" i="18"/>
  <c r="AF16" i="18"/>
  <c r="U11" i="3"/>
  <c r="N15" i="3"/>
  <c r="AA19" i="3"/>
  <c r="N23" i="3"/>
  <c r="I27" i="3"/>
  <c r="M31" i="3"/>
  <c r="O35" i="3"/>
  <c r="I39" i="3"/>
  <c r="AC43" i="3"/>
  <c r="H11" i="3"/>
  <c r="P19" i="3"/>
  <c r="F27" i="3"/>
  <c r="I47" i="3"/>
  <c r="F17" i="18"/>
  <c r="L17" i="18"/>
  <c r="AF17" i="18"/>
  <c r="AZ17" i="18"/>
  <c r="BT17" i="18"/>
  <c r="CI17" i="18"/>
  <c r="CX32" i="18"/>
  <c r="CD32" i="18"/>
  <c r="AP32" i="18"/>
  <c r="V32" i="18"/>
  <c r="DC32" i="18"/>
  <c r="CI32" i="18"/>
  <c r="BO32" i="18"/>
  <c r="AU32" i="18"/>
  <c r="AA32" i="18"/>
  <c r="G32" i="18"/>
  <c r="BY32" i="18"/>
  <c r="AZ32" i="18"/>
  <c r="L32" i="18"/>
  <c r="BT32" i="18"/>
  <c r="AK32" i="18"/>
  <c r="F32" i="18"/>
  <c r="AF32" i="18"/>
  <c r="Q32" i="18"/>
  <c r="CX38" i="18"/>
  <c r="CD38" i="18"/>
  <c r="DC38" i="18"/>
  <c r="CI38" i="18"/>
  <c r="BO38" i="18"/>
  <c r="BT38" i="18"/>
  <c r="AP38" i="18"/>
  <c r="V38" i="18"/>
  <c r="CS38" i="18"/>
  <c r="AU38" i="18"/>
  <c r="AA38" i="18"/>
  <c r="G38" i="18"/>
  <c r="Q38" i="18"/>
  <c r="E38" i="18"/>
  <c r="BY38" i="18"/>
  <c r="BE38" i="18"/>
  <c r="L38" i="18"/>
  <c r="AK38" i="18"/>
  <c r="CN32" i="18"/>
  <c r="CX43" i="18"/>
  <c r="CD43" i="18"/>
  <c r="AP43" i="18"/>
  <c r="V43" i="18"/>
  <c r="DC43" i="18"/>
  <c r="CI43" i="18"/>
  <c r="BO43" i="18"/>
  <c r="AU43" i="18"/>
  <c r="AA43" i="18"/>
  <c r="G43" i="18"/>
  <c r="CN43" i="18"/>
  <c r="BE43" i="18"/>
  <c r="Q43" i="18"/>
  <c r="E43" i="18"/>
  <c r="BY43" i="18"/>
  <c r="AZ43" i="18"/>
  <c r="L43" i="18"/>
  <c r="AF43" i="18"/>
  <c r="F43" i="18"/>
  <c r="BT43" i="18"/>
  <c r="CS43" i="18"/>
  <c r="AK43" i="18"/>
  <c r="CX33" i="18"/>
  <c r="CD33" i="18"/>
  <c r="AP33" i="18"/>
  <c r="V33" i="18"/>
  <c r="DC33" i="18"/>
  <c r="CI33" i="18"/>
  <c r="BO33" i="18"/>
  <c r="AU33" i="18"/>
  <c r="AA33" i="18"/>
  <c r="G33" i="18"/>
  <c r="F33" i="18"/>
  <c r="AF33" i="18"/>
  <c r="CS33" i="18"/>
  <c r="F18" i="18"/>
  <c r="L18" i="18"/>
  <c r="AF18" i="18"/>
  <c r="AZ18" i="18"/>
  <c r="BT18" i="18"/>
  <c r="F19" i="18"/>
  <c r="L19" i="18"/>
  <c r="AF19" i="18"/>
  <c r="AZ19" i="18"/>
  <c r="BT19" i="18"/>
  <c r="F20" i="18"/>
  <c r="L20" i="18"/>
  <c r="AF20" i="18"/>
  <c r="AZ20" i="18"/>
  <c r="BT20" i="18"/>
  <c r="F21" i="18"/>
  <c r="L21" i="18"/>
  <c r="AF21" i="18"/>
  <c r="AZ21" i="18"/>
  <c r="BT21" i="18"/>
  <c r="F22" i="18"/>
  <c r="L22" i="18"/>
  <c r="AF22" i="18"/>
  <c r="AZ22" i="18"/>
  <c r="BT22" i="18"/>
  <c r="F23" i="18"/>
  <c r="L23" i="18"/>
  <c r="AF23" i="18"/>
  <c r="AZ23" i="18"/>
  <c r="BT23" i="18"/>
  <c r="F24" i="18"/>
  <c r="L24" i="18"/>
  <c r="AF24" i="18"/>
  <c r="AZ24" i="18"/>
  <c r="BT24" i="18"/>
  <c r="F25" i="18"/>
  <c r="L25" i="18"/>
  <c r="AF25" i="18"/>
  <c r="AZ25" i="18"/>
  <c r="BT25" i="18"/>
  <c r="F26" i="18"/>
  <c r="L26" i="18"/>
  <c r="AF26" i="18"/>
  <c r="AZ26" i="18"/>
  <c r="BT26" i="18"/>
  <c r="F27" i="18"/>
  <c r="L27" i="18"/>
  <c r="AF27" i="18"/>
  <c r="AZ27" i="18"/>
  <c r="BT27" i="18"/>
  <c r="F28" i="18"/>
  <c r="L28" i="18"/>
  <c r="AF28" i="18"/>
  <c r="AZ28" i="18"/>
  <c r="BT28" i="18"/>
  <c r="F29" i="18"/>
  <c r="L29" i="18"/>
  <c r="AF29" i="18"/>
  <c r="AZ29" i="18"/>
  <c r="BT29" i="18"/>
  <c r="F30" i="18"/>
  <c r="L30" i="18"/>
  <c r="AF30" i="18"/>
  <c r="AZ30" i="18"/>
  <c r="BT30" i="18"/>
  <c r="CX31" i="18"/>
  <c r="DC31" i="18"/>
  <c r="F31" i="18"/>
  <c r="L31" i="18"/>
  <c r="AF31" i="18"/>
  <c r="AZ31" i="18"/>
  <c r="BT31" i="18"/>
  <c r="CN31" i="18"/>
  <c r="AK33" i="18"/>
  <c r="BT33" i="18"/>
  <c r="CX34" i="18"/>
  <c r="CD34" i="18"/>
  <c r="AP34" i="18"/>
  <c r="V34" i="18"/>
  <c r="DC34" i="18"/>
  <c r="CI34" i="18"/>
  <c r="BO34" i="18"/>
  <c r="AU34" i="18"/>
  <c r="AA34" i="18"/>
  <c r="G34" i="18"/>
  <c r="F34" i="18"/>
  <c r="AF34" i="18"/>
  <c r="CS34" i="18"/>
  <c r="CX35" i="18"/>
  <c r="CD35" i="18"/>
  <c r="AP35" i="18"/>
  <c r="V35" i="18"/>
  <c r="DC35" i="18"/>
  <c r="CI35" i="18"/>
  <c r="BO35" i="18"/>
  <c r="AU35" i="18"/>
  <c r="AA35" i="18"/>
  <c r="G35" i="18"/>
  <c r="F35" i="18"/>
  <c r="AF35" i="18"/>
  <c r="CS35" i="18"/>
  <c r="CX36" i="18"/>
  <c r="CD36" i="18"/>
  <c r="AP36" i="18"/>
  <c r="V36" i="18"/>
  <c r="DC36" i="18"/>
  <c r="CI36" i="18"/>
  <c r="BO36" i="18"/>
  <c r="AU36" i="18"/>
  <c r="AA36" i="18"/>
  <c r="G36" i="18"/>
  <c r="F36" i="18"/>
  <c r="AF36" i="18"/>
  <c r="CS36" i="18"/>
  <c r="CX37" i="18"/>
  <c r="CD37" i="18"/>
  <c r="AP37" i="18"/>
  <c r="V37" i="18"/>
  <c r="DC37" i="18"/>
  <c r="CI37" i="18"/>
  <c r="BO37" i="18"/>
  <c r="AU37" i="18"/>
  <c r="AA37" i="18"/>
  <c r="G37" i="18"/>
  <c r="F37" i="18"/>
  <c r="AF37" i="18"/>
  <c r="CS37" i="18"/>
  <c r="CX42" i="18"/>
  <c r="CD42" i="18"/>
  <c r="AP42" i="18"/>
  <c r="V42" i="18"/>
  <c r="DC42" i="18"/>
  <c r="CI42" i="18"/>
  <c r="BO42" i="18"/>
  <c r="AU42" i="18"/>
  <c r="AA42" i="18"/>
  <c r="G42" i="18"/>
  <c r="CN42" i="18"/>
  <c r="BE42" i="18"/>
  <c r="Q42" i="18"/>
  <c r="E42" i="18"/>
  <c r="BY42" i="18"/>
  <c r="AZ42" i="18"/>
  <c r="L42" i="18"/>
  <c r="AK42" i="18"/>
  <c r="CS46" i="18"/>
  <c r="BY46" i="18"/>
  <c r="BE46" i="18"/>
  <c r="AK46" i="18"/>
  <c r="Q46" i="18"/>
  <c r="E46" i="18"/>
  <c r="CN46" i="18"/>
  <c r="CD46" i="18"/>
  <c r="AU46" i="18"/>
  <c r="L46" i="18"/>
  <c r="DC46" i="18"/>
  <c r="BT46" i="18"/>
  <c r="AA46" i="18"/>
  <c r="CI46" i="18"/>
  <c r="V46" i="18"/>
  <c r="F46" i="18"/>
  <c r="CX46" i="18"/>
  <c r="BO46" i="18"/>
  <c r="AZ46" i="18"/>
  <c r="AF46" i="18"/>
  <c r="AP46" i="18"/>
  <c r="CX39" i="18"/>
  <c r="CD39" i="18"/>
  <c r="AP39" i="18"/>
  <c r="V39" i="18"/>
  <c r="DC39" i="18"/>
  <c r="CI39" i="18"/>
  <c r="BO39" i="18"/>
  <c r="AU39" i="18"/>
  <c r="AA39" i="18"/>
  <c r="G39" i="18"/>
  <c r="F39" i="18"/>
  <c r="AF39" i="18"/>
  <c r="CS39" i="18"/>
  <c r="BE41" i="18"/>
  <c r="AK39" i="18"/>
  <c r="BT39" i="18"/>
  <c r="CX40" i="18"/>
  <c r="CD40" i="18"/>
  <c r="AP40" i="18"/>
  <c r="V40" i="18"/>
  <c r="DC40" i="18"/>
  <c r="CI40" i="18"/>
  <c r="BO40" i="18"/>
  <c r="AU40" i="18"/>
  <c r="AA40" i="18"/>
  <c r="G40" i="18"/>
  <c r="F40" i="18"/>
  <c r="AF40" i="18"/>
  <c r="CS40" i="18"/>
  <c r="CX41" i="18"/>
  <c r="CD41" i="18"/>
  <c r="AP41" i="18"/>
  <c r="V41" i="18"/>
  <c r="DC41" i="18"/>
  <c r="CI41" i="18"/>
  <c r="BO41" i="18"/>
  <c r="AU41" i="18"/>
  <c r="AA41" i="18"/>
  <c r="G41" i="18"/>
  <c r="F41" i="18"/>
  <c r="AF41" i="18"/>
  <c r="CS41" i="18"/>
  <c r="DC49" i="18"/>
  <c r="CI49" i="18"/>
  <c r="BO49" i="18"/>
  <c r="AU49" i="18"/>
  <c r="AA49" i="18"/>
  <c r="G49" i="18"/>
  <c r="CD49" i="18"/>
  <c r="BT49" i="18"/>
  <c r="AK49" i="18"/>
  <c r="L49" i="18"/>
  <c r="CN49" i="18"/>
  <c r="BE49" i="18"/>
  <c r="AF49" i="18"/>
  <c r="V49" i="18"/>
  <c r="CS49" i="18"/>
  <c r="E49" i="18"/>
  <c r="AP49" i="18"/>
  <c r="Q49" i="18"/>
  <c r="CX49" i="18"/>
  <c r="F44" i="18"/>
  <c r="L44" i="18"/>
  <c r="AF44" i="18"/>
  <c r="AZ44" i="18"/>
  <c r="BT44" i="18"/>
  <c r="CN44" i="18"/>
  <c r="CX45" i="18"/>
  <c r="DC45" i="18"/>
  <c r="CI45" i="18"/>
  <c r="BO45" i="18"/>
  <c r="AU45" i="18"/>
  <c r="AA45" i="18"/>
  <c r="G45" i="18"/>
  <c r="F45" i="18"/>
  <c r="AF45" i="18"/>
  <c r="AP45" i="18"/>
  <c r="BY45" i="18"/>
  <c r="J54" i="18"/>
  <c r="J55" i="18" s="1"/>
  <c r="AD53" i="18"/>
  <c r="AD52" i="18"/>
  <c r="AX52" i="18"/>
  <c r="BR54" i="18"/>
  <c r="BR53" i="18"/>
  <c r="CL53" i="18"/>
  <c r="CL52" i="18"/>
  <c r="DF54" i="18"/>
  <c r="J52" i="18"/>
  <c r="AX53" i="18"/>
  <c r="CL54" i="18"/>
  <c r="G44" i="18"/>
  <c r="AA44" i="18"/>
  <c r="AU44" i="18"/>
  <c r="BO44" i="18"/>
  <c r="CI44" i="18"/>
  <c r="DC44" i="18"/>
  <c r="Q45" i="18"/>
  <c r="AZ45" i="18"/>
  <c r="DF52" i="18"/>
  <c r="AD54" i="18"/>
  <c r="V44" i="18"/>
  <c r="AP44" i="18"/>
  <c r="CD44" i="18"/>
  <c r="AK45" i="18"/>
  <c r="BT45" i="18"/>
  <c r="CD45" i="18"/>
  <c r="CN45" i="18"/>
  <c r="CX50" i="18"/>
  <c r="CD50" i="18"/>
  <c r="DC50" i="18"/>
  <c r="CI50" i="18"/>
  <c r="BO50" i="18"/>
  <c r="AU50" i="18"/>
  <c r="AA50" i="18"/>
  <c r="G50" i="18"/>
  <c r="CN50" i="18"/>
  <c r="AZ50" i="18"/>
  <c r="Q50" i="18"/>
  <c r="AK50" i="18"/>
  <c r="L50" i="18"/>
  <c r="CS50" i="18"/>
  <c r="BY50" i="18"/>
  <c r="BE50" i="18"/>
  <c r="AF50" i="18"/>
  <c r="V50" i="18"/>
  <c r="F50" i="18"/>
  <c r="J53" i="18"/>
  <c r="AX54" i="18"/>
  <c r="F47" i="18"/>
  <c r="V47" i="18"/>
  <c r="AF47" i="18"/>
  <c r="BO47" i="18"/>
  <c r="F48" i="18"/>
  <c r="Q48" i="18"/>
  <c r="AP48" i="18"/>
  <c r="AZ48" i="18"/>
  <c r="DC47" i="18"/>
  <c r="CS47" i="18"/>
  <c r="BY47" i="18"/>
  <c r="BE47" i="18"/>
  <c r="AK47" i="18"/>
  <c r="Q47" i="18"/>
  <c r="E47" i="18"/>
  <c r="G47" i="18"/>
  <c r="AP47" i="18"/>
  <c r="AZ47" i="18"/>
  <c r="CI47" i="18"/>
  <c r="DC48" i="18"/>
  <c r="CI48" i="18"/>
  <c r="BO48" i="18"/>
  <c r="AU48" i="18"/>
  <c r="AA48" i="18"/>
  <c r="G48" i="18"/>
  <c r="CX48" i="18"/>
  <c r="CN48" i="18"/>
  <c r="BE48" i="18"/>
  <c r="V48" i="18"/>
  <c r="L48" i="18"/>
  <c r="E48" i="18"/>
  <c r="AF48" i="18"/>
  <c r="AS52" i="18"/>
  <c r="CG52" i="18"/>
  <c r="DU52" i="18"/>
  <c r="AS53" i="18"/>
  <c r="CG53" i="18"/>
  <c r="DU53" i="18"/>
  <c r="AS54" i="18"/>
  <c r="CG54" i="18"/>
  <c r="DU54" i="18"/>
  <c r="DU55" i="18" s="1"/>
  <c r="O52" i="18"/>
  <c r="AI52" i="18"/>
  <c r="BC52" i="18"/>
  <c r="BW52" i="18"/>
  <c r="CQ52" i="18"/>
  <c r="DK52" i="18"/>
  <c r="O53" i="18"/>
  <c r="AI53" i="18"/>
  <c r="BC53" i="18"/>
  <c r="BW53" i="18"/>
  <c r="CQ53" i="18"/>
  <c r="DK53" i="18"/>
  <c r="O54" i="18"/>
  <c r="AI54" i="18"/>
  <c r="BC54" i="18"/>
  <c r="BW54" i="18"/>
  <c r="CQ54" i="18"/>
  <c r="DK54" i="18"/>
  <c r="T52" i="18"/>
  <c r="AN52" i="18"/>
  <c r="BH52" i="18"/>
  <c r="CB52" i="18"/>
  <c r="CV52" i="18"/>
  <c r="DP52" i="18"/>
  <c r="T53" i="18"/>
  <c r="AN53" i="18"/>
  <c r="BH53" i="18"/>
  <c r="CB53" i="18"/>
  <c r="CV53" i="18"/>
  <c r="DP53" i="18"/>
  <c r="T54" i="18"/>
  <c r="AN54" i="18"/>
  <c r="BH54" i="18"/>
  <c r="CB54" i="18"/>
  <c r="CV54" i="18"/>
  <c r="DP54" i="18"/>
  <c r="I28" i="3"/>
  <c r="AD12" i="3"/>
  <c r="Z12" i="3"/>
  <c r="V12" i="3"/>
  <c r="AB12" i="3"/>
  <c r="W12" i="3"/>
  <c r="AC12" i="3"/>
  <c r="U12" i="3"/>
  <c r="AA12" i="3"/>
  <c r="T12" i="3"/>
  <c r="Y12" i="3"/>
  <c r="AD24" i="3"/>
  <c r="Z24" i="3"/>
  <c r="V24" i="3"/>
  <c r="AB24" i="3"/>
  <c r="W24" i="3"/>
  <c r="AA24" i="3"/>
  <c r="U24" i="3"/>
  <c r="Y24" i="3"/>
  <c r="T24" i="3"/>
  <c r="P24" i="3"/>
  <c r="L24" i="3"/>
  <c r="H24" i="3"/>
  <c r="AC24" i="3"/>
  <c r="AE36" i="3"/>
  <c r="AA36" i="3"/>
  <c r="W36" i="3"/>
  <c r="AD36" i="3"/>
  <c r="Z36" i="3"/>
  <c r="V36" i="3"/>
  <c r="X36" i="3"/>
  <c r="N36" i="3"/>
  <c r="J36" i="3"/>
  <c r="F36" i="3"/>
  <c r="Y36" i="3"/>
  <c r="U36" i="3"/>
  <c r="AC36" i="3"/>
  <c r="T36" i="3"/>
  <c r="L36" i="3"/>
  <c r="G36" i="3"/>
  <c r="P36" i="3"/>
  <c r="K36" i="3"/>
  <c r="E36" i="3"/>
  <c r="O36" i="3"/>
  <c r="I36" i="3"/>
  <c r="AE44" i="3"/>
  <c r="AA44" i="3"/>
  <c r="W44" i="3"/>
  <c r="AD44" i="3"/>
  <c r="Z44" i="3"/>
  <c r="V44" i="3"/>
  <c r="X44" i="3"/>
  <c r="N44" i="3"/>
  <c r="J44" i="3"/>
  <c r="F44" i="3"/>
  <c r="Y44" i="3"/>
  <c r="U44" i="3"/>
  <c r="AC44" i="3"/>
  <c r="T44" i="3"/>
  <c r="L44" i="3"/>
  <c r="G44" i="3"/>
  <c r="P44" i="3"/>
  <c r="K44" i="3"/>
  <c r="E44" i="3"/>
  <c r="AB44" i="3"/>
  <c r="O44" i="3"/>
  <c r="I44" i="3"/>
  <c r="AE52" i="3"/>
  <c r="AA52" i="3"/>
  <c r="W52" i="3"/>
  <c r="AD52" i="3"/>
  <c r="Z52" i="3"/>
  <c r="V52" i="3"/>
  <c r="X52" i="3"/>
  <c r="N52" i="3"/>
  <c r="J52" i="3"/>
  <c r="F52" i="3"/>
  <c r="Y52" i="3"/>
  <c r="U52" i="3"/>
  <c r="AC52" i="3"/>
  <c r="T52" i="3"/>
  <c r="L52" i="3"/>
  <c r="G52" i="3"/>
  <c r="AB52" i="3"/>
  <c r="P52" i="3"/>
  <c r="K52" i="3"/>
  <c r="E52" i="3"/>
  <c r="O52" i="3"/>
  <c r="I52" i="3"/>
  <c r="H8" i="3"/>
  <c r="L8" i="3"/>
  <c r="P8" i="3"/>
  <c r="H16" i="3"/>
  <c r="L16" i="3"/>
  <c r="P16" i="3"/>
  <c r="H40" i="3"/>
  <c r="M52" i="3"/>
  <c r="AD13" i="3"/>
  <c r="Z13" i="3"/>
  <c r="V13" i="3"/>
  <c r="AA13" i="3"/>
  <c r="U13" i="3"/>
  <c r="X13" i="3"/>
  <c r="AC13" i="3"/>
  <c r="W13" i="3"/>
  <c r="AB13" i="3"/>
  <c r="T13" i="3"/>
  <c r="AD17" i="3"/>
  <c r="Z17" i="3"/>
  <c r="V17" i="3"/>
  <c r="AA17" i="3"/>
  <c r="U17" i="3"/>
  <c r="Y17" i="3"/>
  <c r="T17" i="3"/>
  <c r="AB17" i="3"/>
  <c r="X17" i="3"/>
  <c r="W17" i="3"/>
  <c r="AD21" i="3"/>
  <c r="Z21" i="3"/>
  <c r="V21" i="3"/>
  <c r="AA21" i="3"/>
  <c r="U21" i="3"/>
  <c r="Y21" i="3"/>
  <c r="T21" i="3"/>
  <c r="AC21" i="3"/>
  <c r="X21" i="3"/>
  <c r="AB21" i="3"/>
  <c r="W21" i="3"/>
  <c r="AD25" i="3"/>
  <c r="Z25" i="3"/>
  <c r="V25" i="3"/>
  <c r="AA25" i="3"/>
  <c r="U25" i="3"/>
  <c r="Y25" i="3"/>
  <c r="T25" i="3"/>
  <c r="AC25" i="3"/>
  <c r="X25" i="3"/>
  <c r="AB25" i="3"/>
  <c r="P25" i="3"/>
  <c r="L25" i="3"/>
  <c r="H25" i="3"/>
  <c r="W25" i="3"/>
  <c r="AD29" i="3"/>
  <c r="Z29" i="3"/>
  <c r="V29" i="3"/>
  <c r="AA29" i="3"/>
  <c r="U29" i="3"/>
  <c r="Y29" i="3"/>
  <c r="T29" i="3"/>
  <c r="AC29" i="3"/>
  <c r="X29" i="3"/>
  <c r="W29" i="3"/>
  <c r="P29" i="3"/>
  <c r="L29" i="3"/>
  <c r="H29" i="3"/>
  <c r="O29" i="3"/>
  <c r="K29" i="3"/>
  <c r="G29" i="3"/>
  <c r="AD33" i="3"/>
  <c r="Z33" i="3"/>
  <c r="V33" i="3"/>
  <c r="AE33" i="3"/>
  <c r="Y33" i="3"/>
  <c r="T33" i="3"/>
  <c r="X33" i="3"/>
  <c r="AC33" i="3"/>
  <c r="W33" i="3"/>
  <c r="AB33" i="3"/>
  <c r="U33" i="3"/>
  <c r="P33" i="3"/>
  <c r="L33" i="3"/>
  <c r="H33" i="3"/>
  <c r="O33" i="3"/>
  <c r="K33" i="3"/>
  <c r="G33" i="3"/>
  <c r="N33" i="3"/>
  <c r="J33" i="3"/>
  <c r="F33" i="3"/>
  <c r="AE37" i="3"/>
  <c r="AA37" i="3"/>
  <c r="W37" i="3"/>
  <c r="AD37" i="3"/>
  <c r="Z37" i="3"/>
  <c r="V37" i="3"/>
  <c r="AB37" i="3"/>
  <c r="T37" i="3"/>
  <c r="N37" i="3"/>
  <c r="J37" i="3"/>
  <c r="F37" i="3"/>
  <c r="X37" i="3"/>
  <c r="U37" i="3"/>
  <c r="AC37" i="3"/>
  <c r="P37" i="3"/>
  <c r="K37" i="3"/>
  <c r="E37" i="3"/>
  <c r="O37" i="3"/>
  <c r="I37" i="3"/>
  <c r="Y37" i="3"/>
  <c r="M37" i="3"/>
  <c r="H37" i="3"/>
  <c r="AE41" i="3"/>
  <c r="AA41" i="3"/>
  <c r="W41" i="3"/>
  <c r="AD41" i="3"/>
  <c r="Z41" i="3"/>
  <c r="V41" i="3"/>
  <c r="AB41" i="3"/>
  <c r="T41" i="3"/>
  <c r="N41" i="3"/>
  <c r="J41" i="3"/>
  <c r="F41" i="3"/>
  <c r="AC41" i="3"/>
  <c r="Y41" i="3"/>
  <c r="X41" i="3"/>
  <c r="P41" i="3"/>
  <c r="K41" i="3"/>
  <c r="E41" i="3"/>
  <c r="O41" i="3"/>
  <c r="I41" i="3"/>
  <c r="U41" i="3"/>
  <c r="M41" i="3"/>
  <c r="H41" i="3"/>
  <c r="AE45" i="3"/>
  <c r="AA45" i="3"/>
  <c r="W45" i="3"/>
  <c r="AD45" i="3"/>
  <c r="Z45" i="3"/>
  <c r="V45" i="3"/>
  <c r="AB45" i="3"/>
  <c r="T45" i="3"/>
  <c r="N45" i="3"/>
  <c r="J45" i="3"/>
  <c r="F45" i="3"/>
  <c r="X45" i="3"/>
  <c r="U45" i="3"/>
  <c r="AC45" i="3"/>
  <c r="P45" i="3"/>
  <c r="K45" i="3"/>
  <c r="E45" i="3"/>
  <c r="Y45" i="3"/>
  <c r="O45" i="3"/>
  <c r="I45" i="3"/>
  <c r="M45" i="3"/>
  <c r="H45" i="3"/>
  <c r="AE49" i="3"/>
  <c r="AA49" i="3"/>
  <c r="W49" i="3"/>
  <c r="AD49" i="3"/>
  <c r="Z49" i="3"/>
  <c r="V49" i="3"/>
  <c r="AB49" i="3"/>
  <c r="T49" i="3"/>
  <c r="N49" i="3"/>
  <c r="J49" i="3"/>
  <c r="F49" i="3"/>
  <c r="AC49" i="3"/>
  <c r="Y49" i="3"/>
  <c r="X49" i="3"/>
  <c r="P49" i="3"/>
  <c r="K49" i="3"/>
  <c r="E49" i="3"/>
  <c r="U49" i="3"/>
  <c r="O49" i="3"/>
  <c r="I49" i="3"/>
  <c r="M49" i="3"/>
  <c r="H49" i="3"/>
  <c r="E8" i="3"/>
  <c r="I8" i="3"/>
  <c r="M8" i="3"/>
  <c r="E9" i="3"/>
  <c r="I9" i="3"/>
  <c r="E10" i="3"/>
  <c r="I10" i="3"/>
  <c r="M10" i="3"/>
  <c r="E11" i="3"/>
  <c r="I11" i="3"/>
  <c r="M11" i="3"/>
  <c r="E12" i="3"/>
  <c r="I12" i="3"/>
  <c r="M12" i="3"/>
  <c r="E13" i="3"/>
  <c r="I13" i="3"/>
  <c r="M13" i="3"/>
  <c r="E14" i="3"/>
  <c r="I14" i="3"/>
  <c r="E15" i="3"/>
  <c r="I15" i="3"/>
  <c r="M15" i="3"/>
  <c r="E16" i="3"/>
  <c r="I16" i="3"/>
  <c r="M16" i="3"/>
  <c r="E17" i="3"/>
  <c r="I17" i="3"/>
  <c r="M17" i="3"/>
  <c r="E18" i="3"/>
  <c r="I18" i="3"/>
  <c r="M18" i="3"/>
  <c r="E19" i="3"/>
  <c r="I19" i="3"/>
  <c r="M19" i="3"/>
  <c r="E20" i="3"/>
  <c r="I20" i="3"/>
  <c r="E21" i="3"/>
  <c r="I21" i="3"/>
  <c r="M21" i="3"/>
  <c r="E22" i="3"/>
  <c r="I22" i="3"/>
  <c r="G23" i="3"/>
  <c r="M23" i="3"/>
  <c r="F24" i="3"/>
  <c r="K24" i="3"/>
  <c r="E25" i="3"/>
  <c r="J25" i="3"/>
  <c r="O25" i="3"/>
  <c r="I26" i="3"/>
  <c r="G27" i="3"/>
  <c r="N27" i="3"/>
  <c r="J28" i="3"/>
  <c r="F29" i="3"/>
  <c r="N29" i="3"/>
  <c r="I31" i="3"/>
  <c r="I35" i="3"/>
  <c r="G37" i="3"/>
  <c r="H44" i="3"/>
  <c r="O47" i="3"/>
  <c r="L49" i="3"/>
  <c r="I51" i="3"/>
  <c r="W15" i="3"/>
  <c r="X24" i="3"/>
  <c r="Y31" i="3"/>
  <c r="AD8" i="3"/>
  <c r="Y8" i="3"/>
  <c r="U8" i="3"/>
  <c r="AA8" i="3"/>
  <c r="AC8" i="3"/>
  <c r="Z8" i="3"/>
  <c r="T8" i="3"/>
  <c r="X8" i="3"/>
  <c r="AE8" i="3"/>
  <c r="W8" i="3"/>
  <c r="AD20" i="3"/>
  <c r="Z20" i="3"/>
  <c r="V20" i="3"/>
  <c r="AB20" i="3"/>
  <c r="W20" i="3"/>
  <c r="AA20" i="3"/>
  <c r="U20" i="3"/>
  <c r="Y20" i="3"/>
  <c r="X20" i="3"/>
  <c r="T20" i="3"/>
  <c r="AD32" i="3"/>
  <c r="Z32" i="3"/>
  <c r="AA32" i="3"/>
  <c r="V32" i="3"/>
  <c r="AC32" i="3"/>
  <c r="W32" i="3"/>
  <c r="AB32" i="3"/>
  <c r="U32" i="3"/>
  <c r="Y32" i="3"/>
  <c r="T32" i="3"/>
  <c r="AE32" i="3"/>
  <c r="P32" i="3"/>
  <c r="L32" i="3"/>
  <c r="H32" i="3"/>
  <c r="X32" i="3"/>
  <c r="O32" i="3"/>
  <c r="K32" i="3"/>
  <c r="G32" i="3"/>
  <c r="N32" i="3"/>
  <c r="J32" i="3"/>
  <c r="F32" i="3"/>
  <c r="AE40" i="3"/>
  <c r="AA40" i="3"/>
  <c r="W40" i="3"/>
  <c r="AD40" i="3"/>
  <c r="Z40" i="3"/>
  <c r="V40" i="3"/>
  <c r="X40" i="3"/>
  <c r="N40" i="3"/>
  <c r="J40" i="3"/>
  <c r="F40" i="3"/>
  <c r="AC40" i="3"/>
  <c r="T40" i="3"/>
  <c r="AB40" i="3"/>
  <c r="Y40" i="3"/>
  <c r="L40" i="3"/>
  <c r="G40" i="3"/>
  <c r="P40" i="3"/>
  <c r="K40" i="3"/>
  <c r="E40" i="3"/>
  <c r="O40" i="3"/>
  <c r="I40" i="3"/>
  <c r="AE48" i="3"/>
  <c r="AA48" i="3"/>
  <c r="W48" i="3"/>
  <c r="AD48" i="3"/>
  <c r="Z48" i="3"/>
  <c r="V48" i="3"/>
  <c r="X48" i="3"/>
  <c r="N48" i="3"/>
  <c r="J48" i="3"/>
  <c r="F48" i="3"/>
  <c r="AC48" i="3"/>
  <c r="T48" i="3"/>
  <c r="AB48" i="3"/>
  <c r="Y48" i="3"/>
  <c r="L48" i="3"/>
  <c r="G48" i="3"/>
  <c r="P48" i="3"/>
  <c r="K48" i="3"/>
  <c r="E48" i="3"/>
  <c r="U48" i="3"/>
  <c r="O48" i="3"/>
  <c r="I48" i="3"/>
  <c r="E24" i="3"/>
  <c r="X12" i="3"/>
  <c r="U40" i="3"/>
  <c r="AD9" i="3"/>
  <c r="Z9" i="3"/>
  <c r="V9" i="3"/>
  <c r="AA9" i="3"/>
  <c r="U9" i="3"/>
  <c r="AC9" i="3"/>
  <c r="W9" i="3"/>
  <c r="AB9" i="3"/>
  <c r="T9" i="3"/>
  <c r="Y9" i="3"/>
  <c r="AD10" i="3"/>
  <c r="Z10" i="3"/>
  <c r="V10" i="3"/>
  <c r="Y10" i="3"/>
  <c r="T10" i="3"/>
  <c r="X10" i="3"/>
  <c r="AC10" i="3"/>
  <c r="W10" i="3"/>
  <c r="AB10" i="3"/>
  <c r="U10" i="3"/>
  <c r="AD14" i="3"/>
  <c r="Z14" i="3"/>
  <c r="V14" i="3"/>
  <c r="Y14" i="3"/>
  <c r="T14" i="3"/>
  <c r="AA14" i="3"/>
  <c r="X14" i="3"/>
  <c r="AC14" i="3"/>
  <c r="W14" i="3"/>
  <c r="AD18" i="3"/>
  <c r="Z18" i="3"/>
  <c r="V18" i="3"/>
  <c r="Y18" i="3"/>
  <c r="T18" i="3"/>
  <c r="AC18" i="3"/>
  <c r="X18" i="3"/>
  <c r="AA18" i="3"/>
  <c r="W18" i="3"/>
  <c r="U18" i="3"/>
  <c r="AD22" i="3"/>
  <c r="Z22" i="3"/>
  <c r="V22" i="3"/>
  <c r="Y22" i="3"/>
  <c r="T22" i="3"/>
  <c r="AC22" i="3"/>
  <c r="X22" i="3"/>
  <c r="AB22" i="3"/>
  <c r="W22" i="3"/>
  <c r="U22" i="3"/>
  <c r="P22" i="3"/>
  <c r="L22" i="3"/>
  <c r="AD26" i="3"/>
  <c r="Z26" i="3"/>
  <c r="V26" i="3"/>
  <c r="Y26" i="3"/>
  <c r="T26" i="3"/>
  <c r="AC26" i="3"/>
  <c r="X26" i="3"/>
  <c r="AB26" i="3"/>
  <c r="W26" i="3"/>
  <c r="P26" i="3"/>
  <c r="L26" i="3"/>
  <c r="H26" i="3"/>
  <c r="AA26" i="3"/>
  <c r="AD30" i="3"/>
  <c r="Z30" i="3"/>
  <c r="V30" i="3"/>
  <c r="Y30" i="3"/>
  <c r="T30" i="3"/>
  <c r="AC30" i="3"/>
  <c r="X30" i="3"/>
  <c r="AB30" i="3"/>
  <c r="W30" i="3"/>
  <c r="P30" i="3"/>
  <c r="L30" i="3"/>
  <c r="H30" i="3"/>
  <c r="AA30" i="3"/>
  <c r="O30" i="3"/>
  <c r="K30" i="3"/>
  <c r="G30" i="3"/>
  <c r="U30" i="3"/>
  <c r="AE34" i="3"/>
  <c r="AA34" i="3"/>
  <c r="AD34" i="3"/>
  <c r="Z34" i="3"/>
  <c r="V34" i="3"/>
  <c r="X34" i="3"/>
  <c r="AB34" i="3"/>
  <c r="T34" i="3"/>
  <c r="Y34" i="3"/>
  <c r="W34" i="3"/>
  <c r="P34" i="3"/>
  <c r="L34" i="3"/>
  <c r="H34" i="3"/>
  <c r="AC34" i="3"/>
  <c r="O34" i="3"/>
  <c r="K34" i="3"/>
  <c r="G34" i="3"/>
  <c r="U34" i="3"/>
  <c r="N34" i="3"/>
  <c r="J34" i="3"/>
  <c r="F34" i="3"/>
  <c r="AE38" i="3"/>
  <c r="AA38" i="3"/>
  <c r="W38" i="3"/>
  <c r="AD38" i="3"/>
  <c r="Z38" i="3"/>
  <c r="V38" i="3"/>
  <c r="X38" i="3"/>
  <c r="N38" i="3"/>
  <c r="J38" i="3"/>
  <c r="F38" i="3"/>
  <c r="U38" i="3"/>
  <c r="AC38" i="3"/>
  <c r="T38" i="3"/>
  <c r="AB38" i="3"/>
  <c r="O38" i="3"/>
  <c r="I38" i="3"/>
  <c r="Y38" i="3"/>
  <c r="M38" i="3"/>
  <c r="H38" i="3"/>
  <c r="L38" i="3"/>
  <c r="G38" i="3"/>
  <c r="AE42" i="3"/>
  <c r="AA42" i="3"/>
  <c r="W42" i="3"/>
  <c r="AD42" i="3"/>
  <c r="Z42" i="3"/>
  <c r="V42" i="3"/>
  <c r="X42" i="3"/>
  <c r="N42" i="3"/>
  <c r="J42" i="3"/>
  <c r="F42" i="3"/>
  <c r="AB42" i="3"/>
  <c r="Y42" i="3"/>
  <c r="U42" i="3"/>
  <c r="AC42" i="3"/>
  <c r="O42" i="3"/>
  <c r="I42" i="3"/>
  <c r="T42" i="3"/>
  <c r="M42" i="3"/>
  <c r="H42" i="3"/>
  <c r="L42" i="3"/>
  <c r="G42" i="3"/>
  <c r="AE46" i="3"/>
  <c r="AA46" i="3"/>
  <c r="W46" i="3"/>
  <c r="AD46" i="3"/>
  <c r="Z46" i="3"/>
  <c r="V46" i="3"/>
  <c r="X46" i="3"/>
  <c r="N46" i="3"/>
  <c r="J46" i="3"/>
  <c r="F46" i="3"/>
  <c r="U46" i="3"/>
  <c r="AC46" i="3"/>
  <c r="T46" i="3"/>
  <c r="AB46" i="3"/>
  <c r="Y46" i="3"/>
  <c r="O46" i="3"/>
  <c r="I46" i="3"/>
  <c r="M46" i="3"/>
  <c r="H46" i="3"/>
  <c r="L46" i="3"/>
  <c r="G46" i="3"/>
  <c r="AE50" i="3"/>
  <c r="AA50" i="3"/>
  <c r="W50" i="3"/>
  <c r="AD50" i="3"/>
  <c r="Z50" i="3"/>
  <c r="V50" i="3"/>
  <c r="X50" i="3"/>
  <c r="N50" i="3"/>
  <c r="J50" i="3"/>
  <c r="F50" i="3"/>
  <c r="AB50" i="3"/>
  <c r="Y50" i="3"/>
  <c r="U50" i="3"/>
  <c r="T50" i="3"/>
  <c r="O50" i="3"/>
  <c r="I50" i="3"/>
  <c r="M50" i="3"/>
  <c r="H50" i="3"/>
  <c r="L50" i="3"/>
  <c r="G50" i="3"/>
  <c r="F8" i="3"/>
  <c r="J8" i="3"/>
  <c r="N8" i="3"/>
  <c r="F9" i="3"/>
  <c r="J9" i="3"/>
  <c r="N9" i="3"/>
  <c r="F10" i="3"/>
  <c r="J10" i="3"/>
  <c r="N10" i="3"/>
  <c r="F11" i="3"/>
  <c r="J11" i="3"/>
  <c r="N11" i="3"/>
  <c r="F12" i="3"/>
  <c r="J12" i="3"/>
  <c r="N12" i="3"/>
  <c r="F13" i="3"/>
  <c r="J13" i="3"/>
  <c r="N13" i="3"/>
  <c r="F14" i="3"/>
  <c r="J14" i="3"/>
  <c r="N14" i="3"/>
  <c r="F15" i="3"/>
  <c r="J15" i="3"/>
  <c r="F16" i="3"/>
  <c r="J16" i="3"/>
  <c r="N16" i="3"/>
  <c r="F17" i="3"/>
  <c r="J17" i="3"/>
  <c r="N17" i="3"/>
  <c r="F18" i="3"/>
  <c r="J18" i="3"/>
  <c r="N18" i="3"/>
  <c r="F19" i="3"/>
  <c r="J19" i="3"/>
  <c r="N19" i="3"/>
  <c r="F20" i="3"/>
  <c r="J20" i="3"/>
  <c r="N20" i="3"/>
  <c r="F21" i="3"/>
  <c r="J21" i="3"/>
  <c r="N21" i="3"/>
  <c r="F22" i="3"/>
  <c r="J22" i="3"/>
  <c r="O22" i="3"/>
  <c r="I23" i="3"/>
  <c r="G24" i="3"/>
  <c r="M24" i="3"/>
  <c r="F25" i="3"/>
  <c r="K25" i="3"/>
  <c r="E26" i="3"/>
  <c r="J26" i="3"/>
  <c r="O26" i="3"/>
  <c r="E28" i="3"/>
  <c r="I29" i="3"/>
  <c r="E30" i="3"/>
  <c r="M30" i="3"/>
  <c r="E33" i="3"/>
  <c r="I34" i="3"/>
  <c r="L37" i="3"/>
  <c r="G41" i="3"/>
  <c r="P42" i="3"/>
  <c r="M44" i="3"/>
  <c r="K46" i="3"/>
  <c r="H48" i="3"/>
  <c r="E50" i="3"/>
  <c r="AB8" i="3"/>
  <c r="Y13" i="3"/>
  <c r="U26" i="3"/>
  <c r="AA33" i="3"/>
  <c r="AD16" i="3"/>
  <c r="Z16" i="3"/>
  <c r="V16" i="3"/>
  <c r="AB16" i="3"/>
  <c r="W16" i="3"/>
  <c r="AA16" i="3"/>
  <c r="U16" i="3"/>
  <c r="AC16" i="3"/>
  <c r="Y16" i="3"/>
  <c r="X16" i="3"/>
  <c r="AD28" i="3"/>
  <c r="Z28" i="3"/>
  <c r="V28" i="3"/>
  <c r="AB28" i="3"/>
  <c r="W28" i="3"/>
  <c r="AA28" i="3"/>
  <c r="U28" i="3"/>
  <c r="Y28" i="3"/>
  <c r="T28" i="3"/>
  <c r="P28" i="3"/>
  <c r="L28" i="3"/>
  <c r="H28" i="3"/>
  <c r="AC28" i="3"/>
  <c r="O28" i="3"/>
  <c r="K28" i="3"/>
  <c r="G28" i="3"/>
  <c r="X28" i="3"/>
  <c r="H12" i="3"/>
  <c r="L12" i="3"/>
  <c r="P12" i="3"/>
  <c r="H20" i="3"/>
  <c r="L20" i="3"/>
  <c r="P20" i="3"/>
  <c r="J24" i="3"/>
  <c r="O24" i="3"/>
  <c r="I32" i="3"/>
  <c r="AD11" i="3"/>
  <c r="Z11" i="3"/>
  <c r="V11" i="3"/>
  <c r="AC11" i="3"/>
  <c r="X11" i="3"/>
  <c r="AA11" i="3"/>
  <c r="T11" i="3"/>
  <c r="Y11" i="3"/>
  <c r="W11" i="3"/>
  <c r="AD15" i="3"/>
  <c r="Z15" i="3"/>
  <c r="V15" i="3"/>
  <c r="AC15" i="3"/>
  <c r="X15" i="3"/>
  <c r="AB15" i="3"/>
  <c r="U15" i="3"/>
  <c r="AA15" i="3"/>
  <c r="T15" i="3"/>
  <c r="Y15" i="3"/>
  <c r="AD19" i="3"/>
  <c r="Z19" i="3"/>
  <c r="V19" i="3"/>
  <c r="AC19" i="3"/>
  <c r="X19" i="3"/>
  <c r="AB19" i="3"/>
  <c r="W19" i="3"/>
  <c r="Y19" i="3"/>
  <c r="U19" i="3"/>
  <c r="T19" i="3"/>
  <c r="AD23" i="3"/>
  <c r="Z23" i="3"/>
  <c r="V23" i="3"/>
  <c r="AC23" i="3"/>
  <c r="X23" i="3"/>
  <c r="AB23" i="3"/>
  <c r="W23" i="3"/>
  <c r="AA23" i="3"/>
  <c r="U23" i="3"/>
  <c r="P23" i="3"/>
  <c r="L23" i="3"/>
  <c r="H23" i="3"/>
  <c r="Y23" i="3"/>
  <c r="T23" i="3"/>
  <c r="AD27" i="3"/>
  <c r="Z27" i="3"/>
  <c r="V27" i="3"/>
  <c r="AC27" i="3"/>
  <c r="X27" i="3"/>
  <c r="AB27" i="3"/>
  <c r="W27" i="3"/>
  <c r="AA27" i="3"/>
  <c r="U27" i="3"/>
  <c r="Y27" i="3"/>
  <c r="P27" i="3"/>
  <c r="L27" i="3"/>
  <c r="H27" i="3"/>
  <c r="T27" i="3"/>
  <c r="O27" i="3"/>
  <c r="K27" i="3"/>
  <c r="AD31" i="3"/>
  <c r="Z31" i="3"/>
  <c r="V31" i="3"/>
  <c r="AC31" i="3"/>
  <c r="X31" i="3"/>
  <c r="AB31" i="3"/>
  <c r="W31" i="3"/>
  <c r="AA31" i="3"/>
  <c r="U31" i="3"/>
  <c r="T31" i="3"/>
  <c r="P31" i="3"/>
  <c r="L31" i="3"/>
  <c r="H31" i="3"/>
  <c r="O31" i="3"/>
  <c r="K31" i="3"/>
  <c r="G31" i="3"/>
  <c r="N31" i="3"/>
  <c r="J31" i="3"/>
  <c r="F31" i="3"/>
  <c r="AE35" i="3"/>
  <c r="AA35" i="3"/>
  <c r="W35" i="3"/>
  <c r="AD35" i="3"/>
  <c r="Z35" i="3"/>
  <c r="V35" i="3"/>
  <c r="AB35" i="3"/>
  <c r="T35" i="3"/>
  <c r="N35" i="3"/>
  <c r="J35" i="3"/>
  <c r="Y35" i="3"/>
  <c r="X35" i="3"/>
  <c r="U35" i="3"/>
  <c r="AC35" i="3"/>
  <c r="M35" i="3"/>
  <c r="H35" i="3"/>
  <c r="L35" i="3"/>
  <c r="G35" i="3"/>
  <c r="P35" i="3"/>
  <c r="K35" i="3"/>
  <c r="F35" i="3"/>
  <c r="AE39" i="3"/>
  <c r="AA39" i="3"/>
  <c r="W39" i="3"/>
  <c r="AD39" i="3"/>
  <c r="Z39" i="3"/>
  <c r="V39" i="3"/>
  <c r="AB39" i="3"/>
  <c r="T39" i="3"/>
  <c r="N39" i="3"/>
  <c r="J39" i="3"/>
  <c r="F39" i="3"/>
  <c r="U39" i="3"/>
  <c r="AC39" i="3"/>
  <c r="Y39" i="3"/>
  <c r="X39" i="3"/>
  <c r="M39" i="3"/>
  <c r="H39" i="3"/>
  <c r="L39" i="3"/>
  <c r="G39" i="3"/>
  <c r="P39" i="3"/>
  <c r="K39" i="3"/>
  <c r="E39" i="3"/>
  <c r="AE43" i="3"/>
  <c r="AA43" i="3"/>
  <c r="W43" i="3"/>
  <c r="AD43" i="3"/>
  <c r="Z43" i="3"/>
  <c r="V43" i="3"/>
  <c r="AB43" i="3"/>
  <c r="T43" i="3"/>
  <c r="N43" i="3"/>
  <c r="J43" i="3"/>
  <c r="F43" i="3"/>
  <c r="Y43" i="3"/>
  <c r="X43" i="3"/>
  <c r="U43" i="3"/>
  <c r="M43" i="3"/>
  <c r="H43" i="3"/>
  <c r="L43" i="3"/>
  <c r="G43" i="3"/>
  <c r="P43" i="3"/>
  <c r="K43" i="3"/>
  <c r="E43" i="3"/>
  <c r="AE47" i="3"/>
  <c r="AA47" i="3"/>
  <c r="W47" i="3"/>
  <c r="AD47" i="3"/>
  <c r="Z47" i="3"/>
  <c r="V47" i="3"/>
  <c r="AB47" i="3"/>
  <c r="T47" i="3"/>
  <c r="N47" i="3"/>
  <c r="J47" i="3"/>
  <c r="F47" i="3"/>
  <c r="U47" i="3"/>
  <c r="AC47" i="3"/>
  <c r="Y47" i="3"/>
  <c r="M47" i="3"/>
  <c r="H47" i="3"/>
  <c r="L47" i="3"/>
  <c r="G47" i="3"/>
  <c r="P47" i="3"/>
  <c r="K47" i="3"/>
  <c r="E47" i="3"/>
  <c r="AE51" i="3"/>
  <c r="AA51" i="3"/>
  <c r="W51" i="3"/>
  <c r="AD51" i="3"/>
  <c r="Z51" i="3"/>
  <c r="V51" i="3"/>
  <c r="AB51" i="3"/>
  <c r="T51" i="3"/>
  <c r="N51" i="3"/>
  <c r="J51" i="3"/>
  <c r="F51" i="3"/>
  <c r="Y51" i="3"/>
  <c r="X51" i="3"/>
  <c r="U51" i="3"/>
  <c r="M51" i="3"/>
  <c r="H51" i="3"/>
  <c r="L51" i="3"/>
  <c r="G51" i="3"/>
  <c r="AC51" i="3"/>
  <c r="P51" i="3"/>
  <c r="K51" i="3"/>
  <c r="E51" i="3"/>
  <c r="G8" i="3"/>
  <c r="K8" i="3"/>
  <c r="O8" i="3"/>
  <c r="G9" i="3"/>
  <c r="K9" i="3"/>
  <c r="O9" i="3"/>
  <c r="G10" i="3"/>
  <c r="K10" i="3"/>
  <c r="O10" i="3"/>
  <c r="G11" i="3"/>
  <c r="K11" i="3"/>
  <c r="O11" i="3"/>
  <c r="G12" i="3"/>
  <c r="K12" i="3"/>
  <c r="O12" i="3"/>
  <c r="G13" i="3"/>
  <c r="K13" i="3"/>
  <c r="O13" i="3"/>
  <c r="G14" i="3"/>
  <c r="K14" i="3"/>
  <c r="O14" i="3"/>
  <c r="G15" i="3"/>
  <c r="K15" i="3"/>
  <c r="O15" i="3"/>
  <c r="G16" i="3"/>
  <c r="K16" i="3"/>
  <c r="O16" i="3"/>
  <c r="G17" i="3"/>
  <c r="K17" i="3"/>
  <c r="O17" i="3"/>
  <c r="G18" i="3"/>
  <c r="K18" i="3"/>
  <c r="O18" i="3"/>
  <c r="G19" i="3"/>
  <c r="K19" i="3"/>
  <c r="O19" i="3"/>
  <c r="G20" i="3"/>
  <c r="K20" i="3"/>
  <c r="O20" i="3"/>
  <c r="G21" i="3"/>
  <c r="K21" i="3"/>
  <c r="O21" i="3"/>
  <c r="G22" i="3"/>
  <c r="K22" i="3"/>
  <c r="E23" i="3"/>
  <c r="J23" i="3"/>
  <c r="O23" i="3"/>
  <c r="I24" i="3"/>
  <c r="N24" i="3"/>
  <c r="G25" i="3"/>
  <c r="M25" i="3"/>
  <c r="F26" i="3"/>
  <c r="K26" i="3"/>
  <c r="E27" i="3"/>
  <c r="J27" i="3"/>
  <c r="F28" i="3"/>
  <c r="N28" i="3"/>
  <c r="J29" i="3"/>
  <c r="F30" i="3"/>
  <c r="N30" i="3"/>
  <c r="E32" i="3"/>
  <c r="I33" i="3"/>
  <c r="M34" i="3"/>
  <c r="H36" i="3"/>
  <c r="E38" i="3"/>
  <c r="O39" i="3"/>
  <c r="L41" i="3"/>
  <c r="I43" i="3"/>
  <c r="G45" i="3"/>
  <c r="P46" i="3"/>
  <c r="M48" i="3"/>
  <c r="K50" i="3"/>
  <c r="H52" i="3"/>
  <c r="X9" i="3"/>
  <c r="AB11" i="3"/>
  <c r="U14" i="3"/>
  <c r="AC20" i="3"/>
  <c r="AB36" i="3"/>
  <c r="AC50" i="3"/>
  <c r="DA50" i="17"/>
  <c r="CS50" i="17"/>
  <c r="CO50" i="17"/>
  <c r="CK50" i="17"/>
  <c r="CG50" i="17"/>
  <c r="CC50" i="17"/>
  <c r="BY50" i="17"/>
  <c r="BU50" i="17"/>
  <c r="BQ50" i="17"/>
  <c r="BQ51" i="17" s="1"/>
  <c r="BM50" i="17"/>
  <c r="BI50" i="17"/>
  <c r="BE50" i="17"/>
  <c r="BA50" i="17"/>
  <c r="BA54" i="17" s="1"/>
  <c r="AW50" i="17"/>
  <c r="AS50" i="17"/>
  <c r="AO50" i="17"/>
  <c r="AK50" i="17"/>
  <c r="AG50" i="17"/>
  <c r="AC50" i="17"/>
  <c r="Y50" i="17"/>
  <c r="U50" i="17"/>
  <c r="Q50" i="17"/>
  <c r="M50" i="17"/>
  <c r="I50" i="17"/>
  <c r="CT5" i="17"/>
  <c r="CP5" i="17"/>
  <c r="CS4" i="17" s="1"/>
  <c r="CL5" i="17"/>
  <c r="CO4" i="17" s="1"/>
  <c r="AX6" i="17"/>
  <c r="AX7" i="17"/>
  <c r="AX8" i="17"/>
  <c r="AX9" i="17"/>
  <c r="AX10" i="17"/>
  <c r="AX11" i="17"/>
  <c r="AX12" i="17"/>
  <c r="AX13" i="17"/>
  <c r="AX14" i="17"/>
  <c r="AX15" i="17"/>
  <c r="AX16" i="17"/>
  <c r="AX17" i="17"/>
  <c r="AX18" i="17"/>
  <c r="AX19" i="17"/>
  <c r="AX20" i="17"/>
  <c r="AX21" i="17"/>
  <c r="AX22" i="17"/>
  <c r="AX23" i="17"/>
  <c r="AX24" i="17"/>
  <c r="AX25" i="17"/>
  <c r="AX26" i="17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43" i="17"/>
  <c r="AX44" i="17"/>
  <c r="AX45" i="17"/>
  <c r="AX46" i="17"/>
  <c r="AX47" i="17"/>
  <c r="AX48" i="17"/>
  <c r="AX49" i="17"/>
  <c r="AX5" i="17"/>
  <c r="BA4" i="17" s="1"/>
  <c r="A6" i="17"/>
  <c r="CT6" i="17" s="1"/>
  <c r="A7" i="17"/>
  <c r="CT7" i="17" s="1"/>
  <c r="A8" i="17"/>
  <c r="CT8" i="17" s="1"/>
  <c r="A9" i="17"/>
  <c r="A10" i="17"/>
  <c r="CT10" i="17" s="1"/>
  <c r="A11" i="17"/>
  <c r="A12" i="17"/>
  <c r="CT12" i="17" s="1"/>
  <c r="A13" i="17"/>
  <c r="A14" i="17"/>
  <c r="CT14" i="17" s="1"/>
  <c r="A15" i="17"/>
  <c r="CT15" i="17" s="1"/>
  <c r="A16" i="17"/>
  <c r="A17" i="17"/>
  <c r="A18" i="17"/>
  <c r="A19" i="17"/>
  <c r="A20" i="17"/>
  <c r="A21" i="17"/>
  <c r="A22" i="17"/>
  <c r="A23" i="17"/>
  <c r="A24" i="17"/>
  <c r="CT24" i="17" s="1"/>
  <c r="A25" i="17"/>
  <c r="A26" i="17"/>
  <c r="CT26" i="17" s="1"/>
  <c r="A27" i="17"/>
  <c r="CT27" i="17" s="1"/>
  <c r="A28" i="17"/>
  <c r="A29" i="17"/>
  <c r="A30" i="17"/>
  <c r="CT30" i="17" s="1"/>
  <c r="A31" i="17"/>
  <c r="CT31" i="17" s="1"/>
  <c r="A32" i="17"/>
  <c r="CT32" i="17" s="1"/>
  <c r="A33" i="17"/>
  <c r="A34" i="17"/>
  <c r="CT34" i="17" s="1"/>
  <c r="A35" i="17"/>
  <c r="A36" i="17"/>
  <c r="CT36" i="17" s="1"/>
  <c r="A37" i="17"/>
  <c r="A38" i="17"/>
  <c r="A39" i="17"/>
  <c r="CT39" i="17" s="1"/>
  <c r="A40" i="17"/>
  <c r="A41" i="17"/>
  <c r="A42" i="17"/>
  <c r="A43" i="17"/>
  <c r="A44" i="17"/>
  <c r="CT44" i="17" s="1"/>
  <c r="A45" i="17"/>
  <c r="A46" i="17"/>
  <c r="CT46" i="17" s="1"/>
  <c r="A47" i="17"/>
  <c r="A48" i="17"/>
  <c r="CT48" i="17" s="1"/>
  <c r="A49" i="17"/>
  <c r="CP49" i="17" s="1"/>
  <c r="A1" i="17"/>
  <c r="CG55" i="18" l="1"/>
  <c r="BL48" i="5"/>
  <c r="AN52" i="3"/>
  <c r="BO53" i="5"/>
  <c r="BN48" i="5"/>
  <c r="DP55" i="18"/>
  <c r="DK55" i="18"/>
  <c r="AP52" i="3"/>
  <c r="AO52" i="3"/>
  <c r="AL52" i="3"/>
  <c r="BM53" i="5"/>
  <c r="BN53" i="5"/>
  <c r="AM52" i="3"/>
  <c r="AN48" i="3"/>
  <c r="AP49" i="3"/>
  <c r="AN49" i="3"/>
  <c r="BM50" i="5"/>
  <c r="BK53" i="5"/>
  <c r="BL53" i="5"/>
  <c r="AO49" i="3"/>
  <c r="AM49" i="3"/>
  <c r="AL49" i="3"/>
  <c r="AO50" i="3"/>
  <c r="BK47" i="5"/>
  <c r="BN50" i="5"/>
  <c r="BM51" i="5"/>
  <c r="AL46" i="3"/>
  <c r="BO51" i="5"/>
  <c r="AP50" i="3"/>
  <c r="BL50" i="5"/>
  <c r="AL50" i="3"/>
  <c r="AN50" i="3"/>
  <c r="AM46" i="3"/>
  <c r="AP46" i="3"/>
  <c r="AO46" i="3"/>
  <c r="BL51" i="5"/>
  <c r="BN47" i="5"/>
  <c r="BN51" i="5"/>
  <c r="AM50" i="3"/>
  <c r="AN46" i="3"/>
  <c r="BL47" i="5"/>
  <c r="BK51" i="5"/>
  <c r="BO47" i="5"/>
  <c r="BM47" i="5"/>
  <c r="AO47" i="3"/>
  <c r="AN47" i="3"/>
  <c r="AM47" i="3"/>
  <c r="AL47" i="3"/>
  <c r="BK48" i="5"/>
  <c r="BO48" i="5"/>
  <c r="BK49" i="5"/>
  <c r="AM48" i="3"/>
  <c r="AL48" i="3"/>
  <c r="BO49" i="5"/>
  <c r="BN49" i="5"/>
  <c r="BM48" i="5"/>
  <c r="AP48" i="3"/>
  <c r="AO48" i="3"/>
  <c r="BM49" i="5"/>
  <c r="AF53" i="3"/>
  <c r="BL49" i="5"/>
  <c r="BO52" i="5"/>
  <c r="AN51" i="3"/>
  <c r="BK52" i="5"/>
  <c r="BN52" i="5"/>
  <c r="BM52" i="5"/>
  <c r="AL51" i="3"/>
  <c r="AO51" i="3"/>
  <c r="AM51" i="3"/>
  <c r="AP51" i="3"/>
  <c r="BL52" i="5"/>
  <c r="BK50" i="5"/>
  <c r="BO50" i="5"/>
  <c r="AP47" i="3"/>
  <c r="AI46" i="3"/>
  <c r="AI42" i="3"/>
  <c r="AI51" i="3"/>
  <c r="AI44" i="3"/>
  <c r="AI32" i="3"/>
  <c r="AI48" i="3"/>
  <c r="AI8" i="3"/>
  <c r="AI37" i="3"/>
  <c r="AI52" i="3"/>
  <c r="AI33" i="3"/>
  <c r="AI45" i="3"/>
  <c r="AI41" i="3"/>
  <c r="AI34" i="3"/>
  <c r="AI39" i="3"/>
  <c r="AI38" i="3"/>
  <c r="AI43" i="3"/>
  <c r="AI49" i="3"/>
  <c r="AI35" i="3"/>
  <c r="AI50" i="3"/>
  <c r="AI36" i="3"/>
  <c r="AI47" i="3"/>
  <c r="AI40" i="3"/>
  <c r="BP54" i="13"/>
  <c r="CZ22" i="17"/>
  <c r="CY22" i="17"/>
  <c r="CX22" i="17"/>
  <c r="CT23" i="17"/>
  <c r="CZ23" i="17"/>
  <c r="CY23" i="17"/>
  <c r="CX23" i="17"/>
  <c r="CY44" i="17"/>
  <c r="CX44" i="17"/>
  <c r="CZ44" i="17"/>
  <c r="CY32" i="17"/>
  <c r="CX32" i="17"/>
  <c r="CZ32" i="17"/>
  <c r="CY20" i="17"/>
  <c r="CX20" i="17"/>
  <c r="CZ20" i="17"/>
  <c r="CY8" i="17"/>
  <c r="CX8" i="17"/>
  <c r="CZ8" i="17"/>
  <c r="CP44" i="17"/>
  <c r="CT35" i="17"/>
  <c r="CZ35" i="17"/>
  <c r="CY35" i="17"/>
  <c r="CX35" i="17"/>
  <c r="CZ10" i="17"/>
  <c r="CY10" i="17"/>
  <c r="CX10" i="17"/>
  <c r="CZ43" i="17"/>
  <c r="CY43" i="17"/>
  <c r="CX43" i="17"/>
  <c r="CZ31" i="17"/>
  <c r="CY31" i="17"/>
  <c r="CX31" i="17"/>
  <c r="CZ19" i="17"/>
  <c r="CY19" i="17"/>
  <c r="CX19" i="17"/>
  <c r="CZ7" i="17"/>
  <c r="CY7" i="17"/>
  <c r="CX7" i="17"/>
  <c r="DA4" i="17"/>
  <c r="CW4" i="17"/>
  <c r="CW54" i="17" s="1"/>
  <c r="CT47" i="17"/>
  <c r="CZ47" i="17"/>
  <c r="CY47" i="17"/>
  <c r="CX47" i="17"/>
  <c r="CT11" i="17"/>
  <c r="CZ11" i="17"/>
  <c r="CY11" i="17"/>
  <c r="CX11" i="17"/>
  <c r="CZ34" i="17"/>
  <c r="CY34" i="17"/>
  <c r="CX34" i="17"/>
  <c r="CX21" i="17"/>
  <c r="CZ21" i="17"/>
  <c r="CY21" i="17"/>
  <c r="CT41" i="17"/>
  <c r="CZ41" i="17"/>
  <c r="CX41" i="17"/>
  <c r="CY41" i="17"/>
  <c r="CT29" i="17"/>
  <c r="CX29" i="17"/>
  <c r="CZ29" i="17"/>
  <c r="CY29" i="17"/>
  <c r="CT17" i="17"/>
  <c r="CX17" i="17"/>
  <c r="CZ17" i="17"/>
  <c r="CY17" i="17"/>
  <c r="CZ18" i="17"/>
  <c r="CY18" i="17"/>
  <c r="CX18" i="17"/>
  <c r="CT28" i="17"/>
  <c r="CY28" i="17"/>
  <c r="CX28" i="17"/>
  <c r="CZ28" i="17"/>
  <c r="CP45" i="17"/>
  <c r="CX45" i="17"/>
  <c r="CZ45" i="17"/>
  <c r="CY45" i="17"/>
  <c r="CT33" i="17"/>
  <c r="CX33" i="17"/>
  <c r="CZ33" i="17"/>
  <c r="CY33" i="17"/>
  <c r="CZ42" i="17"/>
  <c r="CY42" i="17"/>
  <c r="CX42" i="17"/>
  <c r="CZ6" i="17"/>
  <c r="CY6" i="17"/>
  <c r="CX6" i="17"/>
  <c r="CZ39" i="17"/>
  <c r="CY39" i="17"/>
  <c r="CX39" i="17"/>
  <c r="CZ27" i="17"/>
  <c r="CY27" i="17"/>
  <c r="CX27" i="17"/>
  <c r="CZ15" i="17"/>
  <c r="CY15" i="17"/>
  <c r="CX15" i="17"/>
  <c r="CT43" i="17"/>
  <c r="CT22" i="17"/>
  <c r="CZ46" i="17"/>
  <c r="CY46" i="17"/>
  <c r="CX46" i="17"/>
  <c r="CZ30" i="17"/>
  <c r="CY30" i="17"/>
  <c r="CX30" i="17"/>
  <c r="CT40" i="17"/>
  <c r="CY40" i="17"/>
  <c r="CX40" i="17"/>
  <c r="CZ40" i="17"/>
  <c r="CT16" i="17"/>
  <c r="CY16" i="17"/>
  <c r="CX16" i="17"/>
  <c r="CZ16" i="17"/>
  <c r="CZ26" i="17"/>
  <c r="CY26" i="17"/>
  <c r="CX26" i="17"/>
  <c r="CT42" i="17"/>
  <c r="CX25" i="17"/>
  <c r="CZ25" i="17"/>
  <c r="CY25" i="17"/>
  <c r="CT9" i="17"/>
  <c r="CZ9" i="17"/>
  <c r="CX9" i="17"/>
  <c r="CY9" i="17"/>
  <c r="CZ38" i="17"/>
  <c r="CY38" i="17"/>
  <c r="CX38" i="17"/>
  <c r="CZ14" i="17"/>
  <c r="CY14" i="17"/>
  <c r="CX14" i="17"/>
  <c r="CT20" i="17"/>
  <c r="CZ49" i="17"/>
  <c r="CY49" i="17"/>
  <c r="CX49" i="17"/>
  <c r="CX37" i="17"/>
  <c r="CZ37" i="17"/>
  <c r="CY37" i="17"/>
  <c r="CZ13" i="17"/>
  <c r="CY13" i="17"/>
  <c r="CX13" i="17"/>
  <c r="CT19" i="17"/>
  <c r="CY48" i="17"/>
  <c r="CX48" i="17"/>
  <c r="CZ48" i="17"/>
  <c r="CY36" i="17"/>
  <c r="CX36" i="17"/>
  <c r="CZ36" i="17"/>
  <c r="CY24" i="17"/>
  <c r="CX24" i="17"/>
  <c r="CZ24" i="17"/>
  <c r="CY12" i="17"/>
  <c r="CX12" i="17"/>
  <c r="CZ12" i="17"/>
  <c r="CT38" i="17"/>
  <c r="CT18" i="17"/>
  <c r="CP21" i="17"/>
  <c r="AE24" i="3"/>
  <c r="AI24" i="3" s="1"/>
  <c r="J27" i="17"/>
  <c r="AE30" i="3"/>
  <c r="AI30" i="3" s="1"/>
  <c r="AH25" i="17"/>
  <c r="AE28" i="3"/>
  <c r="AI28" i="3" s="1"/>
  <c r="R49" i="17"/>
  <c r="CL37" i="17"/>
  <c r="F13" i="17"/>
  <c r="AE16" i="3"/>
  <c r="AI16" i="3" s="1"/>
  <c r="CL48" i="17"/>
  <c r="CL36" i="17"/>
  <c r="CP24" i="17"/>
  <c r="AE27" i="3"/>
  <c r="AI27" i="3" s="1"/>
  <c r="AT12" i="17"/>
  <c r="AE15" i="3"/>
  <c r="AI15" i="3" s="1"/>
  <c r="CL46" i="17"/>
  <c r="J34" i="17"/>
  <c r="J22" i="17"/>
  <c r="AE25" i="3"/>
  <c r="AI25" i="3" s="1"/>
  <c r="CL10" i="17"/>
  <c r="AE13" i="3"/>
  <c r="AI13" i="3" s="1"/>
  <c r="CT45" i="17"/>
  <c r="CT21" i="17"/>
  <c r="CL47" i="17"/>
  <c r="J20" i="17"/>
  <c r="AE23" i="3"/>
  <c r="AI23" i="3" s="1"/>
  <c r="CP48" i="17"/>
  <c r="CP33" i="17"/>
  <c r="F19" i="17"/>
  <c r="AE22" i="3"/>
  <c r="AI22" i="3" s="1"/>
  <c r="CP9" i="17"/>
  <c r="AE12" i="3"/>
  <c r="AI12" i="3" s="1"/>
  <c r="CL44" i="17"/>
  <c r="J32" i="17"/>
  <c r="E8" i="17"/>
  <c r="AE11" i="3"/>
  <c r="AI11" i="3" s="1"/>
  <c r="Z43" i="17"/>
  <c r="CP31" i="17"/>
  <c r="F7" i="17"/>
  <c r="AE10" i="3"/>
  <c r="AI10" i="3" s="1"/>
  <c r="CP47" i="17"/>
  <c r="CP42" i="17"/>
  <c r="E30" i="17"/>
  <c r="J18" i="17"/>
  <c r="AE21" i="3"/>
  <c r="AI21" i="3" s="1"/>
  <c r="D6" i="17"/>
  <c r="AE9" i="3"/>
  <c r="AI9" i="3" s="1"/>
  <c r="CP46" i="17"/>
  <c r="CP41" i="17"/>
  <c r="CP29" i="17"/>
  <c r="CP17" i="17"/>
  <c r="AE20" i="3"/>
  <c r="AI20" i="3" s="1"/>
  <c r="Z11" i="17"/>
  <c r="AE14" i="3"/>
  <c r="AI14" i="3" s="1"/>
  <c r="Z45" i="17"/>
  <c r="E23" i="17"/>
  <c r="AE26" i="3"/>
  <c r="AI26" i="3" s="1"/>
  <c r="CL16" i="17"/>
  <c r="AE19" i="3"/>
  <c r="AI19" i="3" s="1"/>
  <c r="CL35" i="17"/>
  <c r="CP40" i="17"/>
  <c r="CP28" i="17"/>
  <c r="AE31" i="3"/>
  <c r="AI31" i="3" s="1"/>
  <c r="E39" i="17"/>
  <c r="CL15" i="17"/>
  <c r="AE18" i="3"/>
  <c r="AI18" i="3" s="1"/>
  <c r="CL38" i="17"/>
  <c r="CL26" i="17"/>
  <c r="AE29" i="3"/>
  <c r="AI29" i="3" s="1"/>
  <c r="CL14" i="17"/>
  <c r="AE17" i="3"/>
  <c r="AI17" i="3" s="1"/>
  <c r="CT49" i="17"/>
  <c r="CT37" i="17"/>
  <c r="CT25" i="17"/>
  <c r="CT13" i="17"/>
  <c r="CL33" i="17"/>
  <c r="CL32" i="17"/>
  <c r="CL12" i="17"/>
  <c r="CL49" i="17"/>
  <c r="CL45" i="17"/>
  <c r="CL43" i="17"/>
  <c r="CL9" i="17"/>
  <c r="CL8" i="17"/>
  <c r="CL42" i="17"/>
  <c r="CL24" i="17"/>
  <c r="CL7" i="17"/>
  <c r="CL6" i="17"/>
  <c r="CL30" i="17"/>
  <c r="CL31" i="17"/>
  <c r="CL21" i="17"/>
  <c r="CL20" i="17"/>
  <c r="CL19" i="17"/>
  <c r="CL18" i="17"/>
  <c r="CL41" i="17"/>
  <c r="CL29" i="17"/>
  <c r="CL17" i="17"/>
  <c r="CP38" i="17"/>
  <c r="CP26" i="17"/>
  <c r="CP14" i="17"/>
  <c r="CP16" i="17"/>
  <c r="CL40" i="17"/>
  <c r="CL28" i="17"/>
  <c r="CP37" i="17"/>
  <c r="CP25" i="17"/>
  <c r="CP13" i="17"/>
  <c r="CP15" i="17"/>
  <c r="CL27" i="17"/>
  <c r="CP39" i="17"/>
  <c r="CL39" i="17"/>
  <c r="CP36" i="17"/>
  <c r="CP12" i="17"/>
  <c r="CP35" i="17"/>
  <c r="CP23" i="17"/>
  <c r="CP11" i="17"/>
  <c r="CL25" i="17"/>
  <c r="CL13" i="17"/>
  <c r="CP34" i="17"/>
  <c r="CP22" i="17"/>
  <c r="CP10" i="17"/>
  <c r="CP27" i="17"/>
  <c r="CL23" i="17"/>
  <c r="CL11" i="17"/>
  <c r="CP32" i="17"/>
  <c r="CP20" i="17"/>
  <c r="CP8" i="17"/>
  <c r="CL34" i="17"/>
  <c r="CL22" i="17"/>
  <c r="CP43" i="17"/>
  <c r="CP19" i="17"/>
  <c r="CP7" i="17"/>
  <c r="CP18" i="17"/>
  <c r="CP30" i="17"/>
  <c r="CP6" i="17"/>
  <c r="Y5" i="18"/>
  <c r="Y55" i="18" s="1"/>
  <c r="DA55" i="18"/>
  <c r="BH55" i="18"/>
  <c r="CL55" i="18"/>
  <c r="O55" i="18"/>
  <c r="CB55" i="18"/>
  <c r="CQ55" i="18"/>
  <c r="AI55" i="18"/>
  <c r="BR55" i="18"/>
  <c r="AD55" i="18"/>
  <c r="CV55" i="18"/>
  <c r="AS55" i="18"/>
  <c r="DF55" i="18"/>
  <c r="AX55" i="18"/>
  <c r="T55" i="18"/>
  <c r="BC55" i="18"/>
  <c r="AN55" i="18"/>
  <c r="BW55" i="18"/>
  <c r="D24" i="17"/>
  <c r="D27" i="17"/>
  <c r="E36" i="17"/>
  <c r="N45" i="17"/>
  <c r="E18" i="17"/>
  <c r="N15" i="17"/>
  <c r="R11" i="17"/>
  <c r="V20" i="17"/>
  <c r="AT7" i="17"/>
  <c r="E35" i="17"/>
  <c r="F46" i="17"/>
  <c r="J23" i="17"/>
  <c r="D33" i="17"/>
  <c r="E32" i="17"/>
  <c r="F30" i="17"/>
  <c r="J42" i="17"/>
  <c r="N43" i="17"/>
  <c r="N8" i="17"/>
  <c r="AH33" i="17"/>
  <c r="D35" i="17"/>
  <c r="E25" i="17"/>
  <c r="F11" i="17"/>
  <c r="R43" i="17"/>
  <c r="R8" i="17"/>
  <c r="D36" i="17"/>
  <c r="E24" i="17"/>
  <c r="J36" i="17"/>
  <c r="AH13" i="17"/>
  <c r="BF35" i="17"/>
  <c r="D39" i="17"/>
  <c r="E22" i="17"/>
  <c r="F42" i="17"/>
  <c r="F10" i="17"/>
  <c r="J15" i="17"/>
  <c r="N35" i="17"/>
  <c r="AL46" i="17"/>
  <c r="D9" i="17"/>
  <c r="D45" i="17"/>
  <c r="E20" i="17"/>
  <c r="F23" i="17"/>
  <c r="J35" i="17"/>
  <c r="R30" i="17"/>
  <c r="D11" i="17"/>
  <c r="D47" i="17"/>
  <c r="V42" i="17"/>
  <c r="Z34" i="17"/>
  <c r="D12" i="17"/>
  <c r="D48" i="17"/>
  <c r="E11" i="17"/>
  <c r="F22" i="17"/>
  <c r="F6" i="17"/>
  <c r="J30" i="17"/>
  <c r="J8" i="17"/>
  <c r="Z23" i="17"/>
  <c r="D15" i="17"/>
  <c r="E42" i="17"/>
  <c r="F35" i="17"/>
  <c r="N27" i="17"/>
  <c r="R21" i="17"/>
  <c r="V32" i="17"/>
  <c r="D21" i="17"/>
  <c r="E40" i="17"/>
  <c r="E6" i="17"/>
  <c r="J6" i="17"/>
  <c r="V30" i="17"/>
  <c r="Z18" i="17"/>
  <c r="D23" i="17"/>
  <c r="F47" i="17"/>
  <c r="F34" i="17"/>
  <c r="F18" i="17"/>
  <c r="J48" i="17"/>
  <c r="J24" i="17"/>
  <c r="AH40" i="17"/>
  <c r="CD17" i="17"/>
  <c r="BZ17" i="17"/>
  <c r="BJ17" i="17"/>
  <c r="BV17" i="17"/>
  <c r="CH17" i="17"/>
  <c r="BR17" i="17"/>
  <c r="BB17" i="17"/>
  <c r="AT17" i="17"/>
  <c r="BF17" i="17"/>
  <c r="AL17" i="17"/>
  <c r="AD17" i="17"/>
  <c r="J17" i="17"/>
  <c r="V17" i="17"/>
  <c r="BN17" i="17"/>
  <c r="R17" i="17"/>
  <c r="Z17" i="17"/>
  <c r="N17" i="17"/>
  <c r="J16" i="17"/>
  <c r="Z38" i="17"/>
  <c r="BV39" i="17"/>
  <c r="CH39" i="17"/>
  <c r="BR39" i="17"/>
  <c r="CD39" i="17"/>
  <c r="BN39" i="17"/>
  <c r="BZ39" i="17"/>
  <c r="AL39" i="17"/>
  <c r="BJ39" i="17"/>
  <c r="BB39" i="17"/>
  <c r="AP39" i="17"/>
  <c r="V39" i="17"/>
  <c r="AT39" i="17"/>
  <c r="AH39" i="17"/>
  <c r="AD39" i="17"/>
  <c r="Z39" i="17"/>
  <c r="R39" i="17"/>
  <c r="BV27" i="17"/>
  <c r="CH27" i="17"/>
  <c r="BR27" i="17"/>
  <c r="CD27" i="17"/>
  <c r="BN27" i="17"/>
  <c r="BZ27" i="17"/>
  <c r="BF27" i="17"/>
  <c r="AL27" i="17"/>
  <c r="BB27" i="17"/>
  <c r="AT27" i="17"/>
  <c r="V27" i="17"/>
  <c r="BJ27" i="17"/>
  <c r="AH27" i="17"/>
  <c r="AP27" i="17"/>
  <c r="AD27" i="17"/>
  <c r="BV15" i="17"/>
  <c r="CH15" i="17"/>
  <c r="BR15" i="17"/>
  <c r="CD15" i="17"/>
  <c r="BN15" i="17"/>
  <c r="BZ15" i="17"/>
  <c r="BJ15" i="17"/>
  <c r="AL15" i="17"/>
  <c r="BF15" i="17"/>
  <c r="BB15" i="17"/>
  <c r="V15" i="17"/>
  <c r="AH15" i="17"/>
  <c r="AT15" i="17"/>
  <c r="AD15" i="17"/>
  <c r="Z15" i="17"/>
  <c r="AP15" i="17"/>
  <c r="D13" i="17"/>
  <c r="D25" i="17"/>
  <c r="D37" i="17"/>
  <c r="D49" i="17"/>
  <c r="E37" i="17"/>
  <c r="E7" i="17"/>
  <c r="J43" i="17"/>
  <c r="R41" i="17"/>
  <c r="R10" i="17"/>
  <c r="V44" i="17"/>
  <c r="Z37" i="17"/>
  <c r="AH37" i="17"/>
  <c r="AH9" i="17"/>
  <c r="BZ16" i="17"/>
  <c r="BV16" i="17"/>
  <c r="BF16" i="17"/>
  <c r="CH16" i="17"/>
  <c r="BR16" i="17"/>
  <c r="CD16" i="17"/>
  <c r="BN16" i="17"/>
  <c r="AP16" i="17"/>
  <c r="BJ16" i="17"/>
  <c r="BB16" i="17"/>
  <c r="AT16" i="17"/>
  <c r="AL16" i="17"/>
  <c r="AD16" i="17"/>
  <c r="Z16" i="17"/>
  <c r="F16" i="17"/>
  <c r="R16" i="17"/>
  <c r="N16" i="17"/>
  <c r="AH16" i="17"/>
  <c r="D38" i="17"/>
  <c r="AP17" i="17"/>
  <c r="V16" i="17"/>
  <c r="BZ48" i="17"/>
  <c r="BV48" i="17"/>
  <c r="CH48" i="17"/>
  <c r="BR48" i="17"/>
  <c r="CD48" i="17"/>
  <c r="BN48" i="17"/>
  <c r="BF48" i="17"/>
  <c r="AP48" i="17"/>
  <c r="BB48" i="17"/>
  <c r="BJ48" i="17"/>
  <c r="AD48" i="17"/>
  <c r="Z48" i="17"/>
  <c r="AL48" i="17"/>
  <c r="F48" i="17"/>
  <c r="AT48" i="17"/>
  <c r="V48" i="17"/>
  <c r="R48" i="17"/>
  <c r="N48" i="17"/>
  <c r="AH48" i="17"/>
  <c r="BZ36" i="17"/>
  <c r="BV36" i="17"/>
  <c r="CH36" i="17"/>
  <c r="BR36" i="17"/>
  <c r="CD36" i="17"/>
  <c r="BN36" i="17"/>
  <c r="BF36" i="17"/>
  <c r="AP36" i="17"/>
  <c r="BB36" i="17"/>
  <c r="AD36" i="17"/>
  <c r="BJ36" i="17"/>
  <c r="AT36" i="17"/>
  <c r="Z36" i="17"/>
  <c r="AL36" i="17"/>
  <c r="F36" i="17"/>
  <c r="AH36" i="17"/>
  <c r="N36" i="17"/>
  <c r="BZ24" i="17"/>
  <c r="BV24" i="17"/>
  <c r="BF24" i="17"/>
  <c r="CH24" i="17"/>
  <c r="BR24" i="17"/>
  <c r="CD24" i="17"/>
  <c r="BN24" i="17"/>
  <c r="BJ24" i="17"/>
  <c r="AP24" i="17"/>
  <c r="BB24" i="17"/>
  <c r="AD24" i="17"/>
  <c r="Z24" i="17"/>
  <c r="AL24" i="17"/>
  <c r="F24" i="17"/>
  <c r="AT24" i="17"/>
  <c r="AH24" i="17"/>
  <c r="V24" i="17"/>
  <c r="N24" i="17"/>
  <c r="BZ12" i="17"/>
  <c r="BV12" i="17"/>
  <c r="BF12" i="17"/>
  <c r="CH12" i="17"/>
  <c r="BR12" i="17"/>
  <c r="CD12" i="17"/>
  <c r="BN12" i="17"/>
  <c r="AP12" i="17"/>
  <c r="BB12" i="17"/>
  <c r="BJ12" i="17"/>
  <c r="AD12" i="17"/>
  <c r="Z12" i="17"/>
  <c r="AL12" i="17"/>
  <c r="F12" i="17"/>
  <c r="V12" i="17"/>
  <c r="R12" i="17"/>
  <c r="AH12" i="17"/>
  <c r="N12" i="17"/>
  <c r="D16" i="17"/>
  <c r="D28" i="17"/>
  <c r="D40" i="17"/>
  <c r="E48" i="17"/>
  <c r="E34" i="17"/>
  <c r="E19" i="17"/>
  <c r="F45" i="17"/>
  <c r="F39" i="17"/>
  <c r="F33" i="17"/>
  <c r="F27" i="17"/>
  <c r="F21" i="17"/>
  <c r="F15" i="17"/>
  <c r="F9" i="17"/>
  <c r="R28" i="17"/>
  <c r="V41" i="17"/>
  <c r="AH29" i="17"/>
  <c r="CD49" i="17"/>
  <c r="BZ49" i="17"/>
  <c r="BJ49" i="17"/>
  <c r="BV49" i="17"/>
  <c r="CH49" i="17"/>
  <c r="BR49" i="17"/>
  <c r="BB49" i="17"/>
  <c r="AT49" i="17"/>
  <c r="BN49" i="17"/>
  <c r="BF49" i="17"/>
  <c r="AD49" i="17"/>
  <c r="AP49" i="17"/>
  <c r="J49" i="17"/>
  <c r="V49" i="17"/>
  <c r="AL49" i="17"/>
  <c r="BZ28" i="17"/>
  <c r="BV28" i="17"/>
  <c r="BF28" i="17"/>
  <c r="CH28" i="17"/>
  <c r="BR28" i="17"/>
  <c r="CD28" i="17"/>
  <c r="BN28" i="17"/>
  <c r="AP28" i="17"/>
  <c r="BB28" i="17"/>
  <c r="AD28" i="17"/>
  <c r="Z28" i="17"/>
  <c r="AT28" i="17"/>
  <c r="AL28" i="17"/>
  <c r="F28" i="17"/>
  <c r="V28" i="17"/>
  <c r="BJ28" i="17"/>
  <c r="N28" i="17"/>
  <c r="AH28" i="17"/>
  <c r="F29" i="17"/>
  <c r="CH14" i="17"/>
  <c r="BR14" i="17"/>
  <c r="CD14" i="17"/>
  <c r="BN14" i="17"/>
  <c r="BZ14" i="17"/>
  <c r="BJ14" i="17"/>
  <c r="BV14" i="17"/>
  <c r="BF14" i="17"/>
  <c r="AT14" i="17"/>
  <c r="AH14" i="17"/>
  <c r="AP14" i="17"/>
  <c r="AD14" i="17"/>
  <c r="AL14" i="17"/>
  <c r="N14" i="17"/>
  <c r="BB14" i="17"/>
  <c r="Z14" i="17"/>
  <c r="E14" i="17"/>
  <c r="D14" i="17"/>
  <c r="BV35" i="17"/>
  <c r="CH35" i="17"/>
  <c r="BR35" i="17"/>
  <c r="CD35" i="17"/>
  <c r="BN35" i="17"/>
  <c r="BZ35" i="17"/>
  <c r="AL35" i="17"/>
  <c r="BJ35" i="17"/>
  <c r="BB35" i="17"/>
  <c r="V35" i="17"/>
  <c r="AP35" i="17"/>
  <c r="AH35" i="17"/>
  <c r="AD35" i="17"/>
  <c r="Z35" i="17"/>
  <c r="R35" i="17"/>
  <c r="AT35" i="17"/>
  <c r="D17" i="17"/>
  <c r="D41" i="17"/>
  <c r="J40" i="17"/>
  <c r="V26" i="17"/>
  <c r="CH46" i="17"/>
  <c r="CD46" i="17"/>
  <c r="BN46" i="17"/>
  <c r="BZ46" i="17"/>
  <c r="BV46" i="17"/>
  <c r="BJ46" i="17"/>
  <c r="BR46" i="17"/>
  <c r="BB46" i="17"/>
  <c r="AH46" i="17"/>
  <c r="AT46" i="17"/>
  <c r="AP46" i="17"/>
  <c r="BF46" i="17"/>
  <c r="AD46" i="17"/>
  <c r="N46" i="17"/>
  <c r="Z46" i="17"/>
  <c r="V46" i="17"/>
  <c r="CH34" i="17"/>
  <c r="CD34" i="17"/>
  <c r="BN34" i="17"/>
  <c r="BZ34" i="17"/>
  <c r="BV34" i="17"/>
  <c r="BR34" i="17"/>
  <c r="BJ34" i="17"/>
  <c r="AT34" i="17"/>
  <c r="AP34" i="17"/>
  <c r="BB34" i="17"/>
  <c r="AH34" i="17"/>
  <c r="BF34" i="17"/>
  <c r="AL34" i="17"/>
  <c r="AD34" i="17"/>
  <c r="N34" i="17"/>
  <c r="R34" i="17"/>
  <c r="V34" i="17"/>
  <c r="CH22" i="17"/>
  <c r="BR22" i="17"/>
  <c r="CD22" i="17"/>
  <c r="BN22" i="17"/>
  <c r="BZ22" i="17"/>
  <c r="BV22" i="17"/>
  <c r="AT22" i="17"/>
  <c r="BJ22" i="17"/>
  <c r="BB22" i="17"/>
  <c r="AH22" i="17"/>
  <c r="AL22" i="17"/>
  <c r="BF22" i="17"/>
  <c r="AD22" i="17"/>
  <c r="AP22" i="17"/>
  <c r="N22" i="17"/>
  <c r="V22" i="17"/>
  <c r="R22" i="17"/>
  <c r="Z22" i="17"/>
  <c r="CH10" i="17"/>
  <c r="BR10" i="17"/>
  <c r="CD10" i="17"/>
  <c r="BN10" i="17"/>
  <c r="BZ10" i="17"/>
  <c r="BJ10" i="17"/>
  <c r="BV10" i="17"/>
  <c r="BF10" i="17"/>
  <c r="AT10" i="17"/>
  <c r="AL10" i="17"/>
  <c r="BB10" i="17"/>
  <c r="AH10" i="17"/>
  <c r="AD10" i="17"/>
  <c r="AP10" i="17"/>
  <c r="N10" i="17"/>
  <c r="E10" i="17"/>
  <c r="Z10" i="17"/>
  <c r="D18" i="17"/>
  <c r="D30" i="17"/>
  <c r="D42" i="17"/>
  <c r="E46" i="17"/>
  <c r="E31" i="17"/>
  <c r="E17" i="17"/>
  <c r="J47" i="17"/>
  <c r="J26" i="17"/>
  <c r="J12" i="17"/>
  <c r="N49" i="17"/>
  <c r="N41" i="17"/>
  <c r="R27" i="17"/>
  <c r="V5" i="17"/>
  <c r="Y4" i="17" s="1"/>
  <c r="Z30" i="17"/>
  <c r="AH49" i="17"/>
  <c r="AT43" i="17"/>
  <c r="CD29" i="17"/>
  <c r="BZ29" i="17"/>
  <c r="BJ29" i="17"/>
  <c r="BV29" i="17"/>
  <c r="CH29" i="17"/>
  <c r="BR29" i="17"/>
  <c r="BB29" i="17"/>
  <c r="AT29" i="17"/>
  <c r="BN29" i="17"/>
  <c r="BF29" i="17"/>
  <c r="AP29" i="17"/>
  <c r="AD29" i="17"/>
  <c r="AL29" i="17"/>
  <c r="J29" i="17"/>
  <c r="R29" i="17"/>
  <c r="V29" i="17"/>
  <c r="Z29" i="17"/>
  <c r="N29" i="17"/>
  <c r="CH38" i="17"/>
  <c r="CD38" i="17"/>
  <c r="BN38" i="17"/>
  <c r="BZ38" i="17"/>
  <c r="BV38" i="17"/>
  <c r="BJ38" i="17"/>
  <c r="BR38" i="17"/>
  <c r="AT38" i="17"/>
  <c r="AH38" i="17"/>
  <c r="AL38" i="17"/>
  <c r="AD38" i="17"/>
  <c r="AP38" i="17"/>
  <c r="N38" i="17"/>
  <c r="R38" i="17"/>
  <c r="V38" i="17"/>
  <c r="BB38" i="17"/>
  <c r="E38" i="17"/>
  <c r="E5" i="17"/>
  <c r="F5" i="17"/>
  <c r="I4" i="17" s="1"/>
  <c r="R40" i="17"/>
  <c r="Z49" i="17"/>
  <c r="BV23" i="17"/>
  <c r="CH23" i="17"/>
  <c r="BR23" i="17"/>
  <c r="CD23" i="17"/>
  <c r="BN23" i="17"/>
  <c r="BZ23" i="17"/>
  <c r="BF23" i="17"/>
  <c r="AL23" i="17"/>
  <c r="BB23" i="17"/>
  <c r="AP23" i="17"/>
  <c r="BJ23" i="17"/>
  <c r="V23" i="17"/>
  <c r="AH23" i="17"/>
  <c r="AD23" i="17"/>
  <c r="AT23" i="17"/>
  <c r="N23" i="17"/>
  <c r="R37" i="17"/>
  <c r="Z31" i="17"/>
  <c r="CD45" i="17"/>
  <c r="BZ45" i="17"/>
  <c r="BJ45" i="17"/>
  <c r="BV45" i="17"/>
  <c r="CH45" i="17"/>
  <c r="BR45" i="17"/>
  <c r="BB45" i="17"/>
  <c r="AT45" i="17"/>
  <c r="BF45" i="17"/>
  <c r="AP45" i="17"/>
  <c r="AD45" i="17"/>
  <c r="BN45" i="17"/>
  <c r="J45" i="17"/>
  <c r="E45" i="17"/>
  <c r="AL45" i="17"/>
  <c r="AH45" i="17"/>
  <c r="V45" i="17"/>
  <c r="R45" i="17"/>
  <c r="CD21" i="17"/>
  <c r="BZ21" i="17"/>
  <c r="BJ21" i="17"/>
  <c r="BV21" i="17"/>
  <c r="CH21" i="17"/>
  <c r="BR21" i="17"/>
  <c r="BB21" i="17"/>
  <c r="AT21" i="17"/>
  <c r="BN21" i="17"/>
  <c r="BF21" i="17"/>
  <c r="AL21" i="17"/>
  <c r="AD21" i="17"/>
  <c r="AP21" i="17"/>
  <c r="J21" i="17"/>
  <c r="E21" i="17"/>
  <c r="Z21" i="17"/>
  <c r="N21" i="17"/>
  <c r="CD9" i="17"/>
  <c r="BZ9" i="17"/>
  <c r="BJ9" i="17"/>
  <c r="BV9" i="17"/>
  <c r="CH9" i="17"/>
  <c r="BR9" i="17"/>
  <c r="BN9" i="17"/>
  <c r="BB9" i="17"/>
  <c r="AT9" i="17"/>
  <c r="AD9" i="17"/>
  <c r="BF9" i="17"/>
  <c r="AP9" i="17"/>
  <c r="AL9" i="17"/>
  <c r="J9" i="17"/>
  <c r="E9" i="17"/>
  <c r="R9" i="17"/>
  <c r="N9" i="17"/>
  <c r="D7" i="17"/>
  <c r="D19" i="17"/>
  <c r="D31" i="17"/>
  <c r="D43" i="17"/>
  <c r="E44" i="17"/>
  <c r="E16" i="17"/>
  <c r="F49" i="17"/>
  <c r="F38" i="17"/>
  <c r="F26" i="17"/>
  <c r="F14" i="17"/>
  <c r="J46" i="17"/>
  <c r="J19" i="17"/>
  <c r="N31" i="17"/>
  <c r="R46" i="17"/>
  <c r="R36" i="17"/>
  <c r="R15" i="17"/>
  <c r="V37" i="17"/>
  <c r="V25" i="17"/>
  <c r="CD41" i="17"/>
  <c r="BZ41" i="17"/>
  <c r="BJ41" i="17"/>
  <c r="BV41" i="17"/>
  <c r="CH41" i="17"/>
  <c r="BR41" i="17"/>
  <c r="BB41" i="17"/>
  <c r="BN41" i="17"/>
  <c r="AT41" i="17"/>
  <c r="BF41" i="17"/>
  <c r="AP41" i="17"/>
  <c r="AD41" i="17"/>
  <c r="AL41" i="17"/>
  <c r="J41" i="17"/>
  <c r="AH41" i="17"/>
  <c r="CH5" i="17"/>
  <c r="CK4" i="17" s="1"/>
  <c r="BR5" i="17"/>
  <c r="BU4" i="17" s="1"/>
  <c r="CD5" i="17"/>
  <c r="CG4" i="17" s="1"/>
  <c r="BJ5" i="17"/>
  <c r="BM4" i="17" s="1"/>
  <c r="BB5" i="17"/>
  <c r="BE4" i="17" s="1"/>
  <c r="BV5" i="17"/>
  <c r="BY4" i="17" s="1"/>
  <c r="BN5" i="17"/>
  <c r="BQ4" i="17" s="1"/>
  <c r="AT5" i="17"/>
  <c r="AW4" i="17" s="1"/>
  <c r="AL5" i="17"/>
  <c r="AO4" i="17" s="1"/>
  <c r="AP5" i="17"/>
  <c r="AS4" i="17" s="1"/>
  <c r="BZ5" i="17"/>
  <c r="CC4" i="17" s="1"/>
  <c r="AD5" i="17"/>
  <c r="AG4" i="17" s="1"/>
  <c r="AH5" i="17"/>
  <c r="AK4" i="17" s="1"/>
  <c r="R5" i="17"/>
  <c r="U4" i="17" s="1"/>
  <c r="BF5" i="17"/>
  <c r="BI4" i="17" s="1"/>
  <c r="Z5" i="17"/>
  <c r="AC4" i="17" s="1"/>
  <c r="N5" i="17"/>
  <c r="Q4" i="17" s="1"/>
  <c r="J5" i="17"/>
  <c r="M4" i="17" s="1"/>
  <c r="CD25" i="17"/>
  <c r="BZ25" i="17"/>
  <c r="BJ25" i="17"/>
  <c r="BV25" i="17"/>
  <c r="CH25" i="17"/>
  <c r="BR25" i="17"/>
  <c r="BB25" i="17"/>
  <c r="AT25" i="17"/>
  <c r="BF25" i="17"/>
  <c r="AP25" i="17"/>
  <c r="AD25" i="17"/>
  <c r="AL25" i="17"/>
  <c r="J25" i="17"/>
  <c r="R25" i="17"/>
  <c r="BN25" i="17"/>
  <c r="N25" i="17"/>
  <c r="BV47" i="17"/>
  <c r="CH47" i="17"/>
  <c r="BR47" i="17"/>
  <c r="CD47" i="17"/>
  <c r="BN47" i="17"/>
  <c r="BZ47" i="17"/>
  <c r="BJ47" i="17"/>
  <c r="BB47" i="17"/>
  <c r="AL47" i="17"/>
  <c r="V47" i="17"/>
  <c r="AT47" i="17"/>
  <c r="AH47" i="17"/>
  <c r="AP47" i="17"/>
  <c r="AD47" i="17"/>
  <c r="R47" i="17"/>
  <c r="Z47" i="17"/>
  <c r="BV11" i="17"/>
  <c r="CH11" i="17"/>
  <c r="BR11" i="17"/>
  <c r="CD11" i="17"/>
  <c r="BN11" i="17"/>
  <c r="BZ11" i="17"/>
  <c r="BJ11" i="17"/>
  <c r="AL11" i="17"/>
  <c r="BF11" i="17"/>
  <c r="BB11" i="17"/>
  <c r="AP11" i="17"/>
  <c r="V11" i="17"/>
  <c r="AT11" i="17"/>
  <c r="AH11" i="17"/>
  <c r="AD11" i="17"/>
  <c r="J11" i="17"/>
  <c r="D5" i="17"/>
  <c r="D29" i="17"/>
  <c r="E47" i="17"/>
  <c r="V14" i="17"/>
  <c r="CD33" i="17"/>
  <c r="BZ33" i="17"/>
  <c r="BJ33" i="17"/>
  <c r="BV33" i="17"/>
  <c r="CH33" i="17"/>
  <c r="BR33" i="17"/>
  <c r="BN33" i="17"/>
  <c r="BB33" i="17"/>
  <c r="AT33" i="17"/>
  <c r="BF33" i="17"/>
  <c r="AL33" i="17"/>
  <c r="AD33" i="17"/>
  <c r="AP33" i="17"/>
  <c r="R33" i="17"/>
  <c r="J33" i="17"/>
  <c r="E33" i="17"/>
  <c r="Z33" i="17"/>
  <c r="V33" i="17"/>
  <c r="N33" i="17"/>
  <c r="BZ44" i="17"/>
  <c r="BV44" i="17"/>
  <c r="CH44" i="17"/>
  <c r="BR44" i="17"/>
  <c r="CD44" i="17"/>
  <c r="BN44" i="17"/>
  <c r="BF44" i="17"/>
  <c r="AP44" i="17"/>
  <c r="BB44" i="17"/>
  <c r="BJ44" i="17"/>
  <c r="AD44" i="17"/>
  <c r="AT44" i="17"/>
  <c r="Z44" i="17"/>
  <c r="AL44" i="17"/>
  <c r="F44" i="17"/>
  <c r="AH44" i="17"/>
  <c r="R44" i="17"/>
  <c r="N44" i="17"/>
  <c r="BZ32" i="17"/>
  <c r="BV32" i="17"/>
  <c r="CH32" i="17"/>
  <c r="BR32" i="17"/>
  <c r="CD32" i="17"/>
  <c r="BN32" i="17"/>
  <c r="BF32" i="17"/>
  <c r="AP32" i="17"/>
  <c r="BB32" i="17"/>
  <c r="AL32" i="17"/>
  <c r="AD32" i="17"/>
  <c r="Z32" i="17"/>
  <c r="F32" i="17"/>
  <c r="AH32" i="17"/>
  <c r="BJ32" i="17"/>
  <c r="AT32" i="17"/>
  <c r="N32" i="17"/>
  <c r="R32" i="17"/>
  <c r="BZ20" i="17"/>
  <c r="BV20" i="17"/>
  <c r="BF20" i="17"/>
  <c r="CH20" i="17"/>
  <c r="BR20" i="17"/>
  <c r="CD20" i="17"/>
  <c r="BN20" i="17"/>
  <c r="BJ20" i="17"/>
  <c r="AP20" i="17"/>
  <c r="BB20" i="17"/>
  <c r="AD20" i="17"/>
  <c r="Z20" i="17"/>
  <c r="AT20" i="17"/>
  <c r="AL20" i="17"/>
  <c r="R20" i="17"/>
  <c r="F20" i="17"/>
  <c r="AH20" i="17"/>
  <c r="N20" i="17"/>
  <c r="BZ8" i="17"/>
  <c r="BV8" i="17"/>
  <c r="BF8" i="17"/>
  <c r="CH8" i="17"/>
  <c r="BR8" i="17"/>
  <c r="CD8" i="17"/>
  <c r="BN8" i="17"/>
  <c r="AP8" i="17"/>
  <c r="BB8" i="17"/>
  <c r="AD8" i="17"/>
  <c r="AT8" i="17"/>
  <c r="Z8" i="17"/>
  <c r="BJ8" i="17"/>
  <c r="AL8" i="17"/>
  <c r="F8" i="17"/>
  <c r="AH8" i="17"/>
  <c r="V8" i="17"/>
  <c r="D8" i="17"/>
  <c r="D20" i="17"/>
  <c r="D32" i="17"/>
  <c r="D44" i="17"/>
  <c r="E43" i="17"/>
  <c r="E29" i="17"/>
  <c r="E15" i="17"/>
  <c r="F43" i="17"/>
  <c r="F37" i="17"/>
  <c r="F31" i="17"/>
  <c r="F25" i="17"/>
  <c r="J39" i="17"/>
  <c r="N11" i="17"/>
  <c r="R24" i="17"/>
  <c r="V10" i="17"/>
  <c r="Z27" i="17"/>
  <c r="AH21" i="17"/>
  <c r="BF47" i="17"/>
  <c r="BZ40" i="17"/>
  <c r="BV40" i="17"/>
  <c r="CH40" i="17"/>
  <c r="BR40" i="17"/>
  <c r="CD40" i="17"/>
  <c r="BN40" i="17"/>
  <c r="BF40" i="17"/>
  <c r="AP40" i="17"/>
  <c r="BB40" i="17"/>
  <c r="AD40" i="17"/>
  <c r="Z40" i="17"/>
  <c r="BJ40" i="17"/>
  <c r="AT40" i="17"/>
  <c r="AL40" i="17"/>
  <c r="F40" i="17"/>
  <c r="V40" i="17"/>
  <c r="N40" i="17"/>
  <c r="CH26" i="17"/>
  <c r="CD26" i="17"/>
  <c r="BN26" i="17"/>
  <c r="BZ26" i="17"/>
  <c r="BV26" i="17"/>
  <c r="BR26" i="17"/>
  <c r="BJ26" i="17"/>
  <c r="AT26" i="17"/>
  <c r="AL26" i="17"/>
  <c r="AH26" i="17"/>
  <c r="AP26" i="17"/>
  <c r="AD26" i="17"/>
  <c r="BF26" i="17"/>
  <c r="N26" i="17"/>
  <c r="Z26" i="17"/>
  <c r="R26" i="17"/>
  <c r="E26" i="17"/>
  <c r="BB26" i="17"/>
  <c r="J28" i="17"/>
  <c r="CD13" i="17"/>
  <c r="BZ13" i="17"/>
  <c r="BJ13" i="17"/>
  <c r="BV13" i="17"/>
  <c r="CH13" i="17"/>
  <c r="BR13" i="17"/>
  <c r="BB13" i="17"/>
  <c r="AT13" i="17"/>
  <c r="BN13" i="17"/>
  <c r="AP13" i="17"/>
  <c r="AD13" i="17"/>
  <c r="AL13" i="17"/>
  <c r="BF13" i="17"/>
  <c r="J13" i="17"/>
  <c r="Z13" i="17"/>
  <c r="V13" i="17"/>
  <c r="R13" i="17"/>
  <c r="N13" i="17"/>
  <c r="E49" i="17"/>
  <c r="BV19" i="17"/>
  <c r="CH19" i="17"/>
  <c r="BR19" i="17"/>
  <c r="CD19" i="17"/>
  <c r="BN19" i="17"/>
  <c r="BZ19" i="17"/>
  <c r="BJ19" i="17"/>
  <c r="BF19" i="17"/>
  <c r="AL19" i="17"/>
  <c r="BB19" i="17"/>
  <c r="AT19" i="17"/>
  <c r="V19" i="17"/>
  <c r="AP19" i="17"/>
  <c r="AH19" i="17"/>
  <c r="AD19" i="17"/>
  <c r="Z19" i="17"/>
  <c r="R19" i="17"/>
  <c r="J10" i="17"/>
  <c r="N47" i="17"/>
  <c r="N39" i="17"/>
  <c r="R14" i="17"/>
  <c r="V36" i="17"/>
  <c r="Z25" i="17"/>
  <c r="AH17" i="17"/>
  <c r="BF39" i="17"/>
  <c r="F41" i="17"/>
  <c r="F17" i="17"/>
  <c r="D26" i="17"/>
  <c r="CD37" i="17"/>
  <c r="BZ37" i="17"/>
  <c r="BJ37" i="17"/>
  <c r="BV37" i="17"/>
  <c r="CH37" i="17"/>
  <c r="BR37" i="17"/>
  <c r="BB37" i="17"/>
  <c r="AT37" i="17"/>
  <c r="BF37" i="17"/>
  <c r="BN37" i="17"/>
  <c r="AL37" i="17"/>
  <c r="AD37" i="17"/>
  <c r="AP37" i="17"/>
  <c r="J37" i="17"/>
  <c r="N37" i="17"/>
  <c r="J14" i="17"/>
  <c r="BV43" i="17"/>
  <c r="CH43" i="17"/>
  <c r="BR43" i="17"/>
  <c r="CD43" i="17"/>
  <c r="BN43" i="17"/>
  <c r="BZ43" i="17"/>
  <c r="BJ43" i="17"/>
  <c r="BB43" i="17"/>
  <c r="V43" i="17"/>
  <c r="BF43" i="17"/>
  <c r="AL43" i="17"/>
  <c r="AH43" i="17"/>
  <c r="AP43" i="17"/>
  <c r="AD43" i="17"/>
  <c r="BV31" i="17"/>
  <c r="CH31" i="17"/>
  <c r="BR31" i="17"/>
  <c r="CD31" i="17"/>
  <c r="BN31" i="17"/>
  <c r="BZ31" i="17"/>
  <c r="AL31" i="17"/>
  <c r="BJ31" i="17"/>
  <c r="BB31" i="17"/>
  <c r="V31" i="17"/>
  <c r="BF31" i="17"/>
  <c r="AT31" i="17"/>
  <c r="AH31" i="17"/>
  <c r="AP31" i="17"/>
  <c r="AD31" i="17"/>
  <c r="R31" i="17"/>
  <c r="BV7" i="17"/>
  <c r="CH7" i="17"/>
  <c r="BR7" i="17"/>
  <c r="CD7" i="17"/>
  <c r="BN7" i="17"/>
  <c r="BZ7" i="17"/>
  <c r="BJ7" i="17"/>
  <c r="AL7" i="17"/>
  <c r="BF7" i="17"/>
  <c r="BB7" i="17"/>
  <c r="V7" i="17"/>
  <c r="AP7" i="17"/>
  <c r="AH7" i="17"/>
  <c r="AD7" i="17"/>
  <c r="R7" i="17"/>
  <c r="Z7" i="17"/>
  <c r="N7" i="17"/>
  <c r="J7" i="17"/>
  <c r="E28" i="17"/>
  <c r="E13" i="17"/>
  <c r="J38" i="17"/>
  <c r="CH42" i="17"/>
  <c r="CD42" i="17"/>
  <c r="BN42" i="17"/>
  <c r="BZ42" i="17"/>
  <c r="BV42" i="17"/>
  <c r="BJ42" i="17"/>
  <c r="BF42" i="17"/>
  <c r="AL42" i="17"/>
  <c r="AH42" i="17"/>
  <c r="BB42" i="17"/>
  <c r="AP42" i="17"/>
  <c r="AD42" i="17"/>
  <c r="R42" i="17"/>
  <c r="N42" i="17"/>
  <c r="BR42" i="17"/>
  <c r="Z42" i="17"/>
  <c r="AT42" i="17"/>
  <c r="CH30" i="17"/>
  <c r="CD30" i="17"/>
  <c r="BN30" i="17"/>
  <c r="BZ30" i="17"/>
  <c r="BV30" i="17"/>
  <c r="BJ30" i="17"/>
  <c r="AT30" i="17"/>
  <c r="BR30" i="17"/>
  <c r="BF30" i="17"/>
  <c r="AH30" i="17"/>
  <c r="AP30" i="17"/>
  <c r="BB30" i="17"/>
  <c r="AD30" i="17"/>
  <c r="AL30" i="17"/>
  <c r="N30" i="17"/>
  <c r="CH18" i="17"/>
  <c r="BR18" i="17"/>
  <c r="CD18" i="17"/>
  <c r="BN18" i="17"/>
  <c r="BZ18" i="17"/>
  <c r="BV18" i="17"/>
  <c r="AT18" i="17"/>
  <c r="AP18" i="17"/>
  <c r="AH18" i="17"/>
  <c r="BF18" i="17"/>
  <c r="BB18" i="17"/>
  <c r="AL18" i="17"/>
  <c r="AD18" i="17"/>
  <c r="BJ18" i="17"/>
  <c r="N18" i="17"/>
  <c r="V18" i="17"/>
  <c r="R18" i="17"/>
  <c r="CH6" i="17"/>
  <c r="BR6" i="17"/>
  <c r="CD6" i="17"/>
  <c r="BN6" i="17"/>
  <c r="BZ6" i="17"/>
  <c r="BJ6" i="17"/>
  <c r="BV6" i="17"/>
  <c r="BF6" i="17"/>
  <c r="AT6" i="17"/>
  <c r="AP6" i="17"/>
  <c r="AH6" i="17"/>
  <c r="AL6" i="17"/>
  <c r="BB6" i="17"/>
  <c r="AD6" i="17"/>
  <c r="N6" i="17"/>
  <c r="Z6" i="17"/>
  <c r="V6" i="17"/>
  <c r="R6" i="17"/>
  <c r="D10" i="17"/>
  <c r="D22" i="17"/>
  <c r="D34" i="17"/>
  <c r="D46" i="17"/>
  <c r="E41" i="17"/>
  <c r="E27" i="17"/>
  <c r="E12" i="17"/>
  <c r="J44" i="17"/>
  <c r="J31" i="17"/>
  <c r="N19" i="17"/>
  <c r="R23" i="17"/>
  <c r="V21" i="17"/>
  <c r="V9" i="17"/>
  <c r="Z41" i="17"/>
  <c r="Z9" i="17"/>
  <c r="BF38" i="17"/>
  <c r="DA51" i="17"/>
  <c r="DA52" i="17"/>
  <c r="DA53" i="17"/>
  <c r="CS51" i="17"/>
  <c r="CS52" i="17"/>
  <c r="CS53" i="17"/>
  <c r="CS54" i="17" s="1"/>
  <c r="CO51" i="17"/>
  <c r="CO52" i="17"/>
  <c r="CO53" i="17"/>
  <c r="CO54" i="17" s="1"/>
  <c r="CK51" i="17"/>
  <c r="CK52" i="17"/>
  <c r="CK53" i="17"/>
  <c r="CG51" i="17"/>
  <c r="CG52" i="17"/>
  <c r="CG53" i="17"/>
  <c r="CC51" i="17"/>
  <c r="CC52" i="17"/>
  <c r="CC53" i="17"/>
  <c r="BY51" i="17"/>
  <c r="BY52" i="17"/>
  <c r="BY53" i="17"/>
  <c r="BU51" i="17"/>
  <c r="BU52" i="17"/>
  <c r="BU53" i="17"/>
  <c r="BQ52" i="17"/>
  <c r="BQ53" i="17"/>
  <c r="BM51" i="17"/>
  <c r="BM52" i="17"/>
  <c r="BM53" i="17"/>
  <c r="BI51" i="17"/>
  <c r="BI52" i="17"/>
  <c r="BI53" i="17"/>
  <c r="BE51" i="17"/>
  <c r="BE52" i="17"/>
  <c r="BE53" i="17"/>
  <c r="BA51" i="17"/>
  <c r="BA52" i="17"/>
  <c r="BA53" i="17"/>
  <c r="AW51" i="17"/>
  <c r="AW52" i="17"/>
  <c r="AW53" i="17"/>
  <c r="AS51" i="17"/>
  <c r="AS52" i="17"/>
  <c r="AS53" i="17"/>
  <c r="AO51" i="17"/>
  <c r="AO52" i="17"/>
  <c r="AO53" i="17"/>
  <c r="AK51" i="17"/>
  <c r="AK52" i="17"/>
  <c r="AK53" i="17"/>
  <c r="AG51" i="17"/>
  <c r="AG52" i="17"/>
  <c r="AG53" i="17"/>
  <c r="AC51" i="17"/>
  <c r="AC52" i="17"/>
  <c r="AC53" i="17"/>
  <c r="Y51" i="17"/>
  <c r="Y52" i="17"/>
  <c r="Y53" i="17"/>
  <c r="U51" i="17"/>
  <c r="U52" i="17"/>
  <c r="U53" i="17"/>
  <c r="Q51" i="17"/>
  <c r="Q52" i="17"/>
  <c r="Q53" i="17"/>
  <c r="M51" i="17"/>
  <c r="M52" i="17"/>
  <c r="M53" i="17"/>
  <c r="I51" i="17"/>
  <c r="I52" i="17"/>
  <c r="I53" i="17"/>
  <c r="DV78" i="16"/>
  <c r="DV77" i="16"/>
  <c r="BV43" i="16"/>
  <c r="A43" i="16"/>
  <c r="AM3" i="3"/>
  <c r="AN3" i="3"/>
  <c r="AO3" i="3"/>
  <c r="AP3" i="3"/>
  <c r="AL3" i="3"/>
  <c r="DA54" i="17" l="1"/>
  <c r="AF55" i="3"/>
  <c r="AF54" i="3"/>
  <c r="AF56" i="3"/>
  <c r="AF57" i="3" s="1"/>
  <c r="DB41" i="17"/>
  <c r="AG44" i="3" s="1"/>
  <c r="DB29" i="17"/>
  <c r="AG32" i="3" s="1"/>
  <c r="DB17" i="17"/>
  <c r="AG20" i="3" s="1"/>
  <c r="DB40" i="17"/>
  <c r="AG43" i="3" s="1"/>
  <c r="DB28" i="17"/>
  <c r="AG31" i="3" s="1"/>
  <c r="DB16" i="17"/>
  <c r="AG19" i="3" s="1"/>
  <c r="DB27" i="17"/>
  <c r="AG30" i="3" s="1"/>
  <c r="DB15" i="17"/>
  <c r="AG18" i="3" s="1"/>
  <c r="DB39" i="17"/>
  <c r="AG42" i="3" s="1"/>
  <c r="DB30" i="17"/>
  <c r="AG33" i="3" s="1"/>
  <c r="DB5" i="17"/>
  <c r="DB38" i="17"/>
  <c r="AG41" i="3" s="1"/>
  <c r="DB26" i="17"/>
  <c r="AG29" i="3" s="1"/>
  <c r="DB14" i="17"/>
  <c r="AG17" i="3" s="1"/>
  <c r="DB47" i="17"/>
  <c r="DC47" i="17" s="1"/>
  <c r="DB35" i="17"/>
  <c r="AG38" i="3" s="1"/>
  <c r="DB23" i="17"/>
  <c r="AG26" i="3" s="1"/>
  <c r="DB11" i="17"/>
  <c r="AG14" i="3" s="1"/>
  <c r="DB46" i="17"/>
  <c r="DC46" i="17" s="1"/>
  <c r="DB34" i="17"/>
  <c r="AG37" i="3" s="1"/>
  <c r="DB22" i="17"/>
  <c r="AG25" i="3" s="1"/>
  <c r="DB32" i="17"/>
  <c r="AG35" i="3" s="1"/>
  <c r="DB20" i="17"/>
  <c r="AG23" i="3" s="1"/>
  <c r="DB49" i="17"/>
  <c r="DC49" i="17" s="1"/>
  <c r="DB37" i="17"/>
  <c r="AG40" i="3" s="1"/>
  <c r="DB25" i="17"/>
  <c r="AG28" i="3" s="1"/>
  <c r="DB13" i="17"/>
  <c r="AG16" i="3" s="1"/>
  <c r="DB12" i="17"/>
  <c r="AG15" i="3" s="1"/>
  <c r="DB48" i="17"/>
  <c r="DC48" i="17" s="1"/>
  <c r="DB36" i="17"/>
  <c r="AG39" i="3" s="1"/>
  <c r="DB24" i="17"/>
  <c r="AG27" i="3" s="1"/>
  <c r="DB21" i="17"/>
  <c r="AG24" i="3" s="1"/>
  <c r="DB42" i="17"/>
  <c r="AG45" i="3" s="1"/>
  <c r="DB6" i="17"/>
  <c r="AG9" i="3" s="1"/>
  <c r="DB10" i="17"/>
  <c r="AG13" i="3" s="1"/>
  <c r="DB45" i="17"/>
  <c r="DC45" i="17" s="1"/>
  <c r="DB33" i="17"/>
  <c r="AG36" i="3" s="1"/>
  <c r="DB9" i="17"/>
  <c r="AG12" i="3" s="1"/>
  <c r="DB18" i="17"/>
  <c r="AG21" i="3" s="1"/>
  <c r="DB44" i="17"/>
  <c r="DC44" i="17" s="1"/>
  <c r="DB8" i="17"/>
  <c r="AG11" i="3" s="1"/>
  <c r="DB43" i="17"/>
  <c r="DC43" i="17" s="1"/>
  <c r="DB31" i="17"/>
  <c r="AG34" i="3" s="1"/>
  <c r="DB19" i="17"/>
  <c r="AG22" i="3" s="1"/>
  <c r="DB7" i="17"/>
  <c r="AG10" i="3" s="1"/>
  <c r="AI7" i="3"/>
  <c r="AG7" i="3" s="1"/>
  <c r="BP57" i="13"/>
  <c r="BP58" i="13" s="1"/>
  <c r="BP56" i="13"/>
  <c r="BP55" i="13"/>
  <c r="AG54" i="17"/>
  <c r="M54" i="17"/>
  <c r="AW54" i="17"/>
  <c r="Q54" i="17"/>
  <c r="U54" i="17"/>
  <c r="BU54" i="17"/>
  <c r="AC54" i="17"/>
  <c r="BE54" i="17"/>
  <c r="BI54" i="17"/>
  <c r="BM54" i="17"/>
  <c r="AK54" i="17"/>
  <c r="CK54" i="17"/>
  <c r="BY54" i="17"/>
  <c r="AS54" i="17"/>
  <c r="AO54" i="17"/>
  <c r="G44" i="17"/>
  <c r="H50" i="18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I54" i="17"/>
  <c r="Y54" i="17"/>
  <c r="CG54" i="17"/>
  <c r="BQ54" i="17"/>
  <c r="CC54" i="17"/>
  <c r="G6" i="17"/>
  <c r="G30" i="17"/>
  <c r="G37" i="17"/>
  <c r="G13" i="17"/>
  <c r="AY7" i="5"/>
  <c r="G15" i="17"/>
  <c r="G11" i="17"/>
  <c r="G27" i="17"/>
  <c r="G46" i="17"/>
  <c r="G10" i="17"/>
  <c r="G39" i="17"/>
  <c r="G45" i="17"/>
  <c r="G23" i="17"/>
  <c r="G22" i="17"/>
  <c r="G16" i="17"/>
  <c r="G17" i="17"/>
  <c r="G49" i="17"/>
  <c r="G26" i="17"/>
  <c r="G48" i="17"/>
  <c r="G36" i="17"/>
  <c r="G5" i="17"/>
  <c r="G35" i="17"/>
  <c r="G28" i="17"/>
  <c r="G38" i="17"/>
  <c r="G14" i="17"/>
  <c r="G29" i="17"/>
  <c r="G9" i="17"/>
  <c r="G31" i="17"/>
  <c r="G7" i="17"/>
  <c r="G41" i="17"/>
  <c r="G34" i="17"/>
  <c r="G24" i="17"/>
  <c r="G21" i="17"/>
  <c r="G25" i="17"/>
  <c r="G33" i="17"/>
  <c r="G12" i="17"/>
  <c r="G43" i="17"/>
  <c r="G19" i="17"/>
  <c r="G8" i="17"/>
  <c r="G32" i="17"/>
  <c r="G18" i="17"/>
  <c r="G42" i="17"/>
  <c r="G20" i="17"/>
  <c r="G47" i="17"/>
  <c r="G40" i="17"/>
  <c r="AN45" i="3" l="1"/>
  <c r="BK46" i="5"/>
  <c r="AL45" i="3"/>
  <c r="BL46" i="5"/>
  <c r="BO46" i="5"/>
  <c r="AP45" i="3"/>
  <c r="AO45" i="3"/>
  <c r="BM46" i="5"/>
  <c r="AM45" i="3"/>
  <c r="BN46" i="5"/>
  <c r="DC5" i="17"/>
  <c r="AH8" i="3" s="1"/>
  <c r="AG8" i="3"/>
  <c r="DC42" i="17"/>
  <c r="AH45" i="3" s="1"/>
  <c r="DC41" i="17"/>
  <c r="AH44" i="3" s="1"/>
  <c r="DC24" i="17"/>
  <c r="AH27" i="3" s="1"/>
  <c r="DC32" i="17"/>
  <c r="AH35" i="3" s="1"/>
  <c r="DC31" i="17"/>
  <c r="AH34" i="3" s="1"/>
  <c r="DC36" i="17"/>
  <c r="AH39" i="3" s="1"/>
  <c r="DC14" i="17"/>
  <c r="AH17" i="3" s="1"/>
  <c r="DC29" i="17"/>
  <c r="AH32" i="3" s="1"/>
  <c r="DC40" i="17"/>
  <c r="AH43" i="3" s="1"/>
  <c r="DC21" i="17"/>
  <c r="AH24" i="3" s="1"/>
  <c r="DC38" i="17"/>
  <c r="AH41" i="3" s="1"/>
  <c r="DC25" i="17"/>
  <c r="AH28" i="3" s="1"/>
  <c r="DC10" i="17"/>
  <c r="AH13" i="3" s="1"/>
  <c r="DC6" i="17"/>
  <c r="AH9" i="3" s="1"/>
  <c r="DC20" i="17"/>
  <c r="AH23" i="3" s="1"/>
  <c r="DC30" i="17"/>
  <c r="AH33" i="3" s="1"/>
  <c r="DC11" i="17"/>
  <c r="AH14" i="3" s="1"/>
  <c r="DC26" i="17"/>
  <c r="AH29" i="3" s="1"/>
  <c r="DC22" i="17"/>
  <c r="AH25" i="3" s="1"/>
  <c r="DC35" i="17"/>
  <c r="AH38" i="3" s="1"/>
  <c r="DC18" i="17"/>
  <c r="AH21" i="3" s="1"/>
  <c r="DC39" i="17"/>
  <c r="AH42" i="3" s="1"/>
  <c r="DC16" i="17"/>
  <c r="AH19" i="3" s="1"/>
  <c r="DC15" i="17"/>
  <c r="AH18" i="3" s="1"/>
  <c r="DC33" i="17"/>
  <c r="AH36" i="3" s="1"/>
  <c r="DC9" i="17"/>
  <c r="AH12" i="3" s="1"/>
  <c r="DC7" i="17"/>
  <c r="AH10" i="3" s="1"/>
  <c r="DC8" i="17"/>
  <c r="AH11" i="3" s="1"/>
  <c r="DC27" i="17"/>
  <c r="AH30" i="3" s="1"/>
  <c r="DC23" i="17"/>
  <c r="AH26" i="3" s="1"/>
  <c r="DC37" i="17"/>
  <c r="AH40" i="3" s="1"/>
  <c r="DC17" i="17"/>
  <c r="AH20" i="3" s="1"/>
  <c r="DC19" i="17"/>
  <c r="AH22" i="3" s="1"/>
  <c r="DC13" i="17"/>
  <c r="AH16" i="3" s="1"/>
  <c r="DC34" i="17"/>
  <c r="AH37" i="3" s="1"/>
  <c r="DC12" i="17"/>
  <c r="AH15" i="3" s="1"/>
  <c r="DC28" i="17"/>
  <c r="AH31" i="3" s="1"/>
  <c r="EK3" i="18" l="1"/>
  <c r="EL5" i="18" s="1"/>
  <c r="BP50" i="18"/>
  <c r="BP48" i="18"/>
  <c r="BP47" i="18"/>
  <c r="BP49" i="18"/>
  <c r="BP46" i="18"/>
  <c r="BP44" i="18"/>
  <c r="BP43" i="18"/>
  <c r="BP42" i="18"/>
  <c r="BP41" i="18"/>
  <c r="BP40" i="18"/>
  <c r="BP39" i="18"/>
  <c r="BP38" i="18"/>
  <c r="BP45" i="18"/>
  <c r="BP37" i="18"/>
  <c r="BP36" i="18"/>
  <c r="BP35" i="18"/>
  <c r="BP34" i="18"/>
  <c r="BP33" i="18"/>
  <c r="BP32" i="18"/>
  <c r="BP30" i="18"/>
  <c r="BP28" i="18"/>
  <c r="BP26" i="18"/>
  <c r="BP24" i="18"/>
  <c r="BP23" i="18"/>
  <c r="BP21" i="18"/>
  <c r="BP19" i="18"/>
  <c r="BP31" i="18"/>
  <c r="BP25" i="18"/>
  <c r="BP18" i="18"/>
  <c r="BP17" i="18"/>
  <c r="BP15" i="18"/>
  <c r="BP14" i="18"/>
  <c r="BP13" i="18"/>
  <c r="BP12" i="18"/>
  <c r="BP11" i="18"/>
  <c r="BP10" i="18"/>
  <c r="BP9" i="18"/>
  <c r="BP8" i="18"/>
  <c r="BP7" i="18"/>
  <c r="BP27" i="18"/>
  <c r="BP22" i="18"/>
  <c r="BP20" i="18"/>
  <c r="BP16" i="18"/>
  <c r="BP6" i="18"/>
  <c r="BP29" i="18"/>
  <c r="BC17" i="17"/>
  <c r="BC39" i="17"/>
  <c r="BC27" i="17"/>
  <c r="BC15" i="17"/>
  <c r="BC16" i="17"/>
  <c r="BC36" i="17"/>
  <c r="BC24" i="17"/>
  <c r="BC49" i="17"/>
  <c r="BC28" i="17"/>
  <c r="BC35" i="17"/>
  <c r="BC10" i="17"/>
  <c r="BC29" i="17"/>
  <c r="BC38" i="17"/>
  <c r="BC14" i="17"/>
  <c r="BC46" i="17"/>
  <c r="BC34" i="17"/>
  <c r="BC22" i="17"/>
  <c r="BC23" i="17"/>
  <c r="BC11" i="17"/>
  <c r="BC33" i="17"/>
  <c r="BC12" i="17"/>
  <c r="BC9" i="17"/>
  <c r="BC25" i="17"/>
  <c r="BC48" i="17"/>
  <c r="BC5" i="17"/>
  <c r="BC44" i="17"/>
  <c r="BC45" i="17"/>
  <c r="BC21" i="17"/>
  <c r="BC20" i="17"/>
  <c r="BC42" i="17"/>
  <c r="BC41" i="17"/>
  <c r="BC40" i="17"/>
  <c r="BC13" i="17"/>
  <c r="BC7" i="17"/>
  <c r="BC26" i="17"/>
  <c r="BC37" i="17"/>
  <c r="BC31" i="17"/>
  <c r="BC30" i="17"/>
  <c r="BC47" i="17"/>
  <c r="BC32" i="17"/>
  <c r="BC8" i="17"/>
  <c r="BC19" i="17"/>
  <c r="BC43" i="17"/>
  <c r="BC18" i="17"/>
  <c r="BC6" i="17"/>
  <c r="AL6" i="3"/>
  <c r="BK7" i="5"/>
  <c r="BK41" i="5" l="1"/>
  <c r="BK42" i="5"/>
  <c r="BK44" i="5"/>
  <c r="BK43" i="5"/>
  <c r="BK37" i="5"/>
  <c r="BK40" i="5"/>
  <c r="BK39" i="5"/>
  <c r="BK45" i="5"/>
  <c r="BK38" i="5"/>
  <c r="AL36" i="3"/>
  <c r="AL43" i="3"/>
  <c r="AL42" i="3"/>
  <c r="AL44" i="3"/>
  <c r="AL39" i="3"/>
  <c r="AL41" i="3"/>
  <c r="AL37" i="3"/>
  <c r="AL38" i="3"/>
  <c r="AL40" i="3"/>
  <c r="BK35" i="5"/>
  <c r="BK27" i="5"/>
  <c r="BK26" i="5"/>
  <c r="BK19" i="5"/>
  <c r="AL34" i="3"/>
  <c r="AL25" i="3"/>
  <c r="AL18" i="3"/>
  <c r="AL26" i="3"/>
  <c r="BK36" i="5"/>
  <c r="BK34" i="5"/>
  <c r="BK32" i="5"/>
  <c r="BK11" i="5"/>
  <c r="BK28" i="5"/>
  <c r="BK12" i="5"/>
  <c r="BK18" i="5"/>
  <c r="BK33" i="5"/>
  <c r="BK29" i="5"/>
  <c r="BK14" i="5"/>
  <c r="BK24" i="5"/>
  <c r="BK10" i="5"/>
  <c r="BK25" i="5"/>
  <c r="BK20" i="5"/>
  <c r="BK17" i="5"/>
  <c r="BK21" i="5"/>
  <c r="BK13" i="5"/>
  <c r="BK30" i="5"/>
  <c r="AL33" i="3"/>
  <c r="AL31" i="3"/>
  <c r="AL28" i="3"/>
  <c r="AL23" i="3"/>
  <c r="AL19" i="3"/>
  <c r="AL12" i="3"/>
  <c r="AL29" i="3"/>
  <c r="AL35" i="3"/>
  <c r="AL32" i="3"/>
  <c r="AL13" i="3"/>
  <c r="AL9" i="3"/>
  <c r="AL10" i="3"/>
  <c r="AL24" i="3"/>
  <c r="AL27" i="3"/>
  <c r="AL11" i="3"/>
  <c r="AL16" i="3"/>
  <c r="AL20" i="3"/>
  <c r="AL17" i="3"/>
  <c r="CC7" i="5"/>
  <c r="BK16" i="5"/>
  <c r="BK23" i="5"/>
  <c r="BK22" i="5"/>
  <c r="BK31" i="5"/>
  <c r="BK15" i="5"/>
  <c r="AL14" i="3"/>
  <c r="AL22" i="3"/>
  <c r="AL21" i="3"/>
  <c r="AL30" i="3"/>
  <c r="AL15" i="3"/>
  <c r="AL8" i="3"/>
  <c r="BK9" i="5"/>
  <c r="EK14" i="18"/>
  <c r="EL14" i="18" s="1"/>
  <c r="EK12" i="18"/>
  <c r="EL12" i="18" s="1"/>
  <c r="EK10" i="18"/>
  <c r="EL10" i="18" s="1"/>
  <c r="EK33" i="18"/>
  <c r="EL33" i="18" s="1"/>
  <c r="EK7" i="18"/>
  <c r="EK18" i="18"/>
  <c r="EL18" i="18" s="1"/>
  <c r="EK6" i="18"/>
  <c r="EL6" i="18" s="1"/>
  <c r="EK22" i="18"/>
  <c r="EL22" i="18" s="1"/>
  <c r="EK35" i="18"/>
  <c r="EL35" i="18" s="1"/>
  <c r="EK29" i="18"/>
  <c r="EL29" i="18" s="1"/>
  <c r="EK27" i="18"/>
  <c r="EL27" i="18" s="1"/>
  <c r="EK49" i="18"/>
  <c r="EL49" i="18" s="1"/>
  <c r="EK17" i="18"/>
  <c r="EL17" i="18" s="1"/>
  <c r="EK26" i="18"/>
  <c r="EL26" i="18" s="1"/>
  <c r="EK11" i="18"/>
  <c r="EL11" i="18" s="1"/>
  <c r="EK50" i="18"/>
  <c r="EL50" i="18" s="1"/>
  <c r="EK42" i="18"/>
  <c r="EL42" i="18" s="1"/>
  <c r="EK25" i="18"/>
  <c r="EL25" i="18" s="1"/>
  <c r="EK30" i="18"/>
  <c r="EL30" i="18" s="1"/>
  <c r="EK9" i="18"/>
  <c r="EL9" i="18" s="1"/>
  <c r="EK45" i="18"/>
  <c r="EL45" i="18" s="1"/>
  <c r="EK32" i="18"/>
  <c r="EL32" i="18" s="1"/>
  <c r="EK41" i="18"/>
  <c r="EL41" i="18" s="1"/>
  <c r="EK39" i="18"/>
  <c r="EL39" i="18" s="1"/>
  <c r="EK24" i="18"/>
  <c r="EL24" i="18" s="1"/>
  <c r="EK46" i="18"/>
  <c r="EL46" i="18" s="1"/>
  <c r="EK20" i="18"/>
  <c r="EL20" i="18" s="1"/>
  <c r="EK31" i="18"/>
  <c r="EL31" i="18" s="1"/>
  <c r="EK8" i="18"/>
  <c r="EL8" i="18" s="1"/>
  <c r="EK34" i="18"/>
  <c r="EL34" i="18" s="1"/>
  <c r="EK21" i="18"/>
  <c r="EL21" i="18" s="1"/>
  <c r="EK16" i="18"/>
  <c r="EL16" i="18" s="1"/>
  <c r="EK23" i="18"/>
  <c r="EL23" i="18" s="1"/>
  <c r="EK43" i="18"/>
  <c r="EL43" i="18" s="1"/>
  <c r="EK37" i="18"/>
  <c r="EL37" i="18" s="1"/>
  <c r="EK48" i="18"/>
  <c r="EL48" i="18" s="1"/>
  <c r="EK38" i="18"/>
  <c r="EL38" i="18" s="1"/>
  <c r="EK44" i="18"/>
  <c r="EL44" i="18" s="1"/>
  <c r="EK36" i="18"/>
  <c r="EL36" i="18" s="1"/>
  <c r="EK19" i="18"/>
  <c r="EL19" i="18" s="1"/>
  <c r="EK15" i="18"/>
  <c r="EL15" i="18" s="1"/>
  <c r="EK13" i="18"/>
  <c r="EL13" i="18" s="1"/>
  <c r="EK40" i="18"/>
  <c r="EL40" i="18" s="1"/>
  <c r="EK47" i="18"/>
  <c r="EL47" i="18" s="1"/>
  <c r="EK28" i="18"/>
  <c r="EL28" i="18" s="1"/>
  <c r="A26" i="16"/>
  <c r="A61" i="16"/>
  <c r="BV61" i="16"/>
  <c r="AL7" i="3"/>
  <c r="AM26" i="16" s="1"/>
  <c r="A8" i="16"/>
  <c r="BA78" i="16"/>
  <c r="BA77" i="16"/>
  <c r="AS76" i="16"/>
  <c r="AR76" i="16"/>
  <c r="AQ76" i="16"/>
  <c r="AP76" i="16"/>
  <c r="AN76" i="16"/>
  <c r="DG75" i="16"/>
  <c r="DF75" i="16"/>
  <c r="DE75" i="16"/>
  <c r="DD75" i="16"/>
  <c r="DB75" i="16"/>
  <c r="AL75" i="16"/>
  <c r="AK75" i="16"/>
  <c r="AJ75" i="16"/>
  <c r="AI75" i="16"/>
  <c r="AG75" i="16"/>
  <c r="DG74" i="16"/>
  <c r="DF74" i="16"/>
  <c r="DE74" i="16"/>
  <c r="DD74" i="16"/>
  <c r="DB74" i="16"/>
  <c r="AL74" i="16"/>
  <c r="AK74" i="16"/>
  <c r="AJ74" i="16"/>
  <c r="AI74" i="16"/>
  <c r="AG74" i="16"/>
  <c r="DA70" i="16"/>
  <c r="BV70" i="16"/>
  <c r="DO70" i="16" s="1"/>
  <c r="DP70" i="16" s="1"/>
  <c r="DQ70" i="16" s="1"/>
  <c r="DR70" i="16" s="1"/>
  <c r="DS70" i="16" s="1"/>
  <c r="DT70" i="16" s="1"/>
  <c r="DU70" i="16" s="1"/>
  <c r="A70" i="16"/>
  <c r="AT70" i="16" s="1"/>
  <c r="BV69" i="16"/>
  <c r="DO69" i="16" s="1"/>
  <c r="DP69" i="16" s="1"/>
  <c r="DQ69" i="16" s="1"/>
  <c r="DR69" i="16" s="1"/>
  <c r="DS69" i="16" s="1"/>
  <c r="DT69" i="16" s="1"/>
  <c r="DU69" i="16" s="1"/>
  <c r="A69" i="16"/>
  <c r="AT69" i="16" s="1"/>
  <c r="DA68" i="16"/>
  <c r="BV68" i="16"/>
  <c r="DO68" i="16" s="1"/>
  <c r="DP68" i="16" s="1"/>
  <c r="DQ68" i="16" s="1"/>
  <c r="DR68" i="16" s="1"/>
  <c r="DS68" i="16" s="1"/>
  <c r="DT68" i="16" s="1"/>
  <c r="DU68" i="16" s="1"/>
  <c r="A68" i="16"/>
  <c r="DA67" i="16"/>
  <c r="BV67" i="16"/>
  <c r="DO67" i="16" s="1"/>
  <c r="DP67" i="16" s="1"/>
  <c r="DQ67" i="16" s="1"/>
  <c r="DR67" i="16" s="1"/>
  <c r="DS67" i="16" s="1"/>
  <c r="DT67" i="16" s="1"/>
  <c r="DU67" i="16" s="1"/>
  <c r="AF67" i="16"/>
  <c r="A67" i="16"/>
  <c r="BV59" i="16"/>
  <c r="A59" i="16"/>
  <c r="BV58" i="16"/>
  <c r="A58" i="16"/>
  <c r="BV57" i="16"/>
  <c r="A57" i="16"/>
  <c r="BV56" i="16"/>
  <c r="A56" i="16"/>
  <c r="BV55" i="16"/>
  <c r="A55" i="16"/>
  <c r="BV54" i="16"/>
  <c r="A54" i="16"/>
  <c r="BV53" i="16"/>
  <c r="A53" i="16"/>
  <c r="BV52" i="16"/>
  <c r="A52" i="16"/>
  <c r="BV51" i="16"/>
  <c r="A51" i="16"/>
  <c r="BV50" i="16"/>
  <c r="A50" i="16"/>
  <c r="BV49" i="16"/>
  <c r="A49" i="16"/>
  <c r="BV48" i="16"/>
  <c r="A48" i="16"/>
  <c r="AX36" i="16"/>
  <c r="AX3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DA61" i="16" l="1"/>
  <c r="CC61" i="16"/>
  <c r="AF61" i="16"/>
  <c r="H61" i="16"/>
  <c r="AF26" i="16"/>
  <c r="H26" i="16"/>
  <c r="AT26" i="16" s="1"/>
  <c r="AT67" i="16"/>
  <c r="AU67" i="16" s="1"/>
  <c r="AV67" i="16" s="1"/>
  <c r="AW67" i="16" s="1"/>
  <c r="AX67" i="16" s="1"/>
  <c r="AY67" i="16" s="1"/>
  <c r="AZ67" i="16" s="1"/>
  <c r="AT68" i="16"/>
  <c r="AU68" i="16" s="1"/>
  <c r="AV68" i="16" s="1"/>
  <c r="AW68" i="16" s="1"/>
  <c r="AX68" i="16" s="1"/>
  <c r="AY68" i="16" s="1"/>
  <c r="AZ68" i="16" s="1"/>
  <c r="EL7" i="18"/>
  <c r="AM61" i="16"/>
  <c r="DH61" i="16"/>
  <c r="DO59" i="16"/>
  <c r="DP59" i="16" s="1"/>
  <c r="DQ59" i="16" s="1"/>
  <c r="DR59" i="16" s="1"/>
  <c r="DS59" i="16" s="1"/>
  <c r="DT59" i="16" s="1"/>
  <c r="DU59" i="16" s="1"/>
  <c r="DH59" i="16"/>
  <c r="DV59" i="16" s="1"/>
  <c r="AT48" i="16"/>
  <c r="AM48" i="16"/>
  <c r="A41" i="16" s="1"/>
  <c r="AT54" i="16"/>
  <c r="AU54" i="16" s="1"/>
  <c r="AV54" i="16" s="1"/>
  <c r="AW54" i="16" s="1"/>
  <c r="AX54" i="16" s="1"/>
  <c r="AY54" i="16" s="1"/>
  <c r="AZ54" i="16" s="1"/>
  <c r="AM54" i="16"/>
  <c r="DO54" i="16"/>
  <c r="DP54" i="16" s="1"/>
  <c r="DQ54" i="16" s="1"/>
  <c r="DR54" i="16" s="1"/>
  <c r="DS54" i="16" s="1"/>
  <c r="DT54" i="16" s="1"/>
  <c r="DU54" i="16" s="1"/>
  <c r="DH54" i="16"/>
  <c r="DO49" i="16"/>
  <c r="DP49" i="16" s="1"/>
  <c r="DQ49" i="16" s="1"/>
  <c r="DR49" i="16" s="1"/>
  <c r="DS49" i="16" s="1"/>
  <c r="DT49" i="16" s="1"/>
  <c r="DU49" i="16" s="1"/>
  <c r="DH49" i="16"/>
  <c r="DO55" i="16"/>
  <c r="DP55" i="16" s="1"/>
  <c r="DQ55" i="16" s="1"/>
  <c r="DR55" i="16" s="1"/>
  <c r="DS55" i="16" s="1"/>
  <c r="DT55" i="16" s="1"/>
  <c r="DU55" i="16" s="1"/>
  <c r="DH55" i="16"/>
  <c r="DH53" i="16"/>
  <c r="DO53" i="16"/>
  <c r="DP53" i="16" s="1"/>
  <c r="DQ53" i="16" s="1"/>
  <c r="DR53" i="16" s="1"/>
  <c r="DS53" i="16" s="1"/>
  <c r="DT53" i="16" s="1"/>
  <c r="DU53" i="16" s="1"/>
  <c r="DO48" i="16"/>
  <c r="DP48" i="16" s="1"/>
  <c r="DQ48" i="16" s="1"/>
  <c r="DR48" i="16" s="1"/>
  <c r="DS48" i="16" s="1"/>
  <c r="DT48" i="16" s="1"/>
  <c r="DU48" i="16" s="1"/>
  <c r="DH48" i="16"/>
  <c r="BV41" i="16" s="1"/>
  <c r="DG76" i="16"/>
  <c r="AT49" i="16"/>
  <c r="AU49" i="16" s="1"/>
  <c r="AV49" i="16" s="1"/>
  <c r="AW49" i="16" s="1"/>
  <c r="AX49" i="16" s="1"/>
  <c r="AY49" i="16" s="1"/>
  <c r="AZ49" i="16" s="1"/>
  <c r="AM49" i="16"/>
  <c r="AT55" i="16"/>
  <c r="AU55" i="16" s="1"/>
  <c r="AV55" i="16" s="1"/>
  <c r="AW55" i="16" s="1"/>
  <c r="AX55" i="16" s="1"/>
  <c r="AY55" i="16" s="1"/>
  <c r="AZ55" i="16" s="1"/>
  <c r="AM55" i="16"/>
  <c r="AT56" i="16"/>
  <c r="AU56" i="16" s="1"/>
  <c r="AV56" i="16" s="1"/>
  <c r="AW56" i="16" s="1"/>
  <c r="AX56" i="16" s="1"/>
  <c r="AY56" i="16" s="1"/>
  <c r="AZ56" i="16" s="1"/>
  <c r="AM56" i="16"/>
  <c r="DO50" i="16"/>
  <c r="DP50" i="16" s="1"/>
  <c r="DQ50" i="16" s="1"/>
  <c r="DR50" i="16" s="1"/>
  <c r="DS50" i="16" s="1"/>
  <c r="DT50" i="16" s="1"/>
  <c r="DU50" i="16" s="1"/>
  <c r="DH50" i="16"/>
  <c r="DH56" i="16"/>
  <c r="DO56" i="16"/>
  <c r="DP56" i="16" s="1"/>
  <c r="DQ56" i="16" s="1"/>
  <c r="DR56" i="16" s="1"/>
  <c r="DS56" i="16" s="1"/>
  <c r="DT56" i="16" s="1"/>
  <c r="DU56" i="16" s="1"/>
  <c r="AT51" i="16"/>
  <c r="AU51" i="16" s="1"/>
  <c r="AV51" i="16" s="1"/>
  <c r="AW51" i="16" s="1"/>
  <c r="AX51" i="16" s="1"/>
  <c r="AY51" i="16" s="1"/>
  <c r="AZ51" i="16" s="1"/>
  <c r="AM51" i="16"/>
  <c r="AT57" i="16"/>
  <c r="AU57" i="16" s="1"/>
  <c r="AV57" i="16" s="1"/>
  <c r="AW57" i="16" s="1"/>
  <c r="AX57" i="16" s="1"/>
  <c r="AY57" i="16" s="1"/>
  <c r="AZ57" i="16" s="1"/>
  <c r="AM57" i="16"/>
  <c r="DH51" i="16"/>
  <c r="DO51" i="16"/>
  <c r="DP51" i="16" s="1"/>
  <c r="DQ51" i="16" s="1"/>
  <c r="DR51" i="16" s="1"/>
  <c r="DS51" i="16" s="1"/>
  <c r="DT51" i="16" s="1"/>
  <c r="DU51" i="16" s="1"/>
  <c r="DO57" i="16"/>
  <c r="DP57" i="16" s="1"/>
  <c r="DQ57" i="16" s="1"/>
  <c r="DR57" i="16" s="1"/>
  <c r="DS57" i="16" s="1"/>
  <c r="DT57" i="16" s="1"/>
  <c r="DU57" i="16" s="1"/>
  <c r="DH57" i="16"/>
  <c r="AM50" i="16"/>
  <c r="AT50" i="16"/>
  <c r="AU50" i="16" s="1"/>
  <c r="AV50" i="16" s="1"/>
  <c r="AW50" i="16" s="1"/>
  <c r="AX50" i="16" s="1"/>
  <c r="AY50" i="16" s="1"/>
  <c r="AZ50" i="16" s="1"/>
  <c r="AT52" i="16"/>
  <c r="AU52" i="16" s="1"/>
  <c r="AV52" i="16" s="1"/>
  <c r="AW52" i="16" s="1"/>
  <c r="AX52" i="16" s="1"/>
  <c r="AY52" i="16" s="1"/>
  <c r="AZ52" i="16" s="1"/>
  <c r="AM52" i="16"/>
  <c r="AT58" i="16"/>
  <c r="AU58" i="16" s="1"/>
  <c r="AV58" i="16" s="1"/>
  <c r="AW58" i="16" s="1"/>
  <c r="AX58" i="16" s="1"/>
  <c r="AY58" i="16" s="1"/>
  <c r="AZ58" i="16" s="1"/>
  <c r="AM58" i="16"/>
  <c r="DO52" i="16"/>
  <c r="DP52" i="16" s="1"/>
  <c r="DQ52" i="16" s="1"/>
  <c r="DR52" i="16" s="1"/>
  <c r="DS52" i="16" s="1"/>
  <c r="DT52" i="16" s="1"/>
  <c r="DU52" i="16" s="1"/>
  <c r="DH52" i="16"/>
  <c r="DO58" i="16"/>
  <c r="DP58" i="16" s="1"/>
  <c r="DQ58" i="16" s="1"/>
  <c r="DR58" i="16" s="1"/>
  <c r="DS58" i="16" s="1"/>
  <c r="DT58" i="16" s="1"/>
  <c r="DU58" i="16" s="1"/>
  <c r="DH58" i="16"/>
  <c r="AM53" i="16"/>
  <c r="AT53" i="16"/>
  <c r="AU53" i="16" s="1"/>
  <c r="AV53" i="16" s="1"/>
  <c r="AW53" i="16" s="1"/>
  <c r="AX53" i="16" s="1"/>
  <c r="AY53" i="16" s="1"/>
  <c r="AZ53" i="16" s="1"/>
  <c r="AM59" i="16"/>
  <c r="AT59" i="16"/>
  <c r="AU59" i="16" s="1"/>
  <c r="AV59" i="16" s="1"/>
  <c r="AW59" i="16" s="1"/>
  <c r="AX59" i="16" s="1"/>
  <c r="AY59" i="16" s="1"/>
  <c r="AZ59" i="16" s="1"/>
  <c r="EK5" i="18"/>
  <c r="BQ50" i="18"/>
  <c r="BQ47" i="18"/>
  <c r="BQ46" i="18"/>
  <c r="BQ49" i="18"/>
  <c r="BQ45" i="18"/>
  <c r="BQ41" i="18"/>
  <c r="BQ40" i="18"/>
  <c r="BQ48" i="18"/>
  <c r="BQ39" i="18"/>
  <c r="BQ38" i="18"/>
  <c r="BQ37" i="18"/>
  <c r="BQ36" i="18"/>
  <c r="BQ35" i="18"/>
  <c r="BQ34" i="18"/>
  <c r="BQ33" i="18"/>
  <c r="BQ31" i="18"/>
  <c r="BQ30" i="18"/>
  <c r="BQ29" i="18"/>
  <c r="BQ28" i="18"/>
  <c r="BQ27" i="18"/>
  <c r="BQ26" i="18"/>
  <c r="BQ25" i="18"/>
  <c r="BQ24" i="18"/>
  <c r="BQ44" i="18"/>
  <c r="BQ43" i="18"/>
  <c r="BQ23" i="18"/>
  <c r="BQ21" i="18"/>
  <c r="BQ19" i="18"/>
  <c r="BQ22" i="18"/>
  <c r="BQ16" i="18"/>
  <c r="BQ20" i="18"/>
  <c r="BQ42" i="18"/>
  <c r="BQ32" i="18"/>
  <c r="BQ18" i="18"/>
  <c r="BQ17" i="18"/>
  <c r="BQ15" i="18"/>
  <c r="BQ14" i="18"/>
  <c r="BQ13" i="18"/>
  <c r="BQ12" i="18"/>
  <c r="BQ11" i="18"/>
  <c r="BQ10" i="18"/>
  <c r="BQ9" i="18"/>
  <c r="BQ8" i="18"/>
  <c r="BQ7" i="18"/>
  <c r="BQ6" i="18"/>
  <c r="BD27" i="17"/>
  <c r="BD15" i="17"/>
  <c r="BD48" i="17"/>
  <c r="BD16" i="17"/>
  <c r="BD39" i="17"/>
  <c r="BD12" i="17"/>
  <c r="BD28" i="17"/>
  <c r="BD22" i="17"/>
  <c r="BD24" i="17"/>
  <c r="BD25" i="17"/>
  <c r="BD14" i="17"/>
  <c r="BD35" i="17"/>
  <c r="BD10" i="17"/>
  <c r="BD49" i="17"/>
  <c r="BD26" i="17"/>
  <c r="BD23" i="17"/>
  <c r="BD21" i="17"/>
  <c r="BD9" i="17"/>
  <c r="BD29" i="17"/>
  <c r="BD33" i="17"/>
  <c r="BD32" i="17"/>
  <c r="BD36" i="17"/>
  <c r="BD45" i="17"/>
  <c r="BD11" i="17"/>
  <c r="BD17" i="17"/>
  <c r="BD46" i="17"/>
  <c r="BD34" i="17"/>
  <c r="BD47" i="17"/>
  <c r="BD38" i="17"/>
  <c r="BD44" i="17"/>
  <c r="BD20" i="17"/>
  <c r="BD43" i="17"/>
  <c r="BD8" i="17"/>
  <c r="BD19" i="17"/>
  <c r="BD37" i="17"/>
  <c r="BD31" i="17"/>
  <c r="BD18" i="17"/>
  <c r="BD41" i="17"/>
  <c r="BD40" i="17"/>
  <c r="BD42" i="17"/>
  <c r="BD5" i="17"/>
  <c r="BD13" i="17"/>
  <c r="BD7" i="17"/>
  <c r="BD30" i="17"/>
  <c r="BD6" i="17"/>
  <c r="CC8" i="5"/>
  <c r="BK8" i="5"/>
  <c r="AG76" i="16"/>
  <c r="AL76" i="16"/>
  <c r="DF76" i="16"/>
  <c r="AI76" i="16"/>
  <c r="DB76" i="16"/>
  <c r="AJ76" i="16"/>
  <c r="DD76" i="16"/>
  <c r="AK76" i="16"/>
  <c r="DE76" i="16"/>
  <c r="DV61" i="16" l="1"/>
  <c r="AT61" i="16"/>
  <c r="DO61" i="16"/>
  <c r="DP61" i="16" s="1"/>
  <c r="DQ61" i="16" s="1"/>
  <c r="DR61" i="16" s="1"/>
  <c r="DS61" i="16" s="1"/>
  <c r="DT61" i="16" s="1"/>
  <c r="DU61" i="16" s="1"/>
  <c r="AT54" i="13"/>
  <c r="AT57" i="13" s="1"/>
  <c r="BB54" i="13"/>
  <c r="BB57" i="13" s="1"/>
  <c r="BJ54" i="13"/>
  <c r="BD54" i="13"/>
  <c r="BD56" i="13" s="1"/>
  <c r="BL54" i="13"/>
  <c r="AV54" i="13"/>
  <c r="AX54" i="13"/>
  <c r="BF54" i="13"/>
  <c r="BN54" i="13"/>
  <c r="AR54" i="13"/>
  <c r="AZ54" i="13"/>
  <c r="BH54" i="13"/>
  <c r="AI61" i="5"/>
  <c r="AI60" i="5"/>
  <c r="R62" i="5"/>
  <c r="R60" i="5"/>
  <c r="R59" i="5"/>
  <c r="AN53" i="13"/>
  <c r="AJ53" i="13"/>
  <c r="G53" i="13"/>
  <c r="C53" i="13"/>
  <c r="AN52" i="13"/>
  <c r="AJ52" i="13"/>
  <c r="G52" i="13"/>
  <c r="C52" i="13"/>
  <c r="AN51" i="13"/>
  <c r="AJ51" i="13"/>
  <c r="G51" i="13"/>
  <c r="C51" i="13"/>
  <c r="AN50" i="13"/>
  <c r="AJ50" i="13"/>
  <c r="G50" i="13"/>
  <c r="C50" i="13"/>
  <c r="AN49" i="13"/>
  <c r="AJ49" i="13"/>
  <c r="G49" i="13"/>
  <c r="C49" i="13"/>
  <c r="AN48" i="13"/>
  <c r="AJ48" i="13"/>
  <c r="G48" i="13"/>
  <c r="C48" i="13"/>
  <c r="AN47" i="13"/>
  <c r="AJ47" i="13"/>
  <c r="G47" i="13"/>
  <c r="C47" i="13"/>
  <c r="AN46" i="13"/>
  <c r="AJ46" i="13"/>
  <c r="G46" i="13"/>
  <c r="C46" i="13"/>
  <c r="AN45" i="13"/>
  <c r="AJ45" i="13"/>
  <c r="G45" i="13"/>
  <c r="C45" i="13"/>
  <c r="AN44" i="13"/>
  <c r="AJ44" i="13"/>
  <c r="G44" i="13"/>
  <c r="C44" i="13"/>
  <c r="AN43" i="13"/>
  <c r="AJ43" i="13"/>
  <c r="G43" i="13"/>
  <c r="C43" i="13"/>
  <c r="AN42" i="13"/>
  <c r="AJ42" i="13"/>
  <c r="G42" i="13"/>
  <c r="C42" i="13"/>
  <c r="AN41" i="13"/>
  <c r="AJ41" i="13"/>
  <c r="G41" i="13"/>
  <c r="C41" i="13"/>
  <c r="AN40" i="13"/>
  <c r="AJ40" i="13"/>
  <c r="G40" i="13"/>
  <c r="C40" i="13"/>
  <c r="AN39" i="13"/>
  <c r="AJ39" i="13"/>
  <c r="G39" i="13"/>
  <c r="C39" i="13"/>
  <c r="AN38" i="13"/>
  <c r="AJ38" i="13"/>
  <c r="G38" i="13"/>
  <c r="C38" i="13"/>
  <c r="AN37" i="13"/>
  <c r="AJ37" i="13"/>
  <c r="G37" i="13"/>
  <c r="C37" i="13"/>
  <c r="AN36" i="13"/>
  <c r="AJ36" i="13"/>
  <c r="G36" i="13"/>
  <c r="C36" i="13"/>
  <c r="AN35" i="13"/>
  <c r="AJ35" i="13"/>
  <c r="G35" i="13"/>
  <c r="C35" i="13"/>
  <c r="AN34" i="13"/>
  <c r="AJ34" i="13"/>
  <c r="G34" i="13"/>
  <c r="C34" i="13"/>
  <c r="AN33" i="13"/>
  <c r="AJ33" i="13"/>
  <c r="G33" i="13"/>
  <c r="C33" i="13"/>
  <c r="AN32" i="13"/>
  <c r="AJ32" i="13"/>
  <c r="G32" i="13"/>
  <c r="C32" i="13"/>
  <c r="AN31" i="13"/>
  <c r="AJ31" i="13"/>
  <c r="G31" i="13"/>
  <c r="C31" i="13"/>
  <c r="AN30" i="13"/>
  <c r="AJ30" i="13"/>
  <c r="G30" i="13"/>
  <c r="C30" i="13"/>
  <c r="AN29" i="13"/>
  <c r="AJ29" i="13"/>
  <c r="G29" i="13"/>
  <c r="C29" i="13"/>
  <c r="AN28" i="13"/>
  <c r="AJ28" i="13"/>
  <c r="G28" i="13"/>
  <c r="C28" i="13"/>
  <c r="AN27" i="13"/>
  <c r="AJ27" i="13"/>
  <c r="G27" i="13"/>
  <c r="C27" i="13"/>
  <c r="AN26" i="13"/>
  <c r="AJ26" i="13"/>
  <c r="G26" i="13"/>
  <c r="C26" i="13"/>
  <c r="AN25" i="13"/>
  <c r="AJ25" i="13"/>
  <c r="G25" i="13"/>
  <c r="C25" i="13"/>
  <c r="AN24" i="13"/>
  <c r="AJ24" i="13"/>
  <c r="G24" i="13"/>
  <c r="C24" i="13"/>
  <c r="AN23" i="13"/>
  <c r="AJ23" i="13"/>
  <c r="G23" i="13"/>
  <c r="C23" i="13"/>
  <c r="AN22" i="13"/>
  <c r="AJ22" i="13"/>
  <c r="G22" i="13"/>
  <c r="C22" i="13"/>
  <c r="AN21" i="13"/>
  <c r="AJ21" i="13"/>
  <c r="G21" i="13"/>
  <c r="C21" i="13"/>
  <c r="AN20" i="13"/>
  <c r="AJ20" i="13"/>
  <c r="G20" i="13"/>
  <c r="C20" i="13"/>
  <c r="AN19" i="13"/>
  <c r="AJ19" i="13"/>
  <c r="G19" i="13"/>
  <c r="C19" i="13"/>
  <c r="AN18" i="13"/>
  <c r="AJ18" i="13"/>
  <c r="G18" i="13"/>
  <c r="C18" i="13"/>
  <c r="AN17" i="13"/>
  <c r="AJ17" i="13"/>
  <c r="G17" i="13"/>
  <c r="C17" i="13"/>
  <c r="AN16" i="13"/>
  <c r="AJ16" i="13"/>
  <c r="G16" i="13"/>
  <c r="C16" i="13"/>
  <c r="AN15" i="13"/>
  <c r="AJ15" i="13"/>
  <c r="G15" i="13"/>
  <c r="C15" i="13"/>
  <c r="AN14" i="13"/>
  <c r="AJ14" i="13"/>
  <c r="G14" i="13"/>
  <c r="C14" i="13"/>
  <c r="AN13" i="13"/>
  <c r="AJ13" i="13"/>
  <c r="G13" i="13"/>
  <c r="C13" i="13"/>
  <c r="AN12" i="13"/>
  <c r="AJ12" i="13"/>
  <c r="G12" i="13"/>
  <c r="C12" i="13"/>
  <c r="AN11" i="13"/>
  <c r="AJ11" i="13"/>
  <c r="G11" i="13"/>
  <c r="C11" i="13"/>
  <c r="AN10" i="13"/>
  <c r="AJ10" i="13"/>
  <c r="G10" i="13"/>
  <c r="C10" i="13"/>
  <c r="AN9" i="13"/>
  <c r="AJ9" i="13"/>
  <c r="AI1" i="13" s="1"/>
  <c r="G9" i="13"/>
  <c r="C9" i="13"/>
  <c r="A3" i="2"/>
  <c r="BB56" i="13" l="1"/>
  <c r="AT56" i="13"/>
  <c r="BV6" i="18"/>
  <c r="BV10" i="18"/>
  <c r="BV14" i="18"/>
  <c r="BV18" i="18"/>
  <c r="BV22" i="18"/>
  <c r="BV26" i="18"/>
  <c r="BV30" i="18"/>
  <c r="BV34" i="18"/>
  <c r="BV38" i="18"/>
  <c r="BV42" i="18"/>
  <c r="BV7" i="18"/>
  <c r="BV15" i="18"/>
  <c r="BV19" i="18"/>
  <c r="BV23" i="18"/>
  <c r="BV27" i="18"/>
  <c r="BV31" i="18"/>
  <c r="BV35" i="18"/>
  <c r="BV39" i="18"/>
  <c r="BV43" i="18"/>
  <c r="BV9" i="18"/>
  <c r="BV25" i="18"/>
  <c r="BV33" i="18"/>
  <c r="BV41" i="18"/>
  <c r="BV11" i="18"/>
  <c r="BV17" i="18"/>
  <c r="BV45" i="18"/>
  <c r="BV8" i="18"/>
  <c r="BV12" i="18"/>
  <c r="BV16" i="18"/>
  <c r="BV20" i="18"/>
  <c r="BV24" i="18"/>
  <c r="BV28" i="18"/>
  <c r="BV32" i="18"/>
  <c r="BV36" i="18"/>
  <c r="BV40" i="18"/>
  <c r="BV44" i="18"/>
  <c r="BV13" i="18"/>
  <c r="BV29" i="18"/>
  <c r="BV37" i="18"/>
  <c r="BV21" i="18"/>
  <c r="EM3" i="18"/>
  <c r="EN5" i="18" s="1"/>
  <c r="BL57" i="13"/>
  <c r="BL56" i="13"/>
  <c r="AT55" i="13"/>
  <c r="I49" i="18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CZ50" i="18"/>
  <c r="CZ49" i="18"/>
  <c r="CZ47" i="18"/>
  <c r="CZ46" i="18"/>
  <c r="CZ45" i="18"/>
  <c r="CZ48" i="18"/>
  <c r="CZ44" i="18"/>
  <c r="CZ43" i="18"/>
  <c r="CZ42" i="18"/>
  <c r="CZ41" i="18"/>
  <c r="CZ40" i="18"/>
  <c r="CZ38" i="18"/>
  <c r="CZ30" i="18"/>
  <c r="CZ29" i="18"/>
  <c r="CZ28" i="18"/>
  <c r="CZ27" i="18"/>
  <c r="CZ26" i="18"/>
  <c r="CZ25" i="18"/>
  <c r="CZ24" i="18"/>
  <c r="CZ23" i="18"/>
  <c r="CZ22" i="18"/>
  <c r="CZ21" i="18"/>
  <c r="CZ20" i="18"/>
  <c r="CZ19" i="18"/>
  <c r="CZ18" i="18"/>
  <c r="CZ17" i="18"/>
  <c r="CZ39" i="18"/>
  <c r="CZ37" i="18"/>
  <c r="CZ36" i="18"/>
  <c r="CZ35" i="18"/>
  <c r="CZ34" i="18"/>
  <c r="CZ31" i="18"/>
  <c r="CZ33" i="18"/>
  <c r="CZ32" i="18"/>
  <c r="CZ16" i="18"/>
  <c r="CZ15" i="18"/>
  <c r="CZ14" i="18"/>
  <c r="CZ13" i="18"/>
  <c r="CZ12" i="18"/>
  <c r="CZ11" i="18"/>
  <c r="CZ10" i="18"/>
  <c r="CZ9" i="18"/>
  <c r="CZ8" i="18"/>
  <c r="CZ7" i="18"/>
  <c r="CZ6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BU50" i="18"/>
  <c r="BU49" i="18"/>
  <c r="BU48" i="18"/>
  <c r="BU46" i="18"/>
  <c r="BU45" i="18"/>
  <c r="BU47" i="18"/>
  <c r="BU44" i="18"/>
  <c r="BU43" i="18"/>
  <c r="BU42" i="18"/>
  <c r="BU41" i="18"/>
  <c r="BU40" i="18"/>
  <c r="BU39" i="18"/>
  <c r="BU38" i="18"/>
  <c r="BU37" i="18"/>
  <c r="BU36" i="18"/>
  <c r="BU35" i="18"/>
  <c r="BU34" i="18"/>
  <c r="BU33" i="18"/>
  <c r="BU32" i="18"/>
  <c r="BU31" i="18"/>
  <c r="BU29" i="18"/>
  <c r="BU27" i="18"/>
  <c r="BU25" i="18"/>
  <c r="BU22" i="18"/>
  <c r="BU20" i="18"/>
  <c r="BU18" i="18"/>
  <c r="BU28" i="18"/>
  <c r="BU16" i="18"/>
  <c r="BU24" i="18"/>
  <c r="BU21" i="18"/>
  <c r="BU15" i="18"/>
  <c r="BU14" i="18"/>
  <c r="BU13" i="18"/>
  <c r="BU12" i="18"/>
  <c r="BU11" i="18"/>
  <c r="BU10" i="18"/>
  <c r="BU9" i="18"/>
  <c r="BU8" i="18"/>
  <c r="BU7" i="18"/>
  <c r="BU6" i="18"/>
  <c r="BU30" i="18"/>
  <c r="BU26" i="18"/>
  <c r="BU17" i="18"/>
  <c r="BU23" i="18"/>
  <c r="BU19" i="18"/>
  <c r="CO50" i="18"/>
  <c r="CO49" i="18"/>
  <c r="CO48" i="18"/>
  <c r="CO47" i="18"/>
  <c r="CO45" i="18"/>
  <c r="CO44" i="18"/>
  <c r="CO43" i="18"/>
  <c r="CO42" i="18"/>
  <c r="CO41" i="18"/>
  <c r="CO40" i="18"/>
  <c r="CO39" i="18"/>
  <c r="CO38" i="18"/>
  <c r="CO46" i="18"/>
  <c r="CO37" i="18"/>
  <c r="CO36" i="18"/>
  <c r="CO35" i="18"/>
  <c r="CO34" i="18"/>
  <c r="CO33" i="18"/>
  <c r="CO32" i="18"/>
  <c r="CO31" i="18"/>
  <c r="CO30" i="18"/>
  <c r="CO28" i="18"/>
  <c r="CO26" i="18"/>
  <c r="CO24" i="18"/>
  <c r="CO22" i="18"/>
  <c r="CO20" i="18"/>
  <c r="CO23" i="18"/>
  <c r="CO19" i="18"/>
  <c r="CO29" i="18"/>
  <c r="CO15" i="18"/>
  <c r="CO14" i="18"/>
  <c r="CO13" i="18"/>
  <c r="CO12" i="18"/>
  <c r="CO11" i="18"/>
  <c r="CO10" i="18"/>
  <c r="CO9" i="18"/>
  <c r="CO8" i="18"/>
  <c r="CO7" i="18"/>
  <c r="CO6" i="18"/>
  <c r="CO25" i="18"/>
  <c r="CO21" i="18"/>
  <c r="CO16" i="18"/>
  <c r="CO17" i="18"/>
  <c r="CO27" i="18"/>
  <c r="CO18" i="18"/>
  <c r="DI50" i="18"/>
  <c r="DI49" i="18"/>
  <c r="DI48" i="18"/>
  <c r="DI47" i="18"/>
  <c r="DI45" i="18"/>
  <c r="DI44" i="18"/>
  <c r="DI43" i="18"/>
  <c r="DI42" i="18"/>
  <c r="DI41" i="18"/>
  <c r="DI40" i="18"/>
  <c r="DI39" i="18"/>
  <c r="DI38" i="18"/>
  <c r="DI46" i="18"/>
  <c r="DI37" i="18"/>
  <c r="DI36" i="18"/>
  <c r="DI35" i="18"/>
  <c r="DI34" i="18"/>
  <c r="DI33" i="18"/>
  <c r="DI32" i="18"/>
  <c r="DI31" i="18"/>
  <c r="DI30" i="18"/>
  <c r="DI28" i="18"/>
  <c r="DI26" i="18"/>
  <c r="DI24" i="18"/>
  <c r="DI23" i="18"/>
  <c r="DI21" i="18"/>
  <c r="DI19" i="18"/>
  <c r="DI25" i="18"/>
  <c r="DI22" i="18"/>
  <c r="DI18" i="18"/>
  <c r="DI27" i="18"/>
  <c r="DI16" i="18"/>
  <c r="DI15" i="18"/>
  <c r="DI14" i="18"/>
  <c r="DI13" i="18"/>
  <c r="DI12" i="18"/>
  <c r="DI11" i="18"/>
  <c r="DI10" i="18"/>
  <c r="DI9" i="18"/>
  <c r="DI8" i="18"/>
  <c r="DI7" i="18"/>
  <c r="DI6" i="18"/>
  <c r="DI20" i="18"/>
  <c r="DI29" i="18"/>
  <c r="DI17" i="18"/>
  <c r="CA50" i="18"/>
  <c r="CA49" i="18"/>
  <c r="CA48" i="18"/>
  <c r="CA46" i="18"/>
  <c r="CA45" i="18"/>
  <c r="CA44" i="18"/>
  <c r="CA43" i="18"/>
  <c r="CA42" i="18"/>
  <c r="CA41" i="18"/>
  <c r="CA40" i="18"/>
  <c r="CA39" i="18"/>
  <c r="CA38" i="18"/>
  <c r="CA47" i="18"/>
  <c r="CA37" i="18"/>
  <c r="CA36" i="18"/>
  <c r="CA35" i="18"/>
  <c r="CA34" i="18"/>
  <c r="CA33" i="18"/>
  <c r="CA32" i="18"/>
  <c r="CA30" i="18"/>
  <c r="CA28" i="18"/>
  <c r="CA26" i="18"/>
  <c r="CA24" i="18"/>
  <c r="CA23" i="18"/>
  <c r="CA21" i="18"/>
  <c r="CA19" i="18"/>
  <c r="CA20" i="18"/>
  <c r="CA18" i="18"/>
  <c r="CA29" i="18"/>
  <c r="CA16" i="18"/>
  <c r="CA15" i="18"/>
  <c r="CA14" i="18"/>
  <c r="CA13" i="18"/>
  <c r="CA12" i="18"/>
  <c r="CA11" i="18"/>
  <c r="CA10" i="18"/>
  <c r="CA9" i="18"/>
  <c r="CA8" i="18"/>
  <c r="CA7" i="18"/>
  <c r="CA6" i="18"/>
  <c r="CA31" i="18"/>
  <c r="CA25" i="18"/>
  <c r="CA22" i="18"/>
  <c r="CA27" i="18"/>
  <c r="CA17" i="18"/>
  <c r="CU50" i="18"/>
  <c r="CU49" i="18"/>
  <c r="CU48" i="18"/>
  <c r="CU46" i="18"/>
  <c r="CU45" i="18"/>
  <c r="CU44" i="18"/>
  <c r="CU43" i="18"/>
  <c r="CU42" i="18"/>
  <c r="CU41" i="18"/>
  <c r="CU40" i="18"/>
  <c r="CU39" i="18"/>
  <c r="CU38" i="18"/>
  <c r="CU47" i="18"/>
  <c r="CU37" i="18"/>
  <c r="CU36" i="18"/>
  <c r="CU35" i="18"/>
  <c r="CU34" i="18"/>
  <c r="CU33" i="18"/>
  <c r="CU32" i="18"/>
  <c r="CU31" i="18"/>
  <c r="CU30" i="18"/>
  <c r="CU28" i="18"/>
  <c r="CU26" i="18"/>
  <c r="CU24" i="18"/>
  <c r="CU22" i="18"/>
  <c r="CU20" i="18"/>
  <c r="CU18" i="18"/>
  <c r="CU25" i="18"/>
  <c r="CU21" i="18"/>
  <c r="CU17" i="18"/>
  <c r="CU16" i="18"/>
  <c r="CU27" i="18"/>
  <c r="CU15" i="18"/>
  <c r="CU14" i="18"/>
  <c r="CU13" i="18"/>
  <c r="CU12" i="18"/>
  <c r="CU11" i="18"/>
  <c r="CU10" i="18"/>
  <c r="CU9" i="18"/>
  <c r="CU8" i="18"/>
  <c r="CU7" i="18"/>
  <c r="CU6" i="18"/>
  <c r="CU19" i="18"/>
  <c r="CU23" i="18"/>
  <c r="CU29" i="18"/>
  <c r="DO50" i="18"/>
  <c r="DO49" i="18"/>
  <c r="DO48" i="18"/>
  <c r="DO47" i="18"/>
  <c r="DO45" i="18"/>
  <c r="DO44" i="18"/>
  <c r="DO43" i="18"/>
  <c r="DO42" i="18"/>
  <c r="DO41" i="18"/>
  <c r="DO40" i="18"/>
  <c r="DO39" i="18"/>
  <c r="DO38" i="18"/>
  <c r="DO37" i="18"/>
  <c r="DO36" i="18"/>
  <c r="DO35" i="18"/>
  <c r="DO34" i="18"/>
  <c r="DO33" i="18"/>
  <c r="DO32" i="18"/>
  <c r="DO31" i="18"/>
  <c r="DO30" i="18"/>
  <c r="DO28" i="18"/>
  <c r="DO26" i="18"/>
  <c r="DO24" i="18"/>
  <c r="DO23" i="18"/>
  <c r="DO21" i="18"/>
  <c r="DO19" i="18"/>
  <c r="DO17" i="18"/>
  <c r="DO20" i="18"/>
  <c r="DO29" i="18"/>
  <c r="DO15" i="18"/>
  <c r="DO14" i="18"/>
  <c r="DO13" i="18"/>
  <c r="DO12" i="18"/>
  <c r="DO11" i="18"/>
  <c r="DO10" i="18"/>
  <c r="DO9" i="18"/>
  <c r="DO8" i="18"/>
  <c r="DO7" i="18"/>
  <c r="DO6" i="18"/>
  <c r="DO25" i="18"/>
  <c r="DO22" i="18"/>
  <c r="DO27" i="18"/>
  <c r="DO16" i="18"/>
  <c r="DO46" i="18"/>
  <c r="DO18" i="18"/>
  <c r="BB55" i="13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BZ50" i="18"/>
  <c r="BZ48" i="18"/>
  <c r="BZ47" i="18"/>
  <c r="BZ49" i="18"/>
  <c r="BZ45" i="18"/>
  <c r="BZ46" i="18"/>
  <c r="BZ44" i="18"/>
  <c r="BZ43" i="18"/>
  <c r="BZ42" i="18"/>
  <c r="BZ41" i="18"/>
  <c r="BZ40" i="18"/>
  <c r="BZ38" i="18"/>
  <c r="BZ31" i="18"/>
  <c r="BZ30" i="18"/>
  <c r="BZ29" i="18"/>
  <c r="BZ28" i="18"/>
  <c r="BZ27" i="18"/>
  <c r="BZ26" i="18"/>
  <c r="BZ25" i="18"/>
  <c r="BZ24" i="18"/>
  <c r="BZ23" i="18"/>
  <c r="BZ22" i="18"/>
  <c r="BZ21" i="18"/>
  <c r="BZ20" i="18"/>
  <c r="BZ19" i="18"/>
  <c r="BZ18" i="18"/>
  <c r="BZ39" i="18"/>
  <c r="BZ37" i="18"/>
  <c r="BZ36" i="18"/>
  <c r="BZ35" i="18"/>
  <c r="BZ34" i="18"/>
  <c r="BZ33" i="18"/>
  <c r="BZ32" i="18"/>
  <c r="BZ17" i="18"/>
  <c r="BZ16" i="18"/>
  <c r="BZ15" i="18"/>
  <c r="BZ14" i="18"/>
  <c r="BZ13" i="18"/>
  <c r="BZ12" i="18"/>
  <c r="BZ11" i="18"/>
  <c r="BZ10" i="18"/>
  <c r="BZ9" i="18"/>
  <c r="BZ8" i="18"/>
  <c r="BZ7" i="18"/>
  <c r="BZ6" i="18"/>
  <c r="CF47" i="18"/>
  <c r="CF48" i="18"/>
  <c r="CF46" i="18"/>
  <c r="CF49" i="18"/>
  <c r="CF45" i="18"/>
  <c r="CF44" i="18"/>
  <c r="CF39" i="18"/>
  <c r="CF38" i="18"/>
  <c r="CF50" i="18"/>
  <c r="CF42" i="18"/>
  <c r="CF33" i="18"/>
  <c r="CF31" i="18"/>
  <c r="CF30" i="18"/>
  <c r="CF29" i="18"/>
  <c r="CF28" i="18"/>
  <c r="CF27" i="18"/>
  <c r="CF26" i="18"/>
  <c r="CF25" i="18"/>
  <c r="CF24" i="18"/>
  <c r="CF23" i="18"/>
  <c r="CF22" i="18"/>
  <c r="CF21" i="18"/>
  <c r="CF20" i="18"/>
  <c r="CF19" i="18"/>
  <c r="CF18" i="18"/>
  <c r="CF17" i="18"/>
  <c r="CF32" i="18"/>
  <c r="CF34" i="18"/>
  <c r="CF40" i="18"/>
  <c r="CF37" i="18"/>
  <c r="CF43" i="18"/>
  <c r="CF41" i="18"/>
  <c r="CF36" i="18"/>
  <c r="CF16" i="18"/>
  <c r="CF35" i="18"/>
  <c r="CF15" i="18"/>
  <c r="CF14" i="18"/>
  <c r="CF13" i="18"/>
  <c r="CF12" i="18"/>
  <c r="CF11" i="18"/>
  <c r="CF10" i="18"/>
  <c r="CF9" i="18"/>
  <c r="CF8" i="18"/>
  <c r="CF7" i="18"/>
  <c r="CF6" i="18"/>
  <c r="DT49" i="18"/>
  <c r="DT48" i="18"/>
  <c r="DT46" i="18"/>
  <c r="DT50" i="18"/>
  <c r="DT45" i="18"/>
  <c r="DT44" i="18"/>
  <c r="DT43" i="18"/>
  <c r="DT42" i="18"/>
  <c r="DT39" i="18"/>
  <c r="DT32" i="18"/>
  <c r="DT31" i="18"/>
  <c r="DT30" i="18"/>
  <c r="DT29" i="18"/>
  <c r="DT28" i="18"/>
  <c r="DT27" i="18"/>
  <c r="DT26" i="18"/>
  <c r="DT25" i="18"/>
  <c r="DT24" i="18"/>
  <c r="DT23" i="18"/>
  <c r="DT22" i="18"/>
  <c r="DT21" i="18"/>
  <c r="DT20" i="18"/>
  <c r="DT19" i="18"/>
  <c r="DT18" i="18"/>
  <c r="DT17" i="18"/>
  <c r="DT47" i="18"/>
  <c r="DT40" i="18"/>
  <c r="DT37" i="18"/>
  <c r="DT36" i="18"/>
  <c r="DT33" i="18"/>
  <c r="DT41" i="18"/>
  <c r="DT38" i="18"/>
  <c r="DT35" i="18"/>
  <c r="DT16" i="18"/>
  <c r="DT34" i="18"/>
  <c r="DT14" i="18"/>
  <c r="DT11" i="18"/>
  <c r="DT10" i="18"/>
  <c r="DT9" i="18"/>
  <c r="DT6" i="18"/>
  <c r="DT15" i="18"/>
  <c r="DT13" i="18"/>
  <c r="DT12" i="18"/>
  <c r="DT8" i="18"/>
  <c r="DT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CE48" i="18"/>
  <c r="CE47" i="18"/>
  <c r="CE46" i="18"/>
  <c r="CE50" i="18"/>
  <c r="CE49" i="18"/>
  <c r="CE44" i="18"/>
  <c r="CE41" i="18"/>
  <c r="CE40" i="18"/>
  <c r="CE45" i="18"/>
  <c r="CE39" i="18"/>
  <c r="CE38" i="18"/>
  <c r="CE43" i="18"/>
  <c r="CE37" i="18"/>
  <c r="CE36" i="18"/>
  <c r="CE35" i="18"/>
  <c r="CE34" i="18"/>
  <c r="CE42" i="18"/>
  <c r="CE33" i="18"/>
  <c r="CE31" i="18"/>
  <c r="CE30" i="18"/>
  <c r="CE29" i="18"/>
  <c r="CE28" i="18"/>
  <c r="CE27" i="18"/>
  <c r="CE26" i="18"/>
  <c r="CE25" i="18"/>
  <c r="CE24" i="18"/>
  <c r="CE32" i="18"/>
  <c r="CE22" i="18"/>
  <c r="CE20" i="18"/>
  <c r="CE21" i="18"/>
  <c r="CE17" i="18"/>
  <c r="CE23" i="18"/>
  <c r="CE18" i="18"/>
  <c r="CE6" i="18"/>
  <c r="CE15" i="18"/>
  <c r="CE14" i="18"/>
  <c r="CE13" i="18"/>
  <c r="CE12" i="18"/>
  <c r="CE11" i="18"/>
  <c r="CE10" i="18"/>
  <c r="CE9" i="18"/>
  <c r="CE8" i="18"/>
  <c r="CE7" i="18"/>
  <c r="CE16" i="18"/>
  <c r="CE19" i="18"/>
  <c r="CY47" i="18"/>
  <c r="CY46" i="18"/>
  <c r="CY48" i="18"/>
  <c r="CY49" i="18"/>
  <c r="CY50" i="18"/>
  <c r="CY45" i="18"/>
  <c r="CY44" i="18"/>
  <c r="CY43" i="18"/>
  <c r="CY42" i="18"/>
  <c r="CY41" i="18"/>
  <c r="CY32" i="18"/>
  <c r="CY31" i="18"/>
  <c r="CY38" i="18"/>
  <c r="CY30" i="18"/>
  <c r="CY29" i="18"/>
  <c r="CY28" i="18"/>
  <c r="CY27" i="18"/>
  <c r="CY26" i="18"/>
  <c r="CY25" i="18"/>
  <c r="CY24" i="18"/>
  <c r="CY39" i="18"/>
  <c r="CY34" i="18"/>
  <c r="CY37" i="18"/>
  <c r="CY36" i="18"/>
  <c r="CY23" i="18"/>
  <c r="CY21" i="18"/>
  <c r="CY19" i="18"/>
  <c r="CY17" i="18"/>
  <c r="CY20" i="18"/>
  <c r="CY35" i="18"/>
  <c r="CY15" i="18"/>
  <c r="CY11" i="18"/>
  <c r="CY10" i="18"/>
  <c r="CY9" i="18"/>
  <c r="CY33" i="18"/>
  <c r="CY22" i="18"/>
  <c r="CY16" i="18"/>
  <c r="CY40" i="18"/>
  <c r="CY14" i="18"/>
  <c r="CY13" i="18"/>
  <c r="CY12" i="18"/>
  <c r="CY8" i="18"/>
  <c r="CY7" i="18"/>
  <c r="CY6" i="18"/>
  <c r="CY18" i="18"/>
  <c r="DS46" i="18"/>
  <c r="DS47" i="18"/>
  <c r="DS49" i="18"/>
  <c r="DS48" i="18"/>
  <c r="DS50" i="18"/>
  <c r="DS45" i="18"/>
  <c r="DS44" i="18"/>
  <c r="DS39" i="18"/>
  <c r="DS38" i="18"/>
  <c r="DS43" i="18"/>
  <c r="DS41" i="18"/>
  <c r="DS33" i="18"/>
  <c r="DS42" i="18"/>
  <c r="DS32" i="18"/>
  <c r="DS31" i="18"/>
  <c r="DS30" i="18"/>
  <c r="DS29" i="18"/>
  <c r="DS28" i="18"/>
  <c r="DS27" i="18"/>
  <c r="DS26" i="18"/>
  <c r="DS25" i="18"/>
  <c r="DS24" i="18"/>
  <c r="DS34" i="18"/>
  <c r="DS37" i="18"/>
  <c r="DS36" i="18"/>
  <c r="DS22" i="18"/>
  <c r="DS20" i="18"/>
  <c r="DS18" i="18"/>
  <c r="DS16" i="18"/>
  <c r="DS23" i="18"/>
  <c r="DS19" i="18"/>
  <c r="DS35" i="18"/>
  <c r="DS15" i="18"/>
  <c r="DS14" i="18"/>
  <c r="DS13" i="18"/>
  <c r="DS12" i="18"/>
  <c r="DS11" i="18"/>
  <c r="DS10" i="18"/>
  <c r="DS9" i="18"/>
  <c r="DS8" i="18"/>
  <c r="DS7" i="18"/>
  <c r="DS40" i="18"/>
  <c r="DS6" i="18"/>
  <c r="DS17" i="18"/>
  <c r="DS21" i="18"/>
  <c r="CK49" i="18"/>
  <c r="CK47" i="18"/>
  <c r="CK46" i="18"/>
  <c r="CK48" i="18"/>
  <c r="CK45" i="18"/>
  <c r="CK50" i="18"/>
  <c r="CK43" i="18"/>
  <c r="CK42" i="18"/>
  <c r="CK44" i="18"/>
  <c r="CK39" i="18"/>
  <c r="CK32" i="18"/>
  <c r="CK31" i="18"/>
  <c r="CK30" i="18"/>
  <c r="CK29" i="18"/>
  <c r="CK28" i="18"/>
  <c r="CK27" i="18"/>
  <c r="CK26" i="18"/>
  <c r="CK25" i="18"/>
  <c r="CK24" i="18"/>
  <c r="CK41" i="18"/>
  <c r="CK40" i="18"/>
  <c r="CK37" i="18"/>
  <c r="CK36" i="18"/>
  <c r="CK33" i="18"/>
  <c r="CK35" i="18"/>
  <c r="CK22" i="18"/>
  <c r="CK20" i="18"/>
  <c r="CK18" i="18"/>
  <c r="CK16" i="18"/>
  <c r="CK34" i="18"/>
  <c r="CK23" i="18"/>
  <c r="CK19" i="18"/>
  <c r="CK17" i="18"/>
  <c r="CK15" i="18"/>
  <c r="CK14" i="18"/>
  <c r="CK21" i="18"/>
  <c r="CK6" i="18"/>
  <c r="CK13" i="18"/>
  <c r="CK12" i="18"/>
  <c r="CK11" i="18"/>
  <c r="CK10" i="18"/>
  <c r="CK9" i="18"/>
  <c r="CK8" i="18"/>
  <c r="CK7" i="18"/>
  <c r="CK38" i="18"/>
  <c r="DE48" i="18"/>
  <c r="DE46" i="18"/>
  <c r="DE50" i="18"/>
  <c r="DE47" i="18"/>
  <c r="DE49" i="18"/>
  <c r="DE44" i="18"/>
  <c r="DE41" i="18"/>
  <c r="DE40" i="18"/>
  <c r="DE39" i="18"/>
  <c r="DE38" i="18"/>
  <c r="DE43" i="18"/>
  <c r="DE37" i="18"/>
  <c r="DE36" i="18"/>
  <c r="DE35" i="18"/>
  <c r="DE34" i="18"/>
  <c r="DE45" i="18"/>
  <c r="DE42" i="18"/>
  <c r="DE33" i="18"/>
  <c r="DE30" i="18"/>
  <c r="DE29" i="18"/>
  <c r="DE28" i="18"/>
  <c r="DE27" i="18"/>
  <c r="DE26" i="18"/>
  <c r="DE25" i="18"/>
  <c r="DE24" i="18"/>
  <c r="DE31" i="18"/>
  <c r="DE32" i="18"/>
  <c r="DE22" i="18"/>
  <c r="DE20" i="18"/>
  <c r="DE18" i="18"/>
  <c r="DE21" i="18"/>
  <c r="DE17" i="18"/>
  <c r="DE19" i="18"/>
  <c r="DE23" i="18"/>
  <c r="DE16" i="18"/>
  <c r="DE6" i="18"/>
  <c r="DE15" i="18"/>
  <c r="DE14" i="18"/>
  <c r="DE13" i="18"/>
  <c r="DE12" i="18"/>
  <c r="DE11" i="18"/>
  <c r="DE10" i="18"/>
  <c r="DE9" i="18"/>
  <c r="DE8" i="18"/>
  <c r="DE7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CT49" i="18"/>
  <c r="CT50" i="18"/>
  <c r="CT48" i="18"/>
  <c r="CT46" i="18"/>
  <c r="CT45" i="18"/>
  <c r="CT44" i="18"/>
  <c r="CT39" i="18"/>
  <c r="CT38" i="18"/>
  <c r="CT40" i="18"/>
  <c r="CT33" i="18"/>
  <c r="CT30" i="18"/>
  <c r="CT29" i="18"/>
  <c r="CT28" i="18"/>
  <c r="CT27" i="18"/>
  <c r="CT26" i="18"/>
  <c r="CT25" i="18"/>
  <c r="CT24" i="18"/>
  <c r="CT23" i="18"/>
  <c r="CT22" i="18"/>
  <c r="CT21" i="18"/>
  <c r="CT20" i="18"/>
  <c r="CT19" i="18"/>
  <c r="CT18" i="18"/>
  <c r="CT17" i="18"/>
  <c r="CT43" i="18"/>
  <c r="CT41" i="18"/>
  <c r="CT32" i="18"/>
  <c r="CT31" i="18"/>
  <c r="CT47" i="18"/>
  <c r="CT42" i="18"/>
  <c r="CT35" i="18"/>
  <c r="CT34" i="18"/>
  <c r="CT37" i="18"/>
  <c r="CT16" i="18"/>
  <c r="CT36" i="18"/>
  <c r="CT15" i="18"/>
  <c r="CT14" i="18"/>
  <c r="CT13" i="18"/>
  <c r="CT12" i="18"/>
  <c r="CT11" i="18"/>
  <c r="CT10" i="18"/>
  <c r="CT9" i="18"/>
  <c r="CT8" i="18"/>
  <c r="CT7" i="18"/>
  <c r="CT6" i="18"/>
  <c r="DN50" i="18"/>
  <c r="DN48" i="18"/>
  <c r="DN46" i="18"/>
  <c r="DN45" i="18"/>
  <c r="DN47" i="18"/>
  <c r="DN44" i="18"/>
  <c r="DN43" i="18"/>
  <c r="DN42" i="18"/>
  <c r="DN49" i="18"/>
  <c r="DN41" i="18"/>
  <c r="DN40" i="18"/>
  <c r="DN30" i="18"/>
  <c r="DN29" i="18"/>
  <c r="DN28" i="18"/>
  <c r="DN27" i="18"/>
  <c r="DN26" i="18"/>
  <c r="DN25" i="18"/>
  <c r="DN24" i="18"/>
  <c r="DN23" i="18"/>
  <c r="DN22" i="18"/>
  <c r="DN21" i="18"/>
  <c r="DN20" i="18"/>
  <c r="DN19" i="18"/>
  <c r="DN18" i="18"/>
  <c r="DN17" i="18"/>
  <c r="DN38" i="18"/>
  <c r="DN37" i="18"/>
  <c r="DN36" i="18"/>
  <c r="DN35" i="18"/>
  <c r="DN34" i="18"/>
  <c r="DN39" i="18"/>
  <c r="DN31" i="18"/>
  <c r="DN32" i="18"/>
  <c r="DN16" i="18"/>
  <c r="DN33" i="18"/>
  <c r="DN6" i="18"/>
  <c r="DN15" i="18"/>
  <c r="DN14" i="18"/>
  <c r="DN13" i="18"/>
  <c r="DN12" i="18"/>
  <c r="DN11" i="18"/>
  <c r="DN10" i="18"/>
  <c r="DN9" i="18"/>
  <c r="DN8" i="18"/>
  <c r="DN7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CJ50" i="18"/>
  <c r="CJ45" i="18"/>
  <c r="CJ48" i="18"/>
  <c r="CJ46" i="18"/>
  <c r="CJ44" i="18"/>
  <c r="CJ43" i="18"/>
  <c r="CJ42" i="18"/>
  <c r="CJ41" i="18"/>
  <c r="CJ40" i="18"/>
  <c r="CJ39" i="18"/>
  <c r="CJ38" i="18"/>
  <c r="CJ49" i="18"/>
  <c r="CJ47" i="18"/>
  <c r="CJ37" i="18"/>
  <c r="CJ36" i="18"/>
  <c r="CJ35" i="18"/>
  <c r="CJ34" i="18"/>
  <c r="CJ33" i="18"/>
  <c r="CJ32" i="18"/>
  <c r="CJ31" i="18"/>
  <c r="CJ23" i="18"/>
  <c r="CJ21" i="18"/>
  <c r="CJ19" i="18"/>
  <c r="CJ30" i="18"/>
  <c r="CJ28" i="18"/>
  <c r="CJ26" i="18"/>
  <c r="CJ24" i="18"/>
  <c r="CJ27" i="18"/>
  <c r="CJ18" i="18"/>
  <c r="CJ17" i="18"/>
  <c r="CJ15" i="18"/>
  <c r="CJ14" i="18"/>
  <c r="CJ13" i="18"/>
  <c r="CJ12" i="18"/>
  <c r="CJ11" i="18"/>
  <c r="CJ10" i="18"/>
  <c r="CJ9" i="18"/>
  <c r="CJ8" i="18"/>
  <c r="CJ7" i="18"/>
  <c r="CJ20" i="18"/>
  <c r="CJ16" i="18"/>
  <c r="CJ29" i="18"/>
  <c r="CJ22" i="18"/>
  <c r="CJ6" i="18"/>
  <c r="CJ25" i="18"/>
  <c r="DD50" i="18"/>
  <c r="DD49" i="18"/>
  <c r="DD46" i="18"/>
  <c r="DD45" i="18"/>
  <c r="DD48" i="18"/>
  <c r="DD44" i="18"/>
  <c r="DD43" i="18"/>
  <c r="DD42" i="18"/>
  <c r="DD41" i="18"/>
  <c r="DD40" i="18"/>
  <c r="DD39" i="18"/>
  <c r="DD38" i="18"/>
  <c r="DD47" i="18"/>
  <c r="DD37" i="18"/>
  <c r="DD36" i="18"/>
  <c r="DD35" i="18"/>
  <c r="DD34" i="18"/>
  <c r="DD33" i="18"/>
  <c r="DD32" i="18"/>
  <c r="DD31" i="18"/>
  <c r="DD29" i="18"/>
  <c r="DD27" i="18"/>
  <c r="DD25" i="18"/>
  <c r="DD22" i="18"/>
  <c r="DD20" i="18"/>
  <c r="DD18" i="18"/>
  <c r="DD24" i="18"/>
  <c r="DD16" i="18"/>
  <c r="DD15" i="18"/>
  <c r="DD14" i="18"/>
  <c r="DD13" i="18"/>
  <c r="DD12" i="18"/>
  <c r="DD11" i="18"/>
  <c r="DD10" i="18"/>
  <c r="DD9" i="18"/>
  <c r="DD8" i="18"/>
  <c r="DD7" i="18"/>
  <c r="DD30" i="18"/>
  <c r="DD26" i="18"/>
  <c r="DD21" i="18"/>
  <c r="DD17" i="18"/>
  <c r="DD28" i="18"/>
  <c r="DD19" i="18"/>
  <c r="DD6" i="18"/>
  <c r="DD23" i="18"/>
  <c r="BV48" i="18"/>
  <c r="BV47" i="18"/>
  <c r="BV50" i="18"/>
  <c r="BV49" i="18"/>
  <c r="BV46" i="18"/>
  <c r="CP50" i="18"/>
  <c r="CP49" i="18"/>
  <c r="CP47" i="18"/>
  <c r="CP45" i="18"/>
  <c r="CP44" i="18"/>
  <c r="CP43" i="18"/>
  <c r="CP42" i="18"/>
  <c r="CP41" i="18"/>
  <c r="CP40" i="18"/>
  <c r="CP39" i="18"/>
  <c r="CP38" i="18"/>
  <c r="CP46" i="18"/>
  <c r="CP37" i="18"/>
  <c r="CP36" i="18"/>
  <c r="CP35" i="18"/>
  <c r="CP34" i="18"/>
  <c r="CP33" i="18"/>
  <c r="CP32" i="18"/>
  <c r="CP48" i="18"/>
  <c r="CP29" i="18"/>
  <c r="CP27" i="18"/>
  <c r="CP25" i="18"/>
  <c r="CP23" i="18"/>
  <c r="CP21" i="18"/>
  <c r="CP19" i="18"/>
  <c r="CP17" i="18"/>
  <c r="CP24" i="18"/>
  <c r="CP20" i="18"/>
  <c r="CP15" i="18"/>
  <c r="CP14" i="18"/>
  <c r="CP13" i="18"/>
  <c r="CP12" i="18"/>
  <c r="CP11" i="18"/>
  <c r="CP10" i="18"/>
  <c r="CP9" i="18"/>
  <c r="CP8" i="18"/>
  <c r="CP7" i="18"/>
  <c r="CP30" i="18"/>
  <c r="CP26" i="18"/>
  <c r="CP22" i="18"/>
  <c r="CP28" i="18"/>
  <c r="CP18" i="18"/>
  <c r="CP16" i="18"/>
  <c r="CP6" i="18"/>
  <c r="CP31" i="18"/>
  <c r="DJ50" i="18"/>
  <c r="DJ48" i="18"/>
  <c r="DJ47" i="18"/>
  <c r="DJ45" i="18"/>
  <c r="DJ49" i="18"/>
  <c r="DJ46" i="18"/>
  <c r="DJ44" i="18"/>
  <c r="DJ43" i="18"/>
  <c r="DJ42" i="18"/>
  <c r="DJ41" i="18"/>
  <c r="DJ40" i="18"/>
  <c r="DJ39" i="18"/>
  <c r="DJ38" i="18"/>
  <c r="DJ37" i="18"/>
  <c r="DJ36" i="18"/>
  <c r="DJ35" i="18"/>
  <c r="DJ34" i="18"/>
  <c r="DJ33" i="18"/>
  <c r="DJ32" i="18"/>
  <c r="DJ31" i="18"/>
  <c r="DJ29" i="18"/>
  <c r="DJ27" i="18"/>
  <c r="DJ25" i="18"/>
  <c r="DJ22" i="18"/>
  <c r="DJ20" i="18"/>
  <c r="DJ18" i="18"/>
  <c r="DJ23" i="18"/>
  <c r="DJ19" i="18"/>
  <c r="DJ16" i="18"/>
  <c r="DJ15" i="18"/>
  <c r="DJ14" i="18"/>
  <c r="DJ13" i="18"/>
  <c r="DJ12" i="18"/>
  <c r="DJ11" i="18"/>
  <c r="DJ10" i="18"/>
  <c r="DJ9" i="18"/>
  <c r="DJ8" i="18"/>
  <c r="DJ7" i="18"/>
  <c r="DJ28" i="18"/>
  <c r="DJ17" i="18"/>
  <c r="DJ24" i="18"/>
  <c r="DJ21" i="18"/>
  <c r="DJ6" i="18"/>
  <c r="DJ30" i="18"/>
  <c r="DJ26" i="18"/>
  <c r="AA15" i="17"/>
  <c r="AA16" i="17"/>
  <c r="AA39" i="17"/>
  <c r="AA28" i="17"/>
  <c r="AA14" i="17"/>
  <c r="AA24" i="17"/>
  <c r="AA49" i="17"/>
  <c r="AA35" i="17"/>
  <c r="AA22" i="17"/>
  <c r="AA10" i="17"/>
  <c r="AA29" i="17"/>
  <c r="AA17" i="17"/>
  <c r="AA48" i="17"/>
  <c r="AA12" i="17"/>
  <c r="AA34" i="17"/>
  <c r="AA23" i="17"/>
  <c r="AA44" i="17"/>
  <c r="AA38" i="17"/>
  <c r="AA45" i="17"/>
  <c r="AA47" i="17"/>
  <c r="AA33" i="17"/>
  <c r="AA46" i="17"/>
  <c r="AA9" i="17"/>
  <c r="AA5" i="17"/>
  <c r="AA27" i="17"/>
  <c r="AA36" i="17"/>
  <c r="AA21" i="17"/>
  <c r="AA25" i="17"/>
  <c r="AA20" i="17"/>
  <c r="AA40" i="17"/>
  <c r="AA8" i="17"/>
  <c r="AA13" i="17"/>
  <c r="AA37" i="17"/>
  <c r="AA42" i="17"/>
  <c r="AA18" i="17"/>
  <c r="AA41" i="17"/>
  <c r="AA32" i="17"/>
  <c r="AA19" i="17"/>
  <c r="AA43" i="17"/>
  <c r="AA31" i="17"/>
  <c r="AA11" i="17"/>
  <c r="AA26" i="17"/>
  <c r="AA7" i="17"/>
  <c r="AA30" i="17"/>
  <c r="AA6" i="17"/>
  <c r="BD7" i="5"/>
  <c r="X5" i="17"/>
  <c r="X45" i="17"/>
  <c r="X31" i="17"/>
  <c r="X16" i="17"/>
  <c r="X8" i="17"/>
  <c r="X20" i="17"/>
  <c r="X17" i="17"/>
  <c r="X38" i="17"/>
  <c r="X29" i="17"/>
  <c r="X6" i="17"/>
  <c r="X27" i="17"/>
  <c r="X39" i="17"/>
  <c r="X40" i="17"/>
  <c r="X34" i="17"/>
  <c r="X12" i="17"/>
  <c r="X15" i="17"/>
  <c r="X28" i="17"/>
  <c r="X14" i="17"/>
  <c r="X10" i="17"/>
  <c r="X23" i="17"/>
  <c r="X19" i="17"/>
  <c r="X13" i="17"/>
  <c r="X11" i="17"/>
  <c r="X44" i="17"/>
  <c r="X49" i="17"/>
  <c r="X21" i="17"/>
  <c r="X47" i="17"/>
  <c r="X33" i="17"/>
  <c r="X25" i="17"/>
  <c r="X26" i="17"/>
  <c r="X9" i="17"/>
  <c r="X18" i="17"/>
  <c r="X35" i="17"/>
  <c r="X32" i="17"/>
  <c r="X48" i="17"/>
  <c r="X41" i="17"/>
  <c r="X36" i="17"/>
  <c r="X42" i="17"/>
  <c r="X30" i="17"/>
  <c r="X24" i="17"/>
  <c r="X22" i="17"/>
  <c r="X37" i="17"/>
  <c r="X43" i="17"/>
  <c r="X7" i="17"/>
  <c r="X46" i="17"/>
  <c r="BC8" i="5"/>
  <c r="BW39" i="17"/>
  <c r="BW48" i="17"/>
  <c r="BW27" i="17"/>
  <c r="BW17" i="17"/>
  <c r="BW15" i="17"/>
  <c r="BW16" i="17"/>
  <c r="BW14" i="17"/>
  <c r="BW46" i="17"/>
  <c r="BW10" i="17"/>
  <c r="BW23" i="17"/>
  <c r="BW24" i="17"/>
  <c r="BW12" i="17"/>
  <c r="BW28" i="17"/>
  <c r="BW35" i="17"/>
  <c r="BW34" i="17"/>
  <c r="BW38" i="17"/>
  <c r="BW5" i="17"/>
  <c r="BW44" i="17"/>
  <c r="BW36" i="17"/>
  <c r="BW29" i="17"/>
  <c r="BW45" i="17"/>
  <c r="BW21" i="17"/>
  <c r="BW41" i="17"/>
  <c r="BW33" i="17"/>
  <c r="BW9" i="17"/>
  <c r="BW11" i="17"/>
  <c r="BW32" i="17"/>
  <c r="BW49" i="17"/>
  <c r="BW22" i="17"/>
  <c r="BW47" i="17"/>
  <c r="BW40" i="17"/>
  <c r="BW43" i="17"/>
  <c r="BW31" i="17"/>
  <c r="BW25" i="17"/>
  <c r="BW42" i="17"/>
  <c r="BW19" i="17"/>
  <c r="BW7" i="17"/>
  <c r="BW30" i="17"/>
  <c r="BW20" i="17"/>
  <c r="BW8" i="17"/>
  <c r="BW26" i="17"/>
  <c r="BW13" i="17"/>
  <c r="BW37" i="17"/>
  <c r="BW18" i="17"/>
  <c r="BW6" i="17"/>
  <c r="CM6" i="17"/>
  <c r="CM10" i="17"/>
  <c r="CM14" i="17"/>
  <c r="CM18" i="17"/>
  <c r="CM22" i="17"/>
  <c r="CM26" i="17"/>
  <c r="CM30" i="17"/>
  <c r="CM34" i="17"/>
  <c r="CM38" i="17"/>
  <c r="CM42" i="17"/>
  <c r="CM46" i="17"/>
  <c r="CM5" i="17"/>
  <c r="CM9" i="17"/>
  <c r="CM13" i="17"/>
  <c r="CM17" i="17"/>
  <c r="CM21" i="17"/>
  <c r="CM25" i="17"/>
  <c r="CM29" i="17"/>
  <c r="CM33" i="17"/>
  <c r="CM37" i="17"/>
  <c r="CM41" i="17"/>
  <c r="CM45" i="17"/>
  <c r="CM49" i="17"/>
  <c r="CM8" i="17"/>
  <c r="CM12" i="17"/>
  <c r="CM16" i="17"/>
  <c r="CM20" i="17"/>
  <c r="CM24" i="17"/>
  <c r="CM28" i="17"/>
  <c r="CM32" i="17"/>
  <c r="CM36" i="17"/>
  <c r="CM40" i="17"/>
  <c r="CM44" i="17"/>
  <c r="CM48" i="17"/>
  <c r="CM11" i="17"/>
  <c r="CM19" i="17"/>
  <c r="CM27" i="17"/>
  <c r="CM35" i="17"/>
  <c r="CM43" i="17"/>
  <c r="CM31" i="17"/>
  <c r="CM47" i="17"/>
  <c r="CM7" i="17"/>
  <c r="CM23" i="17"/>
  <c r="CM39" i="17"/>
  <c r="CM15" i="17"/>
  <c r="AU48" i="17"/>
  <c r="AU17" i="17"/>
  <c r="AU39" i="17"/>
  <c r="AU27" i="17"/>
  <c r="AU16" i="17"/>
  <c r="AU36" i="17"/>
  <c r="AU43" i="17"/>
  <c r="AU28" i="17"/>
  <c r="AU14" i="17"/>
  <c r="AU24" i="17"/>
  <c r="AU12" i="17"/>
  <c r="AU34" i="17"/>
  <c r="AU46" i="17"/>
  <c r="AU38" i="17"/>
  <c r="AU23" i="17"/>
  <c r="AU9" i="17"/>
  <c r="AU5" i="17"/>
  <c r="AU47" i="17"/>
  <c r="AU11" i="17"/>
  <c r="AU32" i="17"/>
  <c r="AU49" i="17"/>
  <c r="AU10" i="17"/>
  <c r="AU45" i="17"/>
  <c r="AU41" i="17"/>
  <c r="AU44" i="17"/>
  <c r="AU29" i="17"/>
  <c r="AU21" i="17"/>
  <c r="AU25" i="17"/>
  <c r="AU22" i="17"/>
  <c r="AU33" i="17"/>
  <c r="AU20" i="17"/>
  <c r="AU26" i="17"/>
  <c r="AU42" i="17"/>
  <c r="AU18" i="17"/>
  <c r="AU15" i="17"/>
  <c r="AU35" i="17"/>
  <c r="AU19" i="17"/>
  <c r="AU30" i="17"/>
  <c r="AU40" i="17"/>
  <c r="AU13" i="17"/>
  <c r="AU37" i="17"/>
  <c r="AU7" i="17"/>
  <c r="AU8" i="17"/>
  <c r="AU31" i="17"/>
  <c r="AU6" i="17"/>
  <c r="BI7" i="5"/>
  <c r="CA17" i="17"/>
  <c r="CA39" i="17"/>
  <c r="CA27" i="17"/>
  <c r="CA24" i="17"/>
  <c r="CA34" i="17"/>
  <c r="CA15" i="17"/>
  <c r="CA16" i="17"/>
  <c r="CA36" i="17"/>
  <c r="CA49" i="17"/>
  <c r="CA28" i="17"/>
  <c r="CA22" i="17"/>
  <c r="CA29" i="17"/>
  <c r="CA12" i="17"/>
  <c r="CA35" i="17"/>
  <c r="CA38" i="17"/>
  <c r="CA23" i="17"/>
  <c r="CA48" i="17"/>
  <c r="CA14" i="17"/>
  <c r="CA46" i="17"/>
  <c r="CA25" i="17"/>
  <c r="CA47" i="17"/>
  <c r="CA44" i="17"/>
  <c r="CA21" i="17"/>
  <c r="CA5" i="17"/>
  <c r="CA11" i="17"/>
  <c r="CA32" i="17"/>
  <c r="CA10" i="17"/>
  <c r="CA45" i="17"/>
  <c r="CA9" i="17"/>
  <c r="CA20" i="17"/>
  <c r="CA40" i="17"/>
  <c r="CA13" i="17"/>
  <c r="CA30" i="17"/>
  <c r="CA41" i="17"/>
  <c r="CA33" i="17"/>
  <c r="CA26" i="17"/>
  <c r="CA37" i="17"/>
  <c r="CA43" i="17"/>
  <c r="CA31" i="17"/>
  <c r="CA7" i="17"/>
  <c r="CA18" i="17"/>
  <c r="CA6" i="17"/>
  <c r="CA8" i="17"/>
  <c r="CA19" i="17"/>
  <c r="CA42" i="17"/>
  <c r="CQ7" i="17"/>
  <c r="CQ11" i="17"/>
  <c r="CQ15" i="17"/>
  <c r="CQ19" i="17"/>
  <c r="CQ23" i="17"/>
  <c r="CQ27" i="17"/>
  <c r="CQ31" i="17"/>
  <c r="CQ35" i="17"/>
  <c r="CQ39" i="17"/>
  <c r="CQ43" i="17"/>
  <c r="CQ47" i="17"/>
  <c r="CQ6" i="17"/>
  <c r="CQ10" i="17"/>
  <c r="CQ14" i="17"/>
  <c r="CQ18" i="17"/>
  <c r="CQ22" i="17"/>
  <c r="CQ26" i="17"/>
  <c r="CQ30" i="17"/>
  <c r="CQ34" i="17"/>
  <c r="CQ38" i="17"/>
  <c r="CQ42" i="17"/>
  <c r="CQ46" i="17"/>
  <c r="CQ5" i="17"/>
  <c r="CQ9" i="17"/>
  <c r="CQ13" i="17"/>
  <c r="CQ17" i="17"/>
  <c r="CQ21" i="17"/>
  <c r="CQ25" i="17"/>
  <c r="CQ29" i="17"/>
  <c r="CQ33" i="17"/>
  <c r="CQ37" i="17"/>
  <c r="CQ41" i="17"/>
  <c r="CQ45" i="17"/>
  <c r="CQ49" i="17"/>
  <c r="CQ8" i="17"/>
  <c r="CQ16" i="17"/>
  <c r="CQ24" i="17"/>
  <c r="CQ32" i="17"/>
  <c r="CQ40" i="17"/>
  <c r="CQ48" i="17"/>
  <c r="CQ28" i="17"/>
  <c r="CQ44" i="17"/>
  <c r="CQ20" i="17"/>
  <c r="CQ36" i="17"/>
  <c r="CQ12" i="17"/>
  <c r="BP46" i="17"/>
  <c r="BP17" i="17"/>
  <c r="BP15" i="17"/>
  <c r="BP22" i="17"/>
  <c r="BP27" i="17"/>
  <c r="BP14" i="17"/>
  <c r="BP48" i="17"/>
  <c r="BP36" i="17"/>
  <c r="BP12" i="17"/>
  <c r="BP49" i="17"/>
  <c r="BP28" i="17"/>
  <c r="BP10" i="17"/>
  <c r="BP29" i="17"/>
  <c r="BP38" i="17"/>
  <c r="BP24" i="17"/>
  <c r="BP35" i="17"/>
  <c r="BP44" i="17"/>
  <c r="BP45" i="17"/>
  <c r="BP9" i="17"/>
  <c r="BP41" i="17"/>
  <c r="BP33" i="17"/>
  <c r="BP39" i="17"/>
  <c r="BP5" i="17"/>
  <c r="BP25" i="17"/>
  <c r="BP47" i="17"/>
  <c r="BP11" i="17"/>
  <c r="BP34" i="17"/>
  <c r="BP23" i="17"/>
  <c r="BP16" i="17"/>
  <c r="BP21" i="17"/>
  <c r="BP7" i="17"/>
  <c r="BP32" i="17"/>
  <c r="BP8" i="17"/>
  <c r="BP26" i="17"/>
  <c r="BP13" i="17"/>
  <c r="BP43" i="17"/>
  <c r="BP6" i="17"/>
  <c r="BP20" i="17"/>
  <c r="BP19" i="17"/>
  <c r="BP37" i="17"/>
  <c r="BP18" i="17"/>
  <c r="BP40" i="17"/>
  <c r="BP31" i="17"/>
  <c r="BP42" i="17"/>
  <c r="BP30" i="17"/>
  <c r="CM8" i="13"/>
  <c r="CF17" i="17"/>
  <c r="CF39" i="17"/>
  <c r="CF15" i="17"/>
  <c r="CF48" i="17"/>
  <c r="CF14" i="17"/>
  <c r="CF10" i="17"/>
  <c r="CF16" i="17"/>
  <c r="CF24" i="17"/>
  <c r="CF49" i="17"/>
  <c r="CF28" i="17"/>
  <c r="CF46" i="17"/>
  <c r="CF29" i="17"/>
  <c r="CF27" i="17"/>
  <c r="CF12" i="17"/>
  <c r="CF35" i="17"/>
  <c r="CF34" i="17"/>
  <c r="CF23" i="17"/>
  <c r="CF22" i="17"/>
  <c r="CF5" i="17"/>
  <c r="CF25" i="17"/>
  <c r="CF47" i="17"/>
  <c r="CF36" i="17"/>
  <c r="CF38" i="17"/>
  <c r="CF21" i="17"/>
  <c r="CF44" i="17"/>
  <c r="CF45" i="17"/>
  <c r="CF9" i="17"/>
  <c r="CF11" i="17"/>
  <c r="CF32" i="17"/>
  <c r="CF13" i="17"/>
  <c r="CF37" i="17"/>
  <c r="CF42" i="17"/>
  <c r="CF41" i="17"/>
  <c r="CF33" i="17"/>
  <c r="CF8" i="17"/>
  <c r="CF19" i="17"/>
  <c r="CF43" i="17"/>
  <c r="CF30" i="17"/>
  <c r="CF6" i="17"/>
  <c r="CF20" i="17"/>
  <c r="CF40" i="17"/>
  <c r="CF26" i="17"/>
  <c r="CF31" i="17"/>
  <c r="CF7" i="17"/>
  <c r="CF18" i="17"/>
  <c r="CQ8" i="13"/>
  <c r="CV9" i="17"/>
  <c r="CV13" i="17"/>
  <c r="CV17" i="17"/>
  <c r="CV21" i="17"/>
  <c r="CV25" i="17"/>
  <c r="CV29" i="17"/>
  <c r="CV33" i="17"/>
  <c r="CV37" i="17"/>
  <c r="CV41" i="17"/>
  <c r="CV45" i="17"/>
  <c r="CV49" i="17"/>
  <c r="CV8" i="17"/>
  <c r="CV12" i="17"/>
  <c r="CV16" i="17"/>
  <c r="CV20" i="17"/>
  <c r="CV24" i="17"/>
  <c r="CV28" i="17"/>
  <c r="CV32" i="17"/>
  <c r="CV36" i="17"/>
  <c r="CV40" i="17"/>
  <c r="CV44" i="17"/>
  <c r="CV48" i="17"/>
  <c r="CV5" i="17"/>
  <c r="CV7" i="17"/>
  <c r="CV11" i="17"/>
  <c r="CV15" i="17"/>
  <c r="CV19" i="17"/>
  <c r="CV23" i="17"/>
  <c r="CV27" i="17"/>
  <c r="CV31" i="17"/>
  <c r="CV35" i="17"/>
  <c r="CV39" i="17"/>
  <c r="CV43" i="17"/>
  <c r="CV47" i="17"/>
  <c r="CV6" i="17"/>
  <c r="CV14" i="17"/>
  <c r="CV22" i="17"/>
  <c r="CV30" i="17"/>
  <c r="CV38" i="17"/>
  <c r="CV46" i="17"/>
  <c r="CV10" i="17"/>
  <c r="CV18" i="17"/>
  <c r="CV26" i="17"/>
  <c r="CV34" i="17"/>
  <c r="CV42" i="17"/>
  <c r="AQ15" i="17"/>
  <c r="AQ39" i="17"/>
  <c r="AQ17" i="17"/>
  <c r="AQ16" i="17"/>
  <c r="AQ48" i="17"/>
  <c r="AQ27" i="17"/>
  <c r="AQ12" i="17"/>
  <c r="AQ14" i="17"/>
  <c r="AQ35" i="17"/>
  <c r="AQ36" i="17"/>
  <c r="AQ24" i="17"/>
  <c r="AQ28" i="17"/>
  <c r="AQ10" i="17"/>
  <c r="AQ22" i="17"/>
  <c r="AQ34" i="17"/>
  <c r="AQ38" i="17"/>
  <c r="AQ23" i="17"/>
  <c r="AQ21" i="17"/>
  <c r="AQ47" i="17"/>
  <c r="AQ11" i="17"/>
  <c r="AQ32" i="17"/>
  <c r="AQ46" i="17"/>
  <c r="AQ29" i="17"/>
  <c r="AQ45" i="17"/>
  <c r="AQ41" i="17"/>
  <c r="AQ5" i="17"/>
  <c r="AQ25" i="17"/>
  <c r="AQ49" i="17"/>
  <c r="AQ9" i="17"/>
  <c r="AQ8" i="17"/>
  <c r="AQ19" i="17"/>
  <c r="AQ42" i="17"/>
  <c r="AQ30" i="17"/>
  <c r="AQ18" i="17"/>
  <c r="AQ20" i="17"/>
  <c r="AQ43" i="17"/>
  <c r="AQ44" i="17"/>
  <c r="AQ40" i="17"/>
  <c r="AQ26" i="17"/>
  <c r="AQ13" i="17"/>
  <c r="AQ37" i="17"/>
  <c r="AQ7" i="17"/>
  <c r="AQ6" i="17"/>
  <c r="AQ31" i="17"/>
  <c r="AQ33" i="17"/>
  <c r="BH7" i="5"/>
  <c r="BG9" i="17"/>
  <c r="BG16" i="17"/>
  <c r="BG48" i="17"/>
  <c r="BG39" i="17"/>
  <c r="BG17" i="17"/>
  <c r="BG27" i="17"/>
  <c r="BG15" i="17"/>
  <c r="BG12" i="17"/>
  <c r="BG46" i="17"/>
  <c r="BG49" i="17"/>
  <c r="BG22" i="17"/>
  <c r="BG10" i="17"/>
  <c r="BG24" i="17"/>
  <c r="BG34" i="17"/>
  <c r="BG23" i="17"/>
  <c r="BG28" i="17"/>
  <c r="BG14" i="17"/>
  <c r="BG45" i="17"/>
  <c r="BG11" i="17"/>
  <c r="BG35" i="17"/>
  <c r="BG44" i="17"/>
  <c r="BG29" i="17"/>
  <c r="BG21" i="17"/>
  <c r="BG33" i="17"/>
  <c r="BG32" i="17"/>
  <c r="BG36" i="17"/>
  <c r="BG38" i="17"/>
  <c r="BG40" i="17"/>
  <c r="BG13" i="17"/>
  <c r="BG43" i="17"/>
  <c r="BG7" i="17"/>
  <c r="BG42" i="17"/>
  <c r="BG18" i="17"/>
  <c r="BG5" i="17"/>
  <c r="BG25" i="17"/>
  <c r="BG20" i="17"/>
  <c r="BG26" i="17"/>
  <c r="BG19" i="17"/>
  <c r="BG30" i="17"/>
  <c r="BG41" i="17"/>
  <c r="BG37" i="17"/>
  <c r="BG31" i="17"/>
  <c r="BG6" i="17"/>
  <c r="BG47" i="17"/>
  <c r="BG8" i="17"/>
  <c r="AM6" i="3"/>
  <c r="BL7" i="5"/>
  <c r="CL8" i="13"/>
  <c r="CB17" i="17"/>
  <c r="CB39" i="17"/>
  <c r="CB16" i="17"/>
  <c r="CB48" i="17"/>
  <c r="CB35" i="17"/>
  <c r="CB36" i="17"/>
  <c r="CB34" i="17"/>
  <c r="CB22" i="17"/>
  <c r="CB15" i="17"/>
  <c r="CB12" i="17"/>
  <c r="CB14" i="17"/>
  <c r="CB10" i="17"/>
  <c r="CB29" i="17"/>
  <c r="CB45" i="17"/>
  <c r="CB9" i="17"/>
  <c r="CB32" i="17"/>
  <c r="CB27" i="17"/>
  <c r="CB24" i="17"/>
  <c r="CB49" i="17"/>
  <c r="CB28" i="17"/>
  <c r="CB46" i="17"/>
  <c r="CB23" i="17"/>
  <c r="CB41" i="17"/>
  <c r="CB5" i="17"/>
  <c r="CB25" i="17"/>
  <c r="CB38" i="17"/>
  <c r="CB11" i="17"/>
  <c r="CB33" i="17"/>
  <c r="CB44" i="17"/>
  <c r="CB21" i="17"/>
  <c r="CB20" i="17"/>
  <c r="CB26" i="17"/>
  <c r="CB31" i="17"/>
  <c r="CB13" i="17"/>
  <c r="CB18" i="17"/>
  <c r="CB6" i="17"/>
  <c r="CB47" i="17"/>
  <c r="CB40" i="17"/>
  <c r="CB43" i="17"/>
  <c r="CB7" i="17"/>
  <c r="CB42" i="17"/>
  <c r="CB8" i="17"/>
  <c r="CB19" i="17"/>
  <c r="CB37" i="17"/>
  <c r="CB30" i="17"/>
  <c r="CP8" i="13"/>
  <c r="CR8" i="17"/>
  <c r="CR12" i="17"/>
  <c r="CR16" i="17"/>
  <c r="CR20" i="17"/>
  <c r="CR24" i="17"/>
  <c r="CR28" i="17"/>
  <c r="CR32" i="17"/>
  <c r="CR36" i="17"/>
  <c r="CR40" i="17"/>
  <c r="CR44" i="17"/>
  <c r="CR48" i="17"/>
  <c r="CR5" i="17"/>
  <c r="CR7" i="17"/>
  <c r="CR11" i="17"/>
  <c r="CR15" i="17"/>
  <c r="CR19" i="17"/>
  <c r="CR23" i="17"/>
  <c r="CR27" i="17"/>
  <c r="CR31" i="17"/>
  <c r="CR35" i="17"/>
  <c r="CR39" i="17"/>
  <c r="CR43" i="17"/>
  <c r="CR47" i="17"/>
  <c r="CR6" i="17"/>
  <c r="CR10" i="17"/>
  <c r="CR14" i="17"/>
  <c r="CR18" i="17"/>
  <c r="CR22" i="17"/>
  <c r="CR26" i="17"/>
  <c r="CR30" i="17"/>
  <c r="CR34" i="17"/>
  <c r="CR38" i="17"/>
  <c r="CR42" i="17"/>
  <c r="CR46" i="17"/>
  <c r="CR13" i="17"/>
  <c r="CR21" i="17"/>
  <c r="CR29" i="17"/>
  <c r="CR37" i="17"/>
  <c r="CR45" i="17"/>
  <c r="CR17" i="17"/>
  <c r="CR33" i="17"/>
  <c r="CR49" i="17"/>
  <c r="CR9" i="17"/>
  <c r="CR25" i="17"/>
  <c r="CR41" i="17"/>
  <c r="H26" i="17"/>
  <c r="H6" i="17"/>
  <c r="H46" i="17"/>
  <c r="H30" i="17"/>
  <c r="H27" i="17"/>
  <c r="H39" i="17"/>
  <c r="H18" i="17"/>
  <c r="H22" i="17"/>
  <c r="H32" i="17"/>
  <c r="H15" i="17"/>
  <c r="H8" i="17"/>
  <c r="H20" i="17"/>
  <c r="H34" i="17"/>
  <c r="H10" i="17"/>
  <c r="H44" i="17"/>
  <c r="H42" i="17"/>
  <c r="H28" i="17"/>
  <c r="H17" i="17"/>
  <c r="H16" i="17"/>
  <c r="H38" i="17"/>
  <c r="H43" i="17"/>
  <c r="H19" i="17"/>
  <c r="H29" i="17"/>
  <c r="H49" i="17"/>
  <c r="H14" i="17"/>
  <c r="H7" i="17"/>
  <c r="H21" i="17"/>
  <c r="H25" i="17"/>
  <c r="H45" i="17"/>
  <c r="H41" i="17"/>
  <c r="H40" i="17"/>
  <c r="H31" i="17"/>
  <c r="H5" i="17"/>
  <c r="H9" i="17"/>
  <c r="H48" i="17"/>
  <c r="H37" i="17"/>
  <c r="H36" i="17"/>
  <c r="H23" i="17"/>
  <c r="H33" i="17"/>
  <c r="H24" i="17"/>
  <c r="H12" i="17"/>
  <c r="H35" i="17"/>
  <c r="H11" i="17"/>
  <c r="H13" i="17"/>
  <c r="H47" i="17"/>
  <c r="AY8" i="5"/>
  <c r="AE42" i="17"/>
  <c r="AE39" i="17"/>
  <c r="AE27" i="17"/>
  <c r="AE16" i="17"/>
  <c r="AE28" i="17"/>
  <c r="AE17" i="17"/>
  <c r="AE48" i="17"/>
  <c r="AE49" i="17"/>
  <c r="AE13" i="17"/>
  <c r="AE47" i="17"/>
  <c r="AE12" i="17"/>
  <c r="AE36" i="17"/>
  <c r="AE7" i="17"/>
  <c r="AE15" i="17"/>
  <c r="AE33" i="17"/>
  <c r="AE11" i="17"/>
  <c r="AE46" i="17"/>
  <c r="AE38" i="17"/>
  <c r="AE24" i="17"/>
  <c r="AE44" i="17"/>
  <c r="AE14" i="17"/>
  <c r="AE34" i="17"/>
  <c r="AE22" i="17"/>
  <c r="AE10" i="17"/>
  <c r="AE29" i="17"/>
  <c r="AE40" i="17"/>
  <c r="AE23" i="17"/>
  <c r="AE9" i="17"/>
  <c r="AE5" i="17"/>
  <c r="AE26" i="17"/>
  <c r="AE45" i="17"/>
  <c r="AE8" i="17"/>
  <c r="AE21" i="17"/>
  <c r="AE43" i="17"/>
  <c r="AE6" i="17"/>
  <c r="AE37" i="17"/>
  <c r="AE25" i="17"/>
  <c r="AE30" i="17"/>
  <c r="AE35" i="17"/>
  <c r="AE41" i="17"/>
  <c r="AE32" i="17"/>
  <c r="AE20" i="17"/>
  <c r="AE31" i="17"/>
  <c r="AE18" i="17"/>
  <c r="AE19" i="17"/>
  <c r="BE7" i="5"/>
  <c r="AR47" i="17"/>
  <c r="AR31" i="17"/>
  <c r="AR28" i="17"/>
  <c r="AR16" i="17"/>
  <c r="AR10" i="17"/>
  <c r="AR39" i="17"/>
  <c r="AR36" i="17"/>
  <c r="AR27" i="17"/>
  <c r="AR35" i="17"/>
  <c r="AR46" i="17"/>
  <c r="AR34" i="17"/>
  <c r="AR29" i="17"/>
  <c r="AR23" i="17"/>
  <c r="AR17" i="17"/>
  <c r="AR14" i="17"/>
  <c r="AR48" i="17"/>
  <c r="AR24" i="17"/>
  <c r="AR12" i="17"/>
  <c r="AR22" i="17"/>
  <c r="AR45" i="17"/>
  <c r="AR21" i="17"/>
  <c r="AR9" i="17"/>
  <c r="AR5" i="17"/>
  <c r="AR11" i="17"/>
  <c r="AR15" i="17"/>
  <c r="AR38" i="17"/>
  <c r="AR41" i="17"/>
  <c r="AR25" i="17"/>
  <c r="AR49" i="17"/>
  <c r="AR44" i="17"/>
  <c r="AR13" i="17"/>
  <c r="AR43" i="17"/>
  <c r="AR6" i="17"/>
  <c r="AR32" i="17"/>
  <c r="AR8" i="17"/>
  <c r="AR40" i="17"/>
  <c r="AR19" i="17"/>
  <c r="AR20" i="17"/>
  <c r="AR26" i="17"/>
  <c r="AR37" i="17"/>
  <c r="AR42" i="17"/>
  <c r="AR33" i="17"/>
  <c r="AR7" i="17"/>
  <c r="AR30" i="17"/>
  <c r="AR18" i="17"/>
  <c r="BH8" i="5"/>
  <c r="K23" i="17"/>
  <c r="K43" i="17"/>
  <c r="K35" i="17"/>
  <c r="K8" i="17"/>
  <c r="K7" i="17"/>
  <c r="K48" i="17"/>
  <c r="K17" i="17"/>
  <c r="K36" i="17"/>
  <c r="K12" i="17"/>
  <c r="K20" i="17"/>
  <c r="K15" i="17"/>
  <c r="K28" i="17"/>
  <c r="K49" i="17"/>
  <c r="K14" i="17"/>
  <c r="K40" i="17"/>
  <c r="K34" i="17"/>
  <c r="K32" i="17"/>
  <c r="K29" i="17"/>
  <c r="K38" i="17"/>
  <c r="K9" i="17"/>
  <c r="K41" i="17"/>
  <c r="K25" i="17"/>
  <c r="K45" i="17"/>
  <c r="K5" i="17"/>
  <c r="K33" i="17"/>
  <c r="K27" i="17"/>
  <c r="K46" i="17"/>
  <c r="K10" i="17"/>
  <c r="K21" i="17"/>
  <c r="K47" i="17"/>
  <c r="K22" i="17"/>
  <c r="K19" i="17"/>
  <c r="K11" i="17"/>
  <c r="K26" i="17"/>
  <c r="K37" i="17"/>
  <c r="K18" i="17"/>
  <c r="K16" i="17"/>
  <c r="K39" i="17"/>
  <c r="K13" i="17"/>
  <c r="K31" i="17"/>
  <c r="K42" i="17"/>
  <c r="K30" i="17"/>
  <c r="K6" i="17"/>
  <c r="K24" i="17"/>
  <c r="K44" i="17"/>
  <c r="AZ7" i="5"/>
  <c r="W39" i="17"/>
  <c r="W28" i="17"/>
  <c r="W45" i="17"/>
  <c r="W33" i="17"/>
  <c r="W27" i="17"/>
  <c r="W15" i="17"/>
  <c r="W16" i="17"/>
  <c r="W36" i="17"/>
  <c r="W35" i="17"/>
  <c r="W49" i="17"/>
  <c r="W46" i="17"/>
  <c r="W34" i="17"/>
  <c r="W22" i="17"/>
  <c r="W38" i="17"/>
  <c r="W48" i="17"/>
  <c r="W14" i="17"/>
  <c r="W17" i="17"/>
  <c r="W23" i="17"/>
  <c r="W41" i="17"/>
  <c r="W21" i="17"/>
  <c r="W29" i="17"/>
  <c r="W9" i="17"/>
  <c r="W12" i="17"/>
  <c r="W11" i="17"/>
  <c r="W44" i="17"/>
  <c r="W24" i="17"/>
  <c r="W10" i="17"/>
  <c r="W25" i="17"/>
  <c r="W8" i="17"/>
  <c r="W13" i="17"/>
  <c r="W20" i="17"/>
  <c r="W26" i="17"/>
  <c r="W47" i="17"/>
  <c r="W43" i="17"/>
  <c r="W7" i="17"/>
  <c r="W32" i="17"/>
  <c r="W19" i="17"/>
  <c r="W30" i="17"/>
  <c r="W18" i="17"/>
  <c r="W5" i="17"/>
  <c r="W40" i="17"/>
  <c r="W37" i="17"/>
  <c r="W31" i="17"/>
  <c r="W42" i="17"/>
  <c r="W6" i="17"/>
  <c r="BC7" i="5"/>
  <c r="AI17" i="17"/>
  <c r="AI27" i="17"/>
  <c r="AI16" i="17"/>
  <c r="AI24" i="17"/>
  <c r="AI14" i="17"/>
  <c r="AI46" i="17"/>
  <c r="AI34" i="17"/>
  <c r="AI10" i="17"/>
  <c r="AI39" i="17"/>
  <c r="AI48" i="17"/>
  <c r="AI29" i="17"/>
  <c r="AI23" i="17"/>
  <c r="AI15" i="17"/>
  <c r="AI36" i="17"/>
  <c r="AI49" i="17"/>
  <c r="AI25" i="17"/>
  <c r="AI11" i="17"/>
  <c r="AI33" i="17"/>
  <c r="AI12" i="17"/>
  <c r="AI22" i="17"/>
  <c r="AI38" i="17"/>
  <c r="AI9" i="17"/>
  <c r="AI41" i="17"/>
  <c r="AI44" i="17"/>
  <c r="AI21" i="17"/>
  <c r="AI5" i="17"/>
  <c r="AI47" i="17"/>
  <c r="AI28" i="17"/>
  <c r="AI35" i="17"/>
  <c r="AI45" i="17"/>
  <c r="AI32" i="17"/>
  <c r="AI20" i="17"/>
  <c r="AI26" i="17"/>
  <c r="AI37" i="17"/>
  <c r="AI18" i="17"/>
  <c r="AI8" i="17"/>
  <c r="AI43" i="17"/>
  <c r="AI31" i="17"/>
  <c r="AI42" i="17"/>
  <c r="AI30" i="17"/>
  <c r="AI40" i="17"/>
  <c r="AI13" i="17"/>
  <c r="AI19" i="17"/>
  <c r="AI6" i="17"/>
  <c r="AI7" i="17"/>
  <c r="BF7" i="5"/>
  <c r="AY9" i="17"/>
  <c r="AY13" i="17"/>
  <c r="AY8" i="17"/>
  <c r="AY12" i="17"/>
  <c r="AY7" i="17"/>
  <c r="AY10" i="17"/>
  <c r="AY14" i="17"/>
  <c r="AY17" i="17"/>
  <c r="AY21" i="17"/>
  <c r="AY25" i="17"/>
  <c r="AY29" i="17"/>
  <c r="AY33" i="17"/>
  <c r="AY37" i="17"/>
  <c r="AY41" i="17"/>
  <c r="AY45" i="17"/>
  <c r="AY49" i="17"/>
  <c r="AY16" i="17"/>
  <c r="AY20" i="17"/>
  <c r="AY24" i="17"/>
  <c r="AY28" i="17"/>
  <c r="AY32" i="17"/>
  <c r="AY36" i="17"/>
  <c r="AY40" i="17"/>
  <c r="AY44" i="17"/>
  <c r="AY48" i="17"/>
  <c r="AY6" i="17"/>
  <c r="AY11" i="17"/>
  <c r="AY15" i="17"/>
  <c r="AY19" i="17"/>
  <c r="AY23" i="17"/>
  <c r="AY27" i="17"/>
  <c r="AY31" i="17"/>
  <c r="AY35" i="17"/>
  <c r="AY39" i="17"/>
  <c r="AY43" i="17"/>
  <c r="AY47" i="17"/>
  <c r="AY18" i="17"/>
  <c r="AY22" i="17"/>
  <c r="AY30" i="17"/>
  <c r="AY34" i="17"/>
  <c r="AY38" i="17"/>
  <c r="AY42" i="17"/>
  <c r="AY46" i="17"/>
  <c r="AY5" i="17"/>
  <c r="AY26" i="17"/>
  <c r="BJ7" i="5"/>
  <c r="AF33" i="17"/>
  <c r="AF18" i="17"/>
  <c r="AF16" i="17"/>
  <c r="AF30" i="17"/>
  <c r="AF34" i="17"/>
  <c r="AF15" i="17"/>
  <c r="AF17" i="17"/>
  <c r="AF48" i="17"/>
  <c r="AF36" i="17"/>
  <c r="AF10" i="17"/>
  <c r="AF28" i="17"/>
  <c r="AF22" i="17"/>
  <c r="AF37" i="17"/>
  <c r="AF46" i="17"/>
  <c r="AF14" i="17"/>
  <c r="AF35" i="17"/>
  <c r="AF24" i="17"/>
  <c r="AF27" i="17"/>
  <c r="AF21" i="17"/>
  <c r="AF47" i="17"/>
  <c r="AF12" i="17"/>
  <c r="AF49" i="17"/>
  <c r="AF26" i="17"/>
  <c r="AF38" i="17"/>
  <c r="AF45" i="17"/>
  <c r="AF23" i="17"/>
  <c r="AF41" i="17"/>
  <c r="AF5" i="17"/>
  <c r="AF25" i="17"/>
  <c r="AF11" i="17"/>
  <c r="AF44" i="17"/>
  <c r="AF29" i="17"/>
  <c r="AF9" i="17"/>
  <c r="AF19" i="17"/>
  <c r="AF31" i="17"/>
  <c r="AF7" i="17"/>
  <c r="AF42" i="17"/>
  <c r="AF32" i="17"/>
  <c r="AF20" i="17"/>
  <c r="AF8" i="17"/>
  <c r="AF40" i="17"/>
  <c r="AF13" i="17"/>
  <c r="AF43" i="17"/>
  <c r="AF6" i="17"/>
  <c r="AF39" i="17"/>
  <c r="BE8" i="5"/>
  <c r="AV41" i="17"/>
  <c r="AV16" i="17"/>
  <c r="AV27" i="17"/>
  <c r="AV49" i="17"/>
  <c r="AV35" i="17"/>
  <c r="AV10" i="17"/>
  <c r="AV36" i="17"/>
  <c r="AV14" i="17"/>
  <c r="AV46" i="17"/>
  <c r="AV34" i="17"/>
  <c r="AV22" i="17"/>
  <c r="AV29" i="17"/>
  <c r="AV25" i="17"/>
  <c r="AV47" i="17"/>
  <c r="AV44" i="17"/>
  <c r="AV38" i="17"/>
  <c r="AV21" i="17"/>
  <c r="AV9" i="17"/>
  <c r="AV5" i="17"/>
  <c r="AV39" i="17"/>
  <c r="AV28" i="17"/>
  <c r="AV23" i="17"/>
  <c r="AV33" i="17"/>
  <c r="AV17" i="17"/>
  <c r="AV48" i="17"/>
  <c r="AV24" i="17"/>
  <c r="AV12" i="17"/>
  <c r="AV45" i="17"/>
  <c r="AV32" i="17"/>
  <c r="AV8" i="17"/>
  <c r="AV40" i="17"/>
  <c r="AV15" i="17"/>
  <c r="AV37" i="17"/>
  <c r="AV42" i="17"/>
  <c r="AV30" i="17"/>
  <c r="AV43" i="17"/>
  <c r="AV7" i="17"/>
  <c r="AV18" i="17"/>
  <c r="AV6" i="17"/>
  <c r="AV20" i="17"/>
  <c r="AV13" i="17"/>
  <c r="AV31" i="17"/>
  <c r="AV11" i="17"/>
  <c r="AV26" i="17"/>
  <c r="AV19" i="17"/>
  <c r="BI8" i="5"/>
  <c r="BO17" i="17"/>
  <c r="BO27" i="17"/>
  <c r="BO15" i="17"/>
  <c r="BO39" i="17"/>
  <c r="BO16" i="17"/>
  <c r="BO48" i="17"/>
  <c r="BO36" i="17"/>
  <c r="BO46" i="17"/>
  <c r="BO35" i="17"/>
  <c r="BO34" i="17"/>
  <c r="BO28" i="17"/>
  <c r="BO22" i="17"/>
  <c r="BO10" i="17"/>
  <c r="BO38" i="17"/>
  <c r="BO41" i="17"/>
  <c r="BO25" i="17"/>
  <c r="BO14" i="17"/>
  <c r="BO29" i="17"/>
  <c r="BO9" i="17"/>
  <c r="BO33" i="17"/>
  <c r="BO12" i="17"/>
  <c r="BO23" i="17"/>
  <c r="BO45" i="17"/>
  <c r="BO47" i="17"/>
  <c r="BO44" i="17"/>
  <c r="BO24" i="17"/>
  <c r="BO49" i="17"/>
  <c r="BO21" i="17"/>
  <c r="BO32" i="17"/>
  <c r="BO8" i="17"/>
  <c r="BO42" i="17"/>
  <c r="BO11" i="17"/>
  <c r="BO40" i="17"/>
  <c r="BO13" i="17"/>
  <c r="BO31" i="17"/>
  <c r="BO30" i="17"/>
  <c r="BO6" i="17"/>
  <c r="BO5" i="17"/>
  <c r="BO20" i="17"/>
  <c r="BO26" i="17"/>
  <c r="BO43" i="17"/>
  <c r="BO7" i="17"/>
  <c r="BO18" i="17"/>
  <c r="BO19" i="17"/>
  <c r="BO37" i="17"/>
  <c r="CE21" i="17"/>
  <c r="CE17" i="17"/>
  <c r="CE39" i="17"/>
  <c r="CE27" i="17"/>
  <c r="CE35" i="17"/>
  <c r="CE34" i="17"/>
  <c r="CE22" i="17"/>
  <c r="CE15" i="17"/>
  <c r="CE48" i="17"/>
  <c r="CE24" i="17"/>
  <c r="CE12" i="17"/>
  <c r="CE49" i="17"/>
  <c r="CE28" i="17"/>
  <c r="CE14" i="17"/>
  <c r="CE10" i="17"/>
  <c r="CE38" i="17"/>
  <c r="CE41" i="17"/>
  <c r="CE33" i="17"/>
  <c r="CE44" i="17"/>
  <c r="CE23" i="17"/>
  <c r="CE45" i="17"/>
  <c r="CE46" i="17"/>
  <c r="CE5" i="17"/>
  <c r="CE11" i="17"/>
  <c r="CE32" i="17"/>
  <c r="CE16" i="17"/>
  <c r="CE36" i="17"/>
  <c r="CE29" i="17"/>
  <c r="CE9" i="17"/>
  <c r="CE40" i="17"/>
  <c r="CE13" i="17"/>
  <c r="CE30" i="17"/>
  <c r="CE6" i="17"/>
  <c r="CE47" i="17"/>
  <c r="CE26" i="17"/>
  <c r="CE7" i="17"/>
  <c r="CE18" i="17"/>
  <c r="CE19" i="17"/>
  <c r="CE37" i="17"/>
  <c r="CE25" i="17"/>
  <c r="CE20" i="17"/>
  <c r="CE8" i="17"/>
  <c r="CE43" i="17"/>
  <c r="CE31" i="17"/>
  <c r="CE42" i="17"/>
  <c r="CU8" i="17"/>
  <c r="CU12" i="17"/>
  <c r="CU16" i="17"/>
  <c r="CU20" i="17"/>
  <c r="CU24" i="17"/>
  <c r="CU28" i="17"/>
  <c r="CU32" i="17"/>
  <c r="CU36" i="17"/>
  <c r="CU40" i="17"/>
  <c r="CU44" i="17"/>
  <c r="CU48" i="17"/>
  <c r="CU7" i="17"/>
  <c r="CU11" i="17"/>
  <c r="CU15" i="17"/>
  <c r="CU19" i="17"/>
  <c r="CU23" i="17"/>
  <c r="CU27" i="17"/>
  <c r="CU31" i="17"/>
  <c r="CU35" i="17"/>
  <c r="CU39" i="17"/>
  <c r="CU43" i="17"/>
  <c r="CU47" i="17"/>
  <c r="CU6" i="17"/>
  <c r="CU10" i="17"/>
  <c r="CU14" i="17"/>
  <c r="CU18" i="17"/>
  <c r="CU22" i="17"/>
  <c r="CU26" i="17"/>
  <c r="CU30" i="17"/>
  <c r="CU34" i="17"/>
  <c r="CU38" i="17"/>
  <c r="CU42" i="17"/>
  <c r="CU46" i="17"/>
  <c r="CU5" i="17"/>
  <c r="CU9" i="17"/>
  <c r="CU17" i="17"/>
  <c r="CU25" i="17"/>
  <c r="CU33" i="17"/>
  <c r="CU41" i="17"/>
  <c r="CU49" i="17"/>
  <c r="CU13" i="17"/>
  <c r="CU21" i="17"/>
  <c r="CU29" i="17"/>
  <c r="CU37" i="17"/>
  <c r="CU45" i="17"/>
  <c r="BT16" i="17"/>
  <c r="BT48" i="17"/>
  <c r="BT17" i="17"/>
  <c r="BT12" i="17"/>
  <c r="BT49" i="17"/>
  <c r="BT46" i="17"/>
  <c r="BT39" i="17"/>
  <c r="BT15" i="17"/>
  <c r="BT28" i="17"/>
  <c r="BT34" i="17"/>
  <c r="BT36" i="17"/>
  <c r="BT22" i="17"/>
  <c r="BT29" i="17"/>
  <c r="BT27" i="17"/>
  <c r="BT21" i="17"/>
  <c r="BT9" i="17"/>
  <c r="BT41" i="17"/>
  <c r="BT47" i="17"/>
  <c r="BT24" i="17"/>
  <c r="BT10" i="17"/>
  <c r="BT38" i="17"/>
  <c r="BT14" i="17"/>
  <c r="BT35" i="17"/>
  <c r="BT45" i="17"/>
  <c r="BT25" i="17"/>
  <c r="BT23" i="17"/>
  <c r="BT20" i="17"/>
  <c r="BT19" i="17"/>
  <c r="BT37" i="17"/>
  <c r="BT31" i="17"/>
  <c r="BT42" i="17"/>
  <c r="BT5" i="17"/>
  <c r="BT30" i="17"/>
  <c r="BT6" i="17"/>
  <c r="BT44" i="17"/>
  <c r="BT26" i="17"/>
  <c r="BT13" i="17"/>
  <c r="BT11" i="17"/>
  <c r="BT18" i="17"/>
  <c r="BT8" i="17"/>
  <c r="BT32" i="17"/>
  <c r="BT33" i="17"/>
  <c r="BT40" i="17"/>
  <c r="BT43" i="17"/>
  <c r="BT7" i="17"/>
  <c r="BI8" i="13"/>
  <c r="CJ27" i="17"/>
  <c r="CJ15" i="17"/>
  <c r="CJ16" i="17"/>
  <c r="CJ36" i="17"/>
  <c r="CJ34" i="17"/>
  <c r="CJ39" i="17"/>
  <c r="CJ35" i="17"/>
  <c r="CJ22" i="17"/>
  <c r="CJ17" i="17"/>
  <c r="CJ48" i="17"/>
  <c r="CJ49" i="17"/>
  <c r="CJ14" i="17"/>
  <c r="CJ10" i="17"/>
  <c r="CJ29" i="17"/>
  <c r="CJ38" i="17"/>
  <c r="CJ47" i="17"/>
  <c r="CJ9" i="17"/>
  <c r="CJ41" i="17"/>
  <c r="CJ5" i="17"/>
  <c r="CJ25" i="17"/>
  <c r="CJ44" i="17"/>
  <c r="CJ24" i="17"/>
  <c r="CJ28" i="17"/>
  <c r="CJ23" i="17"/>
  <c r="CJ45" i="17"/>
  <c r="CJ12" i="17"/>
  <c r="CJ46" i="17"/>
  <c r="CJ21" i="17"/>
  <c r="CJ32" i="17"/>
  <c r="CJ20" i="17"/>
  <c r="CJ8" i="17"/>
  <c r="CJ13" i="17"/>
  <c r="CJ37" i="17"/>
  <c r="CJ43" i="17"/>
  <c r="CJ31" i="17"/>
  <c r="CJ30" i="17"/>
  <c r="CJ6" i="17"/>
  <c r="CJ40" i="17"/>
  <c r="CJ26" i="17"/>
  <c r="CJ18" i="17"/>
  <c r="CJ11" i="17"/>
  <c r="CJ7" i="17"/>
  <c r="CJ33" i="17"/>
  <c r="CJ19" i="17"/>
  <c r="CJ42" i="17"/>
  <c r="O40" i="17"/>
  <c r="O28" i="17"/>
  <c r="O33" i="17"/>
  <c r="O36" i="17"/>
  <c r="O44" i="17"/>
  <c r="O15" i="17"/>
  <c r="O27" i="17"/>
  <c r="O34" i="17"/>
  <c r="O10" i="17"/>
  <c r="O25" i="17"/>
  <c r="O22" i="17"/>
  <c r="O37" i="17"/>
  <c r="O39" i="17"/>
  <c r="O14" i="17"/>
  <c r="O35" i="17"/>
  <c r="O38" i="17"/>
  <c r="O45" i="17"/>
  <c r="O46" i="17"/>
  <c r="O23" i="17"/>
  <c r="O5" i="17"/>
  <c r="O47" i="17"/>
  <c r="O13" i="17"/>
  <c r="O41" i="17"/>
  <c r="O21" i="17"/>
  <c r="O24" i="17"/>
  <c r="O32" i="17"/>
  <c r="O19" i="17"/>
  <c r="O31" i="17"/>
  <c r="O12" i="17"/>
  <c r="O48" i="17"/>
  <c r="O43" i="17"/>
  <c r="O30" i="17"/>
  <c r="O6" i="17"/>
  <c r="O11" i="17"/>
  <c r="O16" i="17"/>
  <c r="O29" i="17"/>
  <c r="O7" i="17"/>
  <c r="O18" i="17"/>
  <c r="O9" i="17"/>
  <c r="O49" i="17"/>
  <c r="O8" i="17"/>
  <c r="O17" i="17"/>
  <c r="O26" i="17"/>
  <c r="O20" i="17"/>
  <c r="O42" i="17"/>
  <c r="BA7" i="5"/>
  <c r="AN9" i="17"/>
  <c r="AN39" i="17"/>
  <c r="AN27" i="17"/>
  <c r="AN25" i="17"/>
  <c r="AN18" i="17"/>
  <c r="AN17" i="17"/>
  <c r="AN20" i="17"/>
  <c r="AN49" i="17"/>
  <c r="AN22" i="17"/>
  <c r="AN16" i="17"/>
  <c r="AN24" i="17"/>
  <c r="AN12" i="17"/>
  <c r="AN14" i="17"/>
  <c r="AN10" i="17"/>
  <c r="AN38" i="17"/>
  <c r="AN48" i="17"/>
  <c r="AN28" i="17"/>
  <c r="AN35" i="17"/>
  <c r="AN23" i="17"/>
  <c r="AN11" i="17"/>
  <c r="AN33" i="17"/>
  <c r="AN44" i="17"/>
  <c r="AN41" i="17"/>
  <c r="AN47" i="17"/>
  <c r="AN15" i="17"/>
  <c r="AN46" i="17"/>
  <c r="AN29" i="17"/>
  <c r="AN45" i="17"/>
  <c r="AN21" i="17"/>
  <c r="AN36" i="17"/>
  <c r="AN8" i="17"/>
  <c r="AN13" i="17"/>
  <c r="AN7" i="17"/>
  <c r="AN30" i="17"/>
  <c r="AN6" i="17"/>
  <c r="AN32" i="17"/>
  <c r="AN37" i="17"/>
  <c r="AN26" i="17"/>
  <c r="AN34" i="17"/>
  <c r="AN43" i="17"/>
  <c r="AN31" i="17"/>
  <c r="AN40" i="17"/>
  <c r="AN19" i="17"/>
  <c r="AN5" i="17"/>
  <c r="AN42" i="17"/>
  <c r="BG8" i="5"/>
  <c r="BL39" i="17"/>
  <c r="BL15" i="17"/>
  <c r="BL17" i="17"/>
  <c r="BL27" i="17"/>
  <c r="BL16" i="17"/>
  <c r="BL24" i="17"/>
  <c r="BL45" i="17"/>
  <c r="BL46" i="17"/>
  <c r="BL10" i="17"/>
  <c r="BL38" i="17"/>
  <c r="BL23" i="17"/>
  <c r="BL48" i="17"/>
  <c r="BL36" i="17"/>
  <c r="BL49" i="17"/>
  <c r="BL28" i="17"/>
  <c r="BL29" i="17"/>
  <c r="BL34" i="17"/>
  <c r="BL22" i="17"/>
  <c r="BL25" i="17"/>
  <c r="BL33" i="17"/>
  <c r="BL44" i="17"/>
  <c r="BL5" i="17"/>
  <c r="BL47" i="17"/>
  <c r="BL12" i="17"/>
  <c r="BL14" i="17"/>
  <c r="BL21" i="17"/>
  <c r="BL9" i="17"/>
  <c r="BL41" i="17"/>
  <c r="BL11" i="17"/>
  <c r="BL35" i="17"/>
  <c r="BL8" i="17"/>
  <c r="BL30" i="17"/>
  <c r="BL18" i="17"/>
  <c r="BL26" i="17"/>
  <c r="BL43" i="17"/>
  <c r="BL31" i="17"/>
  <c r="BL7" i="17"/>
  <c r="BL42" i="17"/>
  <c r="BL6" i="17"/>
  <c r="BL32" i="17"/>
  <c r="BL20" i="17"/>
  <c r="BL40" i="17"/>
  <c r="BL13" i="17"/>
  <c r="BL19" i="17"/>
  <c r="BL37" i="17"/>
  <c r="BM8" i="5"/>
  <c r="P16" i="17"/>
  <c r="P36" i="17"/>
  <c r="P33" i="17"/>
  <c r="P44" i="17"/>
  <c r="P32" i="17"/>
  <c r="P27" i="17"/>
  <c r="P6" i="17"/>
  <c r="P21" i="17"/>
  <c r="P24" i="17"/>
  <c r="P8" i="17"/>
  <c r="P13" i="17"/>
  <c r="P22" i="17"/>
  <c r="P49" i="17"/>
  <c r="P46" i="17"/>
  <c r="P12" i="17"/>
  <c r="P15" i="17"/>
  <c r="P25" i="17"/>
  <c r="P41" i="17"/>
  <c r="P35" i="17"/>
  <c r="P34" i="17"/>
  <c r="P10" i="17"/>
  <c r="P38" i="17"/>
  <c r="P14" i="17"/>
  <c r="P40" i="17"/>
  <c r="P5" i="17"/>
  <c r="P11" i="17"/>
  <c r="P23" i="17"/>
  <c r="P47" i="17"/>
  <c r="P39" i="17"/>
  <c r="P17" i="17"/>
  <c r="P9" i="17"/>
  <c r="P28" i="17"/>
  <c r="P26" i="17"/>
  <c r="P19" i="17"/>
  <c r="P29" i="17"/>
  <c r="P31" i="17"/>
  <c r="P45" i="17"/>
  <c r="P48" i="17"/>
  <c r="P20" i="17"/>
  <c r="P43" i="17"/>
  <c r="P7" i="17"/>
  <c r="P42" i="17"/>
  <c r="P30" i="17"/>
  <c r="P18" i="17"/>
  <c r="P37" i="17"/>
  <c r="BA8" i="5"/>
  <c r="AB27" i="17"/>
  <c r="AB20" i="17"/>
  <c r="AB42" i="17"/>
  <c r="AB6" i="17"/>
  <c r="AB38" i="17"/>
  <c r="AB22" i="17"/>
  <c r="AB49" i="17"/>
  <c r="AB39" i="17"/>
  <c r="AB5" i="17"/>
  <c r="AB36" i="17"/>
  <c r="AB31" i="17"/>
  <c r="AB35" i="17"/>
  <c r="AB34" i="17"/>
  <c r="AB15" i="17"/>
  <c r="AB16" i="17"/>
  <c r="AB12" i="17"/>
  <c r="AB14" i="17"/>
  <c r="AB17" i="17"/>
  <c r="AB46" i="17"/>
  <c r="AB13" i="17"/>
  <c r="AB45" i="17"/>
  <c r="AB41" i="17"/>
  <c r="AB44" i="17"/>
  <c r="AB25" i="17"/>
  <c r="AB23" i="17"/>
  <c r="AB11" i="17"/>
  <c r="AB33" i="17"/>
  <c r="AB48" i="17"/>
  <c r="AB28" i="17"/>
  <c r="AB21" i="17"/>
  <c r="AB26" i="17"/>
  <c r="AB24" i="17"/>
  <c r="AB32" i="17"/>
  <c r="AB40" i="17"/>
  <c r="AB43" i="17"/>
  <c r="AB7" i="17"/>
  <c r="AB30" i="17"/>
  <c r="AB47" i="17"/>
  <c r="AB10" i="17"/>
  <c r="AB9" i="17"/>
  <c r="AB37" i="17"/>
  <c r="AB29" i="17"/>
  <c r="AB8" i="17"/>
  <c r="AB19" i="17"/>
  <c r="AB18" i="17"/>
  <c r="BD8" i="5"/>
  <c r="BK17" i="17"/>
  <c r="BK27" i="17"/>
  <c r="BK41" i="17"/>
  <c r="BK39" i="17"/>
  <c r="BK44" i="17"/>
  <c r="BK15" i="17"/>
  <c r="BK49" i="17"/>
  <c r="BK46" i="17"/>
  <c r="BK48" i="17"/>
  <c r="BK35" i="17"/>
  <c r="BK22" i="17"/>
  <c r="BK16" i="17"/>
  <c r="BK24" i="17"/>
  <c r="BK34" i="17"/>
  <c r="BK23" i="17"/>
  <c r="BK12" i="17"/>
  <c r="BK29" i="17"/>
  <c r="BK21" i="17"/>
  <c r="BK36" i="17"/>
  <c r="BK28" i="17"/>
  <c r="BK5" i="17"/>
  <c r="BK25" i="17"/>
  <c r="BK38" i="17"/>
  <c r="BK47" i="17"/>
  <c r="BK33" i="17"/>
  <c r="BK14" i="17"/>
  <c r="BK10" i="17"/>
  <c r="BK45" i="17"/>
  <c r="BK9" i="17"/>
  <c r="BK7" i="17"/>
  <c r="BK42" i="17"/>
  <c r="BK18" i="17"/>
  <c r="BK6" i="17"/>
  <c r="BK13" i="17"/>
  <c r="BK37" i="17"/>
  <c r="BK31" i="17"/>
  <c r="BK32" i="17"/>
  <c r="BK8" i="17"/>
  <c r="BK40" i="17"/>
  <c r="BK19" i="17"/>
  <c r="BK30" i="17"/>
  <c r="BK11" i="17"/>
  <c r="BK20" i="17"/>
  <c r="BK26" i="17"/>
  <c r="BK43" i="17"/>
  <c r="L27" i="17"/>
  <c r="L35" i="17"/>
  <c r="L43" i="17"/>
  <c r="L31" i="17"/>
  <c r="L20" i="17"/>
  <c r="L12" i="17"/>
  <c r="L46" i="17"/>
  <c r="L34" i="17"/>
  <c r="L10" i="17"/>
  <c r="L17" i="17"/>
  <c r="L7" i="17"/>
  <c r="L47" i="17"/>
  <c r="L22" i="17"/>
  <c r="L39" i="17"/>
  <c r="L38" i="17"/>
  <c r="L15" i="17"/>
  <c r="L48" i="17"/>
  <c r="L32" i="17"/>
  <c r="L19" i="17"/>
  <c r="L24" i="17"/>
  <c r="L33" i="17"/>
  <c r="L40" i="17"/>
  <c r="L5" i="17"/>
  <c r="L14" i="17"/>
  <c r="L29" i="17"/>
  <c r="L45" i="17"/>
  <c r="L9" i="17"/>
  <c r="L11" i="17"/>
  <c r="L41" i="17"/>
  <c r="L49" i="17"/>
  <c r="L21" i="17"/>
  <c r="L26" i="17"/>
  <c r="L42" i="17"/>
  <c r="L25" i="17"/>
  <c r="L44" i="17"/>
  <c r="L13" i="17"/>
  <c r="L36" i="17"/>
  <c r="L8" i="17"/>
  <c r="L28" i="17"/>
  <c r="L16" i="17"/>
  <c r="L37" i="17"/>
  <c r="L18" i="17"/>
  <c r="L30" i="17"/>
  <c r="L6" i="17"/>
  <c r="L23" i="17"/>
  <c r="AZ8" i="5"/>
  <c r="S19" i="17"/>
  <c r="S31" i="17"/>
  <c r="S5" i="17"/>
  <c r="S32" i="17"/>
  <c r="S17" i="17"/>
  <c r="S6" i="17"/>
  <c r="S27" i="17"/>
  <c r="S39" i="17"/>
  <c r="S28" i="17"/>
  <c r="S48" i="17"/>
  <c r="S46" i="17"/>
  <c r="S36" i="17"/>
  <c r="S35" i="17"/>
  <c r="S10" i="17"/>
  <c r="S15" i="17"/>
  <c r="S38" i="17"/>
  <c r="S47" i="17"/>
  <c r="S29" i="17"/>
  <c r="S23" i="17"/>
  <c r="S24" i="17"/>
  <c r="S45" i="17"/>
  <c r="S18" i="17"/>
  <c r="S25" i="17"/>
  <c r="S33" i="17"/>
  <c r="S16" i="17"/>
  <c r="S49" i="17"/>
  <c r="S22" i="17"/>
  <c r="S9" i="17"/>
  <c r="S41" i="17"/>
  <c r="S21" i="17"/>
  <c r="S20" i="17"/>
  <c r="S8" i="17"/>
  <c r="S14" i="17"/>
  <c r="S43" i="17"/>
  <c r="S30" i="17"/>
  <c r="S11" i="17"/>
  <c r="S37" i="17"/>
  <c r="S34" i="17"/>
  <c r="S40" i="17"/>
  <c r="S42" i="17"/>
  <c r="S12" i="17"/>
  <c r="S26" i="17"/>
  <c r="S13" i="17"/>
  <c r="S7" i="17"/>
  <c r="S44" i="17"/>
  <c r="BB7" i="5"/>
  <c r="AM17" i="17"/>
  <c r="AM39" i="17"/>
  <c r="AM27" i="17"/>
  <c r="AM16" i="17"/>
  <c r="AM20" i="17"/>
  <c r="AM48" i="17"/>
  <c r="AM12" i="17"/>
  <c r="AM46" i="17"/>
  <c r="AM34" i="17"/>
  <c r="AM28" i="17"/>
  <c r="AM14" i="17"/>
  <c r="AM22" i="17"/>
  <c r="AM29" i="17"/>
  <c r="AM38" i="17"/>
  <c r="AM23" i="17"/>
  <c r="AM24" i="17"/>
  <c r="AM49" i="17"/>
  <c r="AM35" i="17"/>
  <c r="AM10" i="17"/>
  <c r="AM45" i="17"/>
  <c r="AM47" i="17"/>
  <c r="AM11" i="17"/>
  <c r="AM15" i="17"/>
  <c r="AM21" i="17"/>
  <c r="AM9" i="17"/>
  <c r="AM41" i="17"/>
  <c r="AM25" i="17"/>
  <c r="AM5" i="17"/>
  <c r="AM44" i="17"/>
  <c r="AM32" i="17"/>
  <c r="AM40" i="17"/>
  <c r="AM26" i="17"/>
  <c r="AM43" i="17"/>
  <c r="AM31" i="17"/>
  <c r="AM30" i="17"/>
  <c r="AM6" i="17"/>
  <c r="AM7" i="17"/>
  <c r="AM42" i="17"/>
  <c r="AM18" i="17"/>
  <c r="AM33" i="17"/>
  <c r="AM8" i="17"/>
  <c r="AM13" i="17"/>
  <c r="AM19" i="17"/>
  <c r="AM37" i="17"/>
  <c r="AM36" i="17"/>
  <c r="BG7" i="5"/>
  <c r="T10" i="17"/>
  <c r="T18" i="17"/>
  <c r="T15" i="17"/>
  <c r="T9" i="17"/>
  <c r="T22" i="17"/>
  <c r="T17" i="17"/>
  <c r="T31" i="17"/>
  <c r="T39" i="17"/>
  <c r="T19" i="17"/>
  <c r="T6" i="17"/>
  <c r="T28" i="17"/>
  <c r="T48" i="17"/>
  <c r="T38" i="17"/>
  <c r="T5" i="17"/>
  <c r="T34" i="17"/>
  <c r="T27" i="17"/>
  <c r="T24" i="17"/>
  <c r="T49" i="17"/>
  <c r="T46" i="17"/>
  <c r="T14" i="17"/>
  <c r="T36" i="17"/>
  <c r="T16" i="17"/>
  <c r="T33" i="17"/>
  <c r="T29" i="17"/>
  <c r="T21" i="17"/>
  <c r="T11" i="17"/>
  <c r="T12" i="17"/>
  <c r="T25" i="17"/>
  <c r="T41" i="17"/>
  <c r="T47" i="17"/>
  <c r="T37" i="17"/>
  <c r="T7" i="17"/>
  <c r="T32" i="17"/>
  <c r="T45" i="17"/>
  <c r="T40" i="17"/>
  <c r="T13" i="17"/>
  <c r="T44" i="17"/>
  <c r="T8" i="17"/>
  <c r="T35" i="17"/>
  <c r="T43" i="17"/>
  <c r="T42" i="17"/>
  <c r="T30" i="17"/>
  <c r="T20" i="17"/>
  <c r="T26" i="17"/>
  <c r="T23" i="17"/>
  <c r="BB8" i="5"/>
  <c r="AJ15" i="17"/>
  <c r="AJ17" i="17"/>
  <c r="AJ36" i="17"/>
  <c r="AJ12" i="17"/>
  <c r="AJ49" i="17"/>
  <c r="AJ28" i="17"/>
  <c r="AJ22" i="17"/>
  <c r="AJ10" i="17"/>
  <c r="AJ24" i="17"/>
  <c r="AJ14" i="17"/>
  <c r="AJ27" i="17"/>
  <c r="AJ38" i="17"/>
  <c r="AJ5" i="17"/>
  <c r="AJ35" i="17"/>
  <c r="AJ39" i="17"/>
  <c r="AJ34" i="17"/>
  <c r="AJ29" i="17"/>
  <c r="AJ45" i="17"/>
  <c r="AJ21" i="17"/>
  <c r="AJ48" i="17"/>
  <c r="AJ25" i="17"/>
  <c r="AJ11" i="17"/>
  <c r="AJ33" i="17"/>
  <c r="AJ23" i="17"/>
  <c r="AJ9" i="17"/>
  <c r="AJ13" i="17"/>
  <c r="AJ19" i="17"/>
  <c r="AJ46" i="17"/>
  <c r="AJ31" i="17"/>
  <c r="AJ43" i="17"/>
  <c r="AJ44" i="17"/>
  <c r="AJ47" i="17"/>
  <c r="AJ40" i="17"/>
  <c r="AJ26" i="17"/>
  <c r="AJ7" i="17"/>
  <c r="AJ42" i="17"/>
  <c r="AJ30" i="17"/>
  <c r="AJ6" i="17"/>
  <c r="AJ16" i="17"/>
  <c r="AJ20" i="17"/>
  <c r="AJ18" i="17"/>
  <c r="AJ41" i="17"/>
  <c r="AJ32" i="17"/>
  <c r="AJ8" i="17"/>
  <c r="AJ37" i="17"/>
  <c r="BF8" i="5"/>
  <c r="AZ6" i="17"/>
  <c r="AZ10" i="17"/>
  <c r="AZ14" i="17"/>
  <c r="AZ9" i="17"/>
  <c r="AZ13" i="17"/>
  <c r="AZ8" i="17"/>
  <c r="AZ7" i="17"/>
  <c r="AZ18" i="17"/>
  <c r="AZ22" i="17"/>
  <c r="AZ26" i="17"/>
  <c r="AZ30" i="17"/>
  <c r="AZ34" i="17"/>
  <c r="AZ38" i="17"/>
  <c r="AZ42" i="17"/>
  <c r="AZ46" i="17"/>
  <c r="AZ12" i="17"/>
  <c r="AZ17" i="17"/>
  <c r="AZ21" i="17"/>
  <c r="AZ25" i="17"/>
  <c r="AZ29" i="17"/>
  <c r="AZ33" i="17"/>
  <c r="AZ37" i="17"/>
  <c r="AZ41" i="17"/>
  <c r="AZ45" i="17"/>
  <c r="AZ49" i="17"/>
  <c r="AZ16" i="17"/>
  <c r="AZ20" i="17"/>
  <c r="AZ24" i="17"/>
  <c r="AZ23" i="17"/>
  <c r="AZ28" i="17"/>
  <c r="AZ36" i="17"/>
  <c r="AZ44" i="17"/>
  <c r="AZ19" i="17"/>
  <c r="AZ27" i="17"/>
  <c r="AZ31" i="17"/>
  <c r="AZ35" i="17"/>
  <c r="AZ39" i="17"/>
  <c r="AZ43" i="17"/>
  <c r="AZ47" i="17"/>
  <c r="AZ5" i="17"/>
  <c r="AZ11" i="17"/>
  <c r="AZ15" i="17"/>
  <c r="AZ32" i="17"/>
  <c r="AZ40" i="17"/>
  <c r="AZ48" i="17"/>
  <c r="BJ8" i="5"/>
  <c r="BS48" i="17"/>
  <c r="BS39" i="17"/>
  <c r="BS17" i="17"/>
  <c r="BS16" i="17"/>
  <c r="BS14" i="17"/>
  <c r="BS35" i="17"/>
  <c r="BS46" i="17"/>
  <c r="BS27" i="17"/>
  <c r="BS38" i="17"/>
  <c r="BS24" i="17"/>
  <c r="BS12" i="17"/>
  <c r="BS28" i="17"/>
  <c r="BS34" i="17"/>
  <c r="BS36" i="17"/>
  <c r="BS5" i="17"/>
  <c r="BS44" i="17"/>
  <c r="BS15" i="17"/>
  <c r="BS22" i="17"/>
  <c r="BS29" i="17"/>
  <c r="BS23" i="17"/>
  <c r="BS45" i="17"/>
  <c r="BS21" i="17"/>
  <c r="BS41" i="17"/>
  <c r="BS33" i="17"/>
  <c r="BS49" i="17"/>
  <c r="BS9" i="17"/>
  <c r="BS11" i="17"/>
  <c r="BS32" i="17"/>
  <c r="BS10" i="17"/>
  <c r="BS25" i="17"/>
  <c r="BS40" i="17"/>
  <c r="BS42" i="17"/>
  <c r="BS7" i="17"/>
  <c r="BS47" i="17"/>
  <c r="BS19" i="17"/>
  <c r="BS30" i="17"/>
  <c r="BS6" i="17"/>
  <c r="BS20" i="17"/>
  <c r="BS8" i="17"/>
  <c r="BS26" i="17"/>
  <c r="BS13" i="17"/>
  <c r="BS37" i="17"/>
  <c r="BS43" i="17"/>
  <c r="BS31" i="17"/>
  <c r="BS18" i="17"/>
  <c r="CI10" i="17"/>
  <c r="CI16" i="17"/>
  <c r="CI39" i="17"/>
  <c r="CI17" i="17"/>
  <c r="CI27" i="17"/>
  <c r="CI15" i="17"/>
  <c r="CI24" i="17"/>
  <c r="CI12" i="17"/>
  <c r="CI28" i="17"/>
  <c r="CI46" i="17"/>
  <c r="CI36" i="17"/>
  <c r="CI49" i="17"/>
  <c r="CI14" i="17"/>
  <c r="CI38" i="17"/>
  <c r="CI23" i="17"/>
  <c r="CI48" i="17"/>
  <c r="CI22" i="17"/>
  <c r="CI29" i="17"/>
  <c r="CI45" i="17"/>
  <c r="CI21" i="17"/>
  <c r="CI41" i="17"/>
  <c r="CI33" i="17"/>
  <c r="CI35" i="17"/>
  <c r="CI9" i="17"/>
  <c r="CI11" i="17"/>
  <c r="CI32" i="17"/>
  <c r="CI25" i="17"/>
  <c r="CI47" i="17"/>
  <c r="CI34" i="17"/>
  <c r="CI7" i="17"/>
  <c r="CI18" i="17"/>
  <c r="CI26" i="17"/>
  <c r="CI19" i="17"/>
  <c r="CI42" i="17"/>
  <c r="CI5" i="17"/>
  <c r="CI20" i="17"/>
  <c r="CI8" i="17"/>
  <c r="CI13" i="17"/>
  <c r="CI37" i="17"/>
  <c r="CI43" i="17"/>
  <c r="CI31" i="17"/>
  <c r="CI6" i="17"/>
  <c r="CI44" i="17"/>
  <c r="CI40" i="17"/>
  <c r="CI30" i="17"/>
  <c r="BH27" i="17"/>
  <c r="BH48" i="17"/>
  <c r="BH17" i="17"/>
  <c r="BH16" i="17"/>
  <c r="BH15" i="17"/>
  <c r="BH24" i="17"/>
  <c r="BH12" i="17"/>
  <c r="BH22" i="17"/>
  <c r="BH10" i="17"/>
  <c r="BH39" i="17"/>
  <c r="BH49" i="17"/>
  <c r="BH14" i="17"/>
  <c r="BH35" i="17"/>
  <c r="BH29" i="17"/>
  <c r="BH36" i="17"/>
  <c r="BH46" i="17"/>
  <c r="BH9" i="17"/>
  <c r="BH41" i="17"/>
  <c r="BH5" i="17"/>
  <c r="BH44" i="17"/>
  <c r="BH28" i="17"/>
  <c r="BH34" i="17"/>
  <c r="BH45" i="17"/>
  <c r="BH25" i="17"/>
  <c r="BH47" i="17"/>
  <c r="BH32" i="17"/>
  <c r="BH38" i="17"/>
  <c r="BH23" i="17"/>
  <c r="BH21" i="17"/>
  <c r="BH11" i="17"/>
  <c r="BH8" i="17"/>
  <c r="BH19" i="17"/>
  <c r="BH7" i="17"/>
  <c r="BH37" i="17"/>
  <c r="BH31" i="17"/>
  <c r="BH33" i="17"/>
  <c r="BH20" i="17"/>
  <c r="BH26" i="17"/>
  <c r="BH13" i="17"/>
  <c r="BH42" i="17"/>
  <c r="BH30" i="17"/>
  <c r="BH40" i="17"/>
  <c r="BH43" i="17"/>
  <c r="BH18" i="17"/>
  <c r="BH6" i="17"/>
  <c r="BL8" i="5"/>
  <c r="CK8" i="13"/>
  <c r="BX17" i="17"/>
  <c r="BX39" i="17"/>
  <c r="BX48" i="17"/>
  <c r="BX15" i="17"/>
  <c r="BX49" i="17"/>
  <c r="BX35" i="17"/>
  <c r="BX16" i="17"/>
  <c r="BX36" i="17"/>
  <c r="BX34" i="17"/>
  <c r="BX20" i="17"/>
  <c r="BX27" i="17"/>
  <c r="BX12" i="17"/>
  <c r="BX28" i="17"/>
  <c r="BX14" i="17"/>
  <c r="BX22" i="17"/>
  <c r="BX38" i="17"/>
  <c r="BX41" i="17"/>
  <c r="BX24" i="17"/>
  <c r="BX10" i="17"/>
  <c r="BX23" i="17"/>
  <c r="BX45" i="17"/>
  <c r="BX21" i="17"/>
  <c r="BX11" i="17"/>
  <c r="BX33" i="17"/>
  <c r="BX46" i="17"/>
  <c r="BX29" i="17"/>
  <c r="BX9" i="17"/>
  <c r="BX5" i="17"/>
  <c r="BX32" i="17"/>
  <c r="BX8" i="17"/>
  <c r="BX26" i="17"/>
  <c r="BX30" i="17"/>
  <c r="BX44" i="17"/>
  <c r="BX40" i="17"/>
  <c r="BX7" i="17"/>
  <c r="BX19" i="17"/>
  <c r="BX6" i="17"/>
  <c r="BX25" i="17"/>
  <c r="BX47" i="17"/>
  <c r="BX13" i="17"/>
  <c r="BX37" i="17"/>
  <c r="BX43" i="17"/>
  <c r="BX31" i="17"/>
  <c r="BX42" i="17"/>
  <c r="BX18" i="17"/>
  <c r="BK8" i="13"/>
  <c r="CN7" i="17"/>
  <c r="CN11" i="17"/>
  <c r="CN15" i="17"/>
  <c r="CN19" i="17"/>
  <c r="CN23" i="17"/>
  <c r="CN27" i="17"/>
  <c r="CN31" i="17"/>
  <c r="CN35" i="17"/>
  <c r="CN39" i="17"/>
  <c r="CN43" i="17"/>
  <c r="CN47" i="17"/>
  <c r="CN6" i="17"/>
  <c r="CN10" i="17"/>
  <c r="CN14" i="17"/>
  <c r="CN18" i="17"/>
  <c r="CN22" i="17"/>
  <c r="CN26" i="17"/>
  <c r="CN30" i="17"/>
  <c r="CN34" i="17"/>
  <c r="CN38" i="17"/>
  <c r="CN42" i="17"/>
  <c r="CN46" i="17"/>
  <c r="CN9" i="17"/>
  <c r="CN13" i="17"/>
  <c r="CN17" i="17"/>
  <c r="CN21" i="17"/>
  <c r="CN25" i="17"/>
  <c r="CN29" i="17"/>
  <c r="CN33" i="17"/>
  <c r="CN37" i="17"/>
  <c r="CN41" i="17"/>
  <c r="CN45" i="17"/>
  <c r="CN49" i="17"/>
  <c r="CN8" i="17"/>
  <c r="CN16" i="17"/>
  <c r="CN24" i="17"/>
  <c r="CN32" i="17"/>
  <c r="CN40" i="17"/>
  <c r="CN48" i="17"/>
  <c r="CN20" i="17"/>
  <c r="CN36" i="17"/>
  <c r="CN5" i="17"/>
  <c r="CN12" i="17"/>
  <c r="CN28" i="17"/>
  <c r="CN44" i="17"/>
  <c r="CO8" i="13"/>
  <c r="BD55" i="13"/>
  <c r="CL7" i="13"/>
  <c r="CP7" i="13"/>
  <c r="CM7" i="13"/>
  <c r="CQ7" i="13"/>
  <c r="BJ56" i="13"/>
  <c r="BJ57" i="13"/>
  <c r="BH7" i="13"/>
  <c r="BH8" i="13" s="1"/>
  <c r="W54" i="13"/>
  <c r="W56" i="13" s="1"/>
  <c r="AE54" i="13"/>
  <c r="AE56" i="13" s="1"/>
  <c r="CK7" i="13"/>
  <c r="CO7" i="13"/>
  <c r="AG54" i="13"/>
  <c r="AG56" i="13" s="1"/>
  <c r="BJ55" i="13"/>
  <c r="BV7" i="13"/>
  <c r="H50" i="16"/>
  <c r="CC50" i="16"/>
  <c r="H15" i="16"/>
  <c r="AT15" i="16" s="1"/>
  <c r="BU7" i="13"/>
  <c r="CC49" i="16"/>
  <c r="H14" i="16"/>
  <c r="AT14" i="16" s="1"/>
  <c r="H49" i="16"/>
  <c r="CA7" i="13"/>
  <c r="H55" i="16"/>
  <c r="CC55" i="16"/>
  <c r="H20" i="16"/>
  <c r="AT20" i="16" s="1"/>
  <c r="CE7" i="13"/>
  <c r="H59" i="16"/>
  <c r="H24" i="16"/>
  <c r="AT24" i="16" s="1"/>
  <c r="CC59" i="16"/>
  <c r="BU8" i="13"/>
  <c r="DA49" i="16"/>
  <c r="AF49" i="16"/>
  <c r="AF14" i="16"/>
  <c r="BW7" i="13"/>
  <c r="H51" i="16"/>
  <c r="CC51" i="16"/>
  <c r="H16" i="16"/>
  <c r="AT16" i="16" s="1"/>
  <c r="CB7" i="13"/>
  <c r="CC56" i="16"/>
  <c r="H21" i="16"/>
  <c r="AT21" i="16" s="1"/>
  <c r="H56" i="16"/>
  <c r="BW8" i="13"/>
  <c r="AF51" i="16"/>
  <c r="DA51" i="16"/>
  <c r="DV51" i="16" s="1"/>
  <c r="AF16" i="16"/>
  <c r="CA8" i="13"/>
  <c r="DA55" i="16"/>
  <c r="DV55" i="16" s="1"/>
  <c r="AF20" i="16"/>
  <c r="AF55" i="16"/>
  <c r="CE8" i="13"/>
  <c r="AF59" i="16"/>
  <c r="AF24" i="16"/>
  <c r="DA59" i="16"/>
  <c r="CH7" i="13"/>
  <c r="CI8" i="13"/>
  <c r="CC7" i="13"/>
  <c r="CC57" i="16"/>
  <c r="H22" i="16"/>
  <c r="AT22" i="16" s="1"/>
  <c r="H57" i="16"/>
  <c r="CF7" i="13"/>
  <c r="CI7" i="13"/>
  <c r="CJ8" i="13"/>
  <c r="BT7" i="13"/>
  <c r="H13" i="16"/>
  <c r="AT13" i="16" s="1"/>
  <c r="CC48" i="16"/>
  <c r="H48" i="16"/>
  <c r="BY7" i="13"/>
  <c r="H18" i="16"/>
  <c r="AT18" i="16" s="1"/>
  <c r="H53" i="16"/>
  <c r="CC53" i="16"/>
  <c r="T8" i="13"/>
  <c r="DA52" i="16"/>
  <c r="DV52" i="16" s="1"/>
  <c r="AF52" i="16"/>
  <c r="AF17" i="16"/>
  <c r="AB8" i="13"/>
  <c r="AF56" i="16"/>
  <c r="DA56" i="16"/>
  <c r="DV56" i="16" s="1"/>
  <c r="AF21" i="16"/>
  <c r="BT8" i="13"/>
  <c r="AF13" i="16"/>
  <c r="DA48" i="16"/>
  <c r="AF48" i="16"/>
  <c r="BV8" i="13"/>
  <c r="DA50" i="16"/>
  <c r="DV50" i="16" s="1"/>
  <c r="AF15" i="16"/>
  <c r="AF50" i="16"/>
  <c r="BZ7" i="13"/>
  <c r="CC54" i="16"/>
  <c r="H19" i="16"/>
  <c r="AT19" i="16" s="1"/>
  <c r="H54" i="16"/>
  <c r="CD7" i="13"/>
  <c r="H58" i="16"/>
  <c r="H23" i="16"/>
  <c r="AT23" i="16" s="1"/>
  <c r="CC58" i="16"/>
  <c r="BY8" i="13"/>
  <c r="AF53" i="16"/>
  <c r="AF18" i="16"/>
  <c r="DA53" i="16"/>
  <c r="DV53" i="16" s="1"/>
  <c r="CC8" i="13"/>
  <c r="DA57" i="16"/>
  <c r="DV57" i="16" s="1"/>
  <c r="AF22" i="16"/>
  <c r="AF57" i="16"/>
  <c r="CF8" i="13"/>
  <c r="CJ7" i="13"/>
  <c r="CG8" i="13"/>
  <c r="BX7" i="13"/>
  <c r="CC52" i="16"/>
  <c r="H52" i="16"/>
  <c r="H17" i="16"/>
  <c r="AT17" i="16" s="1"/>
  <c r="BZ8" i="13"/>
  <c r="AF19" i="16"/>
  <c r="DA54" i="16"/>
  <c r="DV54" i="16" s="1"/>
  <c r="AF54" i="16"/>
  <c r="CD8" i="13"/>
  <c r="AF58" i="16"/>
  <c r="AF23" i="16"/>
  <c r="DA58" i="16"/>
  <c r="DV58" i="16" s="1"/>
  <c r="CG7" i="13"/>
  <c r="CH8" i="13"/>
  <c r="CN7" i="13"/>
  <c r="AS8" i="13"/>
  <c r="K54" i="13"/>
  <c r="K56" i="13" s="1"/>
  <c r="Q54" i="13"/>
  <c r="Q57" i="13" s="1"/>
  <c r="Y54" i="13"/>
  <c r="Y57" i="13" s="1"/>
  <c r="BL55" i="13"/>
  <c r="BD57" i="13"/>
  <c r="AZ7" i="13"/>
  <c r="AZ8" i="13" s="1"/>
  <c r="AR7" i="13"/>
  <c r="AR8" i="13" s="1"/>
  <c r="BX8" i="13"/>
  <c r="CN8" i="13"/>
  <c r="O54" i="13"/>
  <c r="BH55" i="13"/>
  <c r="BH57" i="13"/>
  <c r="BH56" i="13"/>
  <c r="AX56" i="13"/>
  <c r="AX55" i="13"/>
  <c r="AX57" i="13"/>
  <c r="AZ57" i="13"/>
  <c r="AZ56" i="13"/>
  <c r="AZ55" i="13"/>
  <c r="AV55" i="13"/>
  <c r="AV57" i="13"/>
  <c r="AV56" i="13"/>
  <c r="BA8" i="13"/>
  <c r="AI3" i="13"/>
  <c r="A1" i="13"/>
  <c r="S54" i="13"/>
  <c r="AA54" i="13"/>
  <c r="AR57" i="13"/>
  <c r="AR56" i="13"/>
  <c r="AR55" i="13"/>
  <c r="BN57" i="13"/>
  <c r="BN56" i="13"/>
  <c r="BN55" i="13"/>
  <c r="CB8" i="13"/>
  <c r="M54" i="13"/>
  <c r="U54" i="13"/>
  <c r="AC54" i="13"/>
  <c r="BF57" i="13"/>
  <c r="BF56" i="13"/>
  <c r="BF55" i="13"/>
  <c r="A3" i="13"/>
  <c r="K7" i="13"/>
  <c r="K8" i="13" s="1"/>
  <c r="S7" i="13"/>
  <c r="S8" i="13" s="1"/>
  <c r="AA7" i="13"/>
  <c r="AA8" i="13" s="1"/>
  <c r="L8" i="13"/>
  <c r="M7" i="13"/>
  <c r="M8" i="13" s="1"/>
  <c r="U7" i="13"/>
  <c r="U8" i="13" s="1"/>
  <c r="AC7" i="13"/>
  <c r="AC8" i="13" s="1"/>
  <c r="AT7" i="13"/>
  <c r="AT8" i="13" s="1"/>
  <c r="AT58" i="13" s="1"/>
  <c r="BB7" i="13"/>
  <c r="BB8" i="13" s="1"/>
  <c r="BB58" i="13" s="1"/>
  <c r="BJ7" i="13"/>
  <c r="BJ8" i="13" s="1"/>
  <c r="N8" i="13"/>
  <c r="V8" i="13"/>
  <c r="AD8" i="13"/>
  <c r="AU8" i="13"/>
  <c r="BC8" i="13"/>
  <c r="O7" i="13"/>
  <c r="O8" i="13" s="1"/>
  <c r="W7" i="13"/>
  <c r="W8" i="13" s="1"/>
  <c r="AE7" i="13"/>
  <c r="AE8" i="13" s="1"/>
  <c r="AV7" i="13"/>
  <c r="AV8" i="13" s="1"/>
  <c r="BD7" i="13"/>
  <c r="BD8" i="13" s="1"/>
  <c r="BL7" i="13"/>
  <c r="BL8" i="13" s="1"/>
  <c r="P8" i="13"/>
  <c r="X8" i="13"/>
  <c r="AF8" i="13"/>
  <c r="AW8" i="13"/>
  <c r="BE8" i="13"/>
  <c r="BM8" i="13"/>
  <c r="Q7" i="13"/>
  <c r="Q8" i="13" s="1"/>
  <c r="Y7" i="13"/>
  <c r="Y8" i="13" s="1"/>
  <c r="AG7" i="13"/>
  <c r="AG8" i="13" s="1"/>
  <c r="AX7" i="13"/>
  <c r="AX8" i="13" s="1"/>
  <c r="BF7" i="13"/>
  <c r="BF8" i="13" s="1"/>
  <c r="BN7" i="13"/>
  <c r="BN8" i="13" s="1"/>
  <c r="R8" i="13"/>
  <c r="Z8" i="13"/>
  <c r="AH8" i="13"/>
  <c r="AY8" i="13"/>
  <c r="BG8" i="13"/>
  <c r="BO8" i="13"/>
  <c r="BL40" i="5" l="1"/>
  <c r="BL41" i="5"/>
  <c r="BL44" i="5"/>
  <c r="BL45" i="5"/>
  <c r="BL37" i="5"/>
  <c r="BL38" i="5"/>
  <c r="BL39" i="5"/>
  <c r="BL43" i="5"/>
  <c r="BL42" i="5"/>
  <c r="AM43" i="3"/>
  <c r="AM37" i="3"/>
  <c r="AM39" i="3"/>
  <c r="AM38" i="3"/>
  <c r="AM40" i="3"/>
  <c r="AM36" i="3"/>
  <c r="AM44" i="3"/>
  <c r="AM42" i="3"/>
  <c r="AM41" i="3"/>
  <c r="BL27" i="5"/>
  <c r="BL35" i="5"/>
  <c r="BL26" i="5"/>
  <c r="BL19" i="5"/>
  <c r="AM25" i="3"/>
  <c r="AM34" i="3"/>
  <c r="AM26" i="3"/>
  <c r="AM18" i="3"/>
  <c r="BJ58" i="13"/>
  <c r="BL58" i="13"/>
  <c r="BN58" i="13"/>
  <c r="AM35" i="3"/>
  <c r="AM33" i="3"/>
  <c r="AM32" i="3"/>
  <c r="AM28" i="3"/>
  <c r="AM13" i="3"/>
  <c r="AM23" i="3"/>
  <c r="AM9" i="3"/>
  <c r="AM10" i="3"/>
  <c r="AM24" i="3"/>
  <c r="AM19" i="3"/>
  <c r="AM11" i="3"/>
  <c r="AM20" i="3"/>
  <c r="AM29" i="3"/>
  <c r="AM31" i="3"/>
  <c r="AM27" i="3"/>
  <c r="AM16" i="3"/>
  <c r="AM12" i="3"/>
  <c r="AM17" i="3"/>
  <c r="BL36" i="5"/>
  <c r="BL33" i="5"/>
  <c r="BL29" i="5"/>
  <c r="BL14" i="5"/>
  <c r="BL24" i="5"/>
  <c r="BL10" i="5"/>
  <c r="BL25" i="5"/>
  <c r="BL28" i="5"/>
  <c r="BL17" i="5"/>
  <c r="BL13" i="5"/>
  <c r="BL18" i="5"/>
  <c r="BL30" i="5"/>
  <c r="BL34" i="5"/>
  <c r="BL32" i="5"/>
  <c r="BL11" i="5"/>
  <c r="BL20" i="5"/>
  <c r="BL12" i="5"/>
  <c r="BL21" i="5"/>
  <c r="CD7" i="5"/>
  <c r="BL15" i="5"/>
  <c r="BL22" i="5"/>
  <c r="BL23" i="5"/>
  <c r="BL16" i="5"/>
  <c r="BL31" i="5"/>
  <c r="BL9" i="5"/>
  <c r="AM30" i="3"/>
  <c r="AM14" i="3"/>
  <c r="AM22" i="3"/>
  <c r="AM15" i="3"/>
  <c r="AM21" i="3"/>
  <c r="AM8" i="3"/>
  <c r="EM7" i="18"/>
  <c r="EM18" i="18"/>
  <c r="EN18" i="18" s="1"/>
  <c r="EM6" i="18"/>
  <c r="EN6" i="18" s="1"/>
  <c r="EM35" i="18"/>
  <c r="EN35" i="18" s="1"/>
  <c r="EM27" i="18"/>
  <c r="EN27" i="18" s="1"/>
  <c r="EM10" i="18"/>
  <c r="EN10" i="18" s="1"/>
  <c r="EM26" i="18"/>
  <c r="EN26" i="18" s="1"/>
  <c r="EM22" i="18"/>
  <c r="EN22" i="18" s="1"/>
  <c r="EM11" i="18"/>
  <c r="EN11" i="18" s="1"/>
  <c r="EM50" i="18"/>
  <c r="EN50" i="18" s="1"/>
  <c r="EM42" i="18"/>
  <c r="EN42" i="18" s="1"/>
  <c r="EM32" i="18"/>
  <c r="EN32" i="18" s="1"/>
  <c r="EM33" i="18"/>
  <c r="EN33" i="18" s="1"/>
  <c r="EM17" i="18"/>
  <c r="EN17" i="18" s="1"/>
  <c r="EM30" i="18"/>
  <c r="EN30" i="18" s="1"/>
  <c r="EM20" i="18"/>
  <c r="EN20" i="18" s="1"/>
  <c r="EM49" i="18"/>
  <c r="EN49" i="18" s="1"/>
  <c r="EM39" i="18"/>
  <c r="EN39" i="18" s="1"/>
  <c r="EM24" i="18"/>
  <c r="EN24" i="18" s="1"/>
  <c r="EM25" i="18"/>
  <c r="EN25" i="18" s="1"/>
  <c r="EM46" i="18"/>
  <c r="EN46" i="18" s="1"/>
  <c r="EM29" i="18"/>
  <c r="EN29" i="18" s="1"/>
  <c r="EM45" i="18"/>
  <c r="EN45" i="18" s="1"/>
  <c r="EM31" i="18"/>
  <c r="EN31" i="18" s="1"/>
  <c r="EM8" i="18"/>
  <c r="EN8" i="18" s="1"/>
  <c r="EM21" i="18"/>
  <c r="EN21" i="18" s="1"/>
  <c r="EM16" i="18"/>
  <c r="EN16" i="18" s="1"/>
  <c r="EM23" i="18"/>
  <c r="EN23" i="18" s="1"/>
  <c r="EM43" i="18"/>
  <c r="EN43" i="18" s="1"/>
  <c r="EM37" i="18"/>
  <c r="EN37" i="18" s="1"/>
  <c r="EM48" i="18"/>
  <c r="EN48" i="18" s="1"/>
  <c r="EM38" i="18"/>
  <c r="EN38" i="18" s="1"/>
  <c r="EM34" i="18"/>
  <c r="EN34" i="18" s="1"/>
  <c r="EM13" i="18"/>
  <c r="EN13" i="18" s="1"/>
  <c r="EM44" i="18"/>
  <c r="EN44" i="18" s="1"/>
  <c r="EM9" i="18"/>
  <c r="EN9" i="18" s="1"/>
  <c r="EM36" i="18"/>
  <c r="EN36" i="18" s="1"/>
  <c r="EM19" i="18"/>
  <c r="EN19" i="18" s="1"/>
  <c r="EM28" i="18"/>
  <c r="EN28" i="18" s="1"/>
  <c r="EM41" i="18"/>
  <c r="EN41" i="18" s="1"/>
  <c r="EM15" i="18"/>
  <c r="EN15" i="18" s="1"/>
  <c r="EM40" i="18"/>
  <c r="EN40" i="18" s="1"/>
  <c r="EM47" i="18"/>
  <c r="EN47" i="18" s="1"/>
  <c r="EM14" i="18"/>
  <c r="EN14" i="18" s="1"/>
  <c r="EM12" i="18"/>
  <c r="EN12" i="18" s="1"/>
  <c r="A27" i="16"/>
  <c r="A62" i="16"/>
  <c r="AN6" i="3"/>
  <c r="W57" i="13"/>
  <c r="W58" i="13" s="1"/>
  <c r="AG55" i="13"/>
  <c r="AE57" i="13"/>
  <c r="AE58" i="13" s="1"/>
  <c r="EO3" i="18"/>
  <c r="EP5" i="18" s="1"/>
  <c r="EM5" i="18"/>
  <c r="BM7" i="5"/>
  <c r="Y56" i="13"/>
  <c r="Y55" i="13"/>
  <c r="W55" i="13"/>
  <c r="BH58" i="13"/>
  <c r="BV62" i="16"/>
  <c r="AM7" i="3"/>
  <c r="AM27" i="16" s="1"/>
  <c r="DV48" i="16"/>
  <c r="DA74" i="16"/>
  <c r="AE55" i="13"/>
  <c r="AR58" i="13"/>
  <c r="AG57" i="13"/>
  <c r="AG58" i="13"/>
  <c r="K55" i="13"/>
  <c r="AX58" i="13"/>
  <c r="Q58" i="13"/>
  <c r="BD58" i="13"/>
  <c r="AF74" i="16"/>
  <c r="Y58" i="13"/>
  <c r="DV49" i="16"/>
  <c r="AZ58" i="13"/>
  <c r="Q55" i="13"/>
  <c r="Q56" i="13"/>
  <c r="K57" i="13"/>
  <c r="K58" i="13" s="1"/>
  <c r="AC56" i="13"/>
  <c r="AC55" i="13"/>
  <c r="AC57" i="13"/>
  <c r="AC58" i="13" s="1"/>
  <c r="S55" i="13"/>
  <c r="S57" i="13"/>
  <c r="S58" i="13" s="1"/>
  <c r="S56" i="13"/>
  <c r="U56" i="13"/>
  <c r="U55" i="13"/>
  <c r="U57" i="13"/>
  <c r="U58" i="13" s="1"/>
  <c r="M56" i="13"/>
  <c r="M55" i="13"/>
  <c r="M57" i="13"/>
  <c r="M58" i="13" s="1"/>
  <c r="AV58" i="13"/>
  <c r="O57" i="13"/>
  <c r="O58" i="13" s="1"/>
  <c r="O56" i="13"/>
  <c r="O55" i="13"/>
  <c r="BF58" i="13"/>
  <c r="AA55" i="13"/>
  <c r="AA57" i="13"/>
  <c r="AA58" i="13" s="1"/>
  <c r="AA56" i="13"/>
  <c r="BM43" i="5" l="1"/>
  <c r="BM40" i="5"/>
  <c r="BM39" i="5"/>
  <c r="BM44" i="5"/>
  <c r="BM38" i="5"/>
  <c r="BM41" i="5"/>
  <c r="BM37" i="5"/>
  <c r="BM45" i="5"/>
  <c r="BM42" i="5"/>
  <c r="AN42" i="3"/>
  <c r="AN38" i="3"/>
  <c r="AN36" i="3"/>
  <c r="AN43" i="3"/>
  <c r="AN37" i="3"/>
  <c r="AN40" i="3"/>
  <c r="AN39" i="3"/>
  <c r="AN44" i="3"/>
  <c r="AN41" i="3"/>
  <c r="DA62" i="16"/>
  <c r="CC62" i="16"/>
  <c r="AF27" i="16"/>
  <c r="H27" i="16"/>
  <c r="AT27" i="16" s="1"/>
  <c r="H62" i="16"/>
  <c r="AF62" i="16"/>
  <c r="AN18" i="3"/>
  <c r="AN25" i="3"/>
  <c r="AN34" i="3"/>
  <c r="AN26" i="3"/>
  <c r="BM26" i="5"/>
  <c r="BM27" i="5"/>
  <c r="BM35" i="5"/>
  <c r="BM19" i="5"/>
  <c r="BM33" i="5"/>
  <c r="BM32" i="5"/>
  <c r="BM14" i="5"/>
  <c r="BM10" i="5"/>
  <c r="BM11" i="5"/>
  <c r="BM20" i="5"/>
  <c r="BM28" i="5"/>
  <c r="BM12" i="5"/>
  <c r="BM17" i="5"/>
  <c r="BM21" i="5"/>
  <c r="BM13" i="5"/>
  <c r="BM36" i="5"/>
  <c r="BM34" i="5"/>
  <c r="BM29" i="5"/>
  <c r="BM24" i="5"/>
  <c r="BM25" i="5"/>
  <c r="BM18" i="5"/>
  <c r="BM30" i="5"/>
  <c r="AN35" i="3"/>
  <c r="AN24" i="3"/>
  <c r="AN16" i="3"/>
  <c r="AN20" i="3"/>
  <c r="AN17" i="3"/>
  <c r="AN31" i="3"/>
  <c r="AN33" i="3"/>
  <c r="AN32" i="3"/>
  <c r="AN28" i="3"/>
  <c r="AN13" i="3"/>
  <c r="AN23" i="3"/>
  <c r="AN9" i="3"/>
  <c r="AN10" i="3"/>
  <c r="AN19" i="3"/>
  <c r="AN27" i="3"/>
  <c r="AN11" i="3"/>
  <c r="AN12" i="3"/>
  <c r="AN29" i="3"/>
  <c r="CE7" i="5"/>
  <c r="BM15" i="5"/>
  <c r="BM22" i="5"/>
  <c r="BM16" i="5"/>
  <c r="BM31" i="5"/>
  <c r="BM23" i="5"/>
  <c r="BM9" i="5"/>
  <c r="AN22" i="3"/>
  <c r="AN30" i="3"/>
  <c r="AN14" i="3"/>
  <c r="AN15" i="3"/>
  <c r="AN21" i="3"/>
  <c r="AN8" i="3"/>
  <c r="DH74" i="16"/>
  <c r="EN7" i="18"/>
  <c r="DH62" i="16"/>
  <c r="AM62" i="16"/>
  <c r="BV63" i="16"/>
  <c r="A63" i="16"/>
  <c r="EO22" i="18"/>
  <c r="EP22" i="18" s="1"/>
  <c r="EO26" i="18"/>
  <c r="EP26" i="18" s="1"/>
  <c r="EO36" i="18"/>
  <c r="EP36" i="18" s="1"/>
  <c r="EO11" i="18"/>
  <c r="EP11" i="18" s="1"/>
  <c r="EO50" i="18"/>
  <c r="EP50" i="18" s="1"/>
  <c r="EO42" i="18"/>
  <c r="EP42" i="18" s="1"/>
  <c r="EO33" i="18"/>
  <c r="EP33" i="18" s="1"/>
  <c r="EO30" i="18"/>
  <c r="EP30" i="18" s="1"/>
  <c r="EO39" i="18"/>
  <c r="EP39" i="18" s="1"/>
  <c r="EO25" i="18"/>
  <c r="EP25" i="18" s="1"/>
  <c r="EO12" i="18"/>
  <c r="EP12" i="18" s="1"/>
  <c r="EO49" i="18"/>
  <c r="EP49" i="18" s="1"/>
  <c r="EO16" i="18"/>
  <c r="EP16" i="18" s="1"/>
  <c r="EO23" i="18"/>
  <c r="EP23" i="18" s="1"/>
  <c r="EO45" i="18"/>
  <c r="EP45" i="18" s="1"/>
  <c r="EO32" i="18"/>
  <c r="EP32" i="18" s="1"/>
  <c r="EO46" i="18"/>
  <c r="EP46" i="18" s="1"/>
  <c r="EO29" i="18"/>
  <c r="EP29" i="18" s="1"/>
  <c r="EO31" i="18"/>
  <c r="EP31" i="18" s="1"/>
  <c r="EO8" i="18"/>
  <c r="EP8" i="18" s="1"/>
  <c r="EO21" i="18"/>
  <c r="EP21" i="18" s="1"/>
  <c r="EO20" i="18"/>
  <c r="EP20" i="18" s="1"/>
  <c r="EO43" i="18"/>
  <c r="EP43" i="18" s="1"/>
  <c r="EO34" i="18"/>
  <c r="EP34" i="18" s="1"/>
  <c r="EO17" i="18"/>
  <c r="EP17" i="18" s="1"/>
  <c r="EO37" i="18"/>
  <c r="EP37" i="18" s="1"/>
  <c r="EO38" i="18"/>
  <c r="EP38" i="18" s="1"/>
  <c r="EO47" i="18"/>
  <c r="EP47" i="18" s="1"/>
  <c r="EO44" i="18"/>
  <c r="EP44" i="18" s="1"/>
  <c r="EO9" i="18"/>
  <c r="EP9" i="18" s="1"/>
  <c r="EO19" i="18"/>
  <c r="EP19" i="18" s="1"/>
  <c r="EO41" i="18"/>
  <c r="EP41" i="18" s="1"/>
  <c r="EO15" i="18"/>
  <c r="EP15" i="18" s="1"/>
  <c r="EO24" i="18"/>
  <c r="EP24" i="18" s="1"/>
  <c r="EO40" i="18"/>
  <c r="EP40" i="18" s="1"/>
  <c r="EO13" i="18"/>
  <c r="EP13" i="18" s="1"/>
  <c r="EO35" i="18"/>
  <c r="EP35" i="18" s="1"/>
  <c r="EO27" i="18"/>
  <c r="EP27" i="18" s="1"/>
  <c r="EO14" i="18"/>
  <c r="EP14" i="18" s="1"/>
  <c r="EO28" i="18"/>
  <c r="EP28" i="18" s="1"/>
  <c r="EO48" i="18"/>
  <c r="EP48" i="18" s="1"/>
  <c r="EO7" i="18"/>
  <c r="EO18" i="18"/>
  <c r="EP18" i="18" s="1"/>
  <c r="EO10" i="18"/>
  <c r="EP10" i="18" s="1"/>
  <c r="EO6" i="18"/>
  <c r="EP6" i="18" s="1"/>
  <c r="A28" i="16"/>
  <c r="AO6" i="3"/>
  <c r="AM74" i="16"/>
  <c r="EO5" i="18"/>
  <c r="EQ3" i="18"/>
  <c r="BN7" i="5"/>
  <c r="BN8" i="5" s="1"/>
  <c r="AN7" i="3"/>
  <c r="AM28" i="16" s="1"/>
  <c r="AO34" i="3" l="1"/>
  <c r="AO37" i="3"/>
  <c r="AO39" i="3"/>
  <c r="AO44" i="3"/>
  <c r="AO38" i="3"/>
  <c r="AO40" i="3"/>
  <c r="AO41" i="3"/>
  <c r="AO36" i="3"/>
  <c r="AO42" i="3"/>
  <c r="AO43" i="3"/>
  <c r="BN35" i="5"/>
  <c r="BN45" i="5"/>
  <c r="BN44" i="5"/>
  <c r="BN43" i="5"/>
  <c r="BN42" i="5"/>
  <c r="BN40" i="5"/>
  <c r="BN39" i="5"/>
  <c r="BN41" i="5"/>
  <c r="BN38" i="5"/>
  <c r="BN37" i="5"/>
  <c r="CC63" i="16"/>
  <c r="DA63" i="16"/>
  <c r="AF63" i="16"/>
  <c r="H63" i="16"/>
  <c r="AF28" i="16"/>
  <c r="H28" i="16"/>
  <c r="AT28" i="16" s="1"/>
  <c r="DV62" i="16"/>
  <c r="BN36" i="5"/>
  <c r="BN34" i="5"/>
  <c r="BN33" i="5"/>
  <c r="BN32" i="5"/>
  <c r="AO8" i="3"/>
  <c r="AO35" i="3"/>
  <c r="AO33" i="3"/>
  <c r="AO32" i="3"/>
  <c r="AO31" i="3"/>
  <c r="EP7" i="18"/>
  <c r="AM63" i="16"/>
  <c r="DH63" i="16"/>
  <c r="DO62" i="16"/>
  <c r="DP62" i="16" s="1"/>
  <c r="DQ62" i="16" s="1"/>
  <c r="DR62" i="16" s="1"/>
  <c r="DS62" i="16" s="1"/>
  <c r="DT62" i="16" s="1"/>
  <c r="DU62" i="16" s="1"/>
  <c r="AT62" i="16"/>
  <c r="BN16" i="5"/>
  <c r="BN25" i="5"/>
  <c r="BN27" i="5"/>
  <c r="BN17" i="5"/>
  <c r="BN21" i="5"/>
  <c r="BN26" i="5"/>
  <c r="BN14" i="5"/>
  <c r="BN29" i="5"/>
  <c r="BN24" i="5"/>
  <c r="BN10" i="5"/>
  <c r="BN23" i="5"/>
  <c r="BN19" i="5"/>
  <c r="BN13" i="5"/>
  <c r="BN11" i="5"/>
  <c r="BN28" i="5"/>
  <c r="BN18" i="5"/>
  <c r="BN30" i="5"/>
  <c r="BN31" i="5"/>
  <c r="BN12" i="5"/>
  <c r="BN20" i="5"/>
  <c r="BN15" i="5"/>
  <c r="BN22" i="5"/>
  <c r="BN9" i="5"/>
  <c r="EQ49" i="18"/>
  <c r="ER49" i="18" s="1"/>
  <c r="EQ37" i="18"/>
  <c r="ER37" i="18" s="1"/>
  <c r="EQ25" i="18"/>
  <c r="ER25" i="18" s="1"/>
  <c r="EQ13" i="18"/>
  <c r="ER13" i="18" s="1"/>
  <c r="EQ36" i="18"/>
  <c r="ER36" i="18" s="1"/>
  <c r="EQ12" i="18"/>
  <c r="ER12" i="18" s="1"/>
  <c r="EQ35" i="18"/>
  <c r="ER35" i="18" s="1"/>
  <c r="EQ23" i="18"/>
  <c r="ER23" i="18" s="1"/>
  <c r="EQ11" i="18"/>
  <c r="ER11" i="18" s="1"/>
  <c r="EQ48" i="18"/>
  <c r="ER48" i="18" s="1"/>
  <c r="EQ24" i="18"/>
  <c r="ER24" i="18" s="1"/>
  <c r="EQ47" i="18"/>
  <c r="ER47" i="18" s="1"/>
  <c r="EQ46" i="18"/>
  <c r="ER46" i="18" s="1"/>
  <c r="EQ34" i="18"/>
  <c r="ER34" i="18" s="1"/>
  <c r="EQ22" i="18"/>
  <c r="ER22" i="18" s="1"/>
  <c r="EQ10" i="18"/>
  <c r="ER10" i="18" s="1"/>
  <c r="EQ17" i="18"/>
  <c r="ER17" i="18" s="1"/>
  <c r="EQ28" i="18"/>
  <c r="ER28" i="18" s="1"/>
  <c r="EQ38" i="18"/>
  <c r="ER38" i="18" s="1"/>
  <c r="EQ26" i="18"/>
  <c r="ER26" i="18" s="1"/>
  <c r="EQ45" i="18"/>
  <c r="ER45" i="18" s="1"/>
  <c r="EQ33" i="18"/>
  <c r="ER33" i="18" s="1"/>
  <c r="EQ21" i="18"/>
  <c r="ER21" i="18" s="1"/>
  <c r="EQ9" i="18"/>
  <c r="ER9" i="18" s="1"/>
  <c r="ER5" i="18"/>
  <c r="EQ5" i="18" s="1"/>
  <c r="EQ43" i="18"/>
  <c r="ER43" i="18" s="1"/>
  <c r="EQ31" i="18"/>
  <c r="ER31" i="18" s="1"/>
  <c r="EQ19" i="18"/>
  <c r="ER19" i="18" s="1"/>
  <c r="EQ50" i="18"/>
  <c r="ER50" i="18" s="1"/>
  <c r="EQ44" i="18"/>
  <c r="ER44" i="18" s="1"/>
  <c r="EQ32" i="18"/>
  <c r="ER32" i="18" s="1"/>
  <c r="EQ20" i="18"/>
  <c r="ER20" i="18" s="1"/>
  <c r="EQ8" i="18"/>
  <c r="ER8" i="18" s="1"/>
  <c r="EQ7" i="18"/>
  <c r="ER7" i="18" s="1"/>
  <c r="EQ40" i="18"/>
  <c r="ER40" i="18" s="1"/>
  <c r="EQ16" i="18"/>
  <c r="ER16" i="18" s="1"/>
  <c r="EQ14" i="18"/>
  <c r="ER14" i="18" s="1"/>
  <c r="EQ42" i="18"/>
  <c r="ER42" i="18" s="1"/>
  <c r="EQ30" i="18"/>
  <c r="ER30" i="18" s="1"/>
  <c r="EQ18" i="18"/>
  <c r="ER18" i="18" s="1"/>
  <c r="EQ6" i="18"/>
  <c r="ER6" i="18" s="1"/>
  <c r="EQ41" i="18"/>
  <c r="ER41" i="18" s="1"/>
  <c r="EQ29" i="18"/>
  <c r="ER29" i="18" s="1"/>
  <c r="EQ39" i="18"/>
  <c r="ER39" i="18" s="1"/>
  <c r="EQ27" i="18"/>
  <c r="ER27" i="18" s="1"/>
  <c r="EQ15" i="18"/>
  <c r="ER15" i="18" s="1"/>
  <c r="A29" i="16"/>
  <c r="AO16" i="3"/>
  <c r="AO20" i="3"/>
  <c r="AO28" i="3"/>
  <c r="AO9" i="3"/>
  <c r="AO25" i="3"/>
  <c r="AO19" i="3"/>
  <c r="AO23" i="3"/>
  <c r="AO17" i="3"/>
  <c r="AO24" i="3"/>
  <c r="AO21" i="3"/>
  <c r="AO18" i="3"/>
  <c r="AO14" i="3"/>
  <c r="AO11" i="3"/>
  <c r="AO27" i="3"/>
  <c r="AO22" i="3"/>
  <c r="AO29" i="3"/>
  <c r="AO12" i="3"/>
  <c r="AO10" i="3"/>
  <c r="AO15" i="3"/>
  <c r="AO13" i="3"/>
  <c r="AO30" i="3"/>
  <c r="AO26" i="3"/>
  <c r="CF7" i="5"/>
  <c r="CF8" i="5" s="1"/>
  <c r="BO7" i="5"/>
  <c r="ES3" i="18"/>
  <c r="ET5" i="18" s="1"/>
  <c r="ES5" i="18" s="1"/>
  <c r="BV64" i="16"/>
  <c r="A64" i="16"/>
  <c r="AP6" i="3"/>
  <c r="AO7" i="3"/>
  <c r="AM29" i="16" s="1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I11" i="7"/>
  <c r="I12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AP34" i="3" l="1"/>
  <c r="AP38" i="3"/>
  <c r="AP37" i="3"/>
  <c r="AP43" i="3"/>
  <c r="AP36" i="3"/>
  <c r="AP41" i="3"/>
  <c r="AP44" i="3"/>
  <c r="AP40" i="3"/>
  <c r="AP39" i="3"/>
  <c r="AP42" i="3"/>
  <c r="BO35" i="5"/>
  <c r="BO45" i="5"/>
  <c r="BO38" i="5"/>
  <c r="BO41" i="5"/>
  <c r="BO39" i="5"/>
  <c r="BO42" i="5"/>
  <c r="BO40" i="5"/>
  <c r="BO44" i="5"/>
  <c r="BO37" i="5"/>
  <c r="BO43" i="5"/>
  <c r="DA64" i="16"/>
  <c r="CC64" i="16"/>
  <c r="AF64" i="16"/>
  <c r="H64" i="16"/>
  <c r="H29" i="16"/>
  <c r="AT29" i="16" s="1"/>
  <c r="AF29" i="16"/>
  <c r="DV63" i="16"/>
  <c r="AP8" i="3"/>
  <c r="AP10" i="3"/>
  <c r="AP32" i="3"/>
  <c r="AP31" i="3"/>
  <c r="AP35" i="3"/>
  <c r="AP33" i="3"/>
  <c r="BO34" i="5"/>
  <c r="BO33" i="5"/>
  <c r="BO32" i="5"/>
  <c r="BO36" i="5"/>
  <c r="AM64" i="16"/>
  <c r="DH64" i="16"/>
  <c r="DO64" i="16"/>
  <c r="DP64" i="16" s="1"/>
  <c r="DQ64" i="16" s="1"/>
  <c r="DR64" i="16" s="1"/>
  <c r="DS64" i="16" s="1"/>
  <c r="DT64" i="16" s="1"/>
  <c r="DU64" i="16" s="1"/>
  <c r="AT64" i="16"/>
  <c r="AT63" i="16"/>
  <c r="DO63" i="16"/>
  <c r="DP63" i="16" s="1"/>
  <c r="DQ63" i="16" s="1"/>
  <c r="DR63" i="16" s="1"/>
  <c r="DS63" i="16" s="1"/>
  <c r="DT63" i="16" s="1"/>
  <c r="DU63" i="16" s="1"/>
  <c r="CF9" i="5"/>
  <c r="CF10" i="5"/>
  <c r="CF12" i="5"/>
  <c r="AP28" i="3"/>
  <c r="AP18" i="3"/>
  <c r="AP30" i="3"/>
  <c r="AP27" i="3"/>
  <c r="AP15" i="3"/>
  <c r="AP19" i="3"/>
  <c r="AP21" i="3"/>
  <c r="AP26" i="3"/>
  <c r="AP16" i="3"/>
  <c r="AP24" i="3"/>
  <c r="AP11" i="3"/>
  <c r="AP17" i="3"/>
  <c r="AP25" i="3"/>
  <c r="AP20" i="3"/>
  <c r="AP13" i="3"/>
  <c r="AP22" i="3"/>
  <c r="AP29" i="3"/>
  <c r="AP12" i="3"/>
  <c r="AP14" i="3"/>
  <c r="AP23" i="3"/>
  <c r="AP9" i="3"/>
  <c r="BO8" i="5"/>
  <c r="BO11" i="5"/>
  <c r="BO15" i="5"/>
  <c r="BO22" i="5"/>
  <c r="BO13" i="5"/>
  <c r="BO31" i="5"/>
  <c r="BO12" i="5"/>
  <c r="BO10" i="5"/>
  <c r="BO17" i="5"/>
  <c r="BO20" i="5"/>
  <c r="BO18" i="5"/>
  <c r="BO19" i="5"/>
  <c r="BO24" i="5"/>
  <c r="BO14" i="5"/>
  <c r="BO27" i="5"/>
  <c r="BO16" i="5"/>
  <c r="BO30" i="5"/>
  <c r="BO29" i="5"/>
  <c r="BO25" i="5"/>
  <c r="BO21" i="5"/>
  <c r="BO26" i="5"/>
  <c r="BO23" i="5"/>
  <c r="BO28" i="5"/>
  <c r="BO9" i="5"/>
  <c r="CG7" i="5"/>
  <c r="CG8" i="5" s="1"/>
  <c r="BV65" i="16"/>
  <c r="A65" i="16"/>
  <c r="ES49" i="18"/>
  <c r="ET49" i="18" s="1"/>
  <c r="ES30" i="18"/>
  <c r="ET30" i="18" s="1"/>
  <c r="ES11" i="18"/>
  <c r="ET11" i="18" s="1"/>
  <c r="ES42" i="18"/>
  <c r="ET42" i="18" s="1"/>
  <c r="ES25" i="18"/>
  <c r="ET25" i="18" s="1"/>
  <c r="ES12" i="18"/>
  <c r="ET12" i="18" s="1"/>
  <c r="ES32" i="18"/>
  <c r="ET32" i="18" s="1"/>
  <c r="ES39" i="18"/>
  <c r="ET39" i="18" s="1"/>
  <c r="ES7" i="18"/>
  <c r="ET7" i="18" s="1"/>
  <c r="ES45" i="18"/>
  <c r="ET45" i="18" s="1"/>
  <c r="ES10" i="18"/>
  <c r="ET10" i="18" s="1"/>
  <c r="ES29" i="18"/>
  <c r="ET29" i="18" s="1"/>
  <c r="ES20" i="18"/>
  <c r="ET20" i="18" s="1"/>
  <c r="ES8" i="18"/>
  <c r="ET8" i="18" s="1"/>
  <c r="ES21" i="18"/>
  <c r="ET21" i="18" s="1"/>
  <c r="ES26" i="18"/>
  <c r="ET26" i="18" s="1"/>
  <c r="ES46" i="18"/>
  <c r="ET46" i="18" s="1"/>
  <c r="ES17" i="18"/>
  <c r="ET17" i="18" s="1"/>
  <c r="ES37" i="18"/>
  <c r="ET37" i="18" s="1"/>
  <c r="ES50" i="18"/>
  <c r="ET50" i="18" s="1"/>
  <c r="ES16" i="18"/>
  <c r="ET16" i="18" s="1"/>
  <c r="ES23" i="18"/>
  <c r="ET23" i="18" s="1"/>
  <c r="ES34" i="18"/>
  <c r="ET34" i="18" s="1"/>
  <c r="ES44" i="18"/>
  <c r="ET44" i="18" s="1"/>
  <c r="ES9" i="18"/>
  <c r="ET9" i="18" s="1"/>
  <c r="ES41" i="18"/>
  <c r="ET41" i="18" s="1"/>
  <c r="ES13" i="18"/>
  <c r="ET13" i="18" s="1"/>
  <c r="ES24" i="18"/>
  <c r="ET24" i="18" s="1"/>
  <c r="ES40" i="18"/>
  <c r="ET40" i="18" s="1"/>
  <c r="ES28" i="18"/>
  <c r="ET28" i="18" s="1"/>
  <c r="ES14" i="18"/>
  <c r="ET14" i="18" s="1"/>
  <c r="ES47" i="18"/>
  <c r="ET47" i="18" s="1"/>
  <c r="ES31" i="18"/>
  <c r="ET31" i="18" s="1"/>
  <c r="ES6" i="18"/>
  <c r="ET6" i="18" s="1"/>
  <c r="ES48" i="18"/>
  <c r="ET48" i="18" s="1"/>
  <c r="ES18" i="18"/>
  <c r="ET18" i="18" s="1"/>
  <c r="ES38" i="18"/>
  <c r="ET38" i="18" s="1"/>
  <c r="ES43" i="18"/>
  <c r="ET43" i="18" s="1"/>
  <c r="ES22" i="18"/>
  <c r="ET22" i="18" s="1"/>
  <c r="ES35" i="18"/>
  <c r="ET35" i="18" s="1"/>
  <c r="ES27" i="18"/>
  <c r="ET27" i="18" s="1"/>
  <c r="ES36" i="18"/>
  <c r="ET36" i="18" s="1"/>
  <c r="ES19" i="18"/>
  <c r="ET19" i="18" s="1"/>
  <c r="ES33" i="18"/>
  <c r="ET33" i="18" s="1"/>
  <c r="ES15" i="18"/>
  <c r="ET15" i="18" s="1"/>
  <c r="A30" i="16"/>
  <c r="AP7" i="3"/>
  <c r="AM30" i="16" s="1"/>
  <c r="DA79" i="16"/>
  <c r="AF78" i="16"/>
  <c r="AF79" i="16"/>
  <c r="DA80" i="16"/>
  <c r="AR43" i="11"/>
  <c r="CC65" i="16" l="1"/>
  <c r="DA65" i="16"/>
  <c r="DA75" i="16" s="1"/>
  <c r="DA76" i="16" s="1"/>
  <c r="AF65" i="16"/>
  <c r="H65" i="16"/>
  <c r="H30" i="16"/>
  <c r="AT30" i="16" s="1"/>
  <c r="AF30" i="16"/>
  <c r="DV64" i="16"/>
  <c r="AM65" i="16"/>
  <c r="AT65" i="16"/>
  <c r="AU65" i="16" s="1"/>
  <c r="AV65" i="16" s="1"/>
  <c r="AW65" i="16" s="1"/>
  <c r="AX65" i="16" s="1"/>
  <c r="AY65" i="16" s="1"/>
  <c r="AZ65" i="16" s="1"/>
  <c r="DO65" i="16"/>
  <c r="DP65" i="16" s="1"/>
  <c r="DQ65" i="16" s="1"/>
  <c r="DR65" i="16" s="1"/>
  <c r="DS65" i="16" s="1"/>
  <c r="DT65" i="16" s="1"/>
  <c r="DU65" i="16" s="1"/>
  <c r="DH65" i="16"/>
  <c r="DV65" i="16" s="1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AE6" i="3"/>
  <c r="AE7" i="3" s="1"/>
  <c r="AD6" i="3"/>
  <c r="AC6" i="3"/>
  <c r="AB6" i="3"/>
  <c r="AA6" i="3"/>
  <c r="Z6" i="3"/>
  <c r="Y6" i="3"/>
  <c r="AS58" i="11"/>
  <c r="AF58" i="11"/>
  <c r="X58" i="11"/>
  <c r="Y57" i="11"/>
  <c r="AP56" i="11"/>
  <c r="Y52" i="11"/>
  <c r="AO48" i="11"/>
  <c r="G48" i="11"/>
  <c r="AP61" i="5"/>
  <c r="AP60" i="5"/>
  <c r="AA60" i="5"/>
  <c r="I38" i="11"/>
  <c r="I37" i="11"/>
  <c r="I36" i="11"/>
  <c r="I35" i="11"/>
  <c r="I34" i="11"/>
  <c r="I33" i="11"/>
  <c r="I32" i="11"/>
  <c r="I31" i="11"/>
  <c r="I30" i="11"/>
  <c r="I29" i="11"/>
  <c r="I28" i="11"/>
  <c r="I27" i="11"/>
  <c r="I25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I14" i="11"/>
  <c r="I15" i="11"/>
  <c r="I24" i="11"/>
  <c r="I23" i="11"/>
  <c r="I22" i="11"/>
  <c r="I21" i="11"/>
  <c r="I20" i="11"/>
  <c r="I19" i="11"/>
  <c r="I18" i="11"/>
  <c r="I17" i="11"/>
  <c r="I16" i="11"/>
  <c r="DH75" i="16" l="1"/>
  <c r="AM75" i="16"/>
  <c r="AF75" i="16"/>
  <c r="AF76" i="16" s="1"/>
  <c r="AD7" i="3"/>
  <c r="AA7" i="3"/>
  <c r="Z7" i="3"/>
  <c r="AB7" i="3"/>
  <c r="Y7" i="3"/>
  <c r="AC7" i="3"/>
  <c r="DH76" i="16" l="1"/>
  <c r="CM47" i="13"/>
  <c r="CM11" i="13"/>
  <c r="CM28" i="13"/>
  <c r="CM16" i="13"/>
  <c r="CM44" i="13"/>
  <c r="CM32" i="13"/>
  <c r="CM18" i="13"/>
  <c r="CM26" i="13"/>
  <c r="CM12" i="13"/>
  <c r="CM34" i="13"/>
  <c r="CM48" i="13"/>
  <c r="CM42" i="13"/>
  <c r="CM15" i="13"/>
  <c r="CM43" i="13"/>
  <c r="CM31" i="13"/>
  <c r="CM27" i="13"/>
  <c r="CM23" i="13"/>
  <c r="CM22" i="13"/>
  <c r="CM38" i="13"/>
  <c r="CM39" i="13"/>
  <c r="CM20" i="13"/>
  <c r="CM36" i="13"/>
  <c r="CM52" i="13"/>
  <c r="CM45" i="13"/>
  <c r="CM29" i="13"/>
  <c r="CM13" i="13"/>
  <c r="CM24" i="13"/>
  <c r="CM46" i="13"/>
  <c r="CM25" i="13"/>
  <c r="CM30" i="13"/>
  <c r="CM51" i="13"/>
  <c r="CM49" i="13"/>
  <c r="CM17" i="13"/>
  <c r="CM50" i="13"/>
  <c r="CM41" i="13"/>
  <c r="CM9" i="13"/>
  <c r="CM33" i="13"/>
  <c r="CM40" i="13"/>
  <c r="CM10" i="13"/>
  <c r="CM53" i="13"/>
  <c r="CM37" i="13"/>
  <c r="CM21" i="13"/>
  <c r="CM14" i="13"/>
  <c r="CM35" i="13"/>
  <c r="CM19" i="13"/>
  <c r="AA53" i="3"/>
  <c r="AD53" i="3"/>
  <c r="AE53" i="3"/>
  <c r="AB53" i="3"/>
  <c r="AC53" i="3"/>
  <c r="Y53" i="3"/>
  <c r="Z53" i="3"/>
  <c r="BE38" i="11"/>
  <c r="AS38" i="11"/>
  <c r="BK38" i="11"/>
  <c r="AM38" i="11"/>
  <c r="AV38" i="11"/>
  <c r="BB38" i="11"/>
  <c r="AP38" i="11"/>
  <c r="AY38" i="11"/>
  <c r="BH38" i="11"/>
  <c r="AJ38" i="11"/>
  <c r="BB37" i="11"/>
  <c r="AP37" i="11"/>
  <c r="AV37" i="11"/>
  <c r="AS37" i="11"/>
  <c r="BK37" i="11"/>
  <c r="AY37" i="11"/>
  <c r="AM37" i="11"/>
  <c r="BH37" i="11"/>
  <c r="AJ37" i="11"/>
  <c r="BE37" i="11"/>
  <c r="BK36" i="11"/>
  <c r="AY36" i="11"/>
  <c r="AM36" i="11"/>
  <c r="BE36" i="11"/>
  <c r="AS36" i="11"/>
  <c r="BB36" i="11"/>
  <c r="AP36" i="11"/>
  <c r="BH36" i="11"/>
  <c r="AV36" i="11"/>
  <c r="AJ36" i="11"/>
  <c r="BH35" i="11"/>
  <c r="AV35" i="11"/>
  <c r="AJ35" i="11"/>
  <c r="BE35" i="11"/>
  <c r="AS35" i="11"/>
  <c r="BB35" i="11"/>
  <c r="AP35" i="11"/>
  <c r="BK35" i="11"/>
  <c r="AY35" i="11"/>
  <c r="AM35" i="11"/>
  <c r="BE34" i="11"/>
  <c r="AS34" i="11"/>
  <c r="AY34" i="11"/>
  <c r="BH34" i="11"/>
  <c r="AV34" i="11"/>
  <c r="AJ34" i="11"/>
  <c r="BB34" i="11"/>
  <c r="AP34" i="11"/>
  <c r="BK34" i="11"/>
  <c r="AM34" i="11"/>
  <c r="BB33" i="11"/>
  <c r="AP33" i="11"/>
  <c r="BK33" i="11"/>
  <c r="BH33" i="11"/>
  <c r="AV33" i="11"/>
  <c r="AJ33" i="11"/>
  <c r="BE33" i="11"/>
  <c r="AS33" i="11"/>
  <c r="AY33" i="11"/>
  <c r="AM33" i="11"/>
  <c r="BK32" i="11"/>
  <c r="AY32" i="11"/>
  <c r="AM32" i="11"/>
  <c r="BH32" i="11"/>
  <c r="AV32" i="11"/>
  <c r="AJ32" i="11"/>
  <c r="BB32" i="11"/>
  <c r="AP32" i="11"/>
  <c r="BE32" i="11"/>
  <c r="AS32" i="11"/>
  <c r="BH31" i="11"/>
  <c r="AV31" i="11"/>
  <c r="AJ31" i="11"/>
  <c r="AY31" i="11"/>
  <c r="BE31" i="11"/>
  <c r="AS31" i="11"/>
  <c r="BB31" i="11"/>
  <c r="AP31" i="11"/>
  <c r="BK31" i="11"/>
  <c r="AM31" i="11"/>
  <c r="AE53" i="5"/>
  <c r="Z53" i="5"/>
  <c r="AE52" i="5"/>
  <c r="Z52" i="5"/>
  <c r="AE51" i="5"/>
  <c r="Z51" i="5"/>
  <c r="AE50" i="5"/>
  <c r="Z50" i="5"/>
  <c r="AE49" i="5"/>
  <c r="Z49" i="5"/>
  <c r="AE48" i="5"/>
  <c r="Z48" i="5"/>
  <c r="AE47" i="5"/>
  <c r="Z47" i="5"/>
  <c r="AE46" i="5"/>
  <c r="Z46" i="5"/>
  <c r="AE45" i="5"/>
  <c r="Z45" i="5"/>
  <c r="AE44" i="5"/>
  <c r="Z44" i="5"/>
  <c r="AE43" i="5"/>
  <c r="Z43" i="5"/>
  <c r="AE42" i="5"/>
  <c r="Z42" i="5"/>
  <c r="AE41" i="5"/>
  <c r="Z41" i="5"/>
  <c r="AE40" i="5"/>
  <c r="Z40" i="5"/>
  <c r="AE39" i="5"/>
  <c r="Z39" i="5"/>
  <c r="AE38" i="5"/>
  <c r="Z38" i="5"/>
  <c r="AE37" i="5"/>
  <c r="Z37" i="5"/>
  <c r="AE36" i="5"/>
  <c r="Z36" i="5"/>
  <c r="AE35" i="5"/>
  <c r="Z35" i="5"/>
  <c r="AE34" i="5"/>
  <c r="Z34" i="5"/>
  <c r="AE33" i="5"/>
  <c r="Z33" i="5"/>
  <c r="AE32" i="5"/>
  <c r="Z32" i="5"/>
  <c r="AE31" i="5"/>
  <c r="Z31" i="5"/>
  <c r="AE30" i="5"/>
  <c r="Z30" i="5"/>
  <c r="AE29" i="5"/>
  <c r="Z29" i="5"/>
  <c r="AE28" i="5"/>
  <c r="Z28" i="5"/>
  <c r="AE27" i="5"/>
  <c r="Z27" i="5"/>
  <c r="AE26" i="5"/>
  <c r="Z26" i="5"/>
  <c r="AE25" i="5"/>
  <c r="Z25" i="5"/>
  <c r="AE24" i="5"/>
  <c r="Z24" i="5"/>
  <c r="AE23" i="5"/>
  <c r="Z23" i="5"/>
  <c r="AE22" i="5"/>
  <c r="Z22" i="5"/>
  <c r="AE21" i="5"/>
  <c r="Z21" i="5"/>
  <c r="AE20" i="5"/>
  <c r="Z20" i="5"/>
  <c r="AE19" i="5"/>
  <c r="Z19" i="5"/>
  <c r="AE18" i="5"/>
  <c r="Z18" i="5"/>
  <c r="AE17" i="5"/>
  <c r="Z17" i="5"/>
  <c r="AE16" i="5"/>
  <c r="Z16" i="5"/>
  <c r="AE15" i="5"/>
  <c r="Z15" i="5"/>
  <c r="AE14" i="5"/>
  <c r="Z14" i="5"/>
  <c r="AE13" i="5"/>
  <c r="Z13" i="5"/>
  <c r="AE12" i="5"/>
  <c r="Z12" i="5"/>
  <c r="AE11" i="5"/>
  <c r="Z11" i="5"/>
  <c r="AE10" i="5"/>
  <c r="Z10" i="5"/>
  <c r="AE9" i="5"/>
  <c r="Z9" i="5"/>
  <c r="C53" i="5"/>
  <c r="CH53" i="5" s="1"/>
  <c r="AW53" i="5" s="1"/>
  <c r="EB50" i="18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H47" i="5" s="1"/>
  <c r="AW47" i="5" s="1"/>
  <c r="EB44" i="18" s="1"/>
  <c r="C48" i="5"/>
  <c r="CH48" i="5" s="1"/>
  <c r="AW48" i="5" s="1"/>
  <c r="EB45" i="18" s="1"/>
  <c r="C49" i="5"/>
  <c r="CH49" i="5" s="1"/>
  <c r="AW49" i="5" s="1"/>
  <c r="EB46" i="18" s="1"/>
  <c r="C50" i="5"/>
  <c r="CH50" i="5" s="1"/>
  <c r="AW50" i="5" s="1"/>
  <c r="EB47" i="18" s="1"/>
  <c r="C51" i="5"/>
  <c r="CH51" i="5" s="1"/>
  <c r="AW51" i="5" s="1"/>
  <c r="EB48" i="18" s="1"/>
  <c r="C52" i="5"/>
  <c r="CH52" i="5" s="1"/>
  <c r="AW52" i="5" s="1"/>
  <c r="EB49" i="18" s="1"/>
  <c r="AU8" i="5"/>
  <c r="AT8" i="5"/>
  <c r="AS8" i="5"/>
  <c r="AR8" i="5"/>
  <c r="AQ8" i="5"/>
  <c r="AP8" i="5"/>
  <c r="AO8" i="5"/>
  <c r="AN8" i="5"/>
  <c r="AU7" i="5"/>
  <c r="AT7" i="5"/>
  <c r="AS7" i="5"/>
  <c r="AR7" i="5"/>
  <c r="AQ7" i="5"/>
  <c r="AP7" i="5"/>
  <c r="AO7" i="5"/>
  <c r="AN7" i="5"/>
  <c r="AD37" i="11" l="1"/>
  <c r="AD38" i="11"/>
  <c r="AD36" i="11"/>
  <c r="EC45" i="18"/>
  <c r="EC50" i="18"/>
  <c r="EC49" i="18"/>
  <c r="EC48" i="18"/>
  <c r="EC44" i="18"/>
  <c r="EC47" i="18"/>
  <c r="EC46" i="18"/>
  <c r="CL24" i="13"/>
  <c r="CL45" i="13"/>
  <c r="CL47" i="13"/>
  <c r="CL31" i="13"/>
  <c r="CL15" i="13"/>
  <c r="CL38" i="13"/>
  <c r="CL17" i="13"/>
  <c r="CL42" i="13"/>
  <c r="CL21" i="13"/>
  <c r="CL46" i="13"/>
  <c r="CL43" i="13"/>
  <c r="CL23" i="13"/>
  <c r="CL44" i="13"/>
  <c r="CL12" i="13"/>
  <c r="CL32" i="13"/>
  <c r="CL52" i="13"/>
  <c r="CL25" i="13"/>
  <c r="CL29" i="13"/>
  <c r="CL13" i="13"/>
  <c r="CL39" i="13"/>
  <c r="CL19" i="13"/>
  <c r="CL33" i="13"/>
  <c r="CL53" i="13"/>
  <c r="CL26" i="13"/>
  <c r="CL41" i="13"/>
  <c r="CL20" i="13"/>
  <c r="CL50" i="13"/>
  <c r="CL34" i="13"/>
  <c r="CL35" i="13"/>
  <c r="CL11" i="13"/>
  <c r="CL28" i="13"/>
  <c r="CL48" i="13"/>
  <c r="CL16" i="13"/>
  <c r="CL36" i="13"/>
  <c r="CL14" i="13"/>
  <c r="CL40" i="13"/>
  <c r="CL51" i="13"/>
  <c r="CL37" i="13"/>
  <c r="CL18" i="13"/>
  <c r="CL27" i="13"/>
  <c r="CL10" i="13"/>
  <c r="CL9" i="13"/>
  <c r="CL49" i="13"/>
  <c r="CL30" i="13"/>
  <c r="CL22" i="13"/>
  <c r="CN49" i="13"/>
  <c r="CN17" i="13"/>
  <c r="CN22" i="13"/>
  <c r="CN28" i="13"/>
  <c r="CN38" i="13"/>
  <c r="CN12" i="13"/>
  <c r="CN44" i="13"/>
  <c r="CN43" i="13"/>
  <c r="CN27" i="13"/>
  <c r="CN11" i="13"/>
  <c r="CN29" i="13"/>
  <c r="CN50" i="13"/>
  <c r="CN25" i="13"/>
  <c r="CN46" i="13"/>
  <c r="CN51" i="13"/>
  <c r="CN35" i="13"/>
  <c r="CN19" i="13"/>
  <c r="CN18" i="13"/>
  <c r="CN40" i="13"/>
  <c r="CN39" i="13"/>
  <c r="CN13" i="13"/>
  <c r="CN14" i="13"/>
  <c r="CN41" i="13"/>
  <c r="CN21" i="13"/>
  <c r="CN42" i="13"/>
  <c r="CN24" i="13"/>
  <c r="CN20" i="13"/>
  <c r="CN52" i="13"/>
  <c r="CN48" i="13"/>
  <c r="CN15" i="13"/>
  <c r="CN36" i="13"/>
  <c r="CN37" i="13"/>
  <c r="CN33" i="13"/>
  <c r="CN31" i="13"/>
  <c r="CN26" i="13"/>
  <c r="CN23" i="13"/>
  <c r="CN34" i="13"/>
  <c r="CN30" i="13"/>
  <c r="CN10" i="13"/>
  <c r="CN32" i="13"/>
  <c r="CN53" i="13"/>
  <c r="CN47" i="13"/>
  <c r="CN45" i="13"/>
  <c r="CN9" i="13"/>
  <c r="CN16" i="13"/>
  <c r="CO24" i="13"/>
  <c r="CO46" i="13"/>
  <c r="CO45" i="13"/>
  <c r="CO29" i="13"/>
  <c r="CO13" i="13"/>
  <c r="CO39" i="13"/>
  <c r="CO18" i="13"/>
  <c r="CO38" i="13"/>
  <c r="CO16" i="13"/>
  <c r="CO42" i="13"/>
  <c r="CO20" i="13"/>
  <c r="CO51" i="13"/>
  <c r="CO40" i="13"/>
  <c r="CO41" i="13"/>
  <c r="CO25" i="13"/>
  <c r="CO9" i="13"/>
  <c r="CO34" i="13"/>
  <c r="CO12" i="13"/>
  <c r="CO32" i="13"/>
  <c r="CO11" i="13"/>
  <c r="CO36" i="13"/>
  <c r="CO15" i="13"/>
  <c r="CO53" i="13"/>
  <c r="CO37" i="13"/>
  <c r="CO21" i="13"/>
  <c r="CO50" i="13"/>
  <c r="CO28" i="13"/>
  <c r="CO48" i="13"/>
  <c r="CO27" i="13"/>
  <c r="CO52" i="13"/>
  <c r="CO31" i="13"/>
  <c r="CO10" i="13"/>
  <c r="CO14" i="13"/>
  <c r="CO49" i="13"/>
  <c r="CO23" i="13"/>
  <c r="CO26" i="13"/>
  <c r="CO35" i="13"/>
  <c r="CO44" i="13"/>
  <c r="CO33" i="13"/>
  <c r="CO43" i="13"/>
  <c r="CO30" i="13"/>
  <c r="CO19" i="13"/>
  <c r="CO17" i="13"/>
  <c r="CO22" i="13"/>
  <c r="CO47" i="13"/>
  <c r="CQ39" i="13"/>
  <c r="CQ44" i="13"/>
  <c r="CQ50" i="13"/>
  <c r="CQ12" i="13"/>
  <c r="CQ23" i="13"/>
  <c r="CQ18" i="13"/>
  <c r="CQ28" i="13"/>
  <c r="CQ34" i="13"/>
  <c r="CQ41" i="13"/>
  <c r="CQ25" i="13"/>
  <c r="CQ30" i="13"/>
  <c r="CQ51" i="13"/>
  <c r="CQ49" i="13"/>
  <c r="CQ33" i="13"/>
  <c r="CQ17" i="13"/>
  <c r="CQ19" i="13"/>
  <c r="CQ40" i="13"/>
  <c r="CQ53" i="13"/>
  <c r="CQ21" i="13"/>
  <c r="CQ35" i="13"/>
  <c r="CQ10" i="13"/>
  <c r="CQ31" i="13"/>
  <c r="CQ52" i="13"/>
  <c r="CQ11" i="13"/>
  <c r="CQ32" i="13"/>
  <c r="CQ45" i="13"/>
  <c r="CQ13" i="13"/>
  <c r="CQ46" i="13"/>
  <c r="CQ15" i="13"/>
  <c r="CQ36" i="13"/>
  <c r="CQ16" i="13"/>
  <c r="CQ38" i="13"/>
  <c r="CQ24" i="13"/>
  <c r="CQ47" i="13"/>
  <c r="CQ29" i="13"/>
  <c r="CQ37" i="13"/>
  <c r="CQ14" i="13"/>
  <c r="CQ20" i="13"/>
  <c r="CQ42" i="13"/>
  <c r="CQ22" i="13"/>
  <c r="CQ43" i="13"/>
  <c r="CQ26" i="13"/>
  <c r="CQ27" i="13"/>
  <c r="CQ48" i="13"/>
  <c r="CK44" i="13"/>
  <c r="CK16" i="13"/>
  <c r="CK38" i="13"/>
  <c r="CK39" i="13"/>
  <c r="CK22" i="13"/>
  <c r="CK48" i="13"/>
  <c r="CK18" i="13"/>
  <c r="CK43" i="13"/>
  <c r="CK23" i="13"/>
  <c r="CK27" i="13"/>
  <c r="CK50" i="13"/>
  <c r="CK34" i="13"/>
  <c r="CK11" i="13"/>
  <c r="CK32" i="13"/>
  <c r="CK41" i="13"/>
  <c r="CK25" i="13"/>
  <c r="CK9" i="13"/>
  <c r="CK30" i="13"/>
  <c r="CK51" i="13"/>
  <c r="CK28" i="13"/>
  <c r="CK12" i="13"/>
  <c r="CK53" i="13"/>
  <c r="CK33" i="13"/>
  <c r="CK13" i="13"/>
  <c r="CK35" i="13"/>
  <c r="CK26" i="13"/>
  <c r="CK47" i="13"/>
  <c r="CK49" i="13"/>
  <c r="CK14" i="13"/>
  <c r="CK40" i="13"/>
  <c r="CK31" i="13"/>
  <c r="CK52" i="13"/>
  <c r="CK24" i="13"/>
  <c r="CK20" i="13"/>
  <c r="CK29" i="13"/>
  <c r="CK10" i="13"/>
  <c r="CK37" i="13"/>
  <c r="CK45" i="13"/>
  <c r="CK21" i="13"/>
  <c r="CK19" i="13"/>
  <c r="CK46" i="13"/>
  <c r="CK15" i="13"/>
  <c r="CK36" i="13"/>
  <c r="CK17" i="13"/>
  <c r="CK42" i="13"/>
  <c r="CP49" i="13"/>
  <c r="CP10" i="13"/>
  <c r="CP12" i="13"/>
  <c r="CP16" i="13"/>
  <c r="CP28" i="13"/>
  <c r="CP42" i="13"/>
  <c r="CP53" i="13"/>
  <c r="CP44" i="13"/>
  <c r="CP37" i="13"/>
  <c r="CP22" i="13"/>
  <c r="CP33" i="13"/>
  <c r="CP26" i="13"/>
  <c r="CP21" i="13"/>
  <c r="CP48" i="13"/>
  <c r="CP32" i="13"/>
  <c r="CP17" i="13"/>
  <c r="CP43" i="13"/>
  <c r="CP39" i="13"/>
  <c r="CP23" i="13"/>
  <c r="CP13" i="13"/>
  <c r="CP34" i="13"/>
  <c r="CP14" i="13"/>
  <c r="CP36" i="13"/>
  <c r="CP35" i="13"/>
  <c r="CP19" i="13"/>
  <c r="CP40" i="13"/>
  <c r="CP20" i="13"/>
  <c r="CP27" i="13"/>
  <c r="CP50" i="13"/>
  <c r="CP52" i="13"/>
  <c r="CP38" i="13"/>
  <c r="CP18" i="13"/>
  <c r="CP41" i="13"/>
  <c r="CP29" i="13"/>
  <c r="CP30" i="13"/>
  <c r="CP51" i="13"/>
  <c r="CP31" i="13"/>
  <c r="CP15" i="13"/>
  <c r="CP24" i="13"/>
  <c r="CP45" i="13"/>
  <c r="CP25" i="13"/>
  <c r="CP46" i="13"/>
  <c r="CP47" i="13"/>
  <c r="CP11" i="13"/>
  <c r="CP9" i="13"/>
  <c r="CJ52" i="13"/>
  <c r="CJ46" i="13"/>
  <c r="CJ12" i="13"/>
  <c r="CJ41" i="13"/>
  <c r="CJ36" i="13"/>
  <c r="CJ16" i="13"/>
  <c r="CJ44" i="13"/>
  <c r="CJ32" i="13"/>
  <c r="CJ10" i="13"/>
  <c r="CJ25" i="13"/>
  <c r="CJ26" i="13"/>
  <c r="CJ21" i="13"/>
  <c r="CJ49" i="13"/>
  <c r="CJ30" i="13"/>
  <c r="CJ20" i="13"/>
  <c r="CJ42" i="13"/>
  <c r="CJ9" i="13"/>
  <c r="CJ53" i="13"/>
  <c r="CJ33" i="13"/>
  <c r="CJ22" i="13"/>
  <c r="CJ48" i="13"/>
  <c r="CJ14" i="13"/>
  <c r="CJ37" i="13"/>
  <c r="CJ17" i="13"/>
  <c r="CJ38" i="13"/>
  <c r="CJ28" i="13"/>
  <c r="CJ43" i="13"/>
  <c r="CJ27" i="13"/>
  <c r="CJ11" i="13"/>
  <c r="CJ29" i="13"/>
  <c r="CJ50" i="13"/>
  <c r="CJ39" i="13"/>
  <c r="CJ13" i="13"/>
  <c r="CJ34" i="13"/>
  <c r="CJ31" i="13"/>
  <c r="CJ23" i="13"/>
  <c r="CJ24" i="13"/>
  <c r="CJ51" i="13"/>
  <c r="CJ35" i="13"/>
  <c r="CJ19" i="13"/>
  <c r="CJ18" i="13"/>
  <c r="CJ40" i="13"/>
  <c r="CJ47" i="13"/>
  <c r="CJ15" i="13"/>
  <c r="CJ45" i="13"/>
  <c r="AC56" i="3"/>
  <c r="AC57" i="3" s="1"/>
  <c r="AC55" i="3"/>
  <c r="AC54" i="3"/>
  <c r="Z54" i="3"/>
  <c r="Z56" i="3"/>
  <c r="Z57" i="3" s="1"/>
  <c r="Z55" i="3"/>
  <c r="AB56" i="3"/>
  <c r="AB57" i="3" s="1"/>
  <c r="AB54" i="3"/>
  <c r="AB55" i="3"/>
  <c r="AA55" i="3"/>
  <c r="AA54" i="3"/>
  <c r="AA56" i="3"/>
  <c r="AA57" i="3" s="1"/>
  <c r="AE54" i="3"/>
  <c r="AE55" i="3"/>
  <c r="AE56" i="3"/>
  <c r="AE57" i="3" s="1"/>
  <c r="Y56" i="3"/>
  <c r="Y57" i="3" s="1"/>
  <c r="Y55" i="3"/>
  <c r="Y54" i="3"/>
  <c r="AD54" i="3"/>
  <c r="AD56" i="3"/>
  <c r="AD57" i="3" s="1"/>
  <c r="AD55" i="3"/>
  <c r="AD33" i="11"/>
  <c r="AD34" i="11"/>
  <c r="AD32" i="11"/>
  <c r="AD31" i="11"/>
  <c r="AD35" i="11"/>
  <c r="Y1" i="5"/>
  <c r="U54" i="11"/>
  <c r="C8" i="3"/>
  <c r="Q2" i="3" s="1"/>
  <c r="A2" i="3" l="1"/>
  <c r="A1" i="3"/>
  <c r="Q1" i="3"/>
  <c r="BH9" i="5" l="1" a="1"/>
  <c r="BD9" i="5" a="1"/>
  <c r="AZ9" i="5" l="1" a="1"/>
  <c r="BH9" i="5"/>
  <c r="BZ9" i="5" s="1"/>
  <c r="BH44" i="5"/>
  <c r="BZ44" i="5" s="1"/>
  <c r="BH28" i="5"/>
  <c r="BZ28" i="5" s="1"/>
  <c r="BH12" i="5"/>
  <c r="BZ12" i="5" s="1"/>
  <c r="BH36" i="5"/>
  <c r="BZ36" i="5" s="1"/>
  <c r="BH16" i="5"/>
  <c r="BZ16" i="5" s="1"/>
  <c r="BH39" i="5"/>
  <c r="BZ39" i="5" s="1"/>
  <c r="BH23" i="5"/>
  <c r="BZ23" i="5" s="1"/>
  <c r="BH50" i="5"/>
  <c r="BZ50" i="5" s="1"/>
  <c r="BH34" i="5"/>
  <c r="BZ34" i="5" s="1"/>
  <c r="BH18" i="5"/>
  <c r="BZ18" i="5" s="1"/>
  <c r="BH49" i="5"/>
  <c r="BZ49" i="5" s="1"/>
  <c r="BH33" i="5"/>
  <c r="BZ33" i="5" s="1"/>
  <c r="BH17" i="5"/>
  <c r="BZ17" i="5" s="1"/>
  <c r="BH43" i="5"/>
  <c r="BZ43" i="5" s="1"/>
  <c r="BH38" i="5"/>
  <c r="BZ38" i="5" s="1"/>
  <c r="BH37" i="5"/>
  <c r="BZ37" i="5" s="1"/>
  <c r="BH40" i="5"/>
  <c r="BZ40" i="5" s="1"/>
  <c r="BH20" i="5"/>
  <c r="BZ20" i="5" s="1"/>
  <c r="BH51" i="5"/>
  <c r="BZ51" i="5" s="1"/>
  <c r="BH35" i="5"/>
  <c r="BZ35" i="5" s="1"/>
  <c r="BH19" i="5"/>
  <c r="BZ19" i="5" s="1"/>
  <c r="BH46" i="5"/>
  <c r="BZ46" i="5" s="1"/>
  <c r="BH30" i="5"/>
  <c r="BZ30" i="5" s="1"/>
  <c r="BH14" i="5"/>
  <c r="BZ14" i="5" s="1"/>
  <c r="BH45" i="5"/>
  <c r="BZ45" i="5" s="1"/>
  <c r="BH29" i="5"/>
  <c r="BZ29" i="5" s="1"/>
  <c r="BH13" i="5"/>
  <c r="BZ13" i="5" s="1"/>
  <c r="BH11" i="5"/>
  <c r="BZ11" i="5" s="1"/>
  <c r="BH53" i="5"/>
  <c r="BZ53" i="5" s="1"/>
  <c r="BH24" i="5"/>
  <c r="BZ24" i="5" s="1"/>
  <c r="BH48" i="5"/>
  <c r="BZ48" i="5" s="1"/>
  <c r="BH47" i="5"/>
  <c r="BZ47" i="5" s="1"/>
  <c r="BH31" i="5"/>
  <c r="BZ31" i="5" s="1"/>
  <c r="BH15" i="5"/>
  <c r="BZ15" i="5" s="1"/>
  <c r="BH42" i="5"/>
  <c r="BZ42" i="5" s="1"/>
  <c r="BH26" i="5"/>
  <c r="BZ26" i="5" s="1"/>
  <c r="BH10" i="5"/>
  <c r="BZ10" i="5" s="1"/>
  <c r="BH41" i="5"/>
  <c r="BZ41" i="5" s="1"/>
  <c r="BH25" i="5"/>
  <c r="BZ25" i="5" s="1"/>
  <c r="BH52" i="5"/>
  <c r="BZ52" i="5" s="1"/>
  <c r="BH32" i="5"/>
  <c r="BZ32" i="5" s="1"/>
  <c r="BH27" i="5"/>
  <c r="BZ27" i="5" s="1"/>
  <c r="BH22" i="5"/>
  <c r="BZ22" i="5" s="1"/>
  <c r="BH21" i="5"/>
  <c r="BZ21" i="5" s="1"/>
  <c r="AY9" i="5" a="1"/>
  <c r="BX47" i="13"/>
  <c r="BC9" i="5" a="1"/>
  <c r="CB30" i="13"/>
  <c r="BG9" i="5" a="1"/>
  <c r="BE9" i="5" a="1"/>
  <c r="BI9" i="5" a="1"/>
  <c r="BD9" i="5"/>
  <c r="BV9" i="5" s="1"/>
  <c r="BD40" i="5"/>
  <c r="BV40" i="5" s="1"/>
  <c r="BD12" i="5"/>
  <c r="BV12" i="5" s="1"/>
  <c r="BD39" i="5"/>
  <c r="BV39" i="5" s="1"/>
  <c r="BD23" i="5"/>
  <c r="BV23" i="5" s="1"/>
  <c r="BD20" i="5"/>
  <c r="BV20" i="5" s="1"/>
  <c r="BD38" i="5"/>
  <c r="BV38" i="5" s="1"/>
  <c r="BD22" i="5"/>
  <c r="BV22" i="5" s="1"/>
  <c r="BD48" i="5"/>
  <c r="BV48" i="5" s="1"/>
  <c r="BD49" i="5"/>
  <c r="BV49" i="5" s="1"/>
  <c r="BD33" i="5"/>
  <c r="BV33" i="5" s="1"/>
  <c r="BD17" i="5"/>
  <c r="BV17" i="5" s="1"/>
  <c r="BD24" i="5"/>
  <c r="BV24" i="5" s="1"/>
  <c r="BD11" i="5"/>
  <c r="BV11" i="5" s="1"/>
  <c r="BD10" i="5"/>
  <c r="BV10" i="5" s="1"/>
  <c r="BD37" i="5"/>
  <c r="BV37" i="5" s="1"/>
  <c r="BD32" i="5"/>
  <c r="BV32" i="5" s="1"/>
  <c r="BD51" i="5"/>
  <c r="BV51" i="5" s="1"/>
  <c r="BD35" i="5"/>
  <c r="BV35" i="5" s="1"/>
  <c r="BD19" i="5"/>
  <c r="BV19" i="5" s="1"/>
  <c r="BD50" i="5"/>
  <c r="BV50" i="5" s="1"/>
  <c r="BD34" i="5"/>
  <c r="BV34" i="5" s="1"/>
  <c r="BD18" i="5"/>
  <c r="BV18" i="5" s="1"/>
  <c r="BD36" i="5"/>
  <c r="BV36" i="5" s="1"/>
  <c r="BD45" i="5"/>
  <c r="BV45" i="5" s="1"/>
  <c r="BD29" i="5"/>
  <c r="BV29" i="5" s="1"/>
  <c r="BD13" i="5"/>
  <c r="BV13" i="5" s="1"/>
  <c r="BD43" i="5"/>
  <c r="BV43" i="5" s="1"/>
  <c r="BD26" i="5"/>
  <c r="BV26" i="5" s="1"/>
  <c r="BD21" i="5"/>
  <c r="BV21" i="5" s="1"/>
  <c r="BD52" i="5"/>
  <c r="BV52" i="5" s="1"/>
  <c r="BD28" i="5"/>
  <c r="BV28" i="5" s="1"/>
  <c r="BD47" i="5"/>
  <c r="BV47" i="5" s="1"/>
  <c r="BD31" i="5"/>
  <c r="BV31" i="5" s="1"/>
  <c r="BD15" i="5"/>
  <c r="BV15" i="5" s="1"/>
  <c r="BD46" i="5"/>
  <c r="BV46" i="5" s="1"/>
  <c r="BD30" i="5"/>
  <c r="BV30" i="5" s="1"/>
  <c r="BD14" i="5"/>
  <c r="BV14" i="5" s="1"/>
  <c r="BD16" i="5"/>
  <c r="BV16" i="5" s="1"/>
  <c r="BD41" i="5"/>
  <c r="BV41" i="5" s="1"/>
  <c r="BD25" i="5"/>
  <c r="BV25" i="5" s="1"/>
  <c r="BD44" i="5"/>
  <c r="BV44" i="5" s="1"/>
  <c r="BD27" i="5"/>
  <c r="BV27" i="5" s="1"/>
  <c r="BD42" i="5"/>
  <c r="BV42" i="5" s="1"/>
  <c r="BD53" i="5"/>
  <c r="BV53" i="5" s="1"/>
  <c r="BA9" i="5" a="1"/>
  <c r="BB9" i="5" a="1"/>
  <c r="BF9" i="5" a="1"/>
  <c r="BJ9" i="5" a="1"/>
  <c r="BX38" i="13"/>
  <c r="BX15" i="13"/>
  <c r="BX43" i="13"/>
  <c r="BX50" i="13"/>
  <c r="BX23" i="13"/>
  <c r="BX27" i="13"/>
  <c r="BX30" i="13"/>
  <c r="BX35" i="13"/>
  <c r="BX26" i="13"/>
  <c r="BX19" i="13"/>
  <c r="BX46" i="13"/>
  <c r="BX39" i="13"/>
  <c r="BX40" i="13"/>
  <c r="BX33" i="13"/>
  <c r="BX12" i="13"/>
  <c r="BX28" i="13"/>
  <c r="BX32" i="13"/>
  <c r="BX48" i="13"/>
  <c r="BX9" i="13"/>
  <c r="BX37" i="13"/>
  <c r="BX20" i="13"/>
  <c r="BX45" i="13"/>
  <c r="BX36" i="13"/>
  <c r="BX31" i="13"/>
  <c r="BX52" i="13"/>
  <c r="CB25" i="13"/>
  <c r="CB53" i="13"/>
  <c r="CB35" i="13"/>
  <c r="CB52" i="13"/>
  <c r="CB38" i="13"/>
  <c r="CB46" i="13"/>
  <c r="CB27" i="13"/>
  <c r="CB13" i="13"/>
  <c r="CB44" i="13"/>
  <c r="AU48" i="16"/>
  <c r="AV48" i="16" s="1"/>
  <c r="AW48" i="16" s="1"/>
  <c r="AX48" i="16" s="1"/>
  <c r="AY48" i="16" s="1"/>
  <c r="AZ48" i="16" s="1"/>
  <c r="CF52" i="13"/>
  <c r="CF49" i="13"/>
  <c r="CF9" i="13"/>
  <c r="CF26" i="13"/>
  <c r="CF21" i="13"/>
  <c r="CF53" i="13"/>
  <c r="CF30" i="13"/>
  <c r="CF17" i="13"/>
  <c r="CF33" i="13"/>
  <c r="CF10" i="13"/>
  <c r="CF42" i="13"/>
  <c r="CF37" i="13"/>
  <c r="CF14" i="13"/>
  <c r="CF46" i="13"/>
  <c r="CF25" i="13"/>
  <c r="CF41" i="13"/>
  <c r="CF29" i="13"/>
  <c r="CF18" i="13"/>
  <c r="CF45" i="13"/>
  <c r="CF34" i="13"/>
  <c r="CF22" i="13"/>
  <c r="CF23" i="13"/>
  <c r="CF39" i="13"/>
  <c r="CF50" i="13"/>
  <c r="CF13" i="13"/>
  <c r="CF38" i="13"/>
  <c r="CF15" i="13"/>
  <c r="CF31" i="13"/>
  <c r="CF27" i="13"/>
  <c r="CF51" i="13"/>
  <c r="CF24" i="13"/>
  <c r="CF40" i="13"/>
  <c r="CF12" i="13"/>
  <c r="CF28" i="13"/>
  <c r="CF47" i="13"/>
  <c r="CF36" i="13"/>
  <c r="CF35" i="13"/>
  <c r="CF44" i="13"/>
  <c r="CF11" i="13"/>
  <c r="CF43" i="13"/>
  <c r="CF16" i="13"/>
  <c r="CF32" i="13"/>
  <c r="CF48" i="13"/>
  <c r="CF19" i="13"/>
  <c r="CF20" i="13"/>
  <c r="AS17" i="11"/>
  <c r="AS30" i="11"/>
  <c r="BE30" i="11"/>
  <c r="AP30" i="11"/>
  <c r="BB30" i="11"/>
  <c r="AM30" i="11"/>
  <c r="BH30" i="11"/>
  <c r="BK30" i="11"/>
  <c r="AY30" i="11"/>
  <c r="AJ30" i="11"/>
  <c r="AV30" i="11"/>
  <c r="BH29" i="11"/>
  <c r="AV29" i="11"/>
  <c r="AJ29" i="11"/>
  <c r="BE29" i="11"/>
  <c r="AS29" i="11"/>
  <c r="BB29" i="11"/>
  <c r="AP29" i="11"/>
  <c r="BK29" i="11"/>
  <c r="AY29" i="11"/>
  <c r="AM29" i="11"/>
  <c r="BB28" i="11"/>
  <c r="AP28" i="11"/>
  <c r="BK28" i="11"/>
  <c r="AY28" i="11"/>
  <c r="AM28" i="11"/>
  <c r="BH28" i="11"/>
  <c r="AV28" i="11"/>
  <c r="AJ28" i="11"/>
  <c r="BE28" i="11"/>
  <c r="AS28" i="11"/>
  <c r="BK27" i="11"/>
  <c r="AY27" i="11"/>
  <c r="AM27" i="11"/>
  <c r="BH27" i="11"/>
  <c r="AV27" i="11"/>
  <c r="AJ27" i="11"/>
  <c r="BE27" i="11"/>
  <c r="AS27" i="11"/>
  <c r="BB27" i="11"/>
  <c r="AP27" i="11"/>
  <c r="BE23" i="11"/>
  <c r="AS23" i="11"/>
  <c r="BB23" i="11"/>
  <c r="AP23" i="11"/>
  <c r="BK23" i="11"/>
  <c r="AY23" i="11"/>
  <c r="AM23" i="11"/>
  <c r="BH23" i="11"/>
  <c r="AV23" i="11"/>
  <c r="AJ23" i="11"/>
  <c r="BK22" i="11"/>
  <c r="AY22" i="11"/>
  <c r="AM22" i="11"/>
  <c r="AJ22" i="11"/>
  <c r="BE22" i="11"/>
  <c r="BH22" i="11"/>
  <c r="AV22" i="11"/>
  <c r="AS22" i="11"/>
  <c r="BB22" i="11"/>
  <c r="AP22" i="11"/>
  <c r="BE21" i="11"/>
  <c r="AS21" i="11"/>
  <c r="BB21" i="11"/>
  <c r="AP21" i="11"/>
  <c r="BH21" i="11"/>
  <c r="BK21" i="11"/>
  <c r="AY21" i="11"/>
  <c r="AM21" i="11"/>
  <c r="AV21" i="11"/>
  <c r="AJ21" i="11"/>
  <c r="BK20" i="11"/>
  <c r="AY20" i="11"/>
  <c r="AM20" i="11"/>
  <c r="BH20" i="11"/>
  <c r="AV20" i="11"/>
  <c r="AJ20" i="11"/>
  <c r="BE20" i="11"/>
  <c r="AS20" i="11"/>
  <c r="BB20" i="11"/>
  <c r="AP20" i="11"/>
  <c r="BE19" i="11"/>
  <c r="AS19" i="11"/>
  <c r="BB19" i="11"/>
  <c r="AP19" i="11"/>
  <c r="BK19" i="11"/>
  <c r="AY19" i="11"/>
  <c r="AM19" i="11"/>
  <c r="BH19" i="11"/>
  <c r="AV19" i="11"/>
  <c r="AJ19" i="11"/>
  <c r="BK18" i="11"/>
  <c r="AY18" i="11"/>
  <c r="AM18" i="11"/>
  <c r="BH18" i="11"/>
  <c r="AV18" i="11"/>
  <c r="AJ18" i="11"/>
  <c r="BE18" i="11"/>
  <c r="AS18" i="11"/>
  <c r="BB18" i="11"/>
  <c r="AP18" i="11"/>
  <c r="BE17" i="11"/>
  <c r="AP17" i="11"/>
  <c r="BB17" i="11"/>
  <c r="AM17" i="11"/>
  <c r="BK17" i="11"/>
  <c r="AY17" i="11"/>
  <c r="AJ17" i="11"/>
  <c r="BH17" i="11"/>
  <c r="AV17" i="11"/>
  <c r="BH16" i="11"/>
  <c r="AV16" i="11"/>
  <c r="AJ16" i="11"/>
  <c r="AS16" i="11"/>
  <c r="BB16" i="11"/>
  <c r="AP16" i="11"/>
  <c r="BK16" i="11"/>
  <c r="AY16" i="11"/>
  <c r="AM16" i="11"/>
  <c r="BE16" i="11"/>
  <c r="BB15" i="11"/>
  <c r="AP15" i="11"/>
  <c r="BE15" i="11"/>
  <c r="BK15" i="11"/>
  <c r="AY15" i="11"/>
  <c r="AM15" i="11"/>
  <c r="AS15" i="11"/>
  <c r="BH15" i="11"/>
  <c r="AV15" i="11"/>
  <c r="AJ15" i="11"/>
  <c r="BK14" i="11"/>
  <c r="AY14" i="11"/>
  <c r="AM14" i="11"/>
  <c r="BH14" i="11"/>
  <c r="AV14" i="11"/>
  <c r="AJ14" i="11"/>
  <c r="C7" i="11" s="1"/>
  <c r="BE14" i="11"/>
  <c r="AS14" i="11"/>
  <c r="BB14" i="11"/>
  <c r="AP14" i="11"/>
  <c r="BE24" i="11"/>
  <c r="AS24" i="11"/>
  <c r="BB24" i="11"/>
  <c r="AP24" i="11"/>
  <c r="BK24" i="11"/>
  <c r="AY24" i="11"/>
  <c r="AM24" i="11"/>
  <c r="BH24" i="11"/>
  <c r="AV24" i="11"/>
  <c r="AJ24" i="11"/>
  <c r="BE25" i="11"/>
  <c r="AS25" i="11"/>
  <c r="BB25" i="11"/>
  <c r="AP25" i="11"/>
  <c r="BK25" i="11"/>
  <c r="AY25" i="11"/>
  <c r="AM25" i="11"/>
  <c r="BH25" i="11"/>
  <c r="AV25" i="11"/>
  <c r="AJ25" i="11"/>
  <c r="AD25" i="11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A2" i="6" s="1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CB43" i="13" l="1"/>
  <c r="CB19" i="13"/>
  <c r="BX29" i="13"/>
  <c r="BX51" i="13"/>
  <c r="BX41" i="13"/>
  <c r="BX44" i="13"/>
  <c r="BX17" i="13"/>
  <c r="BX10" i="13"/>
  <c r="BX22" i="13"/>
  <c r="BX42" i="13"/>
  <c r="BX14" i="13"/>
  <c r="BT37" i="13"/>
  <c r="BT12" i="13"/>
  <c r="BT11" i="13"/>
  <c r="CB26" i="13"/>
  <c r="CB32" i="13"/>
  <c r="CB48" i="13"/>
  <c r="CB29" i="13"/>
  <c r="CB15" i="13"/>
  <c r="CB28" i="13"/>
  <c r="CB24" i="13"/>
  <c r="CB40" i="13"/>
  <c r="CB49" i="13"/>
  <c r="CB37" i="13"/>
  <c r="CB9" i="13"/>
  <c r="BJ9" i="5"/>
  <c r="CB9" i="5" s="1"/>
  <c r="BJ12" i="5"/>
  <c r="CB12" i="5" s="1"/>
  <c r="BJ28" i="5"/>
  <c r="CB28" i="5" s="1"/>
  <c r="BJ24" i="5"/>
  <c r="CB24" i="5" s="1"/>
  <c r="BJ48" i="5"/>
  <c r="CB48" i="5" s="1"/>
  <c r="BJ47" i="5"/>
  <c r="CB47" i="5" s="1"/>
  <c r="BJ31" i="5"/>
  <c r="CB31" i="5" s="1"/>
  <c r="BJ15" i="5"/>
  <c r="CB15" i="5" s="1"/>
  <c r="BJ42" i="5"/>
  <c r="CB42" i="5" s="1"/>
  <c r="BJ26" i="5"/>
  <c r="CB26" i="5" s="1"/>
  <c r="BJ10" i="5"/>
  <c r="CB10" i="5" s="1"/>
  <c r="BJ41" i="5"/>
  <c r="CB41" i="5" s="1"/>
  <c r="BJ25" i="5"/>
  <c r="CB25" i="5" s="1"/>
  <c r="BJ19" i="5"/>
  <c r="CB19" i="5" s="1"/>
  <c r="BJ30" i="5"/>
  <c r="CB30" i="5" s="1"/>
  <c r="BJ45" i="5"/>
  <c r="CB45" i="5" s="1"/>
  <c r="BJ52" i="5"/>
  <c r="CB52" i="5" s="1"/>
  <c r="BJ32" i="5"/>
  <c r="CB32" i="5" s="1"/>
  <c r="BJ43" i="5"/>
  <c r="CB43" i="5" s="1"/>
  <c r="BJ27" i="5"/>
  <c r="CB27" i="5" s="1"/>
  <c r="BJ11" i="5"/>
  <c r="CB11" i="5" s="1"/>
  <c r="BJ38" i="5"/>
  <c r="CB38" i="5" s="1"/>
  <c r="BJ22" i="5"/>
  <c r="CB22" i="5" s="1"/>
  <c r="BJ53" i="5"/>
  <c r="CB53" i="5" s="1"/>
  <c r="BJ37" i="5"/>
  <c r="CB37" i="5" s="1"/>
  <c r="BJ21" i="5"/>
  <c r="CB21" i="5" s="1"/>
  <c r="BJ51" i="5"/>
  <c r="CB51" i="5" s="1"/>
  <c r="BJ14" i="5"/>
  <c r="CB14" i="5" s="1"/>
  <c r="BJ13" i="5"/>
  <c r="CB13" i="5" s="1"/>
  <c r="BJ44" i="5"/>
  <c r="CB44" i="5" s="1"/>
  <c r="BJ36" i="5"/>
  <c r="CB36" i="5" s="1"/>
  <c r="BJ16" i="5"/>
  <c r="CB16" i="5" s="1"/>
  <c r="BJ39" i="5"/>
  <c r="CB39" i="5" s="1"/>
  <c r="BJ23" i="5"/>
  <c r="CB23" i="5" s="1"/>
  <c r="BJ50" i="5"/>
  <c r="CB50" i="5" s="1"/>
  <c r="BJ34" i="5"/>
  <c r="CB34" i="5" s="1"/>
  <c r="BJ18" i="5"/>
  <c r="CB18" i="5" s="1"/>
  <c r="BJ49" i="5"/>
  <c r="CB49" i="5" s="1"/>
  <c r="BJ33" i="5"/>
  <c r="CB33" i="5" s="1"/>
  <c r="BJ17" i="5"/>
  <c r="CB17" i="5" s="1"/>
  <c r="BJ20" i="5"/>
  <c r="CB20" i="5" s="1"/>
  <c r="BJ40" i="5"/>
  <c r="CB40" i="5" s="1"/>
  <c r="BJ35" i="5"/>
  <c r="CB35" i="5" s="1"/>
  <c r="BJ46" i="5"/>
  <c r="CB46" i="5" s="1"/>
  <c r="BJ29" i="5"/>
  <c r="CB29" i="5" s="1"/>
  <c r="BG9" i="5"/>
  <c r="BY9" i="5" s="1"/>
  <c r="BG31" i="5"/>
  <c r="BY31" i="5" s="1"/>
  <c r="BG51" i="5"/>
  <c r="BY51" i="5" s="1"/>
  <c r="BG19" i="5"/>
  <c r="BY19" i="5" s="1"/>
  <c r="BG24" i="5"/>
  <c r="BY24" i="5" s="1"/>
  <c r="BG52" i="5"/>
  <c r="BY52" i="5" s="1"/>
  <c r="BG20" i="5"/>
  <c r="BY20" i="5" s="1"/>
  <c r="BG42" i="5"/>
  <c r="BY42" i="5" s="1"/>
  <c r="BG26" i="5"/>
  <c r="BY26" i="5" s="1"/>
  <c r="BG10" i="5"/>
  <c r="BY10" i="5" s="1"/>
  <c r="BG41" i="5"/>
  <c r="BY41" i="5" s="1"/>
  <c r="BG25" i="5"/>
  <c r="BY25" i="5" s="1"/>
  <c r="BG30" i="5"/>
  <c r="BY30" i="5" s="1"/>
  <c r="BG29" i="5"/>
  <c r="BY29" i="5" s="1"/>
  <c r="BG23" i="5"/>
  <c r="BY23" i="5" s="1"/>
  <c r="BG43" i="5"/>
  <c r="BY43" i="5" s="1"/>
  <c r="BG11" i="5"/>
  <c r="BY11" i="5" s="1"/>
  <c r="BG48" i="5"/>
  <c r="BY48" i="5" s="1"/>
  <c r="BG16" i="5"/>
  <c r="BY16" i="5" s="1"/>
  <c r="BG44" i="5"/>
  <c r="BY44" i="5" s="1"/>
  <c r="BG12" i="5"/>
  <c r="BY12" i="5" s="1"/>
  <c r="BG38" i="5"/>
  <c r="BY38" i="5" s="1"/>
  <c r="BG22" i="5"/>
  <c r="BY22" i="5" s="1"/>
  <c r="BG53" i="5"/>
  <c r="BY53" i="5" s="1"/>
  <c r="BG37" i="5"/>
  <c r="BY37" i="5" s="1"/>
  <c r="BG21" i="5"/>
  <c r="BY21" i="5" s="1"/>
  <c r="BG39" i="5"/>
  <c r="BY39" i="5" s="1"/>
  <c r="BG46" i="5"/>
  <c r="BY46" i="5" s="1"/>
  <c r="BG45" i="5"/>
  <c r="BY45" i="5" s="1"/>
  <c r="BG47" i="5"/>
  <c r="BY47" i="5" s="1"/>
  <c r="BG15" i="5"/>
  <c r="BY15" i="5" s="1"/>
  <c r="BG35" i="5"/>
  <c r="BY35" i="5" s="1"/>
  <c r="BG40" i="5"/>
  <c r="BY40" i="5" s="1"/>
  <c r="BG36" i="5"/>
  <c r="BY36" i="5" s="1"/>
  <c r="BG50" i="5"/>
  <c r="BY50" i="5" s="1"/>
  <c r="BG34" i="5"/>
  <c r="BY34" i="5" s="1"/>
  <c r="BG18" i="5"/>
  <c r="BY18" i="5" s="1"/>
  <c r="BG49" i="5"/>
  <c r="BY49" i="5" s="1"/>
  <c r="BG33" i="5"/>
  <c r="BY33" i="5" s="1"/>
  <c r="BG17" i="5"/>
  <c r="BY17" i="5" s="1"/>
  <c r="BG27" i="5"/>
  <c r="BY27" i="5" s="1"/>
  <c r="BG32" i="5"/>
  <c r="BY32" i="5" s="1"/>
  <c r="BG28" i="5"/>
  <c r="BY28" i="5" s="1"/>
  <c r="BG14" i="5"/>
  <c r="BY14" i="5" s="1"/>
  <c r="BG13" i="5"/>
  <c r="BY13" i="5" s="1"/>
  <c r="AY9" i="5"/>
  <c r="BQ9" i="5" s="1"/>
  <c r="AY20" i="5"/>
  <c r="BQ20" i="5" s="1"/>
  <c r="AY44" i="5"/>
  <c r="BQ44" i="5" s="1"/>
  <c r="AY51" i="5"/>
  <c r="BQ51" i="5" s="1"/>
  <c r="AY35" i="5"/>
  <c r="BQ35" i="5" s="1"/>
  <c r="AY19" i="5"/>
  <c r="BQ19" i="5" s="1"/>
  <c r="AY46" i="5"/>
  <c r="BQ46" i="5" s="1"/>
  <c r="AY30" i="5"/>
  <c r="BQ30" i="5" s="1"/>
  <c r="AY14" i="5"/>
  <c r="BQ14" i="5" s="1"/>
  <c r="AY36" i="5"/>
  <c r="BQ36" i="5" s="1"/>
  <c r="AY49" i="5"/>
  <c r="BQ49" i="5" s="1"/>
  <c r="AY33" i="5"/>
  <c r="BQ33" i="5" s="1"/>
  <c r="AY17" i="5"/>
  <c r="BQ17" i="5" s="1"/>
  <c r="AY31" i="5"/>
  <c r="BQ31" i="5" s="1"/>
  <c r="AY42" i="5"/>
  <c r="BQ42" i="5" s="1"/>
  <c r="AY10" i="5"/>
  <c r="BQ10" i="5" s="1"/>
  <c r="AY45" i="5"/>
  <c r="BQ45" i="5" s="1"/>
  <c r="AY13" i="5"/>
  <c r="BQ13" i="5" s="1"/>
  <c r="AY32" i="5"/>
  <c r="BQ32" i="5" s="1"/>
  <c r="AY47" i="5"/>
  <c r="BQ47" i="5" s="1"/>
  <c r="AY15" i="5"/>
  <c r="BQ15" i="5" s="1"/>
  <c r="AY26" i="5"/>
  <c r="BQ26" i="5" s="1"/>
  <c r="AY28" i="5"/>
  <c r="BQ28" i="5" s="1"/>
  <c r="AY29" i="5"/>
  <c r="BQ29" i="5" s="1"/>
  <c r="AY24" i="5"/>
  <c r="BQ24" i="5" s="1"/>
  <c r="AY43" i="5"/>
  <c r="BQ43" i="5" s="1"/>
  <c r="AY27" i="5"/>
  <c r="BQ27" i="5" s="1"/>
  <c r="AY11" i="5"/>
  <c r="BQ11" i="5" s="1"/>
  <c r="AY38" i="5"/>
  <c r="BQ38" i="5" s="1"/>
  <c r="AY22" i="5"/>
  <c r="BQ22" i="5" s="1"/>
  <c r="AY48" i="5"/>
  <c r="BQ48" i="5" s="1"/>
  <c r="AY16" i="5"/>
  <c r="BQ16" i="5" s="1"/>
  <c r="AY41" i="5"/>
  <c r="BQ41" i="5" s="1"/>
  <c r="AY25" i="5"/>
  <c r="BQ25" i="5" s="1"/>
  <c r="AY39" i="5"/>
  <c r="BQ39" i="5" s="1"/>
  <c r="AY18" i="5"/>
  <c r="BQ18" i="5" s="1"/>
  <c r="AY21" i="5"/>
  <c r="BQ21" i="5" s="1"/>
  <c r="AY23" i="5"/>
  <c r="BQ23" i="5" s="1"/>
  <c r="AY34" i="5"/>
  <c r="BQ34" i="5" s="1"/>
  <c r="AY40" i="5"/>
  <c r="BQ40" i="5" s="1"/>
  <c r="AY53" i="5"/>
  <c r="BQ53" i="5" s="1"/>
  <c r="AY12" i="5"/>
  <c r="BQ12" i="5" s="1"/>
  <c r="AY52" i="5"/>
  <c r="BQ52" i="5" s="1"/>
  <c r="AY50" i="5"/>
  <c r="BQ50" i="5" s="1"/>
  <c r="AY37" i="5"/>
  <c r="BQ37" i="5" s="1"/>
  <c r="BF9" i="5"/>
  <c r="BX9" i="5" s="1"/>
  <c r="BF16" i="5"/>
  <c r="BX16" i="5" s="1"/>
  <c r="BF48" i="5"/>
  <c r="BX48" i="5" s="1"/>
  <c r="BF28" i="5"/>
  <c r="BX28" i="5" s="1"/>
  <c r="BF32" i="5"/>
  <c r="BX32" i="5" s="1"/>
  <c r="BF12" i="5"/>
  <c r="BX12" i="5" s="1"/>
  <c r="BF44" i="5"/>
  <c r="BX44" i="5" s="1"/>
  <c r="BF40" i="5"/>
  <c r="BX40" i="5" s="1"/>
  <c r="BF51" i="5"/>
  <c r="BX51" i="5" s="1"/>
  <c r="BF35" i="5"/>
  <c r="BX35" i="5" s="1"/>
  <c r="BF19" i="5"/>
  <c r="BX19" i="5" s="1"/>
  <c r="BF46" i="5"/>
  <c r="BX46" i="5" s="1"/>
  <c r="BF30" i="5"/>
  <c r="BX30" i="5" s="1"/>
  <c r="BF14" i="5"/>
  <c r="BX14" i="5" s="1"/>
  <c r="BF45" i="5"/>
  <c r="BX45" i="5" s="1"/>
  <c r="BF29" i="5"/>
  <c r="BX29" i="5" s="1"/>
  <c r="BF13" i="5"/>
  <c r="BX13" i="5" s="1"/>
  <c r="BF20" i="5"/>
  <c r="BX20" i="5" s="1"/>
  <c r="BF50" i="5"/>
  <c r="BX50" i="5" s="1"/>
  <c r="BF18" i="5"/>
  <c r="BX18" i="5" s="1"/>
  <c r="BF24" i="5"/>
  <c r="BX24" i="5" s="1"/>
  <c r="BF52" i="5"/>
  <c r="BX52" i="5" s="1"/>
  <c r="BF47" i="5"/>
  <c r="BX47" i="5" s="1"/>
  <c r="BF31" i="5"/>
  <c r="BX31" i="5" s="1"/>
  <c r="BF15" i="5"/>
  <c r="BX15" i="5" s="1"/>
  <c r="BF42" i="5"/>
  <c r="BX42" i="5" s="1"/>
  <c r="BF26" i="5"/>
  <c r="BX26" i="5" s="1"/>
  <c r="BF10" i="5"/>
  <c r="BX10" i="5" s="1"/>
  <c r="BF41" i="5"/>
  <c r="BX41" i="5" s="1"/>
  <c r="BF25" i="5"/>
  <c r="BX25" i="5" s="1"/>
  <c r="BF39" i="5"/>
  <c r="BX39" i="5" s="1"/>
  <c r="BF34" i="5"/>
  <c r="BX34" i="5" s="1"/>
  <c r="BF33" i="5"/>
  <c r="BX33" i="5" s="1"/>
  <c r="BF36" i="5"/>
  <c r="BX36" i="5" s="1"/>
  <c r="BF43" i="5"/>
  <c r="BX43" i="5" s="1"/>
  <c r="BF27" i="5"/>
  <c r="BX27" i="5" s="1"/>
  <c r="BF11" i="5"/>
  <c r="BX11" i="5" s="1"/>
  <c r="BF38" i="5"/>
  <c r="BX38" i="5" s="1"/>
  <c r="BF22" i="5"/>
  <c r="BX22" i="5" s="1"/>
  <c r="BF53" i="5"/>
  <c r="BX53" i="5" s="1"/>
  <c r="BF37" i="5"/>
  <c r="BX37" i="5" s="1"/>
  <c r="BF21" i="5"/>
  <c r="BX21" i="5" s="1"/>
  <c r="BF23" i="5"/>
  <c r="BX23" i="5" s="1"/>
  <c r="BF49" i="5"/>
  <c r="BX49" i="5" s="1"/>
  <c r="BF17" i="5"/>
  <c r="BX17" i="5" s="1"/>
  <c r="BI9" i="5"/>
  <c r="CA9" i="5" s="1"/>
  <c r="BI40" i="5"/>
  <c r="CA40" i="5" s="1"/>
  <c r="BI44" i="5"/>
  <c r="CA44" i="5" s="1"/>
  <c r="BI12" i="5"/>
  <c r="CA12" i="5" s="1"/>
  <c r="BI20" i="5"/>
  <c r="CA20" i="5" s="1"/>
  <c r="BI51" i="5"/>
  <c r="CA51" i="5" s="1"/>
  <c r="BI35" i="5"/>
  <c r="CA35" i="5" s="1"/>
  <c r="BI19" i="5"/>
  <c r="CA19" i="5" s="1"/>
  <c r="BI46" i="5"/>
  <c r="CA46" i="5" s="1"/>
  <c r="BI30" i="5"/>
  <c r="CA30" i="5" s="1"/>
  <c r="BI14" i="5"/>
  <c r="CA14" i="5" s="1"/>
  <c r="BI45" i="5"/>
  <c r="CA45" i="5" s="1"/>
  <c r="BI29" i="5"/>
  <c r="CA29" i="5" s="1"/>
  <c r="BI13" i="5"/>
  <c r="CA13" i="5" s="1"/>
  <c r="BI16" i="5"/>
  <c r="CA16" i="5" s="1"/>
  <c r="BI39" i="5"/>
  <c r="CA39" i="5" s="1"/>
  <c r="BI50" i="5"/>
  <c r="CA50" i="5" s="1"/>
  <c r="BI49" i="5"/>
  <c r="CA49" i="5" s="1"/>
  <c r="BI28" i="5"/>
  <c r="CA28" i="5" s="1"/>
  <c r="BI48" i="5"/>
  <c r="CA48" i="5" s="1"/>
  <c r="BI47" i="5"/>
  <c r="CA47" i="5" s="1"/>
  <c r="BI31" i="5"/>
  <c r="CA31" i="5" s="1"/>
  <c r="BI15" i="5"/>
  <c r="CA15" i="5" s="1"/>
  <c r="BI42" i="5"/>
  <c r="CA42" i="5" s="1"/>
  <c r="BI26" i="5"/>
  <c r="CA26" i="5" s="1"/>
  <c r="BI10" i="5"/>
  <c r="CA10" i="5" s="1"/>
  <c r="BI41" i="5"/>
  <c r="CA41" i="5" s="1"/>
  <c r="BI25" i="5"/>
  <c r="CA25" i="5" s="1"/>
  <c r="BI24" i="5"/>
  <c r="CA24" i="5" s="1"/>
  <c r="BI36" i="5"/>
  <c r="CA36" i="5" s="1"/>
  <c r="BI34" i="5"/>
  <c r="CA34" i="5" s="1"/>
  <c r="BI17" i="5"/>
  <c r="CA17" i="5" s="1"/>
  <c r="BI52" i="5"/>
  <c r="CA52" i="5" s="1"/>
  <c r="BI32" i="5"/>
  <c r="CA32" i="5" s="1"/>
  <c r="BI43" i="5"/>
  <c r="CA43" i="5" s="1"/>
  <c r="BI27" i="5"/>
  <c r="CA27" i="5" s="1"/>
  <c r="BI11" i="5"/>
  <c r="CA11" i="5" s="1"/>
  <c r="BI38" i="5"/>
  <c r="CA38" i="5" s="1"/>
  <c r="BI22" i="5"/>
  <c r="CA22" i="5" s="1"/>
  <c r="BI53" i="5"/>
  <c r="CA53" i="5" s="1"/>
  <c r="BI37" i="5"/>
  <c r="CA37" i="5" s="1"/>
  <c r="BI21" i="5"/>
  <c r="CA21" i="5" s="1"/>
  <c r="BI23" i="5"/>
  <c r="CA23" i="5" s="1"/>
  <c r="BI18" i="5"/>
  <c r="CA18" i="5" s="1"/>
  <c r="BI33" i="5"/>
  <c r="CA33" i="5" s="1"/>
  <c r="BT41" i="13"/>
  <c r="BT14" i="13"/>
  <c r="CB11" i="13"/>
  <c r="CB23" i="13"/>
  <c r="CB39" i="13"/>
  <c r="CB47" i="13"/>
  <c r="CB22" i="13"/>
  <c r="CB45" i="13"/>
  <c r="CB16" i="13"/>
  <c r="CB31" i="13"/>
  <c r="CB17" i="13"/>
  <c r="CB14" i="13"/>
  <c r="CB51" i="13"/>
  <c r="CB41" i="13"/>
  <c r="BX21" i="13"/>
  <c r="BX13" i="13"/>
  <c r="BX25" i="13"/>
  <c r="BX16" i="13"/>
  <c r="BX49" i="13"/>
  <c r="BX24" i="13"/>
  <c r="BX18" i="13"/>
  <c r="BX34" i="13"/>
  <c r="BX53" i="13"/>
  <c r="BX11" i="13"/>
  <c r="BB24" i="5"/>
  <c r="BT24" i="5" s="1"/>
  <c r="BB28" i="5"/>
  <c r="BT28" i="5" s="1"/>
  <c r="BB12" i="5"/>
  <c r="BT12" i="5" s="1"/>
  <c r="BB44" i="5"/>
  <c r="BT44" i="5" s="1"/>
  <c r="BB51" i="5"/>
  <c r="BT51" i="5" s="1"/>
  <c r="BB35" i="5"/>
  <c r="BT35" i="5" s="1"/>
  <c r="BB19" i="5"/>
  <c r="BT19" i="5" s="1"/>
  <c r="BB46" i="5"/>
  <c r="BT46" i="5" s="1"/>
  <c r="BB30" i="5"/>
  <c r="BT30" i="5" s="1"/>
  <c r="BB14" i="5"/>
  <c r="BT14" i="5" s="1"/>
  <c r="BB45" i="5"/>
  <c r="BT45" i="5" s="1"/>
  <c r="BB29" i="5"/>
  <c r="BT29" i="5" s="1"/>
  <c r="BB13" i="5"/>
  <c r="BT13" i="5" s="1"/>
  <c r="BB20" i="5"/>
  <c r="BT20" i="5" s="1"/>
  <c r="BB32" i="5"/>
  <c r="BT32" i="5" s="1"/>
  <c r="BB52" i="5"/>
  <c r="BT52" i="5" s="1"/>
  <c r="BB47" i="5"/>
  <c r="BT47" i="5" s="1"/>
  <c r="BB31" i="5"/>
  <c r="BT31" i="5" s="1"/>
  <c r="BB15" i="5"/>
  <c r="BT15" i="5" s="1"/>
  <c r="BB42" i="5"/>
  <c r="BT42" i="5" s="1"/>
  <c r="BB26" i="5"/>
  <c r="BT26" i="5" s="1"/>
  <c r="BB10" i="5"/>
  <c r="BT10" i="5" s="1"/>
  <c r="BB41" i="5"/>
  <c r="BT41" i="5" s="1"/>
  <c r="BB25" i="5"/>
  <c r="BT25" i="5" s="1"/>
  <c r="BB9" i="5"/>
  <c r="BT9" i="5" s="1"/>
  <c r="BB40" i="5"/>
  <c r="BT40" i="5" s="1"/>
  <c r="BB16" i="5"/>
  <c r="BT16" i="5" s="1"/>
  <c r="BB48" i="5"/>
  <c r="BT48" i="5" s="1"/>
  <c r="BB36" i="5"/>
  <c r="BT36" i="5" s="1"/>
  <c r="BB43" i="5"/>
  <c r="BT43" i="5" s="1"/>
  <c r="BB27" i="5"/>
  <c r="BT27" i="5" s="1"/>
  <c r="BB11" i="5"/>
  <c r="BT11" i="5" s="1"/>
  <c r="BB38" i="5"/>
  <c r="BT38" i="5" s="1"/>
  <c r="BB22" i="5"/>
  <c r="BT22" i="5" s="1"/>
  <c r="BB53" i="5"/>
  <c r="BT53" i="5" s="1"/>
  <c r="BB37" i="5"/>
  <c r="BT37" i="5" s="1"/>
  <c r="BB21" i="5"/>
  <c r="BT21" i="5" s="1"/>
  <c r="BB50" i="5"/>
  <c r="BT50" i="5" s="1"/>
  <c r="BB33" i="5"/>
  <c r="BT33" i="5" s="1"/>
  <c r="BB34" i="5"/>
  <c r="BT34" i="5" s="1"/>
  <c r="BB17" i="5"/>
  <c r="BT17" i="5" s="1"/>
  <c r="BB49" i="5"/>
  <c r="BT49" i="5" s="1"/>
  <c r="BB39" i="5"/>
  <c r="BT39" i="5" s="1"/>
  <c r="BB18" i="5"/>
  <c r="BT18" i="5" s="1"/>
  <c r="BB23" i="5"/>
  <c r="BT23" i="5" s="1"/>
  <c r="BE9" i="5"/>
  <c r="BW9" i="5" s="1"/>
  <c r="BE28" i="5"/>
  <c r="BW28" i="5" s="1"/>
  <c r="BE32" i="5"/>
  <c r="BW32" i="5" s="1"/>
  <c r="BE16" i="5"/>
  <c r="BW16" i="5" s="1"/>
  <c r="BE40" i="5"/>
  <c r="BW40" i="5" s="1"/>
  <c r="BE20" i="5"/>
  <c r="BW20" i="5" s="1"/>
  <c r="BE39" i="5"/>
  <c r="BW39" i="5" s="1"/>
  <c r="BE23" i="5"/>
  <c r="BW23" i="5" s="1"/>
  <c r="BE50" i="5"/>
  <c r="BW50" i="5" s="1"/>
  <c r="BE34" i="5"/>
  <c r="BW34" i="5" s="1"/>
  <c r="BE18" i="5"/>
  <c r="BW18" i="5" s="1"/>
  <c r="BE49" i="5"/>
  <c r="BW49" i="5" s="1"/>
  <c r="BE33" i="5"/>
  <c r="BW33" i="5" s="1"/>
  <c r="BE17" i="5"/>
  <c r="BW17" i="5" s="1"/>
  <c r="BE43" i="5"/>
  <c r="BW43" i="5" s="1"/>
  <c r="BE11" i="5"/>
  <c r="BW11" i="5" s="1"/>
  <c r="BE37" i="5"/>
  <c r="BW37" i="5" s="1"/>
  <c r="BE44" i="5"/>
  <c r="BW44" i="5" s="1"/>
  <c r="BE24" i="5"/>
  <c r="BW24" i="5" s="1"/>
  <c r="BE51" i="5"/>
  <c r="BW51" i="5" s="1"/>
  <c r="BE35" i="5"/>
  <c r="BW35" i="5" s="1"/>
  <c r="BE19" i="5"/>
  <c r="BW19" i="5" s="1"/>
  <c r="BE46" i="5"/>
  <c r="BW46" i="5" s="1"/>
  <c r="BE30" i="5"/>
  <c r="BW30" i="5" s="1"/>
  <c r="BE14" i="5"/>
  <c r="BW14" i="5" s="1"/>
  <c r="BE45" i="5"/>
  <c r="BW45" i="5" s="1"/>
  <c r="BE29" i="5"/>
  <c r="BW29" i="5" s="1"/>
  <c r="BE13" i="5"/>
  <c r="BW13" i="5" s="1"/>
  <c r="BE36" i="5"/>
  <c r="BW36" i="5" s="1"/>
  <c r="BE27" i="5"/>
  <c r="BW27" i="5" s="1"/>
  <c r="BE22" i="5"/>
  <c r="BW22" i="5" s="1"/>
  <c r="BE21" i="5"/>
  <c r="BW21" i="5" s="1"/>
  <c r="BE12" i="5"/>
  <c r="BW12" i="5" s="1"/>
  <c r="BE52" i="5"/>
  <c r="BW52" i="5" s="1"/>
  <c r="BE47" i="5"/>
  <c r="BW47" i="5" s="1"/>
  <c r="BE31" i="5"/>
  <c r="BW31" i="5" s="1"/>
  <c r="BE15" i="5"/>
  <c r="BW15" i="5" s="1"/>
  <c r="BE42" i="5"/>
  <c r="BW42" i="5" s="1"/>
  <c r="BE26" i="5"/>
  <c r="BW26" i="5" s="1"/>
  <c r="BE10" i="5"/>
  <c r="BW10" i="5" s="1"/>
  <c r="BE41" i="5"/>
  <c r="BW41" i="5" s="1"/>
  <c r="BE25" i="5"/>
  <c r="BW25" i="5" s="1"/>
  <c r="BE48" i="5"/>
  <c r="BW48" i="5" s="1"/>
  <c r="BE38" i="5"/>
  <c r="BW38" i="5" s="1"/>
  <c r="BE53" i="5"/>
  <c r="BW53" i="5" s="1"/>
  <c r="BC19" i="5"/>
  <c r="BU19" i="5" s="1"/>
  <c r="BC35" i="5"/>
  <c r="BU35" i="5" s="1"/>
  <c r="BC40" i="5"/>
  <c r="BU40" i="5" s="1"/>
  <c r="BC24" i="5"/>
  <c r="BU24" i="5" s="1"/>
  <c r="BC11" i="5"/>
  <c r="BU11" i="5" s="1"/>
  <c r="BC32" i="5"/>
  <c r="BU32" i="5" s="1"/>
  <c r="BC39" i="5"/>
  <c r="BU39" i="5" s="1"/>
  <c r="BC52" i="5"/>
  <c r="BU52" i="5" s="1"/>
  <c r="BC20" i="5"/>
  <c r="BU20" i="5" s="1"/>
  <c r="BC42" i="5"/>
  <c r="BU42" i="5" s="1"/>
  <c r="BC26" i="5"/>
  <c r="BU26" i="5" s="1"/>
  <c r="BC10" i="5"/>
  <c r="BU10" i="5" s="1"/>
  <c r="BC41" i="5"/>
  <c r="BU41" i="5" s="1"/>
  <c r="BC25" i="5"/>
  <c r="BU25" i="5" s="1"/>
  <c r="BC30" i="5"/>
  <c r="BU30" i="5" s="1"/>
  <c r="BC51" i="5"/>
  <c r="BU51" i="5" s="1"/>
  <c r="BC27" i="5"/>
  <c r="BU27" i="5" s="1"/>
  <c r="BC48" i="5"/>
  <c r="BU48" i="5" s="1"/>
  <c r="BC31" i="5"/>
  <c r="BU31" i="5" s="1"/>
  <c r="BC44" i="5"/>
  <c r="BU44" i="5" s="1"/>
  <c r="BC12" i="5"/>
  <c r="BU12" i="5" s="1"/>
  <c r="BC38" i="5"/>
  <c r="BU38" i="5" s="1"/>
  <c r="BC22" i="5"/>
  <c r="BU22" i="5" s="1"/>
  <c r="BC53" i="5"/>
  <c r="BU53" i="5" s="1"/>
  <c r="BC37" i="5"/>
  <c r="BU37" i="5" s="1"/>
  <c r="BC21" i="5"/>
  <c r="BU21" i="5" s="1"/>
  <c r="BC9" i="5"/>
  <c r="BU9" i="5" s="1"/>
  <c r="BC16" i="5"/>
  <c r="BU16" i="5" s="1"/>
  <c r="BC47" i="5"/>
  <c r="BU47" i="5" s="1"/>
  <c r="BC14" i="5"/>
  <c r="BU14" i="5" s="1"/>
  <c r="BC43" i="5"/>
  <c r="BU43" i="5" s="1"/>
  <c r="BC23" i="5"/>
  <c r="BU23" i="5" s="1"/>
  <c r="BC36" i="5"/>
  <c r="BU36" i="5" s="1"/>
  <c r="BC50" i="5"/>
  <c r="BU50" i="5" s="1"/>
  <c r="BC34" i="5"/>
  <c r="BU34" i="5" s="1"/>
  <c r="BC18" i="5"/>
  <c r="BU18" i="5" s="1"/>
  <c r="BC49" i="5"/>
  <c r="BU49" i="5" s="1"/>
  <c r="BC33" i="5"/>
  <c r="BU33" i="5" s="1"/>
  <c r="BC17" i="5"/>
  <c r="BU17" i="5" s="1"/>
  <c r="BC15" i="5"/>
  <c r="BU15" i="5" s="1"/>
  <c r="BC28" i="5"/>
  <c r="BU28" i="5" s="1"/>
  <c r="BC46" i="5"/>
  <c r="BU46" i="5" s="1"/>
  <c r="BC29" i="5"/>
  <c r="BU29" i="5" s="1"/>
  <c r="BC13" i="5"/>
  <c r="BU13" i="5" s="1"/>
  <c r="BC45" i="5"/>
  <c r="BU45" i="5" s="1"/>
  <c r="CB34" i="13"/>
  <c r="CB12" i="13"/>
  <c r="CB18" i="13"/>
  <c r="CB20" i="13"/>
  <c r="CB42" i="13"/>
  <c r="CB50" i="13"/>
  <c r="CB36" i="13"/>
  <c r="CB10" i="13"/>
  <c r="CB33" i="13"/>
  <c r="CB21" i="13"/>
  <c r="BA9" i="5"/>
  <c r="BS9" i="5" s="1"/>
  <c r="BA12" i="5"/>
  <c r="BS12" i="5" s="1"/>
  <c r="BA44" i="5"/>
  <c r="BS44" i="5" s="1"/>
  <c r="BA16" i="5"/>
  <c r="BS16" i="5" s="1"/>
  <c r="BA48" i="5"/>
  <c r="BS48" i="5" s="1"/>
  <c r="BA32" i="5"/>
  <c r="BS32" i="5" s="1"/>
  <c r="BA28" i="5"/>
  <c r="BS28" i="5" s="1"/>
  <c r="BA20" i="5"/>
  <c r="BS20" i="5" s="1"/>
  <c r="BA39" i="5"/>
  <c r="BS39" i="5" s="1"/>
  <c r="BA23" i="5"/>
  <c r="BS23" i="5" s="1"/>
  <c r="BA50" i="5"/>
  <c r="BS50" i="5" s="1"/>
  <c r="BA34" i="5"/>
  <c r="BS34" i="5" s="1"/>
  <c r="BA18" i="5"/>
  <c r="BS18" i="5" s="1"/>
  <c r="BA49" i="5"/>
  <c r="BS49" i="5" s="1"/>
  <c r="BA33" i="5"/>
  <c r="BS33" i="5" s="1"/>
  <c r="BA17" i="5"/>
  <c r="BS17" i="5" s="1"/>
  <c r="BA40" i="5"/>
  <c r="BS40" i="5" s="1"/>
  <c r="BA51" i="5"/>
  <c r="BS51" i="5" s="1"/>
  <c r="BA35" i="5"/>
  <c r="BS35" i="5" s="1"/>
  <c r="BA19" i="5"/>
  <c r="BS19" i="5" s="1"/>
  <c r="BA46" i="5"/>
  <c r="BS46" i="5" s="1"/>
  <c r="BA30" i="5"/>
  <c r="BS30" i="5" s="1"/>
  <c r="BA14" i="5"/>
  <c r="BS14" i="5" s="1"/>
  <c r="BA45" i="5"/>
  <c r="BS45" i="5" s="1"/>
  <c r="BA29" i="5"/>
  <c r="BS29" i="5" s="1"/>
  <c r="BA13" i="5"/>
  <c r="BS13" i="5" s="1"/>
  <c r="BA24" i="5"/>
  <c r="BS24" i="5" s="1"/>
  <c r="BA52" i="5"/>
  <c r="BS52" i="5" s="1"/>
  <c r="BA47" i="5"/>
  <c r="BS47" i="5" s="1"/>
  <c r="BA31" i="5"/>
  <c r="BS31" i="5" s="1"/>
  <c r="BA15" i="5"/>
  <c r="BS15" i="5" s="1"/>
  <c r="BA42" i="5"/>
  <c r="BS42" i="5" s="1"/>
  <c r="BA26" i="5"/>
  <c r="BS26" i="5" s="1"/>
  <c r="BA10" i="5"/>
  <c r="BS10" i="5" s="1"/>
  <c r="BA41" i="5"/>
  <c r="BS41" i="5" s="1"/>
  <c r="BA25" i="5"/>
  <c r="BS25" i="5" s="1"/>
  <c r="BA36" i="5"/>
  <c r="BS36" i="5" s="1"/>
  <c r="BA11" i="5"/>
  <c r="BS11" i="5" s="1"/>
  <c r="BA37" i="5"/>
  <c r="BS37" i="5" s="1"/>
  <c r="BA38" i="5"/>
  <c r="BS38" i="5" s="1"/>
  <c r="BA21" i="5"/>
  <c r="BS21" i="5" s="1"/>
  <c r="BA27" i="5"/>
  <c r="BS27" i="5" s="1"/>
  <c r="BA43" i="5"/>
  <c r="BS43" i="5" s="1"/>
  <c r="BA22" i="5"/>
  <c r="BS22" i="5" s="1"/>
  <c r="BA53" i="5"/>
  <c r="BS53" i="5" s="1"/>
  <c r="AZ48" i="5"/>
  <c r="BR48" i="5" s="1"/>
  <c r="AZ24" i="5"/>
  <c r="BR24" i="5" s="1"/>
  <c r="AZ16" i="5"/>
  <c r="BR16" i="5" s="1"/>
  <c r="AZ36" i="5"/>
  <c r="BR36" i="5" s="1"/>
  <c r="AZ43" i="5"/>
  <c r="BR43" i="5" s="1"/>
  <c r="AZ27" i="5"/>
  <c r="BR27" i="5" s="1"/>
  <c r="AZ11" i="5"/>
  <c r="BR11" i="5" s="1"/>
  <c r="AZ38" i="5"/>
  <c r="BR38" i="5" s="1"/>
  <c r="AZ22" i="5"/>
  <c r="BR22" i="5" s="1"/>
  <c r="AZ53" i="5"/>
  <c r="BR53" i="5" s="1"/>
  <c r="AZ37" i="5"/>
  <c r="BR37" i="5" s="1"/>
  <c r="AZ21" i="5"/>
  <c r="BR21" i="5" s="1"/>
  <c r="AZ52" i="5"/>
  <c r="BR52" i="5" s="1"/>
  <c r="AZ9" i="5"/>
  <c r="BR9" i="5" s="1"/>
  <c r="AZ40" i="5"/>
  <c r="BR40" i="5" s="1"/>
  <c r="AZ20" i="5"/>
  <c r="BR20" i="5" s="1"/>
  <c r="AZ39" i="5"/>
  <c r="BR39" i="5" s="1"/>
  <c r="AZ23" i="5"/>
  <c r="BR23" i="5" s="1"/>
  <c r="AZ50" i="5"/>
  <c r="BR50" i="5" s="1"/>
  <c r="AZ34" i="5"/>
  <c r="BR34" i="5" s="1"/>
  <c r="AZ18" i="5"/>
  <c r="BR18" i="5" s="1"/>
  <c r="AZ49" i="5"/>
  <c r="BR49" i="5" s="1"/>
  <c r="AZ33" i="5"/>
  <c r="BR33" i="5" s="1"/>
  <c r="AZ17" i="5"/>
  <c r="BR17" i="5" s="1"/>
  <c r="AZ44" i="5"/>
  <c r="BR44" i="5" s="1"/>
  <c r="AZ12" i="5"/>
  <c r="BR12" i="5" s="1"/>
  <c r="AZ28" i="5"/>
  <c r="BR28" i="5" s="1"/>
  <c r="AZ51" i="5"/>
  <c r="BR51" i="5" s="1"/>
  <c r="AZ35" i="5"/>
  <c r="BR35" i="5" s="1"/>
  <c r="AZ19" i="5"/>
  <c r="BR19" i="5" s="1"/>
  <c r="AZ46" i="5"/>
  <c r="BR46" i="5" s="1"/>
  <c r="AZ30" i="5"/>
  <c r="BR30" i="5" s="1"/>
  <c r="AZ14" i="5"/>
  <c r="BR14" i="5" s="1"/>
  <c r="AZ45" i="5"/>
  <c r="BR45" i="5" s="1"/>
  <c r="AZ29" i="5"/>
  <c r="BR29" i="5" s="1"/>
  <c r="AZ13" i="5"/>
  <c r="BR13" i="5" s="1"/>
  <c r="AZ32" i="5"/>
  <c r="BR32" i="5" s="1"/>
  <c r="AZ15" i="5"/>
  <c r="BR15" i="5" s="1"/>
  <c r="AZ41" i="5"/>
  <c r="BR41" i="5" s="1"/>
  <c r="AZ42" i="5"/>
  <c r="BR42" i="5" s="1"/>
  <c r="AZ10" i="5"/>
  <c r="BR10" i="5" s="1"/>
  <c r="AZ25" i="5"/>
  <c r="BR25" i="5" s="1"/>
  <c r="AZ31" i="5"/>
  <c r="BR31" i="5" s="1"/>
  <c r="AZ47" i="5"/>
  <c r="BR47" i="5" s="1"/>
  <c r="AZ26" i="5"/>
  <c r="BR26" i="5" s="1"/>
  <c r="BT20" i="13"/>
  <c r="BT33" i="13"/>
  <c r="BT16" i="13"/>
  <c r="BT44" i="13"/>
  <c r="BT24" i="13"/>
  <c r="BT35" i="13"/>
  <c r="BT22" i="13"/>
  <c r="BT53" i="13"/>
  <c r="BW51" i="13"/>
  <c r="BW20" i="13"/>
  <c r="BW36" i="13"/>
  <c r="BW52" i="13"/>
  <c r="BW12" i="13"/>
  <c r="BW28" i="13"/>
  <c r="BW44" i="13"/>
  <c r="BW32" i="13"/>
  <c r="BW40" i="13"/>
  <c r="BW16" i="13"/>
  <c r="BW48" i="13"/>
  <c r="BW17" i="13"/>
  <c r="BW33" i="13"/>
  <c r="BW49" i="13"/>
  <c r="BW13" i="13"/>
  <c r="BW37" i="13"/>
  <c r="BW18" i="13"/>
  <c r="BW34" i="13"/>
  <c r="BW50" i="13"/>
  <c r="BW11" i="13"/>
  <c r="BW27" i="13"/>
  <c r="BW43" i="13"/>
  <c r="BW24" i="13"/>
  <c r="BW21" i="13"/>
  <c r="BW41" i="13"/>
  <c r="BW22" i="13"/>
  <c r="BW38" i="13"/>
  <c r="BW25" i="13"/>
  <c r="BW45" i="13"/>
  <c r="BW10" i="13"/>
  <c r="BW26" i="13"/>
  <c r="BW42" i="13"/>
  <c r="BW19" i="13"/>
  <c r="BW35" i="13"/>
  <c r="BW29" i="13"/>
  <c r="BW46" i="13"/>
  <c r="BW15" i="13"/>
  <c r="BW47" i="13"/>
  <c r="BW30" i="13"/>
  <c r="BW39" i="13"/>
  <c r="BW53" i="13"/>
  <c r="BW23" i="13"/>
  <c r="BW14" i="13"/>
  <c r="BW31" i="13"/>
  <c r="BW9" i="13"/>
  <c r="BT21" i="13"/>
  <c r="BT52" i="13"/>
  <c r="BT17" i="13"/>
  <c r="BT31" i="13"/>
  <c r="BT28" i="13"/>
  <c r="BT10" i="13"/>
  <c r="BT26" i="13"/>
  <c r="BT50" i="13"/>
  <c r="BT42" i="13"/>
  <c r="BT47" i="13"/>
  <c r="BV46" i="13"/>
  <c r="BV42" i="13"/>
  <c r="BV23" i="13"/>
  <c r="BV43" i="13"/>
  <c r="BV11" i="13"/>
  <c r="BV50" i="13"/>
  <c r="BV47" i="13"/>
  <c r="BV22" i="13"/>
  <c r="BV53" i="13"/>
  <c r="BV27" i="13"/>
  <c r="BV30" i="13"/>
  <c r="BV26" i="13"/>
  <c r="BV18" i="13"/>
  <c r="BV15" i="13"/>
  <c r="BV14" i="13"/>
  <c r="BV51" i="13"/>
  <c r="BV39" i="13"/>
  <c r="BV38" i="13"/>
  <c r="BV10" i="13"/>
  <c r="BV34" i="13"/>
  <c r="BV35" i="13"/>
  <c r="BV31" i="13"/>
  <c r="BV16" i="13"/>
  <c r="BV32" i="13"/>
  <c r="BV48" i="13"/>
  <c r="BV21" i="13"/>
  <c r="BV37" i="13"/>
  <c r="BV19" i="13"/>
  <c r="BV20" i="13"/>
  <c r="BV36" i="13"/>
  <c r="BV52" i="13"/>
  <c r="BV24" i="13"/>
  <c r="BV40" i="13"/>
  <c r="BV13" i="13"/>
  <c r="BV29" i="13"/>
  <c r="BV45" i="13"/>
  <c r="BV28" i="13"/>
  <c r="BV25" i="13"/>
  <c r="BV17" i="13"/>
  <c r="BV44" i="13"/>
  <c r="BV33" i="13"/>
  <c r="BV9" i="13"/>
  <c r="BV41" i="13"/>
  <c r="BV12" i="13"/>
  <c r="BV49" i="13"/>
  <c r="BU51" i="13"/>
  <c r="BU16" i="13"/>
  <c r="BU32" i="13"/>
  <c r="BU48" i="13"/>
  <c r="BU24" i="13"/>
  <c r="BU40" i="13"/>
  <c r="BU12" i="13"/>
  <c r="BU44" i="13"/>
  <c r="BU20" i="13"/>
  <c r="BU52" i="13"/>
  <c r="BU28" i="13"/>
  <c r="BU17" i="13"/>
  <c r="BU33" i="13"/>
  <c r="BU49" i="13"/>
  <c r="BU36" i="13"/>
  <c r="BU21" i="13"/>
  <c r="BU41" i="13"/>
  <c r="BU10" i="13"/>
  <c r="BU26" i="13"/>
  <c r="BU42" i="13"/>
  <c r="BU15" i="13"/>
  <c r="BU31" i="13"/>
  <c r="BU47" i="13"/>
  <c r="BU25" i="13"/>
  <c r="BU45" i="13"/>
  <c r="BU14" i="13"/>
  <c r="BU30" i="13"/>
  <c r="BU46" i="13"/>
  <c r="BU9" i="13"/>
  <c r="BU29" i="13"/>
  <c r="BU53" i="13"/>
  <c r="BU18" i="13"/>
  <c r="BU34" i="13"/>
  <c r="BU50" i="13"/>
  <c r="BU23" i="13"/>
  <c r="BU39" i="13"/>
  <c r="BU35" i="13"/>
  <c r="BU13" i="13"/>
  <c r="BU22" i="13"/>
  <c r="BU11" i="13"/>
  <c r="BU43" i="13"/>
  <c r="BU37" i="13"/>
  <c r="BU38" i="13"/>
  <c r="BU19" i="13"/>
  <c r="BU27" i="13"/>
  <c r="CI15" i="13"/>
  <c r="CI19" i="13"/>
  <c r="CI28" i="13"/>
  <c r="CI39" i="13"/>
  <c r="CI23" i="13"/>
  <c r="CI34" i="13"/>
  <c r="CI50" i="13"/>
  <c r="CI44" i="13"/>
  <c r="CI41" i="13"/>
  <c r="CI25" i="13"/>
  <c r="CI24" i="13"/>
  <c r="CI46" i="13"/>
  <c r="CI13" i="13"/>
  <c r="CI31" i="13"/>
  <c r="CI52" i="13"/>
  <c r="CI11" i="13"/>
  <c r="CI49" i="13"/>
  <c r="CI33" i="13"/>
  <c r="CI16" i="13"/>
  <c r="CI35" i="13"/>
  <c r="CI37" i="13"/>
  <c r="CI30" i="13"/>
  <c r="CI26" i="13"/>
  <c r="CI22" i="13"/>
  <c r="CI43" i="13"/>
  <c r="CI29" i="13"/>
  <c r="CI40" i="13"/>
  <c r="CI9" i="13"/>
  <c r="CI36" i="13"/>
  <c r="CI10" i="13"/>
  <c r="CI48" i="13"/>
  <c r="CI20" i="13"/>
  <c r="CI47" i="13"/>
  <c r="CI38" i="13"/>
  <c r="CI27" i="13"/>
  <c r="CI53" i="13"/>
  <c r="CI12" i="13"/>
  <c r="CI51" i="13"/>
  <c r="CI17" i="13"/>
  <c r="CI42" i="13"/>
  <c r="CI14" i="13"/>
  <c r="CI32" i="13"/>
  <c r="CI45" i="13"/>
  <c r="CI21" i="13"/>
  <c r="CI18" i="13"/>
  <c r="CH46" i="13"/>
  <c r="CH30" i="13"/>
  <c r="CH37" i="13"/>
  <c r="CH50" i="13"/>
  <c r="CH18" i="13"/>
  <c r="CH33" i="13"/>
  <c r="CH38" i="13"/>
  <c r="CH22" i="13"/>
  <c r="CH53" i="13"/>
  <c r="CH21" i="13"/>
  <c r="CH34" i="13"/>
  <c r="CH49" i="13"/>
  <c r="CH17" i="13"/>
  <c r="CH52" i="13"/>
  <c r="CH42" i="13"/>
  <c r="CH25" i="13"/>
  <c r="CH45" i="13"/>
  <c r="CH26" i="13"/>
  <c r="CH9" i="13"/>
  <c r="CH29" i="13"/>
  <c r="CH10" i="13"/>
  <c r="CH13" i="13"/>
  <c r="CH11" i="13"/>
  <c r="CH27" i="13"/>
  <c r="CH43" i="13"/>
  <c r="CH14" i="13"/>
  <c r="CH41" i="13"/>
  <c r="CH31" i="13"/>
  <c r="CH51" i="13"/>
  <c r="CH16" i="13"/>
  <c r="CH32" i="13"/>
  <c r="CH48" i="13"/>
  <c r="CH15" i="13"/>
  <c r="CH35" i="13"/>
  <c r="CH20" i="13"/>
  <c r="CH36" i="13"/>
  <c r="CH47" i="13"/>
  <c r="CH28" i="13"/>
  <c r="CH44" i="13"/>
  <c r="CH19" i="13"/>
  <c r="CH39" i="13"/>
  <c r="CH24" i="13"/>
  <c r="CH40" i="13"/>
  <c r="CH23" i="13"/>
  <c r="CH12" i="13"/>
  <c r="CG46" i="13"/>
  <c r="CG30" i="13"/>
  <c r="CG14" i="13"/>
  <c r="CG45" i="13"/>
  <c r="CG29" i="13"/>
  <c r="CG13" i="13"/>
  <c r="CG32" i="13"/>
  <c r="CG35" i="13"/>
  <c r="CG38" i="13"/>
  <c r="CG18" i="13"/>
  <c r="CG41" i="13"/>
  <c r="CG21" i="13"/>
  <c r="CG24" i="13"/>
  <c r="CG27" i="13"/>
  <c r="CG28" i="13"/>
  <c r="CG15" i="13"/>
  <c r="CG47" i="13"/>
  <c r="CG34" i="13"/>
  <c r="CG10" i="13"/>
  <c r="CG37" i="13"/>
  <c r="CG17" i="13"/>
  <c r="CG40" i="13"/>
  <c r="CG43" i="13"/>
  <c r="CG36" i="13"/>
  <c r="CG50" i="13"/>
  <c r="CG26" i="13"/>
  <c r="CG53" i="13"/>
  <c r="CG33" i="13"/>
  <c r="CG9" i="13"/>
  <c r="CG48" i="13"/>
  <c r="CG11" i="13"/>
  <c r="CG51" i="13"/>
  <c r="CG12" i="13"/>
  <c r="CG44" i="13"/>
  <c r="CG31" i="13"/>
  <c r="CG25" i="13"/>
  <c r="CG42" i="13"/>
  <c r="CG16" i="13"/>
  <c r="CG39" i="13"/>
  <c r="CG22" i="13"/>
  <c r="CG20" i="13"/>
  <c r="CG23" i="13"/>
  <c r="CG49" i="13"/>
  <c r="CG19" i="13"/>
  <c r="CG52" i="13"/>
  <c r="CA43" i="13"/>
  <c r="CA12" i="13"/>
  <c r="CA28" i="13"/>
  <c r="CA49" i="13"/>
  <c r="CA39" i="13"/>
  <c r="CA16" i="13"/>
  <c r="CA33" i="13"/>
  <c r="CA51" i="13"/>
  <c r="CA35" i="13"/>
  <c r="CA20" i="13"/>
  <c r="CA38" i="13"/>
  <c r="CA17" i="13"/>
  <c r="CA34" i="13"/>
  <c r="CA44" i="13"/>
  <c r="CA25" i="13"/>
  <c r="CA50" i="13"/>
  <c r="CA22" i="13"/>
  <c r="CA41" i="13"/>
  <c r="CA15" i="13"/>
  <c r="CA32" i="13"/>
  <c r="CA53" i="13"/>
  <c r="CA47" i="13"/>
  <c r="CA9" i="13"/>
  <c r="CA29" i="13"/>
  <c r="CA10" i="13"/>
  <c r="CA26" i="13"/>
  <c r="CA46" i="13"/>
  <c r="CA31" i="13"/>
  <c r="CA13" i="13"/>
  <c r="CA40" i="13"/>
  <c r="CA14" i="13"/>
  <c r="CA30" i="13"/>
  <c r="CA52" i="13"/>
  <c r="CA23" i="13"/>
  <c r="CA42" i="13"/>
  <c r="CA21" i="13"/>
  <c r="CA19" i="13"/>
  <c r="CA11" i="13"/>
  <c r="CA45" i="13"/>
  <c r="CA18" i="13"/>
  <c r="CA27" i="13"/>
  <c r="CA36" i="13"/>
  <c r="CA37" i="13"/>
  <c r="CA24" i="13"/>
  <c r="CA48" i="13"/>
  <c r="BT34" i="13"/>
  <c r="BT48" i="13"/>
  <c r="BT18" i="13"/>
  <c r="BT9" i="13"/>
  <c r="BT19" i="13"/>
  <c r="BT39" i="13"/>
  <c r="BT30" i="13"/>
  <c r="BT23" i="13"/>
  <c r="BZ52" i="13"/>
  <c r="BZ22" i="13"/>
  <c r="BZ11" i="13"/>
  <c r="BZ19" i="13"/>
  <c r="BZ23" i="13"/>
  <c r="BZ45" i="13"/>
  <c r="BZ30" i="13"/>
  <c r="BZ51" i="13"/>
  <c r="BZ26" i="13"/>
  <c r="BZ47" i="13"/>
  <c r="BZ9" i="13"/>
  <c r="BZ14" i="13"/>
  <c r="BZ27" i="13"/>
  <c r="BZ43" i="13"/>
  <c r="BZ49" i="13"/>
  <c r="BZ33" i="13"/>
  <c r="BZ13" i="13"/>
  <c r="BZ34" i="13"/>
  <c r="BZ41" i="13"/>
  <c r="BZ15" i="13"/>
  <c r="BZ37" i="13"/>
  <c r="BZ17" i="13"/>
  <c r="BZ29" i="13"/>
  <c r="BZ25" i="13"/>
  <c r="BZ21" i="13"/>
  <c r="BZ39" i="13"/>
  <c r="BZ35" i="13"/>
  <c r="BZ31" i="13"/>
  <c r="BZ38" i="13"/>
  <c r="BZ50" i="13"/>
  <c r="BZ46" i="13"/>
  <c r="BZ42" i="13"/>
  <c r="BZ16" i="13"/>
  <c r="BZ32" i="13"/>
  <c r="BZ48" i="13"/>
  <c r="BZ20" i="13"/>
  <c r="BZ36" i="13"/>
  <c r="BZ18" i="13"/>
  <c r="BZ10" i="13"/>
  <c r="BZ24" i="13"/>
  <c r="BZ40" i="13"/>
  <c r="BZ53" i="13"/>
  <c r="BZ44" i="13"/>
  <c r="BZ28" i="13"/>
  <c r="BZ12" i="13"/>
  <c r="BY51" i="13"/>
  <c r="BY12" i="13"/>
  <c r="BY16" i="13"/>
  <c r="BY32" i="13"/>
  <c r="BY48" i="13"/>
  <c r="BY20" i="13"/>
  <c r="BY36" i="13"/>
  <c r="BY52" i="13"/>
  <c r="BY24" i="13"/>
  <c r="BY40" i="13"/>
  <c r="BY17" i="13"/>
  <c r="BY33" i="13"/>
  <c r="BY49" i="13"/>
  <c r="BY44" i="13"/>
  <c r="BY9" i="13"/>
  <c r="BY29" i="13"/>
  <c r="BY53" i="13"/>
  <c r="BY10" i="13"/>
  <c r="BY26" i="13"/>
  <c r="BY42" i="13"/>
  <c r="BY23" i="13"/>
  <c r="BY39" i="13"/>
  <c r="BY13" i="13"/>
  <c r="BY37" i="13"/>
  <c r="BY14" i="13"/>
  <c r="BY30" i="13"/>
  <c r="BY46" i="13"/>
  <c r="BY21" i="13"/>
  <c r="BY41" i="13"/>
  <c r="BY18" i="13"/>
  <c r="BY34" i="13"/>
  <c r="BY50" i="13"/>
  <c r="BY15" i="13"/>
  <c r="BY31" i="13"/>
  <c r="BY47" i="13"/>
  <c r="BY22" i="13"/>
  <c r="BY27" i="13"/>
  <c r="BY38" i="13"/>
  <c r="BY35" i="13"/>
  <c r="BY19" i="13"/>
  <c r="BY28" i="13"/>
  <c r="BY25" i="13"/>
  <c r="BY11" i="13"/>
  <c r="BY43" i="13"/>
  <c r="BY45" i="13"/>
  <c r="CE49" i="13"/>
  <c r="CE32" i="13"/>
  <c r="CE36" i="13"/>
  <c r="CE26" i="13"/>
  <c r="CE41" i="13"/>
  <c r="CE10" i="13"/>
  <c r="CE14" i="13"/>
  <c r="CE48" i="13"/>
  <c r="CE20" i="13"/>
  <c r="CE21" i="13"/>
  <c r="CE46" i="13"/>
  <c r="CE30" i="13"/>
  <c r="CE16" i="13"/>
  <c r="CE52" i="13"/>
  <c r="CE42" i="13"/>
  <c r="CE37" i="13"/>
  <c r="CE25" i="13"/>
  <c r="CE9" i="13"/>
  <c r="CE17" i="13"/>
  <c r="CE38" i="13"/>
  <c r="CE39" i="13"/>
  <c r="CE23" i="13"/>
  <c r="CE13" i="13"/>
  <c r="CE34" i="13"/>
  <c r="CE22" i="13"/>
  <c r="CE44" i="13"/>
  <c r="CE53" i="13"/>
  <c r="CE28" i="13"/>
  <c r="CE47" i="13"/>
  <c r="CE31" i="13"/>
  <c r="CE15" i="13"/>
  <c r="CE24" i="13"/>
  <c r="CE45" i="13"/>
  <c r="CE12" i="13"/>
  <c r="CE51" i="13"/>
  <c r="CE19" i="13"/>
  <c r="CE40" i="13"/>
  <c r="CE50" i="13"/>
  <c r="CE27" i="13"/>
  <c r="CE33" i="13"/>
  <c r="CE43" i="13"/>
  <c r="CE11" i="13"/>
  <c r="CE35" i="13"/>
  <c r="CE18" i="13"/>
  <c r="CE29" i="13"/>
  <c r="BT29" i="13"/>
  <c r="BT36" i="13"/>
  <c r="BT49" i="13"/>
  <c r="BT32" i="13"/>
  <c r="BT13" i="13"/>
  <c r="BT15" i="13"/>
  <c r="BT40" i="13"/>
  <c r="BT46" i="13"/>
  <c r="BT51" i="13"/>
  <c r="BT43" i="13"/>
  <c r="BT27" i="13"/>
  <c r="BT38" i="13"/>
  <c r="CD39" i="13"/>
  <c r="CD12" i="13"/>
  <c r="CD28" i="13"/>
  <c r="CD18" i="13"/>
  <c r="CD34" i="13"/>
  <c r="CD44" i="13"/>
  <c r="CD23" i="13"/>
  <c r="CD50" i="13"/>
  <c r="CD41" i="13"/>
  <c r="CD25" i="13"/>
  <c r="CD9" i="13"/>
  <c r="CD30" i="13"/>
  <c r="CD51" i="13"/>
  <c r="CD49" i="13"/>
  <c r="CD29" i="13"/>
  <c r="CD14" i="13"/>
  <c r="CD40" i="13"/>
  <c r="CD20" i="13"/>
  <c r="CD42" i="13"/>
  <c r="CD27" i="13"/>
  <c r="CD48" i="13"/>
  <c r="CD45" i="13"/>
  <c r="CD21" i="13"/>
  <c r="CD19" i="13"/>
  <c r="CD46" i="13"/>
  <c r="CD26" i="13"/>
  <c r="CD47" i="13"/>
  <c r="CD37" i="13"/>
  <c r="CD17" i="13"/>
  <c r="CD24" i="13"/>
  <c r="CD10" i="13"/>
  <c r="CD31" i="13"/>
  <c r="CD52" i="13"/>
  <c r="CD16" i="13"/>
  <c r="CD38" i="13"/>
  <c r="CD33" i="13"/>
  <c r="CD11" i="13"/>
  <c r="CD53" i="13"/>
  <c r="CD13" i="13"/>
  <c r="CD22" i="13"/>
  <c r="CD36" i="13"/>
  <c r="CD35" i="13"/>
  <c r="CD15" i="13"/>
  <c r="CD32" i="13"/>
  <c r="CD43" i="13"/>
  <c r="CC52" i="13"/>
  <c r="CC46" i="13"/>
  <c r="CC26" i="13"/>
  <c r="CC36" i="13"/>
  <c r="CC22" i="13"/>
  <c r="CC53" i="13"/>
  <c r="CC10" i="13"/>
  <c r="CC12" i="13"/>
  <c r="CC41" i="13"/>
  <c r="CC21" i="13"/>
  <c r="CC49" i="13"/>
  <c r="CC9" i="13"/>
  <c r="CC37" i="13"/>
  <c r="CC33" i="13"/>
  <c r="CC42" i="13"/>
  <c r="CC16" i="13"/>
  <c r="CC25" i="13"/>
  <c r="CC38" i="13"/>
  <c r="CC17" i="13"/>
  <c r="CC48" i="13"/>
  <c r="CC30" i="13"/>
  <c r="CC32" i="13"/>
  <c r="CC14" i="13"/>
  <c r="CC44" i="13"/>
  <c r="CC28" i="13"/>
  <c r="CC47" i="13"/>
  <c r="CC31" i="13"/>
  <c r="CC15" i="13"/>
  <c r="CC24" i="13"/>
  <c r="CC45" i="13"/>
  <c r="CC43" i="13"/>
  <c r="CC27" i="13"/>
  <c r="CC11" i="13"/>
  <c r="CC29" i="13"/>
  <c r="CC50" i="13"/>
  <c r="CC39" i="13"/>
  <c r="CC23" i="13"/>
  <c r="CC13" i="13"/>
  <c r="CC34" i="13"/>
  <c r="CC20" i="13"/>
  <c r="CC18" i="13"/>
  <c r="CC19" i="13"/>
  <c r="CC51" i="13"/>
  <c r="CC40" i="13"/>
  <c r="CC35" i="13"/>
  <c r="Y3" i="5"/>
  <c r="A3" i="5"/>
  <c r="AD24" i="11"/>
  <c r="AD19" i="11"/>
  <c r="AD15" i="11"/>
  <c r="AD18" i="11"/>
  <c r="AD23" i="11"/>
  <c r="AD30" i="11"/>
  <c r="AD17" i="11"/>
  <c r="AD20" i="11"/>
  <c r="AD28" i="11"/>
  <c r="AD29" i="11"/>
  <c r="AD27" i="11"/>
  <c r="AD22" i="11"/>
  <c r="AD21" i="11"/>
  <c r="AD16" i="11"/>
  <c r="AD14" i="11"/>
  <c r="A1" i="5"/>
  <c r="BR52" i="13" l="1"/>
  <c r="BR51" i="13"/>
  <c r="BR46" i="13"/>
  <c r="BR47" i="13"/>
  <c r="BR50" i="13"/>
  <c r="BR48" i="13"/>
  <c r="BR49" i="13"/>
  <c r="BR53" i="13"/>
  <c r="BR40" i="13"/>
  <c r="BR39" i="13"/>
  <c r="BR37" i="13"/>
  <c r="BR43" i="13"/>
  <c r="BR42" i="13"/>
  <c r="BR41" i="13"/>
  <c r="BR38" i="13"/>
  <c r="BR44" i="13"/>
  <c r="BR35" i="13"/>
  <c r="BR36" i="13"/>
  <c r="BR33" i="13"/>
  <c r="BR32" i="13"/>
  <c r="BR34" i="13"/>
  <c r="CS32" i="13"/>
  <c r="CS36" i="13"/>
  <c r="CS13" i="13"/>
  <c r="BR13" i="13"/>
  <c r="CS19" i="13"/>
  <c r="BR19" i="13"/>
  <c r="CS35" i="13"/>
  <c r="CS14" i="13"/>
  <c r="BR14" i="13"/>
  <c r="CS37" i="13"/>
  <c r="CS9" i="13"/>
  <c r="BR9" i="13"/>
  <c r="CS47" i="13"/>
  <c r="CS24" i="13"/>
  <c r="BR24" i="13"/>
  <c r="CS41" i="13"/>
  <c r="CS49" i="13"/>
  <c r="CS18" i="13"/>
  <c r="BR18" i="13"/>
  <c r="CS42" i="13"/>
  <c r="CS44" i="13"/>
  <c r="CS38" i="13"/>
  <c r="CS48" i="13"/>
  <c r="CS50" i="13"/>
  <c r="CS16" i="13"/>
  <c r="BR16" i="13"/>
  <c r="CS33" i="13"/>
  <c r="CS43" i="13"/>
  <c r="CS29" i="13"/>
  <c r="BR29" i="13"/>
  <c r="CS34" i="13"/>
  <c r="CS26" i="13"/>
  <c r="BR26" i="13"/>
  <c r="CS20" i="13"/>
  <c r="BR20" i="13"/>
  <c r="CS10" i="13"/>
  <c r="BR10" i="13"/>
  <c r="CS51" i="13"/>
  <c r="CS28" i="13"/>
  <c r="BR28" i="13"/>
  <c r="CS46" i="13"/>
  <c r="CS31" i="13"/>
  <c r="BR31" i="13"/>
  <c r="CS27" i="13"/>
  <c r="BR27" i="13"/>
  <c r="CS23" i="13"/>
  <c r="BR23" i="13"/>
  <c r="CS17" i="13"/>
  <c r="BR17" i="13"/>
  <c r="CS40" i="13"/>
  <c r="CS30" i="13"/>
  <c r="BR30" i="13"/>
  <c r="CS52" i="13"/>
  <c r="CS53" i="13"/>
  <c r="CS11" i="13"/>
  <c r="BR11" i="13"/>
  <c r="CS15" i="13"/>
  <c r="BR15" i="13"/>
  <c r="CS39" i="13"/>
  <c r="CS21" i="13"/>
  <c r="BR21" i="13"/>
  <c r="CS22" i="13"/>
  <c r="BR22" i="13"/>
  <c r="CS12" i="13"/>
  <c r="BR12" i="13"/>
  <c r="BT45" i="13"/>
  <c r="BT25" i="13"/>
  <c r="CC9" i="5"/>
  <c r="CE28" i="5"/>
  <c r="CC35" i="5"/>
  <c r="CC42" i="5"/>
  <c r="CD25" i="5"/>
  <c r="CD33" i="5"/>
  <c r="CD42" i="5"/>
  <c r="CD9" i="5"/>
  <c r="CE33" i="5"/>
  <c r="CC18" i="5"/>
  <c r="CC25" i="5"/>
  <c r="CC28" i="5"/>
  <c r="CC36" i="5"/>
  <c r="CD35" i="5"/>
  <c r="CD36" i="5"/>
  <c r="CE44" i="5"/>
  <c r="CE35" i="5"/>
  <c r="CE9" i="5"/>
  <c r="CC33" i="5"/>
  <c r="CD18" i="5"/>
  <c r="CD28" i="5"/>
  <c r="CC44" i="5"/>
  <c r="CD44" i="5"/>
  <c r="CE18" i="5"/>
  <c r="CE25" i="5"/>
  <c r="CE42" i="5"/>
  <c r="CE36" i="5"/>
  <c r="CS45" i="13" l="1"/>
  <c r="BR45" i="13"/>
  <c r="CS25" i="13"/>
  <c r="BR25" i="13"/>
  <c r="BS53" i="13" s="1"/>
  <c r="CE8" i="5"/>
  <c r="CD8" i="5"/>
  <c r="CB8" i="5"/>
  <c r="CA8" i="5"/>
  <c r="BZ8" i="5"/>
  <c r="BY8" i="5"/>
  <c r="BX8" i="5"/>
  <c r="BW8" i="5"/>
  <c r="BV8" i="5"/>
  <c r="BU8" i="5"/>
  <c r="BT8" i="5"/>
  <c r="BS8" i="5"/>
  <c r="BR8" i="5"/>
  <c r="BQ8" i="5"/>
  <c r="CB7" i="5"/>
  <c r="CA7" i="5"/>
  <c r="BZ7" i="5"/>
  <c r="BY7" i="5"/>
  <c r="BX7" i="5"/>
  <c r="BW7" i="5"/>
  <c r="BV7" i="5"/>
  <c r="BU7" i="5"/>
  <c r="BT7" i="5"/>
  <c r="BS7" i="5"/>
  <c r="BR7" i="5"/>
  <c r="BQ7" i="5"/>
  <c r="E6" i="3"/>
  <c r="E7" i="3" s="1"/>
  <c r="AM13" i="16" s="1"/>
  <c r="BS52" i="13" l="1"/>
  <c r="BS50" i="13"/>
  <c r="BS48" i="13"/>
  <c r="BS46" i="13"/>
  <c r="BS49" i="13"/>
  <c r="BS51" i="13"/>
  <c r="BS47" i="13"/>
  <c r="BS45" i="13"/>
  <c r="BS27" i="13"/>
  <c r="BS41" i="13"/>
  <c r="BS12" i="13"/>
  <c r="BS31" i="13"/>
  <c r="BS24" i="13"/>
  <c r="BS38" i="13"/>
  <c r="BS11" i="13"/>
  <c r="BS18" i="13"/>
  <c r="BS39" i="13"/>
  <c r="BS23" i="13"/>
  <c r="BS15" i="13"/>
  <c r="BS9" i="13"/>
  <c r="BS29" i="13"/>
  <c r="BS32" i="13"/>
  <c r="BS17" i="13"/>
  <c r="BS22" i="13"/>
  <c r="BS26" i="13"/>
  <c r="BS13" i="13"/>
  <c r="BS20" i="13"/>
  <c r="BS42" i="13"/>
  <c r="BS21" i="13"/>
  <c r="CT20" i="13"/>
  <c r="BS16" i="13"/>
  <c r="BS14" i="13"/>
  <c r="BS10" i="13"/>
  <c r="BS37" i="13"/>
  <c r="BS34" i="13"/>
  <c r="BS19" i="13"/>
  <c r="BS33" i="13"/>
  <c r="BS43" i="13"/>
  <c r="BS30" i="13"/>
  <c r="BS36" i="13"/>
  <c r="BS35" i="13"/>
  <c r="BS25" i="13"/>
  <c r="BS44" i="13"/>
  <c r="BS40" i="13"/>
  <c r="CT39" i="13"/>
  <c r="BS28" i="13"/>
  <c r="CT31" i="13"/>
  <c r="CT45" i="13"/>
  <c r="CT30" i="13"/>
  <c r="CT42" i="13"/>
  <c r="CT15" i="13"/>
  <c r="CT24" i="13"/>
  <c r="CT47" i="13"/>
  <c r="CT52" i="13"/>
  <c r="CT35" i="13"/>
  <c r="CT26" i="13"/>
  <c r="CT53" i="13"/>
  <c r="CT19" i="13"/>
  <c r="CT27" i="13"/>
  <c r="CT23" i="13"/>
  <c r="CT40" i="13"/>
  <c r="CT41" i="13"/>
  <c r="CT18" i="13"/>
  <c r="CT28" i="13"/>
  <c r="CT48" i="13"/>
  <c r="CT10" i="13"/>
  <c r="CT17" i="13"/>
  <c r="CT25" i="13"/>
  <c r="CT32" i="13"/>
  <c r="CT34" i="13"/>
  <c r="CT14" i="13"/>
  <c r="CT44" i="13"/>
  <c r="CT46" i="13"/>
  <c r="CT49" i="13"/>
  <c r="CT21" i="13"/>
  <c r="CT11" i="13"/>
  <c r="CT33" i="13"/>
  <c r="CT50" i="13"/>
  <c r="CT36" i="13"/>
  <c r="CT38" i="13"/>
  <c r="CT43" i="13"/>
  <c r="CT12" i="13"/>
  <c r="CT9" i="13"/>
  <c r="CT13" i="13"/>
  <c r="CT16" i="13"/>
  <c r="CT37" i="13"/>
  <c r="CT51" i="13"/>
  <c r="CT22" i="13"/>
  <c r="CT29" i="13"/>
  <c r="A6" i="16"/>
  <c r="AM8" i="5"/>
  <c r="AL8" i="5"/>
  <c r="AK8" i="5"/>
  <c r="AJ8" i="5"/>
  <c r="M8" i="5"/>
  <c r="X8" i="5"/>
  <c r="W8" i="5"/>
  <c r="V8" i="5"/>
  <c r="U8" i="5"/>
  <c r="T8" i="5"/>
  <c r="S8" i="5"/>
  <c r="R8" i="5"/>
  <c r="Q8" i="5"/>
  <c r="P8" i="5"/>
  <c r="O8" i="5"/>
  <c r="N8" i="5"/>
  <c r="AM7" i="5"/>
  <c r="AL7" i="5"/>
  <c r="AK7" i="5"/>
  <c r="AJ7" i="5"/>
  <c r="X7" i="5"/>
  <c r="W7" i="5"/>
  <c r="V7" i="5"/>
  <c r="U7" i="5"/>
  <c r="T7" i="5"/>
  <c r="S7" i="5"/>
  <c r="R7" i="5"/>
  <c r="Q7" i="5"/>
  <c r="P7" i="5"/>
  <c r="O7" i="5"/>
  <c r="N7" i="5"/>
  <c r="M7" i="5"/>
  <c r="P53" i="3"/>
  <c r="O53" i="3"/>
  <c r="O55" i="3" s="1"/>
  <c r="P54" i="3" l="1"/>
  <c r="O56" i="3"/>
  <c r="P56" i="3"/>
  <c r="P57" i="3" s="1"/>
  <c r="O54" i="3"/>
  <c r="P55" i="3"/>
  <c r="X6" i="3"/>
  <c r="W6" i="3"/>
  <c r="V6" i="3"/>
  <c r="V7" i="3" s="1"/>
  <c r="U6" i="3"/>
  <c r="U7" i="3" s="1"/>
  <c r="T6" i="3"/>
  <c r="P6" i="3"/>
  <c r="P7" i="3" s="1"/>
  <c r="AM24" i="16" s="1"/>
  <c r="O6" i="3"/>
  <c r="O7" i="3" s="1"/>
  <c r="AM23" i="16" s="1"/>
  <c r="N6" i="3"/>
  <c r="N7" i="3" s="1"/>
  <c r="AM22" i="16" s="1"/>
  <c r="M6" i="3"/>
  <c r="M7" i="3" s="1"/>
  <c r="AM21" i="16" s="1"/>
  <c r="L6" i="3"/>
  <c r="L7" i="3" s="1"/>
  <c r="AM20" i="16" s="1"/>
  <c r="K6" i="3"/>
  <c r="K7" i="3" s="1"/>
  <c r="AM19" i="16" s="1"/>
  <c r="J6" i="3"/>
  <c r="J7" i="3" s="1"/>
  <c r="AM18" i="16" s="1"/>
  <c r="I6" i="3"/>
  <c r="I7" i="3" s="1"/>
  <c r="AM17" i="16" s="1"/>
  <c r="H6" i="3"/>
  <c r="H7" i="3" s="1"/>
  <c r="AM16" i="16" s="1"/>
  <c r="G6" i="3"/>
  <c r="G7" i="3" s="1"/>
  <c r="AM15" i="16" s="1"/>
  <c r="F6" i="3"/>
  <c r="F7" i="3" s="1"/>
  <c r="AM14" i="16" s="1"/>
  <c r="N53" i="3"/>
  <c r="N56" i="3" s="1"/>
  <c r="W7" i="3" l="1"/>
  <c r="X7" i="3"/>
  <c r="T7" i="3"/>
  <c r="O57" i="3"/>
  <c r="N54" i="3"/>
  <c r="N57" i="3"/>
  <c r="N55" i="3"/>
  <c r="AM31" i="16" l="1"/>
  <c r="AJ45" i="3"/>
  <c r="AJ46" i="3"/>
  <c r="X53" i="3"/>
  <c r="W53" i="3"/>
  <c r="AJ49" i="3"/>
  <c r="AJ50" i="3"/>
  <c r="AJ52" i="3"/>
  <c r="AJ47" i="3"/>
  <c r="AJ48" i="3"/>
  <c r="AJ51" i="3"/>
  <c r="W54" i="3" l="1"/>
  <c r="W56" i="3"/>
  <c r="W57" i="3" s="1"/>
  <c r="W55" i="3"/>
  <c r="X55" i="3"/>
  <c r="X54" i="3"/>
  <c r="X56" i="3"/>
  <c r="X57" i="3" s="1"/>
  <c r="BM43" i="11"/>
  <c r="BF43" i="11"/>
  <c r="AY43" i="11"/>
  <c r="AY44" i="11"/>
  <c r="BF44" i="11"/>
  <c r="AR44" i="11"/>
  <c r="BM44" i="11"/>
  <c r="B11" i="8"/>
  <c r="A2" i="8" s="1"/>
  <c r="AL53" i="3" l="1"/>
  <c r="AL56" i="3" s="1"/>
  <c r="AL57" i="3" s="1"/>
  <c r="AN53" i="3"/>
  <c r="AN56" i="3" s="1"/>
  <c r="AN57" i="3" s="1"/>
  <c r="AM53" i="3"/>
  <c r="AM55" i="3" s="1"/>
  <c r="AP53" i="3"/>
  <c r="AO53" i="3"/>
  <c r="AF43" i="11"/>
  <c r="AF44" i="11"/>
  <c r="AL55" i="3" l="1"/>
  <c r="AL54" i="3"/>
  <c r="AN55" i="3"/>
  <c r="AN54" i="3"/>
  <c r="AM56" i="3"/>
  <c r="AM57" i="3" s="1"/>
  <c r="AM54" i="3"/>
  <c r="AO54" i="3"/>
  <c r="AO55" i="3"/>
  <c r="AO56" i="3"/>
  <c r="AO57" i="3" s="1"/>
  <c r="AP54" i="3"/>
  <c r="AP55" i="3"/>
  <c r="AP56" i="3"/>
  <c r="AP57" i="3" s="1"/>
  <c r="C55" i="8" l="1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A2" i="7" s="1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AA20" i="2"/>
  <c r="AB20" i="2"/>
  <c r="AC20" i="2"/>
  <c r="AD20" i="2"/>
  <c r="AE20" i="2"/>
  <c r="AF20" i="2"/>
  <c r="AA21" i="2"/>
  <c r="AB21" i="2"/>
  <c r="AC21" i="2"/>
  <c r="AD21" i="2"/>
  <c r="AE21" i="2"/>
  <c r="AF21" i="2"/>
  <c r="AA22" i="2"/>
  <c r="AB22" i="2"/>
  <c r="AC22" i="2"/>
  <c r="AD22" i="2"/>
  <c r="AE22" i="2"/>
  <c r="AF22" i="2"/>
  <c r="AA23" i="2"/>
  <c r="AB23" i="2"/>
  <c r="AC23" i="2"/>
  <c r="AD23" i="2"/>
  <c r="AE23" i="2"/>
  <c r="AF23" i="2"/>
  <c r="AA24" i="2"/>
  <c r="AB24" i="2"/>
  <c r="AC24" i="2"/>
  <c r="AD24" i="2"/>
  <c r="AE24" i="2"/>
  <c r="AF24" i="2"/>
  <c r="AA25" i="2"/>
  <c r="AB25" i="2"/>
  <c r="AC25" i="2"/>
  <c r="AD25" i="2"/>
  <c r="AE25" i="2"/>
  <c r="AF25" i="2"/>
  <c r="AA26" i="2"/>
  <c r="AB26" i="2"/>
  <c r="AC26" i="2"/>
  <c r="AD26" i="2"/>
  <c r="AE26" i="2"/>
  <c r="AF26" i="2"/>
  <c r="AA27" i="2"/>
  <c r="AB27" i="2"/>
  <c r="AC27" i="2"/>
  <c r="AD27" i="2"/>
  <c r="AE27" i="2"/>
  <c r="AF27" i="2"/>
  <c r="AA28" i="2"/>
  <c r="AB28" i="2"/>
  <c r="AC28" i="2"/>
  <c r="AD28" i="2"/>
  <c r="AE28" i="2"/>
  <c r="AF28" i="2"/>
  <c r="AA29" i="2"/>
  <c r="AB29" i="2"/>
  <c r="AC29" i="2"/>
  <c r="AD29" i="2"/>
  <c r="AE29" i="2"/>
  <c r="AF29" i="2"/>
  <c r="AA30" i="2"/>
  <c r="AB30" i="2"/>
  <c r="AC30" i="2"/>
  <c r="AD30" i="2"/>
  <c r="AE30" i="2"/>
  <c r="AF30" i="2"/>
  <c r="AA31" i="2"/>
  <c r="AB31" i="2"/>
  <c r="AC31" i="2"/>
  <c r="AD31" i="2"/>
  <c r="AE31" i="2"/>
  <c r="AF31" i="2"/>
  <c r="AA32" i="2"/>
  <c r="AB32" i="2"/>
  <c r="AC32" i="2"/>
  <c r="AD32" i="2"/>
  <c r="AE32" i="2"/>
  <c r="AF32" i="2"/>
  <c r="AA33" i="2"/>
  <c r="AB33" i="2"/>
  <c r="AC33" i="2"/>
  <c r="AD33" i="2"/>
  <c r="AE33" i="2"/>
  <c r="AF33" i="2"/>
  <c r="AA34" i="2"/>
  <c r="AB34" i="2"/>
  <c r="AC34" i="2"/>
  <c r="AD34" i="2"/>
  <c r="AE34" i="2"/>
  <c r="AF34" i="2"/>
  <c r="AA35" i="2"/>
  <c r="AB35" i="2"/>
  <c r="AC35" i="2"/>
  <c r="AD35" i="2"/>
  <c r="AE35" i="2"/>
  <c r="AF35" i="2"/>
  <c r="AA36" i="2"/>
  <c r="AB36" i="2"/>
  <c r="AC36" i="2"/>
  <c r="AD36" i="2"/>
  <c r="AE36" i="2"/>
  <c r="AF36" i="2"/>
  <c r="AA37" i="2"/>
  <c r="AB37" i="2"/>
  <c r="AC37" i="2"/>
  <c r="AD37" i="2"/>
  <c r="AE37" i="2"/>
  <c r="AF37" i="2"/>
  <c r="AA38" i="2"/>
  <c r="AB38" i="2"/>
  <c r="AC38" i="2"/>
  <c r="AD38" i="2"/>
  <c r="AE38" i="2"/>
  <c r="AF38" i="2"/>
  <c r="AA39" i="2"/>
  <c r="AB39" i="2"/>
  <c r="AC39" i="2"/>
  <c r="AD39" i="2"/>
  <c r="AE39" i="2"/>
  <c r="AF39" i="2"/>
  <c r="AA40" i="2"/>
  <c r="AB40" i="2"/>
  <c r="AC40" i="2"/>
  <c r="AD40" i="2"/>
  <c r="AE40" i="2"/>
  <c r="AF40" i="2"/>
  <c r="AA41" i="2"/>
  <c r="AB41" i="2"/>
  <c r="AC41" i="2"/>
  <c r="AD41" i="2"/>
  <c r="AE41" i="2"/>
  <c r="AF41" i="2"/>
  <c r="AA42" i="2"/>
  <c r="AB42" i="2"/>
  <c r="AC42" i="2"/>
  <c r="AD42" i="2"/>
  <c r="AE42" i="2"/>
  <c r="AF42" i="2"/>
  <c r="AA43" i="2"/>
  <c r="AB43" i="2"/>
  <c r="AC43" i="2"/>
  <c r="AD43" i="2"/>
  <c r="AE43" i="2"/>
  <c r="AF43" i="2"/>
  <c r="AA44" i="2"/>
  <c r="AB44" i="2"/>
  <c r="AC44" i="2"/>
  <c r="AD44" i="2"/>
  <c r="AE44" i="2"/>
  <c r="AF44" i="2"/>
  <c r="AA45" i="2"/>
  <c r="AB45" i="2"/>
  <c r="AC45" i="2"/>
  <c r="AD45" i="2"/>
  <c r="AE45" i="2"/>
  <c r="AF45" i="2"/>
  <c r="AA46" i="2"/>
  <c r="AB46" i="2"/>
  <c r="AC46" i="2"/>
  <c r="AD46" i="2"/>
  <c r="AE46" i="2"/>
  <c r="AF46" i="2"/>
  <c r="AA47" i="2"/>
  <c r="AB47" i="2"/>
  <c r="AC47" i="2"/>
  <c r="AD47" i="2"/>
  <c r="AE47" i="2"/>
  <c r="AF47" i="2"/>
  <c r="AA48" i="2"/>
  <c r="AB48" i="2"/>
  <c r="AC48" i="2"/>
  <c r="AD48" i="2"/>
  <c r="AE48" i="2"/>
  <c r="AF48" i="2"/>
  <c r="AA49" i="2"/>
  <c r="AB49" i="2"/>
  <c r="AC49" i="2"/>
  <c r="AD49" i="2"/>
  <c r="AE49" i="2"/>
  <c r="AF49" i="2"/>
  <c r="AA50" i="2"/>
  <c r="AB50" i="2"/>
  <c r="AC50" i="2"/>
  <c r="AD50" i="2"/>
  <c r="AE50" i="2"/>
  <c r="AF50" i="2"/>
  <c r="AA51" i="2"/>
  <c r="AB51" i="2"/>
  <c r="AC51" i="2"/>
  <c r="AD51" i="2"/>
  <c r="AE51" i="2"/>
  <c r="AF51" i="2"/>
  <c r="AA52" i="2"/>
  <c r="AB52" i="2"/>
  <c r="AC52" i="2"/>
  <c r="AD52" i="2"/>
  <c r="AE52" i="2"/>
  <c r="AF52" i="2"/>
  <c r="AA53" i="2"/>
  <c r="AB53" i="2"/>
  <c r="AC53" i="2"/>
  <c r="AD53" i="2"/>
  <c r="AE53" i="2"/>
  <c r="AF53" i="2"/>
  <c r="AA54" i="2"/>
  <c r="AB54" i="2"/>
  <c r="AC54" i="2"/>
  <c r="AD54" i="2"/>
  <c r="AE54" i="2"/>
  <c r="AF54" i="2"/>
  <c r="AA55" i="2"/>
  <c r="AB55" i="2"/>
  <c r="AC55" i="2"/>
  <c r="AD55" i="2"/>
  <c r="AE55" i="2"/>
  <c r="AC56" i="2" l="1"/>
  <c r="AE56" i="2"/>
  <c r="AE58" i="2"/>
  <c r="AC59" i="2"/>
  <c r="AC58" i="2"/>
  <c r="AC57" i="2"/>
  <c r="AE57" i="2"/>
  <c r="AE59" i="2"/>
  <c r="AF56" i="2" l="1"/>
  <c r="AE60" i="2"/>
  <c r="AF58" i="2"/>
  <c r="AF57" i="2"/>
  <c r="AC60" i="2"/>
  <c r="AF59" i="2"/>
  <c r="G10" i="6"/>
  <c r="F10" i="6"/>
  <c r="E10" i="6"/>
  <c r="D10" i="6"/>
  <c r="F53" i="3"/>
  <c r="V53" i="3"/>
  <c r="U53" i="3"/>
  <c r="T53" i="3"/>
  <c r="M53" i="3"/>
  <c r="L53" i="3"/>
  <c r="K53" i="3"/>
  <c r="J53" i="3"/>
  <c r="I53" i="3"/>
  <c r="H53" i="3"/>
  <c r="G53" i="3"/>
  <c r="E53" i="3"/>
  <c r="E56" i="3" s="1"/>
  <c r="AF60" i="2" l="1"/>
  <c r="E55" i="3"/>
  <c r="E57" i="3"/>
  <c r="E54" i="3"/>
  <c r="AG53" i="3"/>
  <c r="G54" i="3"/>
  <c r="I54" i="3"/>
  <c r="K54" i="3"/>
  <c r="M54" i="3"/>
  <c r="T54" i="3"/>
  <c r="V54" i="3"/>
  <c r="G55" i="3"/>
  <c r="I55" i="3"/>
  <c r="K55" i="3"/>
  <c r="M55" i="3"/>
  <c r="T55" i="3"/>
  <c r="V55" i="3"/>
  <c r="G56" i="3"/>
  <c r="G57" i="3" s="1"/>
  <c r="I56" i="3"/>
  <c r="I57" i="3" s="1"/>
  <c r="K56" i="3"/>
  <c r="K57" i="3" s="1"/>
  <c r="M56" i="3"/>
  <c r="M57" i="3" s="1"/>
  <c r="T56" i="3"/>
  <c r="T57" i="3" s="1"/>
  <c r="V56" i="3"/>
  <c r="V57" i="3" s="1"/>
  <c r="F54" i="3"/>
  <c r="H54" i="3"/>
  <c r="J54" i="3"/>
  <c r="L54" i="3"/>
  <c r="U54" i="3"/>
  <c r="F55" i="3"/>
  <c r="H55" i="3"/>
  <c r="J55" i="3"/>
  <c r="L55" i="3"/>
  <c r="U55" i="3"/>
  <c r="F56" i="3"/>
  <c r="F57" i="3" s="1"/>
  <c r="H56" i="3"/>
  <c r="H57" i="3" s="1"/>
  <c r="J56" i="3"/>
  <c r="J57" i="3" s="1"/>
  <c r="L56" i="3"/>
  <c r="L57" i="3" s="1"/>
  <c r="U56" i="3"/>
  <c r="U57" i="3" s="1"/>
  <c r="AX53" i="5" l="1"/>
  <c r="AX51" i="5"/>
  <c r="AX50" i="5"/>
  <c r="AX49" i="5"/>
  <c r="AX48" i="5"/>
  <c r="AG55" i="3"/>
  <c r="AG56" i="3"/>
  <c r="AG57" i="3" s="1"/>
  <c r="AG54" i="3"/>
  <c r="CD40" i="5" l="1"/>
  <c r="CG40" i="5"/>
  <c r="CC40" i="5"/>
  <c r="CE40" i="5"/>
  <c r="CF40" i="5"/>
  <c r="AX52" i="5"/>
  <c r="AX47" i="5"/>
  <c r="CH40" i="5" l="1"/>
  <c r="AW40" i="5" s="1"/>
  <c r="EB37" i="18" l="1"/>
  <c r="AT31" i="16"/>
  <c r="CF35" i="5" l="1"/>
  <c r="CF33" i="5"/>
  <c r="CF25" i="5"/>
  <c r="CG35" i="5"/>
  <c r="CG33" i="5"/>
  <c r="CG28" i="5"/>
  <c r="CF28" i="5"/>
  <c r="CG44" i="5"/>
  <c r="CF44" i="5"/>
  <c r="CF18" i="5"/>
  <c r="CG18" i="5"/>
  <c r="CG25" i="5"/>
  <c r="CF42" i="5"/>
  <c r="CG42" i="5"/>
  <c r="CG36" i="5"/>
  <c r="CF36" i="5"/>
  <c r="CG9" i="5"/>
  <c r="CH9" i="5" s="1"/>
  <c r="CD51" i="5"/>
  <c r="CF41" i="5"/>
  <c r="CE21" i="5"/>
  <c r="CG12" i="5"/>
  <c r="CG10" i="5"/>
  <c r="CE46" i="5"/>
  <c r="CG11" i="5"/>
  <c r="CF15" i="5"/>
  <c r="CG41" i="5"/>
  <c r="CE51" i="5"/>
  <c r="CG52" i="5"/>
  <c r="CF23" i="5"/>
  <c r="CF37" i="5"/>
  <c r="CG37" i="5"/>
  <c r="CD17" i="5"/>
  <c r="CD34" i="5"/>
  <c r="CG34" i="5"/>
  <c r="CG48" i="5"/>
  <c r="CD23" i="5"/>
  <c r="CD14" i="5"/>
  <c r="CE49" i="5"/>
  <c r="CF14" i="5"/>
  <c r="CE32" i="5"/>
  <c r="CF32" i="5"/>
  <c r="CE29" i="5"/>
  <c r="CG51" i="5"/>
  <c r="CD53" i="5"/>
  <c r="CD46" i="5"/>
  <c r="CG32" i="5"/>
  <c r="CF34" i="5"/>
  <c r="CE24" i="5"/>
  <c r="CG21" i="5"/>
  <c r="CD27" i="5"/>
  <c r="CG47" i="5"/>
  <c r="CE45" i="5"/>
  <c r="CD50" i="5"/>
  <c r="CD48" i="5"/>
  <c r="CE48" i="5"/>
  <c r="CG39" i="5"/>
  <c r="CF29" i="5"/>
  <c r="CG26" i="5"/>
  <c r="CD32" i="5"/>
  <c r="CC32" i="5"/>
  <c r="CD37" i="5"/>
  <c r="CE14" i="5"/>
  <c r="CG19" i="5"/>
  <c r="CG31" i="5"/>
  <c r="CE31" i="5"/>
  <c r="CD21" i="5"/>
  <c r="CG27" i="5"/>
  <c r="CF17" i="5"/>
  <c r="CD30" i="5"/>
  <c r="CD31" i="5"/>
  <c r="CD41" i="5"/>
  <c r="CD19" i="5"/>
  <c r="CG49" i="5"/>
  <c r="CF46" i="5"/>
  <c r="CD52" i="5"/>
  <c r="CF53" i="5"/>
  <c r="CG46" i="5"/>
  <c r="CE52" i="5"/>
  <c r="CF47" i="5"/>
  <c r="CF48" i="5"/>
  <c r="CC48" i="5"/>
  <c r="CD47" i="5"/>
  <c r="CE23" i="5"/>
  <c r="CE12" i="5"/>
  <c r="CF13" i="5"/>
  <c r="CD15" i="5"/>
  <c r="CD38" i="5"/>
  <c r="CE20" i="5"/>
  <c r="CE27" i="5"/>
  <c r="CE19" i="5"/>
  <c r="CF26" i="5"/>
  <c r="CD26" i="5"/>
  <c r="CE30" i="5"/>
  <c r="CE10" i="5"/>
  <c r="CD29" i="5"/>
  <c r="CF38" i="5"/>
  <c r="CE13" i="5"/>
  <c r="CG20" i="5"/>
  <c r="CG29" i="5"/>
  <c r="CC29" i="5"/>
  <c r="CE17" i="5"/>
  <c r="CG24" i="5"/>
  <c r="CE11" i="5"/>
  <c r="CE43" i="5"/>
  <c r="CG22" i="5"/>
  <c r="CG17" i="5"/>
  <c r="CC17" i="5"/>
  <c r="CG15" i="5"/>
  <c r="CD24" i="5"/>
  <c r="CD22" i="5"/>
  <c r="CE50" i="5"/>
  <c r="CD45" i="5"/>
  <c r="CE47" i="5"/>
  <c r="CC47" i="5"/>
  <c r="CF51" i="5"/>
  <c r="CC51" i="5"/>
  <c r="CF22" i="5"/>
  <c r="CG38" i="5"/>
  <c r="CE37" i="5"/>
  <c r="CC37" i="5"/>
  <c r="CE41" i="5"/>
  <c r="CC41" i="5"/>
  <c r="CG13" i="5"/>
  <c r="CG43" i="5"/>
  <c r="CG23" i="5"/>
  <c r="CC23" i="5"/>
  <c r="CF31" i="5"/>
  <c r="CC31" i="5"/>
  <c r="CG16" i="5"/>
  <c r="CF21" i="5"/>
  <c r="CC21" i="5"/>
  <c r="CC46" i="5"/>
  <c r="CD49" i="5"/>
  <c r="CE53" i="5"/>
  <c r="CF52" i="5"/>
  <c r="CC52" i="5"/>
  <c r="CF50" i="5"/>
  <c r="CG53" i="5"/>
  <c r="CC53" i="5"/>
  <c r="CF49" i="5"/>
  <c r="CC49" i="5"/>
  <c r="CF45" i="5"/>
  <c r="CG50" i="5"/>
  <c r="CC50" i="5"/>
  <c r="CG45" i="5"/>
  <c r="CC45" i="5"/>
  <c r="CF24" i="5"/>
  <c r="CC24" i="5"/>
  <c r="CD20" i="5"/>
  <c r="CF39" i="5"/>
  <c r="CF43" i="5"/>
  <c r="CD12" i="5"/>
  <c r="CC12" i="5"/>
  <c r="CE22" i="5"/>
  <c r="CC22" i="5"/>
  <c r="CE26" i="5"/>
  <c r="CC26" i="5"/>
  <c r="CG14" i="5"/>
  <c r="CC14" i="5"/>
  <c r="CE39" i="5"/>
  <c r="CF19" i="5"/>
  <c r="CC19" i="5"/>
  <c r="CE15" i="5"/>
  <c r="CC15" i="5"/>
  <c r="CF27" i="5"/>
  <c r="CC27" i="5"/>
  <c r="CD39" i="5"/>
  <c r="CC39" i="5"/>
  <c r="CF20" i="5"/>
  <c r="CC20" i="5"/>
  <c r="CF11" i="5"/>
  <c r="CF16" i="5"/>
  <c r="CE34" i="5"/>
  <c r="CC34" i="5"/>
  <c r="CD13" i="5"/>
  <c r="CC13" i="5"/>
  <c r="CD10" i="5"/>
  <c r="CC10" i="5"/>
  <c r="CE16" i="5"/>
  <c r="CD11" i="5"/>
  <c r="CC11" i="5"/>
  <c r="CD43" i="5"/>
  <c r="CC43" i="5"/>
  <c r="CE38" i="5"/>
  <c r="CC38" i="5"/>
  <c r="CG30" i="5"/>
  <c r="CF30" i="5"/>
  <c r="CC30" i="5"/>
  <c r="CD16" i="5"/>
  <c r="CC16" i="5"/>
  <c r="CH46" i="5" l="1"/>
  <c r="AW46" i="5" s="1"/>
  <c r="EB43" i="18" s="1"/>
  <c r="CH45" i="5"/>
  <c r="AW45" i="5" s="1"/>
  <c r="CH25" i="5"/>
  <c r="AW25" i="5" s="1"/>
  <c r="CH44" i="5"/>
  <c r="AW44" i="5" s="1"/>
  <c r="CH18" i="5"/>
  <c r="AW18" i="5" s="1"/>
  <c r="CH36" i="5"/>
  <c r="AW36" i="5" s="1"/>
  <c r="CH33" i="5"/>
  <c r="AW33" i="5" s="1"/>
  <c r="AW9" i="5"/>
  <c r="CH42" i="5"/>
  <c r="CH35" i="5"/>
  <c r="CH28" i="5"/>
  <c r="CH38" i="5"/>
  <c r="AW38" i="5" s="1"/>
  <c r="EB35" i="18" s="1"/>
  <c r="CH26" i="5"/>
  <c r="AW26" i="5" s="1"/>
  <c r="EB23" i="18" s="1"/>
  <c r="CH43" i="5"/>
  <c r="AW43" i="5" s="1"/>
  <c r="EB40" i="18" s="1"/>
  <c r="CH14" i="5"/>
  <c r="AW14" i="5" s="1"/>
  <c r="CH21" i="5"/>
  <c r="AW21" i="5" s="1"/>
  <c r="EB18" i="18" s="1"/>
  <c r="CH12" i="5"/>
  <c r="AW12" i="5" s="1"/>
  <c r="EB9" i="18" s="1"/>
  <c r="CH11" i="5"/>
  <c r="AW11" i="5" s="1"/>
  <c r="EB8" i="18" s="1"/>
  <c r="CH30" i="5"/>
  <c r="AW30" i="5" s="1"/>
  <c r="CH13" i="5"/>
  <c r="AW13" i="5" s="1"/>
  <c r="CH39" i="5"/>
  <c r="AW39" i="5" s="1"/>
  <c r="CH15" i="5"/>
  <c r="AW15" i="5" s="1"/>
  <c r="EB12" i="18" s="1"/>
  <c r="CH24" i="5"/>
  <c r="AW24" i="5" s="1"/>
  <c r="CH31" i="5"/>
  <c r="AW31" i="5" s="1"/>
  <c r="CH37" i="5"/>
  <c r="AW37" i="5" s="1"/>
  <c r="CH29" i="5"/>
  <c r="AW29" i="5" s="1"/>
  <c r="EB26" i="18" s="1"/>
  <c r="CH32" i="5"/>
  <c r="AW32" i="5" s="1"/>
  <c r="EB29" i="18" s="1"/>
  <c r="CH17" i="5"/>
  <c r="AW17" i="5" s="1"/>
  <c r="EB14" i="18" s="1"/>
  <c r="CH22" i="5"/>
  <c r="AW22" i="5" s="1"/>
  <c r="EB19" i="18" s="1"/>
  <c r="CH16" i="5"/>
  <c r="AW16" i="5" s="1"/>
  <c r="EB13" i="18" s="1"/>
  <c r="CH10" i="5"/>
  <c r="AW10" i="5" s="1"/>
  <c r="CH34" i="5"/>
  <c r="AW34" i="5" s="1"/>
  <c r="CH20" i="5"/>
  <c r="AW20" i="5" s="1"/>
  <c r="EB17" i="18" s="1"/>
  <c r="CH27" i="5"/>
  <c r="AW27" i="5" s="1"/>
  <c r="EB24" i="18" s="1"/>
  <c r="CH19" i="5"/>
  <c r="AW19" i="5" s="1"/>
  <c r="EB16" i="18" s="1"/>
  <c r="CH23" i="5"/>
  <c r="AW23" i="5" s="1"/>
  <c r="CH41" i="5"/>
  <c r="AW41" i="5" s="1"/>
  <c r="CI9" i="5" l="1"/>
  <c r="EB42" i="18"/>
  <c r="CI18" i="5"/>
  <c r="EB15" i="18"/>
  <c r="AW35" i="5"/>
  <c r="CI35" i="5"/>
  <c r="AW42" i="5"/>
  <c r="CI42" i="5"/>
  <c r="CI33" i="5"/>
  <c r="EB30" i="18"/>
  <c r="CI25" i="5"/>
  <c r="EB41" i="18"/>
  <c r="EB22" i="18"/>
  <c r="CI36" i="5"/>
  <c r="AW28" i="5"/>
  <c r="CI28" i="5"/>
  <c r="EB33" i="18"/>
  <c r="CI44" i="5"/>
  <c r="EB6" i="18"/>
  <c r="CI40" i="5"/>
  <c r="EB38" i="18"/>
  <c r="EB20" i="18"/>
  <c r="EB31" i="18"/>
  <c r="EB7" i="18"/>
  <c r="EB21" i="18"/>
  <c r="EB27" i="18"/>
  <c r="EB11" i="18"/>
  <c r="EB34" i="18"/>
  <c r="EB36" i="18"/>
  <c r="EB28" i="18"/>
  <c r="EB10" i="18"/>
  <c r="CI11" i="5"/>
  <c r="CI30" i="5"/>
  <c r="CI39" i="5"/>
  <c r="CI32" i="5"/>
  <c r="CI46" i="5"/>
  <c r="CI48" i="5"/>
  <c r="CI43" i="5"/>
  <c r="CI23" i="5"/>
  <c r="CI17" i="5"/>
  <c r="CI20" i="5"/>
  <c r="CI38" i="5"/>
  <c r="CI26" i="5"/>
  <c r="CI50" i="5"/>
  <c r="CI53" i="5"/>
  <c r="CI47" i="5"/>
  <c r="CI29" i="5"/>
  <c r="CI24" i="5"/>
  <c r="CI27" i="5"/>
  <c r="CI52" i="5"/>
  <c r="CI31" i="5"/>
  <c r="CI22" i="5"/>
  <c r="CI13" i="5"/>
  <c r="CI41" i="5"/>
  <c r="CI34" i="5"/>
  <c r="CI19" i="5"/>
  <c r="CI14" i="5"/>
  <c r="CI10" i="5"/>
  <c r="CI15" i="5"/>
  <c r="CI21" i="5"/>
  <c r="CI51" i="5"/>
  <c r="CI37" i="5"/>
  <c r="CI16" i="5"/>
  <c r="CI45" i="5"/>
  <c r="CI49" i="5"/>
  <c r="CI12" i="5"/>
  <c r="AX46" i="5" l="1"/>
  <c r="AU69" i="16"/>
  <c r="AV69" i="16" s="1"/>
  <c r="AW69" i="16" s="1"/>
  <c r="AX69" i="16" s="1"/>
  <c r="AY69" i="16" s="1"/>
  <c r="AZ69" i="16" s="1"/>
  <c r="AX13" i="5"/>
  <c r="AX10" i="5"/>
  <c r="AX12" i="5"/>
  <c r="AX23" i="5"/>
  <c r="AX31" i="5"/>
  <c r="AX27" i="5"/>
  <c r="AX17" i="5"/>
  <c r="AX20" i="5"/>
  <c r="AX30" i="5"/>
  <c r="AX16" i="5"/>
  <c r="AX39" i="5"/>
  <c r="AX41" i="5"/>
  <c r="AX15" i="5"/>
  <c r="AX21" i="5"/>
  <c r="AX19" i="5"/>
  <c r="AX38" i="5"/>
  <c r="AX11" i="5"/>
  <c r="AX14" i="5"/>
  <c r="AX34" i="5"/>
  <c r="AX45" i="5"/>
  <c r="AX29" i="5"/>
  <c r="AX43" i="5"/>
  <c r="AX26" i="5"/>
  <c r="AX22" i="5"/>
  <c r="AX24" i="5"/>
  <c r="AX37" i="5"/>
  <c r="AX32" i="5"/>
  <c r="AX9" i="5"/>
  <c r="AX40" i="5"/>
  <c r="AX33" i="5"/>
  <c r="AX36" i="5"/>
  <c r="EB39" i="18"/>
  <c r="AX42" i="5"/>
  <c r="EB25" i="18"/>
  <c r="AX28" i="5"/>
  <c r="EB32" i="18"/>
  <c r="DA77" i="16" s="1"/>
  <c r="AX35" i="5"/>
  <c r="AX25" i="5"/>
  <c r="AX18" i="5"/>
  <c r="AX44" i="5"/>
  <c r="AF77" i="16" l="1"/>
  <c r="EC43" i="18"/>
  <c r="EC6" i="18"/>
  <c r="EC42" i="18"/>
  <c r="EC16" i="18"/>
  <c r="EC38" i="18"/>
  <c r="EC15" i="18"/>
  <c r="EC19" i="18"/>
  <c r="EC40" i="18"/>
  <c r="EC24" i="18"/>
  <c r="EC18" i="18"/>
  <c r="EC13" i="18"/>
  <c r="EC17" i="18"/>
  <c r="EC9" i="18"/>
  <c r="EC29" i="18"/>
  <c r="EC20" i="18"/>
  <c r="EC7" i="18"/>
  <c r="EC11" i="18"/>
  <c r="EC27" i="18"/>
  <c r="EC35" i="18"/>
  <c r="EC21" i="18"/>
  <c r="EC34" i="18"/>
  <c r="EC36" i="18"/>
  <c r="EC14" i="18"/>
  <c r="EC28" i="18"/>
  <c r="EC8" i="18"/>
  <c r="EC12" i="18"/>
  <c r="EC31" i="18"/>
  <c r="EC26" i="18"/>
  <c r="EC23" i="18"/>
  <c r="EC33" i="18"/>
  <c r="EC10" i="18"/>
  <c r="EC22" i="18"/>
  <c r="EC30" i="18"/>
  <c r="EC39" i="18"/>
  <c r="EC37" i="18"/>
  <c r="EC32" i="18"/>
  <c r="EC25" i="18"/>
  <c r="EC41" i="18"/>
  <c r="DA78" i="16" l="1"/>
  <c r="AU70" i="16"/>
  <c r="AV70" i="16" s="1"/>
  <c r="AW70" i="16" s="1"/>
  <c r="AX70" i="16" s="1"/>
  <c r="AY70" i="16" s="1"/>
  <c r="AZ70" i="16" s="1"/>
  <c r="AU63" i="16"/>
  <c r="AV63" i="16" s="1"/>
  <c r="AW63" i="16" s="1"/>
  <c r="AX63" i="16" s="1"/>
  <c r="AY63" i="16" s="1"/>
  <c r="AZ63" i="16" s="1"/>
  <c r="AU61" i="16"/>
  <c r="AV61" i="16" s="1"/>
  <c r="AW61" i="16" s="1"/>
  <c r="AX61" i="16" s="1"/>
  <c r="AY61" i="16" s="1"/>
  <c r="AZ61" i="16" s="1"/>
  <c r="AU64" i="16"/>
  <c r="AV64" i="16" s="1"/>
  <c r="AW64" i="16" s="1"/>
  <c r="AX64" i="16" s="1"/>
  <c r="AY64" i="16" s="1"/>
  <c r="AZ64" i="16" s="1"/>
  <c r="AU62" i="16"/>
  <c r="AV62" i="16" s="1"/>
  <c r="AW62" i="16" s="1"/>
  <c r="AX62" i="16" s="1"/>
  <c r="AY62" i="16" s="1"/>
  <c r="AZ62" i="16" s="1"/>
  <c r="BM45" i="11" l="1"/>
  <c r="BF45" i="11"/>
  <c r="AM76" i="16"/>
  <c r="AF45" i="11" l="1"/>
</calcChain>
</file>

<file path=xl/sharedStrings.xml><?xml version="1.0" encoding="utf-8"?>
<sst xmlns="http://schemas.openxmlformats.org/spreadsheetml/2006/main" count="3351" uniqueCount="1230">
  <si>
    <t>ที่</t>
  </si>
  <si>
    <t>ชื่อ   -   สกุล</t>
  </si>
  <si>
    <t>สาระการเรียนรู้พื้นฐาน</t>
  </si>
  <si>
    <t>สาระการเรียนรู้เพิ่มเติม</t>
  </si>
  <si>
    <t>รวมคะแนน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</si>
  <si>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</si>
  <si>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</si>
  <si>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</si>
  <si>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</si>
  <si>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</si>
  <si>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</si>
  <si>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</si>
  <si>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</si>
  <si>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</si>
  <si>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</si>
  <si>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</si>
  <si>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</si>
  <si>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</si>
  <si>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</si>
  <si>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</si>
  <si>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</si>
  <si>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</si>
  <si>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กรุณากรอกข้อมูลลงในช่องว่างให้ครบ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</si>
  <si>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</si>
  <si>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</si>
  <si>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</si>
  <si>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</si>
  <si>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</si>
  <si>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</si>
  <si>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</si>
  <si>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</si>
  <si>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</si>
  <si>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</si>
  <si>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</si>
  <si>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</si>
  <si>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</si>
  <si>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</si>
  <si>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</si>
  <si>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</si>
  <si>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</si>
  <si>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</si>
  <si>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</si>
  <si>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</si>
  <si>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กิจกรรมแนะแนว</t>
  </si>
  <si>
    <t>ลูกเสือ - เนตรนารี</t>
  </si>
  <si>
    <t>ชมรม</t>
  </si>
  <si>
    <t>กิจกรรมเพื่อสังคมและสาธารณประโยชน์</t>
  </si>
  <si>
    <t>(สำหรับครูประจำชั้น)</t>
  </si>
  <si>
    <t>รองผู้อำนวยการ</t>
  </si>
  <si>
    <t>ผู้อำนวยการ</t>
  </si>
  <si>
    <t/>
  </si>
  <si>
    <t>สรุป</t>
  </si>
  <si>
    <t>ชื่อชมรม</t>
  </si>
  <si>
    <t>ชื่อ-สกุล</t>
  </si>
  <si>
    <t>มส</t>
  </si>
  <si>
    <t>ร</t>
  </si>
  <si>
    <t>เวลาเรียน</t>
  </si>
  <si>
    <t>ร้อยละ</t>
  </si>
  <si>
    <t>ข้อมูลนักเรียน</t>
  </si>
  <si>
    <t>ตัวชี้วัด</t>
  </si>
  <si>
    <t>ชื่อ - สกุล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</si>
  <si>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</si>
  <si>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</si>
  <si>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</si>
  <si>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</si>
  <si>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</si>
  <si>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</si>
  <si>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</si>
  <si>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</si>
  <si>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1. สามารถคัดสรรสื่อที่ต้องการอ่าน เพื่อหาข้อมูลสารสนเทศได้ตามวัตถุประสงค์ สามารถสร้างความเข้าใจและประยุกต์ใช้ความรู้จากการอ่าน</t>
  </si>
  <si>
    <t>2. สามารถจัดประเด็นสำคัญ และประเด็นสนับสนุน โต้แย้ง</t>
  </si>
  <si>
    <t>3. สามารถวิเคราะห์ วิจารณ์ความสมเหตุสมผล ความน่าเชื่อถือ ลำดับความและความเป็นไปได้ของเรื่องที่อ่าน</t>
  </si>
  <si>
    <t>4. สามารถสรุปคุณค่า แนวคิด แง่คิดที่ได้จากการอ่าน</t>
  </si>
  <si>
    <t>5. สามารถสรุป อภิปราย ขยายความ แสดงความคิดเห็น โต้แย้ง สนับสนุน โน้มน้าวโดยการเขียนสื่อสารในรูปแบบต่างๆ เช่น ผังความคิด เป็นต้น</t>
  </si>
  <si>
    <t>ผลคูณ</t>
  </si>
  <si>
    <t>รวม</t>
  </si>
  <si>
    <t>นักเรียนชายที่ได้ตัดสินผลการเรียน</t>
  </si>
  <si>
    <t>นร.หญิงที่ได้ตัดสินผลการเรียน</t>
  </si>
  <si>
    <t>วัดผล</t>
  </si>
  <si>
    <t>วันที่</t>
  </si>
  <si>
    <t>เดือน</t>
  </si>
  <si>
    <t>พ.ศ.</t>
  </si>
  <si>
    <t>วันอนุมัติผลการเรียน</t>
  </si>
  <si>
    <t>นายอัศวิน   คงเพ็ชรศักดิ์</t>
  </si>
  <si>
    <t>ฝ่ายวัดผล</t>
  </si>
  <si>
    <t>รองผู้อำนวยการสถานศึกษา</t>
  </si>
  <si>
    <t>เวลาเต็ม</t>
  </si>
  <si>
    <t>เวลามา</t>
  </si>
  <si>
    <t>แบบบันทึกผลการพัฒนาคุณภาพผู้เรียนระดับชั้นเรียน</t>
  </si>
  <si>
    <t>สังกัดเทศบาลเมืองราชบุรี จังหวัดราชบุรี</t>
  </si>
  <si>
    <t>สรุปผลการเรียนรู้</t>
  </si>
  <si>
    <t>จำนวน
นักเรียน</t>
  </si>
  <si>
    <t>ผลการเรียน (จำนวนคน)</t>
  </si>
  <si>
    <t>หมาย
เหตุ</t>
  </si>
  <si>
    <t>จำนวนนักเรียน
ทั้งหมด</t>
  </si>
  <si>
    <t>ผลการประเมิน (จำนวนคน)</t>
  </si>
  <si>
    <t>ดีเยี่ยม</t>
  </si>
  <si>
    <t>ดี</t>
  </si>
  <si>
    <t>ผ่าน</t>
  </si>
  <si>
    <t>ไม่ผ่าน</t>
  </si>
  <si>
    <t>สรุปผลการประเมินการอ่าน คิดวิเคราะห์ และเขียน</t>
  </si>
  <si>
    <t>สรุปผลการประเมินคุณลักษณะอันพึงประสงค์</t>
  </si>
  <si>
    <t>สรุปผลการประเมินกิจกรรมพัฒนาผู้เรียน</t>
  </si>
  <si>
    <t>เรียนผู้อำนวยการ เพื่อโปรดพิจารณาอนุมัติ</t>
  </si>
  <si>
    <t>อนุมัติ</t>
  </si>
  <si>
    <t>ไม่อนุมัติ</t>
  </si>
  <si>
    <t>แบบบันทึกผลการพัฒนาคุณภาพผู้เรียนระดับชั้นเรียน (ปถ.07 บ)</t>
  </si>
  <si>
    <t>พิมพ์ส่งจำนวน 2 เล่ม</t>
  </si>
  <si>
    <t>แบบบันทึกผลพัฒนาคุณภาพผู้เรียนระดับชั้นเรียน (ปถ.07)</t>
  </si>
  <si>
    <t>การเรียงลำดับหน้า</t>
  </si>
  <si>
    <t>นับจำนวนวิชา</t>
  </si>
  <si>
    <t>โปรแกรมนี้รองรับคะแนนเต็ม 20 คะแนนเท่านั้น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</si>
  <si>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</si>
  <si>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</si>
  <si>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</si>
  <si>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</si>
  <si>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</si>
  <si>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</si>
  <si>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</si>
  <si>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</si>
  <si>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</si>
  <si>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สีดำ</t>
  </si>
  <si>
    <t>กรุณาตรวจสอบความถูกต้องของข้อมูลก่อนปริ้นและเข้าเล่มค่ะ</t>
  </si>
  <si>
    <t xml:space="preserve">  ส่งวัดผล 2 ชุด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</si>
  <si>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</si>
  <si>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ท21102</t>
  </si>
  <si>
    <t>ภาษาไทย 2</t>
  </si>
  <si>
    <t>ค21102</t>
  </si>
  <si>
    <t>คณิตศาสตร์ 2</t>
  </si>
  <si>
    <t>ว21103</t>
  </si>
  <si>
    <t>วิทยาศาสตร์ 2</t>
  </si>
  <si>
    <t>ว21104</t>
  </si>
  <si>
    <t>วิทยาการคำนวณ 2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</si>
  <si>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</si>
  <si>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</si>
  <si>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</si>
  <si>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</si>
  <si>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พ21103</t>
  </si>
  <si>
    <t>สุขศึกษา 2</t>
  </si>
  <si>
    <t>พ21104</t>
  </si>
  <si>
    <t>พลศึกษา 2</t>
  </si>
  <si>
    <t>ศ21102</t>
  </si>
  <si>
    <t>ศิลปะ 2</t>
  </si>
  <si>
    <t>ง21102</t>
  </si>
  <si>
    <t>อ21102</t>
  </si>
  <si>
    <t>ส21232</t>
  </si>
  <si>
    <t>ศ21206</t>
  </si>
  <si>
    <t>ศ21208</t>
  </si>
  <si>
    <t>หน้าที่พลเมือง 2</t>
  </si>
  <si>
    <t>ศิลปะสร้างสรรค์ 2</t>
  </si>
  <si>
    <t>ขลุ่ย 2</t>
  </si>
  <si>
    <t>มินิมาราธอน 2</t>
  </si>
  <si>
    <t>ฟุตบอล 2</t>
  </si>
  <si>
    <t>ดนตรีไทย 2 (ระนาดเอก)</t>
  </si>
  <si>
    <t>ดนตรีสากล 2 (กีตาร์)</t>
  </si>
  <si>
    <t>ประติมากรรม 2</t>
  </si>
  <si>
    <t>พ21204</t>
  </si>
  <si>
    <t>พ21206</t>
  </si>
  <si>
    <t>ศ21210</t>
  </si>
  <si>
    <t>ศ21212</t>
  </si>
  <si>
    <t>ศ21214</t>
  </si>
  <si>
    <t>ศ21216</t>
  </si>
  <si>
    <t>ปรินท์เพื่อใส่ในเล่มปถ.07 2 ชุด</t>
  </si>
  <si>
    <t>ย้าย</t>
  </si>
  <si>
    <t>-</t>
  </si>
  <si>
    <t>ชั้นมัธยมศึกษาปีที่</t>
  </si>
  <si>
    <t xml:space="preserve">กรณีที่ไม่มีผู้ดำรงตำแหน่งรองผู้อำนวยการ ให้เว้นว่างที่ช่องนี้ </t>
  </si>
  <si>
    <t>ชื่อวิชา</t>
  </si>
  <si>
    <t>SBMLD</t>
  </si>
  <si>
    <t>เพิ่มเติม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</si>
  <si>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</si>
  <si>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</si>
  <si>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</si>
  <si>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</si>
  <si>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</si>
  <si>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</si>
  <si>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</si>
  <si>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</si>
  <si>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</si>
  <si>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</si>
  <si>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</si>
  <si>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</si>
  <si>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</si>
  <si>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</si>
  <si>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</si>
  <si>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</si>
  <si>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</si>
  <si>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</si>
  <si>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</si>
  <si>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</si>
  <si>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</si>
  <si>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</si>
  <si>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</si>
  <si>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</si>
  <si>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</si>
  <si>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</si>
  <si>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</si>
  <si>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</si>
  <si>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</si>
  <si>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</si>
  <si>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</si>
  <si>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</si>
  <si>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</si>
  <si>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</si>
  <si>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</si>
  <si>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</si>
  <si>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</si>
  <si>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</si>
  <si>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</si>
  <si>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</si>
  <si>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</si>
  <si>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</si>
  <si>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</si>
  <si>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</si>
  <si>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</si>
  <si>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</si>
  <si>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</si>
  <si>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</si>
  <si>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</si>
  <si>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</si>
  <si>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</si>
  <si>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</si>
  <si>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</si>
  <si>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</si>
  <si>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พ21205</t>
  </si>
  <si>
    <t>ฟุตบอล 1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</si>
  <si>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</si>
  <si>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</si>
  <si>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</si>
  <si>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</si>
  <si>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</si>
  <si>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</si>
  <si>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</si>
  <si>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</si>
  <si>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</si>
  <si>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</si>
  <si>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ศ21207</t>
  </si>
  <si>
    <t>ขลุ่ย 1</t>
  </si>
  <si>
    <t>ศ21209</t>
  </si>
  <si>
    <t>ดนตรีไทย 1 (ระนาดเอก)</t>
  </si>
  <si>
    <t>ศ21211</t>
  </si>
  <si>
    <t>ดนตรีสากล 1 (กีตาร์)</t>
  </si>
  <si>
    <t>ศ21213</t>
  </si>
  <si>
    <t>การแสดงประกอบเพลง 1</t>
  </si>
  <si>
    <t>การแสดงประกอบเพลง 2</t>
  </si>
  <si>
    <t>ศ21215</t>
  </si>
  <si>
    <t>ประติมากรรม 1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</si>
  <si>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</si>
  <si>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</si>
  <si>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</si>
  <si>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</si>
  <si>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</si>
  <si>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</si>
  <si>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</si>
  <si>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</si>
  <si>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</si>
  <si>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</si>
  <si>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</si>
  <si>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</si>
  <si>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</si>
  <si>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</si>
  <si>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</si>
  <si>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</si>
  <si>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</si>
  <si>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</si>
  <si>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</si>
  <si>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</si>
  <si>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</si>
  <si>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</si>
  <si>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</si>
  <si>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</si>
  <si>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</si>
  <si>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</si>
  <si>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พื้นฐาน</t>
  </si>
  <si>
    <t>ค21101</t>
  </si>
  <si>
    <t>คณิตศาสตร์ 1</t>
  </si>
  <si>
    <t>ว21101</t>
  </si>
  <si>
    <t>วิทยาศาสตร์ 1</t>
  </si>
  <si>
    <t>ว21102</t>
  </si>
  <si>
    <t>วิทยาการคำนวณ 1</t>
  </si>
  <si>
    <t>ส21101</t>
  </si>
  <si>
    <t>สังคมศึกษา ศาสนา และวัฒนธรรม 1</t>
  </si>
  <si>
    <t>ส21102</t>
  </si>
  <si>
    <t>ประวัติศาสตร์ 1</t>
  </si>
  <si>
    <t>พ21101</t>
  </si>
  <si>
    <t>สุขศึกษา 1</t>
  </si>
  <si>
    <t>พ21102</t>
  </si>
  <si>
    <t>พลศึกษา 1</t>
  </si>
  <si>
    <t>ศ21101</t>
  </si>
  <si>
    <t>ศิลปะ 1</t>
  </si>
  <si>
    <t>อ21101</t>
  </si>
  <si>
    <t>ภาษาต่างประเทศ (ภาษาอังกฤษ) 1</t>
  </si>
  <si>
    <t>ภาษาต่างประเทศ (ภาษาอังกฤษ) 2</t>
  </si>
  <si>
    <t>ง21101</t>
  </si>
  <si>
    <t>การงาน อาชีพ 1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</si>
  <si>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</si>
  <si>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</si>
  <si>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</si>
  <si>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</si>
  <si>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</si>
  <si>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</si>
  <si>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</si>
  <si>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</si>
  <si>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</si>
  <si>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</si>
  <si>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</si>
  <si>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</si>
  <si>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</si>
  <si>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</si>
  <si>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</si>
  <si>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</si>
  <si>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</si>
  <si>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</si>
  <si>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</si>
  <si>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</si>
  <si>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</si>
  <si>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</si>
  <si>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</si>
  <si>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</si>
  <si>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</si>
  <si>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</si>
  <si>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</si>
  <si>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</si>
  <si>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</si>
  <si>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</si>
  <si>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</si>
  <si>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</si>
  <si>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</si>
  <si>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</si>
  <si>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</si>
  <si>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</si>
  <si>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</si>
  <si>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</si>
  <si>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</si>
  <si>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</si>
  <si>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</si>
  <si>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</si>
  <si>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</si>
  <si>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</si>
  <si>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</si>
  <si>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</si>
  <si>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</si>
  <si>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</si>
  <si>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</si>
  <si>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</si>
  <si>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</si>
  <si>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</si>
  <si>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</si>
  <si>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</si>
  <si>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</si>
  <si>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</si>
  <si>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</si>
  <si>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</si>
  <si>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</si>
  <si>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</si>
  <si>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</si>
  <si>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</si>
  <si>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</si>
  <si>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</si>
  <si>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</si>
  <si>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</si>
  <si>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</si>
  <si>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</si>
  <si>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</si>
  <si>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</si>
  <si>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</si>
  <si>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</si>
  <si>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</si>
  <si>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</si>
  <si>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</si>
  <si>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</si>
  <si>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</si>
  <si>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</si>
  <si>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</si>
  <si>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</si>
  <si>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</si>
  <si>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</si>
  <si>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</si>
  <si>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</si>
  <si>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</si>
  <si>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</si>
  <si>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</si>
  <si>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</si>
  <si>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</si>
  <si>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</si>
  <si>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</si>
  <si>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</si>
  <si>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</si>
  <si>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</si>
  <si>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</si>
  <si>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</si>
  <si>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</si>
  <si>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</si>
  <si>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</si>
  <si>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</si>
  <si>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</si>
  <si>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</si>
  <si>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</si>
  <si>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</si>
  <si>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</si>
  <si>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</si>
  <si>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</si>
  <si>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</si>
  <si>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</si>
  <si>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</si>
  <si>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</si>
  <si>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</si>
  <si>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</si>
  <si>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</si>
  <si>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</si>
  <si>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</si>
  <si>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</si>
  <si>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</si>
  <si>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</si>
  <si>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</si>
  <si>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</si>
  <si>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</si>
  <si>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</si>
  <si>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</si>
  <si>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</si>
  <si>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</si>
  <si>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</si>
  <si>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</si>
  <si>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</si>
  <si>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</si>
  <si>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</si>
  <si>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</si>
  <si>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</si>
  <si>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</si>
  <si>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</si>
  <si>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</si>
  <si>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</si>
  <si>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</si>
  <si>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</si>
  <si>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</si>
  <si>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</si>
  <si>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</si>
  <si>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</si>
  <si>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</si>
  <si>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</si>
  <si>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</si>
  <si>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</si>
  <si>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</si>
  <si>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</si>
  <si>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</si>
  <si>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</si>
  <si>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</si>
  <si>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</si>
  <si>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</si>
  <si>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</si>
  <si>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</si>
  <si>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</si>
  <si>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</si>
  <si>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</si>
  <si>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</si>
  <si>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</si>
  <si>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</si>
  <si>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</si>
  <si>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</si>
  <si>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</si>
  <si>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</si>
  <si>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</si>
  <si>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</si>
  <si>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</si>
  <si>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</si>
  <si>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</si>
  <si>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</si>
  <si>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</si>
  <si>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</si>
  <si>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</si>
  <si>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</si>
  <si>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</si>
  <si>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</si>
  <si>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</si>
  <si>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</si>
  <si>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</si>
  <si>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</si>
  <si>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</si>
  <si>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</si>
  <si>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</si>
  <si>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</si>
  <si>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</si>
  <si>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</si>
  <si>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</si>
  <si>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</si>
  <si>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</si>
  <si>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</si>
  <si>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</si>
  <si>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</si>
  <si>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</si>
  <si>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</si>
  <si>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</si>
  <si>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</si>
  <si>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</si>
  <si>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</si>
  <si>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</si>
  <si>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</si>
  <si>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</si>
  <si>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</si>
  <si>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</si>
  <si>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</si>
  <si>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</si>
  <si>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</si>
  <si>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</si>
  <si>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</si>
  <si>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</si>
  <si>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</si>
  <si>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</si>
  <si>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</si>
  <si>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</si>
  <si>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</si>
  <si>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</si>
  <si>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</si>
  <si>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</si>
  <si>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</si>
  <si>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</si>
  <si>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</si>
  <si>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</si>
  <si>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</si>
  <si>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</si>
  <si>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</si>
  <si>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</si>
  <si>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</si>
  <si>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</si>
  <si>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</si>
  <si>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</si>
  <si>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</si>
  <si>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</si>
  <si>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</si>
  <si>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</si>
  <si>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</si>
  <si>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</si>
  <si>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</si>
  <si>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</si>
  <si>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</si>
  <si>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</si>
  <si>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</si>
  <si>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</si>
  <si>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</si>
  <si>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</si>
  <si>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</si>
  <si>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</si>
  <si>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</si>
  <si>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</si>
  <si>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</si>
  <si>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</si>
  <si>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</si>
  <si>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</si>
  <si>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</si>
  <si>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</si>
  <si>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</si>
  <si>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</si>
  <si>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</si>
  <si>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</si>
  <si>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</si>
  <si>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</si>
  <si>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</si>
  <si>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</si>
  <si>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</si>
  <si>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</si>
  <si>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</si>
  <si>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</si>
  <si>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</si>
  <si>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</si>
  <si>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</si>
  <si>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</si>
  <si>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ปีการศึกษาที่เริ่มเรียน</t>
  </si>
  <si>
    <t>ลงชื่อ.......................................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</si>
  <si>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</si>
  <si>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</si>
  <si>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</si>
  <si>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</si>
  <si>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</si>
  <si>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</si>
  <si>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</si>
  <si>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</si>
  <si>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</si>
  <si>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</si>
  <si>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</si>
  <si>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</si>
  <si>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</si>
  <si>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</si>
  <si>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</si>
  <si>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</si>
  <si>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</si>
  <si>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</si>
  <si>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</si>
  <si>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</si>
  <si>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</si>
  <si>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</si>
  <si>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</si>
  <si>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</si>
  <si>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</si>
  <si>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</si>
  <si>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</si>
  <si>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</si>
  <si>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แบบรายงานผลการสอบกลางภาค</t>
  </si>
  <si>
    <t>โรงเรียนเทศบาล 3 (เทศบาลสงเคราะห์)   เทศบาลเมืองราชบุรี   อำเภอเมือง   จังหวัดราชบุรี</t>
  </si>
  <si>
    <t>หน่วยกิต
/ชม.</t>
  </si>
  <si>
    <t>การประเมินผลสัมฤทธิ์</t>
  </si>
  <si>
    <t>คะแนนเต็ม</t>
  </si>
  <si>
    <t>คะแนน</t>
  </si>
  <si>
    <t>ผู้ปกครอง</t>
  </si>
  <si>
    <t>แบบรายงานประจำตัวนักเรียน</t>
  </si>
  <si>
    <t>เกรด</t>
  </si>
  <si>
    <t>แก้ไข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</si>
  <si>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</si>
  <si>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</si>
  <si>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</si>
  <si>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</si>
  <si>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</si>
  <si>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</si>
  <si>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</si>
  <si>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</si>
  <si>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</si>
  <si>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</si>
  <si>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</si>
  <si>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</si>
  <si>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</si>
  <si>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</si>
  <si>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พิมพ์เฉพาะหน้าที่ 1</t>
  </si>
  <si>
    <t>1.  ชื่อนักเรียน (Sheet 2.ชื่อนักเรียน) พิมพ์เฉพาะหน้าที่ 1</t>
  </si>
  <si>
    <t>พิมพ์ 1 ชุด</t>
  </si>
  <si>
    <t>แบบรายงานผลการสอบปลายภาค</t>
  </si>
  <si>
    <t>พิมพ์ 2 ชุด</t>
  </si>
  <si>
    <t>เลขบัตรประจำตัวประชาชน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</si>
  <si>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</si>
  <si>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</si>
  <si>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นับวิชา</t>
  </si>
  <si>
    <t>พฤศจิกายน</t>
  </si>
  <si>
    <t>ว23207</t>
  </si>
  <si>
    <t>การพัฒนาแอปพลิเคชั่น 1</t>
  </si>
  <si>
    <t>ว23208</t>
  </si>
  <si>
    <t>การพัฒนาแอปพลิเคชั่น 2</t>
  </si>
  <si>
    <t>เมษายน</t>
  </si>
  <si>
    <t>สรุปยอดประจำเดือน</t>
  </si>
  <si>
    <t>รวมเวลา</t>
  </si>
  <si>
    <t>กรกฎาคม</t>
  </si>
  <si>
    <t>สิงหาคม</t>
  </si>
  <si>
    <t>กันยายน</t>
  </si>
  <si>
    <t>ตุลาคม</t>
  </si>
  <si>
    <t>ธันวาคม</t>
  </si>
  <si>
    <t>มกราคม</t>
  </si>
  <si>
    <t>กุมภาพันธ์</t>
  </si>
  <si>
    <t>มีนาคม</t>
  </si>
  <si>
    <t>วัน</t>
  </si>
  <si>
    <t>มา</t>
  </si>
  <si>
    <t>ป่วย</t>
  </si>
  <si>
    <t>ลา</t>
  </si>
  <si>
    <t>ขาด</t>
  </si>
  <si>
    <t>สาย</t>
  </si>
  <si>
    <t>ลงชื่อ..................................................ครูประจำชั้น</t>
  </si>
  <si>
    <t>ลงชื่อ.........................................ผู้บริหารสถานศึกษา</t>
  </si>
  <si>
    <t>รวมเวลาเรียน</t>
  </si>
  <si>
    <t>สถานะ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</si>
  <si>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</si>
  <si>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</si>
  <si>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</si>
  <si>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</si>
  <si>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</si>
  <si>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</si>
  <si>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</si>
  <si>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</si>
  <si>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</si>
  <si>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</si>
  <si>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</si>
  <si>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</si>
  <si>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</si>
  <si>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</si>
  <si>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</si>
  <si>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</si>
  <si>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</si>
  <si>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</si>
  <si>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</si>
  <si>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</si>
  <si>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</si>
  <si>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</si>
  <si>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</si>
  <si>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</si>
  <si>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</si>
  <si>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</si>
  <si>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</si>
  <si>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</si>
  <si>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</si>
  <si>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</si>
  <si>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</si>
  <si>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</si>
  <si>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</si>
  <si>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</si>
  <si>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</si>
  <si>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มิถุนายน</t>
  </si>
  <si>
    <t>การออกแบบพาณิชย์ศิลป์ (ขั้นสูง) 2</t>
  </si>
  <si>
    <t>ผู้ตรวจทาน</t>
  </si>
  <si>
    <t>โรงเรียนสาธิตเทศบาลเมืองราชบุรี</t>
  </si>
  <si>
    <t xml:space="preserve">    ประกาศผลการประเมินกิจกรรมพัฒนาผู้เรียน โรงเรียนสาธิตเทศบาลเมืองราชบุรี</t>
  </si>
  <si>
    <t xml:space="preserve"> สรุปผลการประเมินการอ่าน คิดวิเคราะห์ และเขียนสื่อความ     โรงเรียนสาธิตเทศบาลเมืองราชบุรี</t>
  </si>
  <si>
    <t xml:space="preserve">    สรุปผลการประเมินคุณลักษณะอันพึงประสงค์ โรงเรียนสาธิตเทศบาลเมืองราชบุรี</t>
  </si>
  <si>
    <t>โรงเรียนสาธิตเทศบาลเมืองราชบุรี   เทศบาลเมืองราชบุรี   อำเภอเมือง   จังหวัดราชบุรี</t>
  </si>
  <si>
    <t>โรงเรียนสาธิตเทศบาลเมืองราชบุรี    เทศบาลเมืองราชบุรี   อำเภอเมือง   จังหวัดราชบุรี</t>
  </si>
  <si>
    <t>พฤษภาคม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</si>
  <si>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</si>
  <si>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</si>
  <si>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</si>
  <si>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</si>
  <si>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</si>
  <si>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</si>
  <si>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</si>
  <si>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</si>
  <si>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</si>
  <si>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</si>
  <si>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</si>
  <si>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</si>
  <si>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</si>
  <si>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</si>
  <si>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</si>
  <si>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</si>
  <si>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</si>
  <si>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</si>
  <si>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</si>
  <si>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</si>
  <si>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</si>
  <si>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</si>
  <si>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</si>
  <si>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</si>
  <si>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</si>
  <si>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</si>
  <si>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</si>
  <si>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</si>
  <si>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</si>
  <si>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</si>
  <si>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</si>
  <si>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</si>
  <si>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</si>
  <si>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</si>
  <si>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</si>
  <si>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</si>
  <si>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</si>
  <si>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</si>
  <si>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</si>
  <si>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</si>
  <si>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</si>
  <si>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</si>
  <si>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</si>
  <si>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</si>
  <si>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</si>
  <si>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</si>
  <si>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</si>
  <si>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</si>
  <si>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ลงชื่อ....................................</t>
  </si>
  <si>
    <t>2.  เวลาเรียน</t>
  </si>
  <si>
    <t>3.  ประกาศผลสอบปลายภาคเรียน (Sheet 6.2ปลายภาค)</t>
  </si>
  <si>
    <t xml:space="preserve">4.  ประกาศผลการประเมินกิจกรรมพัฒนาผู้เรียน </t>
  </si>
  <si>
    <t>5.   สรุปผลการประเมินการอ่าน คิดวิเคราะห์ และเขียนสื่อความ</t>
  </si>
  <si>
    <t xml:space="preserve">6.  สรุปผลการประเมินคุณลักษณะอันพึงประสงค์ </t>
  </si>
  <si>
    <t>กิจกรรมเข้าจังหวะ</t>
  </si>
  <si>
    <t>รายวิชาทั้งหมด ระดับมัธยมศึกษา</t>
  </si>
  <si>
    <t>จำนวนชั่วโมง/คาบ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</si>
  <si>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</si>
  <si>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</si>
  <si>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</si>
  <si>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</si>
  <si>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</si>
  <si>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</si>
  <si>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</si>
  <si>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</si>
  <si>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</si>
  <si>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</si>
  <si>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</si>
  <si>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</si>
  <si>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</si>
  <si>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</si>
  <si>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</si>
  <si>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</si>
  <si>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</si>
  <si>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</si>
  <si>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</si>
  <si>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</si>
  <si>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</si>
  <si>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</si>
  <si>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</si>
  <si>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</si>
  <si>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</si>
  <si>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</si>
  <si>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</si>
  <si>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</si>
  <si>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</si>
  <si>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</si>
  <si>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</si>
  <si>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</si>
  <si>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</si>
  <si>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</si>
  <si>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</si>
  <si>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</si>
  <si>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</si>
  <si>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</si>
  <si>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</si>
  <si>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</si>
  <si>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</si>
  <si>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</si>
  <si>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</si>
  <si>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</si>
  <si>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</si>
  <si>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</si>
  <si>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</si>
  <si>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</si>
  <si>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</si>
  <si>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</si>
  <si>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</si>
  <si>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</si>
  <si>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</si>
  <si>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</si>
  <si>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</si>
  <si>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</si>
  <si>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</si>
  <si>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</si>
  <si>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</si>
  <si>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</si>
  <si>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</si>
  <si>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</si>
  <si>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</si>
  <si>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</si>
  <si>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</si>
  <si>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</si>
  <si>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</si>
  <si>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</si>
  <si>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</si>
  <si>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</si>
  <si>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</si>
  <si>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</si>
  <si>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</si>
  <si>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</si>
  <si>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</si>
  <si>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</si>
  <si>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</si>
  <si>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</si>
  <si>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</si>
  <si>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</si>
  <si>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</si>
  <si>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</si>
  <si>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</si>
  <si>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</si>
  <si>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</si>
  <si>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</si>
  <si>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</si>
  <si>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</si>
  <si>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</si>
  <si>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</si>
  <si>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</si>
  <si>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</si>
  <si>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</si>
  <si>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</si>
  <si>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</si>
  <si>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</si>
  <si>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</si>
  <si>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</si>
  <si>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</si>
  <si>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</si>
  <si>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</si>
  <si>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</si>
  <si>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</si>
  <si>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</si>
  <si>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PIM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</si>
  <si>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</si>
  <si>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</si>
  <si>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</si>
  <si>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</si>
  <si>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</si>
  <si>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</si>
  <si>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</si>
  <si>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</si>
  <si>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</si>
  <si>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</si>
  <si>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</si>
  <si>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</si>
  <si>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</si>
  <si>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</si>
  <si>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</si>
  <si>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</si>
  <si>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</si>
  <si>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</si>
  <si>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</si>
  <si>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</si>
  <si>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</si>
  <si>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</si>
  <si>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</si>
  <si>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</si>
  <si>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</si>
  <si>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</si>
  <si>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</si>
  <si>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</si>
  <si>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</si>
  <si>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</si>
  <si>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</si>
  <si>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</si>
  <si>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</si>
  <si>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</si>
  <si>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</si>
  <si>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</si>
  <si>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</si>
  <si>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</si>
  <si>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</si>
  <si>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</si>
  <si>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</si>
  <si>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</si>
  <si>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</si>
  <si>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</si>
  <si>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</si>
  <si>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</si>
  <si>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</si>
  <si>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</si>
  <si>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</si>
  <si>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</si>
  <si>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</si>
  <si>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</si>
  <si>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</si>
  <si>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</si>
  <si>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</si>
  <si>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</si>
  <si>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</si>
  <si>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</si>
  <si>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</si>
  <si>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</si>
  <si>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</si>
  <si>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การขายสำหรับนักธุรกิจมืออาชีพ</t>
  </si>
  <si>
    <t>ส31203</t>
  </si>
  <si>
    <t>กฎหมายน่ารู้ 2</t>
  </si>
  <si>
    <t>ส31204</t>
  </si>
  <si>
    <t>เทคนิคการขายและการเจรจาต่อรอง</t>
  </si>
  <si>
    <t>ส32201</t>
  </si>
  <si>
    <t>กฎหมายน่ารู้ 3</t>
  </si>
  <si>
    <t>ส32202</t>
  </si>
  <si>
    <t>การเปลี่ยนผ่านของธุรกิจการค้าสมัยใหม่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</si>
  <si>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</si>
  <si>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</si>
  <si>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</si>
  <si>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</si>
  <si>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</si>
  <si>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</si>
  <si>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</si>
  <si>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ความคิดสร้างสรรค์ทางธุรกิจ</t>
  </si>
  <si>
    <t>ส33203</t>
  </si>
  <si>
    <t>กฎหมายน่ารู้ 6</t>
  </si>
  <si>
    <t>ส33204</t>
  </si>
  <si>
    <t>การเป็นผู้ประกอบการธุรกิจนวัตกรรม</t>
  </si>
  <si>
    <t>ส33205</t>
  </si>
  <si>
    <t>การเป็นผู้ประกอบการในยุคดิจิทัล</t>
  </si>
  <si>
    <t>ส33206</t>
  </si>
  <si>
    <t>ทักษะนักธุรกิจรุ่นใหม่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</si>
  <si>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</si>
  <si>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</si>
  <si>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</si>
  <si>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</si>
  <si>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</si>
  <si>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</si>
  <si>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</si>
  <si>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</si>
  <si>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</si>
  <si>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</si>
  <si>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</si>
  <si>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</si>
  <si>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</si>
  <si>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</si>
  <si>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</si>
  <si>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</si>
  <si>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</si>
  <si>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</si>
  <si>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</si>
  <si>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</si>
  <si>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</si>
  <si>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</si>
  <si>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</si>
  <si>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</si>
  <si>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</si>
  <si>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</si>
  <si>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</si>
  <si>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</si>
  <si>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</si>
  <si>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</si>
  <si>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</si>
  <si>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</si>
  <si>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</si>
  <si>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</si>
  <si>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</si>
  <si>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</si>
  <si>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</si>
  <si>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</si>
  <si>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</si>
  <si>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</si>
  <si>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</si>
  <si>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</si>
  <si>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</si>
  <si>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</si>
  <si>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</si>
  <si>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</si>
  <si>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</si>
  <si>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</si>
  <si>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</si>
  <si>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</si>
  <si>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</si>
  <si>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</si>
  <si>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</si>
  <si>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</si>
  <si>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</si>
  <si>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</si>
  <si>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</si>
  <si>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</si>
  <si>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</si>
  <si>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</si>
  <si>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</si>
  <si>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</si>
  <si>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</si>
  <si>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</si>
  <si>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</si>
  <si>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</si>
  <si>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</si>
  <si>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</si>
  <si>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</si>
  <si>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</si>
  <si>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</si>
  <si>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</si>
  <si>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</si>
  <si>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</si>
  <si>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</si>
  <si>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</si>
  <si>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</si>
  <si>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</si>
  <si>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</si>
  <si>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</si>
  <si>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</si>
  <si>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</si>
  <si>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</si>
  <si>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</si>
  <si>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</si>
  <si>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</si>
  <si>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</si>
  <si>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</si>
  <si>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</si>
  <si>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</si>
  <si>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</si>
  <si>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</si>
  <si>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</si>
  <si>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</si>
  <si>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</si>
  <si>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</si>
  <si>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</si>
  <si>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</si>
  <si>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</si>
  <si>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</si>
  <si>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</si>
  <si>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</si>
  <si>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</si>
  <si>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</si>
  <si>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</si>
  <si>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</si>
  <si>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</si>
  <si>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</si>
  <si>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</si>
  <si>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</si>
  <si>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</si>
  <si>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</si>
  <si>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</si>
  <si>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</si>
  <si>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</si>
  <si>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</si>
  <si>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</si>
  <si>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</si>
  <si>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</si>
  <si>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</si>
  <si>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</si>
  <si>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</si>
  <si>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</si>
  <si>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</si>
  <si>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</si>
  <si>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</si>
  <si>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</si>
  <si>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</si>
  <si>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</si>
  <si>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</si>
  <si>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</si>
  <si>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</si>
  <si>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</si>
  <si>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</si>
  <si>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</si>
  <si>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</si>
  <si>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</si>
  <si>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</si>
  <si>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</si>
  <si>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</si>
  <si>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</si>
  <si>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ภาษาอังกฤษเพื่อการท่องเที่ยวเชิงสุขภาพ</t>
  </si>
  <si>
    <t>อ33203</t>
  </si>
  <si>
    <t>อ33204</t>
  </si>
  <si>
    <t>ภาษาอังกฤษเพื่อการดูแลผู้สูงอายุ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</si>
  <si>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</si>
  <si>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</si>
  <si>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</si>
  <si>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</si>
  <si>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</si>
  <si>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</si>
  <si>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</si>
  <si>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</si>
  <si>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</si>
  <si>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</si>
  <si>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</si>
  <si>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</si>
  <si>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</si>
  <si>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</si>
  <si>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</si>
  <si>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</si>
  <si>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</si>
  <si>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</si>
  <si>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</si>
  <si>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</si>
  <si>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</si>
  <si>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</si>
  <si>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</si>
  <si>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</si>
  <si>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</si>
  <si>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</si>
  <si>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</si>
  <si>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</si>
  <si>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</si>
  <si>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</si>
  <si>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>ปรินท์เพื่อประกาศผล 1 ชุด</t>
  </si>
  <si>
    <t>ข้อควรระวัง*** 
โปรดตรวจสอบ เกรดเฉลี่ย หน้า 6.1 และ 6.2
หากไม่ตรงกัน เกิดจากใส่คะแนนกลางภาคไม่ครบทุกวิชา กลับไปตรวจสอบหน้า 5</t>
  </si>
  <si>
    <t>พศ</t>
  </si>
  <si>
    <t>1/1</t>
  </si>
  <si>
    <t>1/2</t>
  </si>
  <si>
    <t>1/3</t>
  </si>
  <si>
    <t>1/4</t>
  </si>
  <si>
    <t>1/5</t>
  </si>
  <si>
    <t>2/1</t>
  </si>
  <si>
    <t>2/2</t>
  </si>
  <si>
    <t>2/3</t>
  </si>
  <si>
    <t>2/4</t>
  </si>
  <si>
    <t>2/5</t>
  </si>
  <si>
    <t>3/1</t>
  </si>
  <si>
    <t>3/2</t>
  </si>
  <si>
    <t>3/3</t>
  </si>
  <si>
    <t>3/4</t>
  </si>
  <si>
    <t>3/5</t>
  </si>
  <si>
    <t>แก้ไขวันที่ 4 มิถุนายน  2568</t>
  </si>
  <si>
    <t>พ21209</t>
  </si>
  <si>
    <t>สรีรวิทยา</t>
  </si>
  <si>
    <t>พ21210</t>
  </si>
  <si>
    <t>สรีรวิทยาการออกกำลังกาย</t>
  </si>
  <si>
    <t>พ22208</t>
  </si>
  <si>
    <t>วิทยาศาสตร์การเคลื่อนไหว</t>
  </si>
  <si>
    <t>พ22209</t>
  </si>
  <si>
    <t>ทักษะกลไกการเคลื่อนไหว</t>
  </si>
  <si>
    <t>พ23208</t>
  </si>
  <si>
    <t>การทดสอบและสร้างเสริมสมรรถภาพทางกาย</t>
  </si>
  <si>
    <t>พ23209</t>
  </si>
  <si>
    <t>เวชศาสตร์การกีฬา</t>
  </si>
  <si>
    <t>พ31205</t>
  </si>
  <si>
    <t>ทักษะการฝึกซ้อมกีฬา</t>
  </si>
  <si>
    <t>พ32205</t>
  </si>
  <si>
    <t>การเป็นผู้นำกิจกรรมเกมและนันทนาการ</t>
  </si>
  <si>
    <t>พ33205</t>
  </si>
  <si>
    <t>วัฒนธรรมทางการกีฬาและพลวัตโอลิมปิค</t>
  </si>
  <si>
    <t>พ33206</t>
  </si>
  <si>
    <t>การจัดการแข่งขันกีฬาภายในโรงเรียน</t>
  </si>
  <si>
    <t>ว31287</t>
  </si>
  <si>
    <t>วิทยาศาสตร์กับการกีฬา</t>
  </si>
  <si>
    <t>ว32287</t>
  </si>
  <si>
    <t>โภชนาการเกี่ยวกับการกีฬา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</si>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</sst>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[$-187041E]d\ mmmm\ yyyy;@"/>
    <numFmt numFmtId="189" formatCode="[$-107041E]d\ mmm\ yy;@"/>
    <numFmt numFmtId="190" formatCode="[$-187041E]d\ mmm\ yy;@"/>
  </numFmts>
  <fonts count="5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4"/>
      <color indexed="55"/>
      <name val="TH SarabunPSK"/>
      <family val="2"/>
    </font>
    <font>
      <sz val="10"/>
      <name val="Arial"/>
      <family val="2"/>
    </font>
    <font>
      <b/>
      <sz val="1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8"/>
      <name val="TH SarabunPSK"/>
      <family val="2"/>
    </font>
    <font>
      <b/>
      <sz val="20"/>
      <color theme="0"/>
      <name val="TH SarabunPSK"/>
      <family val="2"/>
    </font>
    <font>
      <b/>
      <sz val="14"/>
      <name val="TH Sarabun New"/>
      <family val="2"/>
    </font>
    <font>
      <b/>
      <sz val="18"/>
      <color theme="1"/>
      <name val="TH SarabunPSK"/>
      <family val="2"/>
    </font>
    <font>
      <b/>
      <sz val="20"/>
      <color theme="2" tint="-0.89999084444715716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Wingdings"/>
      <charset val="2"/>
    </font>
    <font>
      <b/>
      <sz val="14"/>
      <color theme="1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4"/>
      <name val="Angsana New"/>
      <family val="1"/>
    </font>
    <font>
      <sz val="11"/>
      <color theme="1"/>
      <name val="Tahoma"/>
      <family val="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18" fillId="0" borderId="0" applyProtection="0"/>
    <xf numFmtId="0" fontId="18" fillId="0" borderId="0"/>
    <xf numFmtId="43" fontId="43" fillId="0" borderId="0" applyFont="0" applyFill="0" applyBorder="0" applyAlignment="0" applyProtection="0"/>
    <xf numFmtId="0" fontId="47" fillId="0" borderId="0"/>
    <xf numFmtId="0" fontId="2" fillId="0" borderId="0"/>
    <xf numFmtId="0" fontId="18" fillId="0" borderId="0"/>
    <xf numFmtId="0" fontId="48" fillId="0" borderId="0"/>
    <xf numFmtId="0" fontId="1" fillId="0" borderId="0"/>
    <xf numFmtId="0" fontId="3" fillId="0" borderId="0"/>
    <xf numFmtId="0" fontId="18" fillId="0" borderId="0"/>
    <xf numFmtId="0" fontId="18" fillId="0" borderId="0"/>
    <xf numFmtId="0" fontId="51" fillId="0" borderId="0"/>
    <xf numFmtId="0" fontId="52" fillId="0" borderId="0"/>
  </cellStyleXfs>
  <cellXfs count="1004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46" xfId="1" applyFont="1" applyFill="1" applyBorder="1" applyProtection="1">
      <protection locked="0"/>
    </xf>
    <xf numFmtId="0" fontId="10" fillId="3" borderId="47" xfId="1" applyFont="1" applyFill="1" applyBorder="1"/>
    <xf numFmtId="0" fontId="10" fillId="3" borderId="48" xfId="1" applyFont="1" applyFill="1" applyBorder="1" applyAlignment="1" applyProtection="1">
      <alignment horizontal="center"/>
      <protection locked="0"/>
    </xf>
    <xf numFmtId="0" fontId="10" fillId="3" borderId="49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54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2" fillId="0" borderId="53" xfId="0" applyFont="1" applyBorder="1"/>
    <xf numFmtId="0" fontId="13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8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42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50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45" xfId="2" applyFont="1" applyBorder="1" applyAlignment="1" applyProtection="1">
      <alignment vertical="center"/>
      <protection locked="0"/>
    </xf>
    <xf numFmtId="0" fontId="8" fillId="0" borderId="42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13" fillId="0" borderId="5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3" applyFont="1"/>
    <xf numFmtId="0" fontId="12" fillId="0" borderId="0" xfId="3" applyFont="1"/>
    <xf numFmtId="0" fontId="5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left" vertical="center" wrapText="1"/>
    </xf>
    <xf numFmtId="0" fontId="15" fillId="0" borderId="32" xfId="3" applyFont="1" applyBorder="1" applyAlignment="1" applyProtection="1">
      <alignment horizontal="center" vertical="center"/>
      <protection hidden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27" xfId="3" applyFont="1" applyBorder="1" applyAlignment="1">
      <alignment horizontal="left" vertical="center" wrapText="1"/>
    </xf>
    <xf numFmtId="2" fontId="15" fillId="0" borderId="27" xfId="3" applyNumberFormat="1" applyFont="1" applyBorder="1" applyAlignment="1" applyProtection="1">
      <alignment horizontal="center" vertical="center"/>
      <protection hidden="1"/>
    </xf>
    <xf numFmtId="0" fontId="15" fillId="0" borderId="27" xfId="3" applyFont="1" applyBorder="1" applyAlignment="1">
      <alignment horizontal="left" vertical="center" shrinkToFi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36" xfId="3" applyFont="1" applyBorder="1" applyAlignment="1">
      <alignment horizontal="left" vertical="top" wrapText="1" shrinkToFit="1"/>
    </xf>
    <xf numFmtId="0" fontId="19" fillId="0" borderId="22" xfId="3" applyFont="1" applyBorder="1" applyAlignment="1">
      <alignment horizontal="left" vertical="top" wrapText="1" shrinkToFit="1"/>
    </xf>
    <xf numFmtId="0" fontId="19" fillId="0" borderId="21" xfId="3" applyFont="1" applyBorder="1" applyAlignment="1">
      <alignment horizontal="left" vertical="top" wrapText="1" shrinkToFi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24" fillId="0" borderId="0" xfId="0" applyNumberFormat="1" applyFont="1" applyAlignment="1">
      <alignment horizontal="center" vertical="center" wrapText="1"/>
    </xf>
    <xf numFmtId="0" fontId="10" fillId="3" borderId="47" xfId="1" applyFont="1" applyFill="1" applyBorder="1" applyAlignment="1" applyProtection="1">
      <alignment horizontal="left"/>
      <protection locked="0"/>
    </xf>
    <xf numFmtId="0" fontId="10" fillId="3" borderId="48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58" xfId="0" applyFont="1" applyBorder="1" applyAlignment="1">
      <alignment textRotation="90" shrinkToFit="1"/>
    </xf>
    <xf numFmtId="0" fontId="13" fillId="0" borderId="56" xfId="0" applyFont="1" applyBorder="1" applyAlignment="1">
      <alignment textRotation="90" shrinkToFit="1"/>
    </xf>
    <xf numFmtId="0" fontId="13" fillId="0" borderId="51" xfId="0" applyFont="1" applyBorder="1" applyAlignment="1">
      <alignment textRotation="90" shrinkToFit="1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9" borderId="12" xfId="0" applyFont="1" applyFill="1" applyBorder="1" applyAlignment="1">
      <alignment horizontal="center"/>
    </xf>
    <xf numFmtId="0" fontId="13" fillId="0" borderId="12" xfId="2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2" fontId="8" fillId="0" borderId="42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5" fillId="0" borderId="13" xfId="3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4" fillId="0" borderId="0" xfId="4" applyFont="1"/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4" fillId="7" borderId="0" xfId="0" applyFont="1" applyFill="1"/>
    <xf numFmtId="0" fontId="10" fillId="11" borderId="0" xfId="1" applyFont="1" applyFill="1" applyProtection="1">
      <protection hidden="1"/>
    </xf>
    <xf numFmtId="0" fontId="10" fillId="11" borderId="0" xfId="1" applyFont="1" applyFill="1"/>
    <xf numFmtId="0" fontId="26" fillId="11" borderId="0" xfId="1" applyFont="1" applyFill="1" applyProtection="1">
      <protection hidden="1"/>
    </xf>
    <xf numFmtId="0" fontId="26" fillId="11" borderId="0" xfId="1" applyFont="1" applyFill="1" applyAlignment="1">
      <alignment horizontal="center"/>
    </xf>
    <xf numFmtId="0" fontId="26" fillId="11" borderId="0" xfId="1" applyFont="1" applyFill="1" applyAlignment="1" applyProtection="1">
      <alignment horizontal="center"/>
      <protection hidden="1"/>
    </xf>
    <xf numFmtId="0" fontId="10" fillId="11" borderId="0" xfId="1" applyFont="1" applyFill="1" applyAlignment="1" applyProtection="1">
      <alignment horizontal="center"/>
      <protection hidden="1"/>
    </xf>
    <xf numFmtId="0" fontId="6" fillId="0" borderId="0" xfId="4" applyFont="1"/>
    <xf numFmtId="0" fontId="24" fillId="0" borderId="7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7" fillId="0" borderId="0" xfId="4" applyFont="1"/>
    <xf numFmtId="0" fontId="37" fillId="0" borderId="0" xfId="4" applyFont="1" applyAlignment="1">
      <alignment vertical="center"/>
    </xf>
    <xf numFmtId="0" fontId="37" fillId="0" borderId="0" xfId="4" applyFont="1" applyAlignment="1">
      <alignment horizontal="center" vertical="center"/>
    </xf>
    <xf numFmtId="0" fontId="37" fillId="0" borderId="52" xfId="4" applyFont="1" applyBorder="1" applyAlignment="1">
      <alignment horizontal="center" vertical="center"/>
    </xf>
    <xf numFmtId="0" fontId="37" fillId="0" borderId="50" xfId="4" applyFont="1" applyBorder="1" applyAlignment="1">
      <alignment vertical="center"/>
    </xf>
    <xf numFmtId="0" fontId="37" fillId="0" borderId="0" xfId="0" applyFont="1" applyAlignment="1">
      <alignment vertical="center"/>
    </xf>
    <xf numFmtId="0" fontId="7" fillId="0" borderId="0" xfId="4" applyFont="1"/>
    <xf numFmtId="0" fontId="11" fillId="13" borderId="12" xfId="1" applyFont="1" applyFill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 wrapText="1"/>
    </xf>
    <xf numFmtId="0" fontId="14" fillId="0" borderId="62" xfId="3" applyFont="1" applyBorder="1" applyAlignment="1">
      <alignment horizontal="center" vertical="center" wrapText="1"/>
    </xf>
    <xf numFmtId="0" fontId="14" fillId="0" borderId="60" xfId="3" applyFont="1" applyBorder="1" applyAlignment="1">
      <alignment horizontal="center" vertical="center" wrapText="1"/>
    </xf>
    <xf numFmtId="0" fontId="14" fillId="0" borderId="48" xfId="3" applyFont="1" applyBorder="1" applyAlignment="1">
      <alignment horizontal="center" vertical="center" wrapText="1"/>
    </xf>
    <xf numFmtId="0" fontId="15" fillId="0" borderId="52" xfId="3" applyFont="1" applyBorder="1" applyAlignment="1">
      <alignment horizontal="left" vertical="center" wrapText="1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33" xfId="3" applyFont="1" applyBorder="1" applyAlignment="1" applyProtection="1">
      <alignment horizontal="center" vertical="center"/>
      <protection locked="0"/>
    </xf>
    <xf numFmtId="0" fontId="15" fillId="0" borderId="31" xfId="3" applyFont="1" applyBorder="1" applyAlignment="1" applyProtection="1">
      <alignment horizontal="center" vertical="center"/>
      <protection locked="0"/>
    </xf>
    <xf numFmtId="0" fontId="15" fillId="0" borderId="40" xfId="3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wrapText="1"/>
    </xf>
    <xf numFmtId="0" fontId="15" fillId="0" borderId="14" xfId="3" applyFont="1" applyBorder="1" applyAlignment="1" applyProtection="1">
      <alignment horizontal="center" vertical="center"/>
      <protection locked="0"/>
    </xf>
    <xf numFmtId="2" fontId="15" fillId="0" borderId="38" xfId="3" applyNumberFormat="1" applyFont="1" applyBorder="1" applyAlignment="1" applyProtection="1">
      <alignment horizontal="center" vertical="center"/>
      <protection hidden="1"/>
    </xf>
    <xf numFmtId="0" fontId="15" fillId="0" borderId="28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0" fontId="15" fillId="0" borderId="22" xfId="3" applyFont="1" applyBorder="1" applyAlignment="1" applyProtection="1">
      <alignment horizontal="center" vertical="center"/>
      <protection locked="0"/>
    </xf>
    <xf numFmtId="2" fontId="15" fillId="0" borderId="39" xfId="3" applyNumberFormat="1" applyFont="1" applyBorder="1" applyAlignment="1" applyProtection="1">
      <alignment horizontal="center" vertical="center"/>
      <protection hidden="1"/>
    </xf>
    <xf numFmtId="49" fontId="10" fillId="3" borderId="48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8" fillId="0" borderId="1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4" fillId="0" borderId="76" xfId="3" applyFont="1" applyBorder="1" applyAlignment="1">
      <alignment horizontal="center" vertical="center" wrapText="1"/>
    </xf>
    <xf numFmtId="0" fontId="14" fillId="0" borderId="77" xfId="3" applyFont="1" applyBorder="1" applyAlignment="1">
      <alignment horizontal="center" vertical="center" wrapText="1"/>
    </xf>
    <xf numFmtId="2" fontId="15" fillId="0" borderId="33" xfId="3" applyNumberFormat="1" applyFont="1" applyBorder="1" applyAlignment="1" applyProtection="1">
      <alignment horizontal="center" vertical="center"/>
      <protection locked="0"/>
    </xf>
    <xf numFmtId="2" fontId="15" fillId="0" borderId="34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32" fillId="0" borderId="0" xfId="3" applyFont="1"/>
    <xf numFmtId="2" fontId="15" fillId="0" borderId="33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89" fontId="15" fillId="0" borderId="35" xfId="3" applyNumberFormat="1" applyFont="1" applyBorder="1" applyAlignment="1">
      <alignment horizontal="center" vertical="center" wrapText="1"/>
    </xf>
    <xf numFmtId="189" fontId="15" fillId="0" borderId="15" xfId="3" applyNumberFormat="1" applyFont="1" applyBorder="1" applyAlignment="1">
      <alignment horizontal="center" vertical="center" wrapText="1"/>
    </xf>
    <xf numFmtId="189" fontId="15" fillId="0" borderId="15" xfId="3" applyNumberFormat="1" applyFont="1" applyBorder="1" applyAlignment="1">
      <alignment horizontal="center" vertical="center" shrinkToFit="1"/>
    </xf>
    <xf numFmtId="189" fontId="15" fillId="0" borderId="36" xfId="3" applyNumberFormat="1" applyFont="1" applyBorder="1" applyAlignment="1">
      <alignment horizontal="center" vertical="center" wrapText="1"/>
    </xf>
    <xf numFmtId="190" fontId="15" fillId="0" borderId="11" xfId="3" applyNumberFormat="1" applyFont="1" applyBorder="1" applyAlignment="1">
      <alignment horizontal="center" vertical="center" wrapText="1"/>
    </xf>
    <xf numFmtId="190" fontId="15" fillId="0" borderId="19" xfId="3" applyNumberFormat="1" applyFont="1" applyBorder="1" applyAlignment="1">
      <alignment horizontal="center" vertical="center" wrapText="1"/>
    </xf>
    <xf numFmtId="190" fontId="15" fillId="0" borderId="30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35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63" xfId="5" applyFont="1" applyBorder="1" applyAlignment="1">
      <alignment vertical="center"/>
    </xf>
    <xf numFmtId="0" fontId="5" fillId="0" borderId="0" xfId="5" applyFont="1" applyAlignment="1">
      <alignment vertical="center"/>
    </xf>
    <xf numFmtId="187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12" fillId="19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5" fillId="20" borderId="12" xfId="0" applyFont="1" applyFill="1" applyBorder="1" applyAlignment="1">
      <alignment horizontal="center"/>
    </xf>
    <xf numFmtId="0" fontId="15" fillId="0" borderId="6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87" fontId="15" fillId="0" borderId="26" xfId="0" applyNumberFormat="1" applyFont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27" xfId="0" applyFont="1" applyBorder="1" applyAlignment="1">
      <alignment textRotation="90" shrinkToFit="1"/>
    </xf>
    <xf numFmtId="0" fontId="12" fillId="0" borderId="0" xfId="0" applyFont="1" applyAlignment="1">
      <alignment horizontal="center" vertical="center" wrapText="1"/>
    </xf>
    <xf numFmtId="0" fontId="14" fillId="0" borderId="28" xfId="6" applyFont="1" applyBorder="1" applyAlignment="1">
      <alignment textRotation="90" shrinkToFit="1"/>
    </xf>
    <xf numFmtId="0" fontId="14" fillId="0" borderId="14" xfId="6" applyFont="1" applyBorder="1" applyAlignment="1">
      <alignment textRotation="90" shrinkToFit="1"/>
    </xf>
    <xf numFmtId="0" fontId="14" fillId="0" borderId="13" xfId="6" applyFont="1" applyBorder="1" applyAlignment="1">
      <alignment textRotation="90" shrinkToFit="1"/>
    </xf>
    <xf numFmtId="0" fontId="35" fillId="0" borderId="0" xfId="0" applyFont="1" applyAlignment="1">
      <alignment vertical="center"/>
    </xf>
    <xf numFmtId="0" fontId="14" fillId="0" borderId="19" xfId="6" applyFont="1" applyBorder="1" applyAlignment="1">
      <alignment horizontal="center" vertical="center" shrinkToFit="1"/>
    </xf>
    <xf numFmtId="0" fontId="14" fillId="0" borderId="20" xfId="6" applyFont="1" applyBorder="1" applyAlignment="1">
      <alignment horizontal="center" vertical="center" shrinkToFit="1"/>
    </xf>
    <xf numFmtId="0" fontId="14" fillId="0" borderId="22" xfId="6" applyFont="1" applyBorder="1" applyAlignment="1">
      <alignment horizontal="center" vertical="center" shrinkToFit="1"/>
    </xf>
    <xf numFmtId="0" fontId="14" fillId="0" borderId="21" xfId="6" applyFont="1" applyBorder="1" applyAlignment="1">
      <alignment horizontal="center" vertical="center" shrinkToFit="1"/>
    </xf>
    <xf numFmtId="187" fontId="15" fillId="0" borderId="4" xfId="0" applyNumberFormat="1" applyFont="1" applyBorder="1" applyAlignment="1">
      <alignment horizontal="center" vertical="center"/>
    </xf>
    <xf numFmtId="187" fontId="15" fillId="0" borderId="5" xfId="0" applyNumberFormat="1" applyFont="1" applyBorder="1" applyAlignment="1">
      <alignment horizontal="center" vertical="center"/>
    </xf>
    <xf numFmtId="187" fontId="15" fillId="0" borderId="25" xfId="0" applyNumberFormat="1" applyFont="1" applyBorder="1" applyAlignment="1">
      <alignment horizontal="center" vertical="center"/>
    </xf>
    <xf numFmtId="187" fontId="15" fillId="0" borderId="2" xfId="0" applyNumberFormat="1" applyFont="1" applyBorder="1" applyAlignment="1">
      <alignment horizontal="center" vertical="center"/>
    </xf>
    <xf numFmtId="187" fontId="15" fillId="0" borderId="0" xfId="0" applyNumberFormat="1" applyFont="1" applyAlignment="1">
      <alignment horizontal="center" vertical="center"/>
    </xf>
    <xf numFmtId="187" fontId="15" fillId="0" borderId="4" xfId="6" applyNumberFormat="1" applyFont="1" applyBorder="1" applyAlignment="1">
      <alignment horizontal="center" vertical="center"/>
    </xf>
    <xf numFmtId="187" fontId="15" fillId="0" borderId="5" xfId="6" applyNumberFormat="1" applyFont="1" applyBorder="1" applyAlignment="1">
      <alignment horizontal="center" vertical="center"/>
    </xf>
    <xf numFmtId="187" fontId="15" fillId="0" borderId="2" xfId="6" applyNumberFormat="1" applyFont="1" applyBorder="1" applyAlignment="1">
      <alignment horizontal="center" vertical="center"/>
    </xf>
    <xf numFmtId="187" fontId="15" fillId="0" borderId="6" xfId="6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87" fontId="15" fillId="0" borderId="11" xfId="0" applyNumberFormat="1" applyFont="1" applyBorder="1" applyAlignment="1">
      <alignment horizontal="center" vertical="center"/>
    </xf>
    <xf numFmtId="187" fontId="15" fillId="0" borderId="12" xfId="0" applyNumberFormat="1" applyFont="1" applyBorder="1" applyAlignment="1">
      <alignment horizontal="center" vertical="center" wrapText="1"/>
    </xf>
    <xf numFmtId="187" fontId="15" fillId="0" borderId="12" xfId="0" applyNumberFormat="1" applyFont="1" applyBorder="1" applyAlignment="1">
      <alignment horizontal="center" vertical="center"/>
    </xf>
    <xf numFmtId="187" fontId="15" fillId="0" borderId="27" xfId="0" applyNumberFormat="1" applyFont="1" applyBorder="1" applyAlignment="1">
      <alignment horizontal="center" vertical="center"/>
    </xf>
    <xf numFmtId="187" fontId="15" fillId="0" borderId="14" xfId="0" applyNumberFormat="1" applyFont="1" applyBorder="1" applyAlignment="1">
      <alignment horizontal="center" vertical="center" wrapText="1"/>
    </xf>
    <xf numFmtId="187" fontId="15" fillId="0" borderId="13" xfId="0" applyNumberFormat="1" applyFont="1" applyBorder="1" applyAlignment="1">
      <alignment horizontal="center" vertical="center"/>
    </xf>
    <xf numFmtId="187" fontId="15" fillId="0" borderId="11" xfId="6" applyNumberFormat="1" applyFont="1" applyBorder="1" applyAlignment="1">
      <alignment horizontal="center" vertical="center"/>
    </xf>
    <xf numFmtId="187" fontId="15" fillId="0" borderId="12" xfId="6" applyNumberFormat="1" applyFont="1" applyBorder="1" applyAlignment="1">
      <alignment horizontal="center" vertical="center" wrapText="1"/>
    </xf>
    <xf numFmtId="187" fontId="15" fillId="0" borderId="14" xfId="6" applyNumberFormat="1" applyFont="1" applyBorder="1" applyAlignment="1">
      <alignment horizontal="center" vertical="center" wrapText="1"/>
    </xf>
    <xf numFmtId="187" fontId="15" fillId="0" borderId="13" xfId="6" applyNumberFormat="1" applyFont="1" applyBorder="1" applyAlignment="1">
      <alignment horizontal="center" vertical="center"/>
    </xf>
    <xf numFmtId="187" fontId="15" fillId="0" borderId="11" xfId="0" applyNumberFormat="1" applyFont="1" applyBorder="1" applyAlignment="1">
      <alignment horizontal="center" vertical="center" wrapText="1"/>
    </xf>
    <xf numFmtId="187" fontId="15" fillId="0" borderId="11" xfId="6" applyNumberFormat="1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87" fontId="15" fillId="0" borderId="19" xfId="0" applyNumberFormat="1" applyFont="1" applyBorder="1" applyAlignment="1">
      <alignment horizontal="center" vertical="center"/>
    </xf>
    <xf numFmtId="187" fontId="15" fillId="0" borderId="20" xfId="0" applyNumberFormat="1" applyFont="1" applyBorder="1" applyAlignment="1">
      <alignment horizontal="center" vertical="center" wrapText="1"/>
    </xf>
    <xf numFmtId="187" fontId="15" fillId="0" borderId="20" xfId="0" applyNumberFormat="1" applyFont="1" applyBorder="1" applyAlignment="1">
      <alignment horizontal="center" vertical="center"/>
    </xf>
    <xf numFmtId="187" fontId="15" fillId="0" borderId="29" xfId="0" applyNumberFormat="1" applyFont="1" applyBorder="1" applyAlignment="1">
      <alignment horizontal="center" vertical="center"/>
    </xf>
    <xf numFmtId="187" fontId="15" fillId="0" borderId="22" xfId="0" applyNumberFormat="1" applyFont="1" applyBorder="1" applyAlignment="1">
      <alignment horizontal="center" vertical="center" wrapText="1"/>
    </xf>
    <xf numFmtId="187" fontId="15" fillId="0" borderId="19" xfId="6" applyNumberFormat="1" applyFont="1" applyBorder="1" applyAlignment="1">
      <alignment horizontal="center" vertical="center"/>
    </xf>
    <xf numFmtId="187" fontId="15" fillId="0" borderId="20" xfId="6" applyNumberFormat="1" applyFont="1" applyBorder="1" applyAlignment="1">
      <alignment horizontal="center" vertical="center" wrapText="1"/>
    </xf>
    <xf numFmtId="187" fontId="15" fillId="0" borderId="22" xfId="6" applyNumberFormat="1" applyFont="1" applyBorder="1" applyAlignment="1">
      <alignment horizontal="center" vertical="center" wrapText="1"/>
    </xf>
    <xf numFmtId="187" fontId="15" fillId="0" borderId="21" xfId="6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shrinkToFit="1"/>
    </xf>
    <xf numFmtId="2" fontId="9" fillId="0" borderId="33" xfId="0" applyNumberFormat="1" applyFont="1" applyBorder="1" applyAlignment="1">
      <alignment horizontal="center" vertical="center" shrinkToFit="1"/>
    </xf>
    <xf numFmtId="2" fontId="9" fillId="0" borderId="32" xfId="0" applyNumberFormat="1" applyFont="1" applyBorder="1" applyAlignment="1">
      <alignment horizontal="center" vertical="center" shrinkToFit="1"/>
    </xf>
    <xf numFmtId="2" fontId="9" fillId="0" borderId="30" xfId="6" applyNumberFormat="1" applyFont="1" applyBorder="1" applyAlignment="1">
      <alignment horizontal="center" vertical="center" shrinkToFit="1"/>
    </xf>
    <xf numFmtId="2" fontId="9" fillId="0" borderId="33" xfId="6" applyNumberFormat="1" applyFont="1" applyBorder="1" applyAlignment="1">
      <alignment horizontal="center" vertical="center" shrinkToFit="1"/>
    </xf>
    <xf numFmtId="2" fontId="9" fillId="0" borderId="31" xfId="6" applyNumberFormat="1" applyFont="1" applyBorder="1" applyAlignment="1">
      <alignment horizontal="center" vertical="center" shrinkToFit="1"/>
    </xf>
    <xf numFmtId="2" fontId="9" fillId="0" borderId="34" xfId="6" applyNumberFormat="1" applyFont="1" applyBorder="1" applyAlignment="1">
      <alignment horizontal="center" vertical="center" shrinkToFit="1"/>
    </xf>
    <xf numFmtId="2" fontId="9" fillId="0" borderId="11" xfId="0" applyNumberFormat="1" applyFont="1" applyBorder="1" applyAlignment="1">
      <alignment horizontal="center" vertical="center" shrinkToFit="1"/>
    </xf>
    <xf numFmtId="2" fontId="9" fillId="0" borderId="12" xfId="0" applyNumberFormat="1" applyFont="1" applyBorder="1" applyAlignment="1">
      <alignment horizontal="center" vertical="center" shrinkToFit="1"/>
    </xf>
    <xf numFmtId="2" fontId="9" fillId="0" borderId="27" xfId="0" applyNumberFormat="1" applyFont="1" applyBorder="1" applyAlignment="1">
      <alignment horizontal="center" vertical="center" shrinkToFit="1"/>
    </xf>
    <xf numFmtId="2" fontId="9" fillId="0" borderId="11" xfId="6" applyNumberFormat="1" applyFont="1" applyBorder="1" applyAlignment="1">
      <alignment horizontal="center" vertical="center" shrinkToFit="1"/>
    </xf>
    <xf numFmtId="2" fontId="9" fillId="0" borderId="12" xfId="6" applyNumberFormat="1" applyFont="1" applyBorder="1" applyAlignment="1">
      <alignment horizontal="center" vertical="center" shrinkToFit="1"/>
    </xf>
    <xf numFmtId="2" fontId="9" fillId="0" borderId="14" xfId="6" applyNumberFormat="1" applyFont="1" applyBorder="1" applyAlignment="1">
      <alignment horizontal="center" vertical="center" shrinkToFit="1"/>
    </xf>
    <xf numFmtId="2" fontId="9" fillId="0" borderId="13" xfId="6" applyNumberFormat="1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horizontal="center" vertical="center" shrinkToFit="1"/>
    </xf>
    <xf numFmtId="2" fontId="9" fillId="0" borderId="20" xfId="0" applyNumberFormat="1" applyFont="1" applyBorder="1" applyAlignment="1">
      <alignment horizontal="center" vertical="center" shrinkToFit="1"/>
    </xf>
    <xf numFmtId="2" fontId="9" fillId="0" borderId="29" xfId="0" applyNumberFormat="1" applyFont="1" applyBorder="1" applyAlignment="1">
      <alignment horizontal="center" vertical="center" shrinkToFit="1"/>
    </xf>
    <xf numFmtId="2" fontId="9" fillId="0" borderId="19" xfId="6" applyNumberFormat="1" applyFont="1" applyBorder="1" applyAlignment="1">
      <alignment horizontal="center" vertical="center" shrinkToFit="1"/>
    </xf>
    <xf numFmtId="2" fontId="9" fillId="0" borderId="20" xfId="6" applyNumberFormat="1" applyFont="1" applyBorder="1" applyAlignment="1">
      <alignment horizontal="center" vertical="center" shrinkToFit="1"/>
    </xf>
    <xf numFmtId="2" fontId="9" fillId="0" borderId="22" xfId="6" applyNumberFormat="1" applyFont="1" applyBorder="1" applyAlignment="1">
      <alignment horizontal="center" vertical="center" shrinkToFit="1"/>
    </xf>
    <xf numFmtId="2" fontId="9" fillId="0" borderId="21" xfId="6" applyNumberFormat="1" applyFont="1" applyBorder="1" applyAlignment="1">
      <alignment horizontal="center" vertical="center" shrinkToFit="1"/>
    </xf>
    <xf numFmtId="0" fontId="15" fillId="0" borderId="0" xfId="6" applyFont="1" applyAlignment="1">
      <alignment horizontal="center" vertical="center" wrapText="1"/>
    </xf>
    <xf numFmtId="2" fontId="15" fillId="0" borderId="0" xfId="6" applyNumberFormat="1" applyFont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40" fillId="0" borderId="58" xfId="5" applyFont="1" applyBorder="1" applyAlignment="1">
      <alignment horizontal="center" vertical="center"/>
    </xf>
    <xf numFmtId="187" fontId="12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1" xfId="5" applyFont="1" applyBorder="1" applyAlignment="1">
      <alignment vertical="center"/>
    </xf>
    <xf numFmtId="0" fontId="12" fillId="0" borderId="57" xfId="5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>
      <alignment horizontal="center"/>
    </xf>
    <xf numFmtId="0" fontId="4" fillId="0" borderId="0" xfId="12" applyFont="1" applyAlignment="1">
      <alignment textRotation="90"/>
    </xf>
    <xf numFmtId="0" fontId="4" fillId="0" borderId="0" xfId="12" applyFont="1"/>
    <xf numFmtId="0" fontId="49" fillId="0" borderId="12" xfId="12" applyFont="1" applyBorder="1" applyAlignment="1">
      <alignment horizontal="center" vertical="center" shrinkToFit="1"/>
    </xf>
    <xf numFmtId="0" fontId="50" fillId="0" borderId="79" xfId="12" applyFont="1" applyBorder="1" applyAlignment="1">
      <alignment horizontal="center" vertical="center" shrinkToFit="1"/>
    </xf>
    <xf numFmtId="0" fontId="50" fillId="0" borderId="80" xfId="12" applyFont="1" applyBorder="1" applyAlignment="1">
      <alignment horizontal="center" vertical="center" shrinkToFit="1"/>
    </xf>
    <xf numFmtId="0" fontId="50" fillId="0" borderId="81" xfId="12" applyFont="1" applyBorder="1" applyAlignment="1">
      <alignment horizontal="center" vertical="center" shrinkToFit="1"/>
    </xf>
    <xf numFmtId="0" fontId="49" fillId="0" borderId="56" xfId="12" applyFont="1" applyBorder="1" applyAlignment="1">
      <alignment horizontal="center" vertical="center" shrinkToFit="1"/>
    </xf>
    <xf numFmtId="0" fontId="50" fillId="0" borderId="79" xfId="12" applyFont="1" applyBorder="1" applyAlignment="1" applyProtection="1">
      <alignment horizontal="center" vertical="center" shrinkToFit="1"/>
      <protection locked="0"/>
    </xf>
    <xf numFmtId="0" fontId="50" fillId="0" borderId="80" xfId="12" applyFont="1" applyBorder="1" applyAlignment="1" applyProtection="1">
      <alignment horizontal="center" vertical="center" shrinkToFit="1"/>
      <protection locked="0"/>
    </xf>
    <xf numFmtId="0" fontId="50" fillId="0" borderId="81" xfId="12" applyFont="1" applyBorder="1" applyAlignment="1" applyProtection="1">
      <alignment horizontal="center" vertical="center" shrinkToFit="1"/>
      <protection locked="0"/>
    </xf>
    <xf numFmtId="0" fontId="50" fillId="0" borderId="82" xfId="12" applyFont="1" applyBorder="1" applyAlignment="1">
      <alignment horizontal="center" vertical="center" shrinkToFit="1"/>
    </xf>
    <xf numFmtId="0" fontId="50" fillId="0" borderId="83" xfId="12" applyFont="1" applyBorder="1" applyAlignment="1">
      <alignment horizontal="center" vertical="center" shrinkToFit="1"/>
    </xf>
    <xf numFmtId="0" fontId="8" fillId="0" borderId="84" xfId="1" applyFont="1" applyBorder="1" applyAlignment="1">
      <alignment vertical="center"/>
    </xf>
    <xf numFmtId="0" fontId="8" fillId="0" borderId="85" xfId="1" applyFont="1" applyBorder="1" applyAlignment="1">
      <alignment vertical="center"/>
    </xf>
    <xf numFmtId="0" fontId="4" fillId="0" borderId="86" xfId="12" applyFont="1" applyBorder="1" applyAlignment="1">
      <alignment horizontal="center" vertical="center" shrinkToFit="1"/>
    </xf>
    <xf numFmtId="0" fontId="4" fillId="0" borderId="87" xfId="12" applyFont="1" applyBorder="1" applyAlignment="1" applyProtection="1">
      <alignment horizontal="center" vertical="center" shrinkToFit="1"/>
      <protection locked="0"/>
    </xf>
    <xf numFmtId="0" fontId="4" fillId="0" borderId="88" xfId="12" applyFont="1" applyBorder="1" applyAlignment="1" applyProtection="1">
      <alignment horizontal="center" vertical="center" shrinkToFit="1"/>
      <protection locked="0"/>
    </xf>
    <xf numFmtId="0" fontId="4" fillId="0" borderId="89" xfId="12" applyFont="1" applyBorder="1" applyAlignment="1" applyProtection="1">
      <alignment horizontal="center" vertical="center" shrinkToFit="1"/>
      <protection locked="0"/>
    </xf>
    <xf numFmtId="0" fontId="4" fillId="0" borderId="87" xfId="12" applyFont="1" applyBorder="1" applyAlignment="1">
      <alignment horizontal="center" vertical="center" shrinkToFit="1"/>
    </xf>
    <xf numFmtId="0" fontId="4" fillId="0" borderId="88" xfId="12" applyFont="1" applyBorder="1" applyAlignment="1">
      <alignment horizontal="center" vertical="center" shrinkToFit="1"/>
    </xf>
    <xf numFmtId="0" fontId="4" fillId="0" borderId="89" xfId="12" applyFont="1" applyBorder="1" applyAlignment="1">
      <alignment horizontal="center" vertical="center" shrinkToFit="1"/>
    </xf>
    <xf numFmtId="0" fontId="4" fillId="0" borderId="90" xfId="12" applyFont="1" applyBorder="1" applyAlignment="1">
      <alignment horizontal="center" vertical="center" shrinkToFit="1"/>
    </xf>
    <xf numFmtId="0" fontId="4" fillId="0" borderId="91" xfId="12" applyFont="1" applyBorder="1" applyAlignment="1">
      <alignment horizontal="center" vertical="center" shrinkToFit="1"/>
    </xf>
    <xf numFmtId="0" fontId="8" fillId="0" borderId="92" xfId="1" applyFont="1" applyBorder="1" applyAlignment="1">
      <alignment vertical="center"/>
    </xf>
    <xf numFmtId="0" fontId="8" fillId="0" borderId="93" xfId="1" applyFont="1" applyBorder="1" applyAlignment="1">
      <alignment vertical="center"/>
    </xf>
    <xf numFmtId="0" fontId="4" fillId="0" borderId="94" xfId="12" applyFont="1" applyBorder="1" applyAlignment="1">
      <alignment horizontal="center" vertical="center" shrinkToFit="1"/>
    </xf>
    <xf numFmtId="0" fontId="4" fillId="0" borderId="95" xfId="12" applyFont="1" applyBorder="1" applyAlignment="1" applyProtection="1">
      <alignment horizontal="center" vertical="center" shrinkToFit="1"/>
      <protection locked="0"/>
    </xf>
    <xf numFmtId="0" fontId="4" fillId="0" borderId="96" xfId="12" applyFont="1" applyBorder="1" applyAlignment="1" applyProtection="1">
      <alignment horizontal="center" vertical="center" shrinkToFit="1"/>
      <protection locked="0"/>
    </xf>
    <xf numFmtId="0" fontId="4" fillId="0" borderId="97" xfId="12" applyFont="1" applyBorder="1" applyAlignment="1" applyProtection="1">
      <alignment horizontal="center" vertical="center" shrinkToFit="1"/>
      <protection locked="0"/>
    </xf>
    <xf numFmtId="0" fontId="4" fillId="0" borderId="95" xfId="12" applyFont="1" applyBorder="1" applyAlignment="1">
      <alignment horizontal="center" vertical="center" shrinkToFit="1"/>
    </xf>
    <xf numFmtId="0" fontId="4" fillId="0" borderId="96" xfId="12" applyFont="1" applyBorder="1" applyAlignment="1">
      <alignment horizontal="center" vertical="center" shrinkToFit="1"/>
    </xf>
    <xf numFmtId="0" fontId="4" fillId="0" borderId="97" xfId="12" applyFont="1" applyBorder="1" applyAlignment="1">
      <alignment horizontal="center" vertical="center" shrinkToFit="1"/>
    </xf>
    <xf numFmtId="0" fontId="4" fillId="0" borderId="98" xfId="12" applyFont="1" applyBorder="1" applyAlignment="1">
      <alignment horizontal="center" vertical="center" shrinkToFit="1"/>
    </xf>
    <xf numFmtId="0" fontId="4" fillId="0" borderId="99" xfId="12" applyFont="1" applyBorder="1" applyAlignment="1">
      <alignment horizontal="center" vertical="center" shrinkToFit="1"/>
    </xf>
    <xf numFmtId="0" fontId="4" fillId="0" borderId="100" xfId="12" applyFont="1" applyBorder="1" applyAlignment="1">
      <alignment horizontal="center" vertical="center" shrinkToFit="1"/>
    </xf>
    <xf numFmtId="0" fontId="4" fillId="0" borderId="101" xfId="12" applyFont="1" applyBorder="1" applyAlignment="1">
      <alignment horizontal="center" vertical="center" shrinkToFit="1"/>
    </xf>
    <xf numFmtId="0" fontId="4" fillId="0" borderId="102" xfId="12" applyFont="1" applyBorder="1" applyAlignment="1">
      <alignment horizontal="center" vertical="center" shrinkToFit="1"/>
    </xf>
    <xf numFmtId="0" fontId="4" fillId="0" borderId="103" xfId="12" applyFont="1" applyBorder="1" applyAlignment="1">
      <alignment horizontal="center" vertical="center" shrinkToFit="1"/>
    </xf>
    <xf numFmtId="0" fontId="4" fillId="0" borderId="104" xfId="12" applyFont="1" applyBorder="1" applyAlignment="1">
      <alignment horizontal="center" vertical="center" shrinkToFit="1"/>
    </xf>
    <xf numFmtId="0" fontId="4" fillId="0" borderId="101" xfId="12" applyFont="1" applyBorder="1" applyAlignment="1" applyProtection="1">
      <alignment horizontal="center" vertical="center" shrinkToFit="1"/>
      <protection locked="0"/>
    </xf>
    <xf numFmtId="0" fontId="4" fillId="0" borderId="103" xfId="12" applyFont="1" applyBorder="1" applyAlignment="1" applyProtection="1">
      <alignment horizontal="center" vertical="center" shrinkToFit="1"/>
      <protection locked="0"/>
    </xf>
    <xf numFmtId="0" fontId="4" fillId="0" borderId="105" xfId="12" applyFont="1" applyBorder="1" applyAlignment="1" applyProtection="1">
      <alignment horizontal="center" vertical="center" shrinkToFit="1"/>
      <protection locked="0"/>
    </xf>
    <xf numFmtId="0" fontId="4" fillId="0" borderId="57" xfId="12" applyFont="1" applyBorder="1"/>
    <xf numFmtId="0" fontId="4" fillId="0" borderId="105" xfId="12" applyFont="1" applyBorder="1" applyAlignment="1">
      <alignment horizontal="center" vertical="center" shrinkToFit="1"/>
    </xf>
    <xf numFmtId="2" fontId="4" fillId="0" borderId="86" xfId="12" applyNumberFormat="1" applyFont="1" applyBorder="1" applyAlignment="1">
      <alignment horizontal="center" vertical="center" shrinkToFit="1"/>
    </xf>
    <xf numFmtId="2" fontId="4" fillId="0" borderId="94" xfId="12" applyNumberFormat="1" applyFont="1" applyBorder="1" applyAlignment="1">
      <alignment horizontal="center" vertical="center" shrinkToFit="1"/>
    </xf>
    <xf numFmtId="2" fontId="4" fillId="0" borderId="100" xfId="12" applyNumberFormat="1" applyFont="1" applyBorder="1" applyAlignment="1">
      <alignment horizontal="center" vertical="center" shrinkToFit="1"/>
    </xf>
    <xf numFmtId="0" fontId="8" fillId="0" borderId="73" xfId="1" applyFont="1" applyBorder="1" applyAlignment="1">
      <alignment vertical="center"/>
    </xf>
    <xf numFmtId="0" fontId="8" fillId="0" borderId="85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0" xfId="12" applyFont="1" applyProtection="1">
      <protection locked="0"/>
    </xf>
    <xf numFmtId="0" fontId="4" fillId="0" borderId="84" xfId="12" applyFont="1" applyBorder="1" applyAlignment="1" applyProtection="1">
      <alignment horizontal="center" vertical="center" shrinkToFit="1"/>
      <protection locked="0"/>
    </xf>
    <xf numFmtId="0" fontId="4" fillId="0" borderId="106" xfId="12" applyFont="1" applyBorder="1" applyAlignment="1" applyProtection="1">
      <alignment horizontal="center" vertical="center" shrinkToFit="1"/>
      <protection locked="0"/>
    </xf>
    <xf numFmtId="0" fontId="4" fillId="0" borderId="92" xfId="12" applyFont="1" applyBorder="1" applyAlignment="1" applyProtection="1">
      <alignment horizontal="center" vertical="center" shrinkToFit="1"/>
      <protection locked="0"/>
    </xf>
    <xf numFmtId="0" fontId="4" fillId="0" borderId="107" xfId="12" applyFont="1" applyBorder="1" applyAlignment="1" applyProtection="1">
      <alignment horizontal="center" vertical="center" shrinkToFit="1"/>
      <protection locked="0"/>
    </xf>
    <xf numFmtId="0" fontId="4" fillId="0" borderId="108" xfId="12" applyFont="1" applyBorder="1" applyAlignment="1" applyProtection="1">
      <alignment horizontal="center" vertical="center" shrinkToFit="1"/>
      <protection locked="0"/>
    </xf>
    <xf numFmtId="0" fontId="4" fillId="0" borderId="109" xfId="12" applyFont="1" applyBorder="1" applyAlignment="1" applyProtection="1">
      <alignment horizontal="center" vertical="center" shrinkToFit="1"/>
      <protection locked="0"/>
    </xf>
    <xf numFmtId="0" fontId="4" fillId="0" borderId="110" xfId="12" applyFont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>
      <alignment horizontal="center" shrinkToFit="1"/>
    </xf>
    <xf numFmtId="0" fontId="14" fillId="5" borderId="20" xfId="0" applyFont="1" applyFill="1" applyBorder="1" applyAlignment="1">
      <alignment horizontal="center" shrinkToFit="1"/>
    </xf>
    <xf numFmtId="2" fontId="15" fillId="0" borderId="30" xfId="0" applyNumberFormat="1" applyFont="1" applyBorder="1" applyAlignment="1">
      <alignment horizontal="center" wrapText="1"/>
    </xf>
    <xf numFmtId="0" fontId="15" fillId="4" borderId="33" xfId="0" applyFont="1" applyFill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wrapText="1"/>
    </xf>
    <xf numFmtId="0" fontId="15" fillId="4" borderId="12" xfId="0" applyFont="1" applyFill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5" fillId="0" borderId="69" xfId="0" applyNumberFormat="1" applyFont="1" applyBorder="1" applyAlignment="1">
      <alignment horizontal="center" wrapText="1"/>
    </xf>
    <xf numFmtId="0" fontId="15" fillId="4" borderId="70" xfId="0" applyFont="1" applyFill="1" applyBorder="1" applyAlignment="1">
      <alignment horizontal="center"/>
    </xf>
    <xf numFmtId="2" fontId="15" fillId="0" borderId="70" xfId="0" applyNumberFormat="1" applyFont="1" applyBorder="1" applyAlignment="1">
      <alignment horizontal="center"/>
    </xf>
    <xf numFmtId="2" fontId="15" fillId="0" borderId="71" xfId="0" applyNumberFormat="1" applyFont="1" applyBorder="1" applyAlignment="1">
      <alignment horizontal="center" wrapText="1"/>
    </xf>
    <xf numFmtId="0" fontId="15" fillId="4" borderId="72" xfId="0" applyFont="1" applyFill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 shrinkToFit="1"/>
    </xf>
    <xf numFmtId="2" fontId="15" fillId="0" borderId="19" xfId="0" applyNumberFormat="1" applyFont="1" applyBorder="1" applyAlignment="1">
      <alignment horizontal="center" wrapText="1"/>
    </xf>
    <xf numFmtId="0" fontId="15" fillId="4" borderId="20" xfId="0" applyFont="1" applyFill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187" fontId="8" fillId="0" borderId="42" xfId="15" applyNumberFormat="1" applyFont="1" applyBorder="1" applyAlignment="1" applyProtection="1">
      <alignment horizontal="center"/>
      <protection locked="0" hidden="1"/>
    </xf>
    <xf numFmtId="0" fontId="14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textRotation="90" shrinkToFit="1"/>
    </xf>
    <xf numFmtId="0" fontId="14" fillId="0" borderId="57" xfId="0" applyFont="1" applyBorder="1" applyAlignment="1">
      <alignment horizontal="center" vertical="center" shrinkToFit="1"/>
    </xf>
    <xf numFmtId="187" fontId="15" fillId="0" borderId="65" xfId="0" applyNumberFormat="1" applyFont="1" applyBorder="1" applyAlignment="1">
      <alignment horizontal="center" vertical="center"/>
    </xf>
    <xf numFmtId="187" fontId="15" fillId="0" borderId="28" xfId="0" applyNumberFormat="1" applyFont="1" applyBorder="1" applyAlignment="1">
      <alignment horizontal="center" vertical="center"/>
    </xf>
    <xf numFmtId="187" fontId="15" fillId="0" borderId="4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shrinkToFit="1"/>
    </xf>
    <xf numFmtId="2" fontId="9" fillId="0" borderId="5" xfId="0" applyNumberFormat="1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center"/>
      <protection locked="0"/>
    </xf>
    <xf numFmtId="187" fontId="15" fillId="2" borderId="56" xfId="1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/>
    <xf numFmtId="0" fontId="15" fillId="0" borderId="7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22" xfId="0" applyFont="1" applyFill="1" applyBorder="1" applyAlignment="1">
      <alignment horizontal="left" vertical="center" shrinkToFit="1"/>
    </xf>
    <xf numFmtId="0" fontId="15" fillId="2" borderId="29" xfId="0" applyFont="1" applyFill="1" applyBorder="1" applyAlignment="1">
      <alignment horizontal="left" vertical="center" shrinkToFit="1"/>
    </xf>
    <xf numFmtId="187" fontId="12" fillId="19" borderId="42" xfId="15" applyNumberFormat="1" applyFont="1" applyFill="1" applyBorder="1" applyAlignment="1" applyProtection="1">
      <alignment horizontal="center"/>
      <protection locked="0" hidden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0" fillId="3" borderId="46" xfId="0" applyFont="1" applyFill="1" applyBorder="1" applyProtection="1">
      <protection locked="0"/>
    </xf>
    <xf numFmtId="0" fontId="54" fillId="0" borderId="0" xfId="6" applyFont="1"/>
    <xf numFmtId="0" fontId="53" fillId="0" borderId="12" xfId="6" applyFont="1" applyBorder="1" applyAlignment="1">
      <alignment horizontal="center"/>
    </xf>
    <xf numFmtId="0" fontId="53" fillId="0" borderId="12" xfId="6" applyFont="1" applyBorder="1"/>
    <xf numFmtId="0" fontId="53" fillId="0" borderId="14" xfId="6" applyFont="1" applyBorder="1" applyAlignment="1">
      <alignment horizontal="center"/>
    </xf>
    <xf numFmtId="0" fontId="54" fillId="0" borderId="12" xfId="6" applyFont="1" applyBorder="1" applyAlignment="1">
      <alignment horizontal="center"/>
    </xf>
    <xf numFmtId="0" fontId="54" fillId="0" borderId="12" xfId="6" applyFont="1" applyBorder="1" applyAlignment="1">
      <alignment horizontal="left"/>
    </xf>
    <xf numFmtId="0" fontId="54" fillId="0" borderId="14" xfId="6" applyFont="1" applyBorder="1" applyAlignment="1">
      <alignment horizontal="center"/>
    </xf>
    <xf numFmtId="0" fontId="54" fillId="0" borderId="12" xfId="6" applyFont="1" applyBorder="1"/>
    <xf numFmtId="187" fontId="54" fillId="0" borderId="12" xfId="6" applyNumberFormat="1" applyFont="1" applyBorder="1" applyAlignment="1">
      <alignment horizontal="center"/>
    </xf>
    <xf numFmtId="0" fontId="55" fillId="0" borderId="12" xfId="6" applyFont="1" applyBorder="1" applyAlignment="1">
      <alignment horizontal="center"/>
    </xf>
    <xf numFmtId="0" fontId="55" fillId="0" borderId="12" xfId="6" applyFont="1" applyBorder="1"/>
    <xf numFmtId="0" fontId="7" fillId="0" borderId="0" xfId="0" applyFont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4" fillId="0" borderId="39" xfId="0" applyFont="1" applyBorder="1" applyAlignment="1">
      <alignment horizontal="center" vertical="center"/>
    </xf>
    <xf numFmtId="187" fontId="15" fillId="0" borderId="37" xfId="0" applyNumberFormat="1" applyFont="1" applyBorder="1" applyAlignment="1">
      <alignment horizontal="center" vertical="center"/>
    </xf>
    <xf numFmtId="187" fontId="15" fillId="0" borderId="38" xfId="0" applyNumberFormat="1" applyFont="1" applyBorder="1" applyAlignment="1" applyProtection="1">
      <alignment horizontal="center" vertical="center"/>
      <protection hidden="1"/>
    </xf>
    <xf numFmtId="187" fontId="15" fillId="0" borderId="39" xfId="0" applyNumberFormat="1" applyFont="1" applyBorder="1" applyAlignment="1" applyProtection="1">
      <alignment horizontal="center" vertical="center"/>
      <protection hidden="1"/>
    </xf>
    <xf numFmtId="2" fontId="9" fillId="0" borderId="40" xfId="0" applyNumberFormat="1" applyFont="1" applyBorder="1" applyAlignment="1">
      <alignment horizontal="center" vertical="center" shrinkToFit="1"/>
    </xf>
    <xf numFmtId="2" fontId="9" fillId="0" borderId="38" xfId="0" applyNumberFormat="1" applyFont="1" applyBorder="1" applyAlignment="1">
      <alignment horizontal="center" vertical="center" shrinkToFit="1"/>
    </xf>
    <xf numFmtId="2" fontId="25" fillId="0" borderId="38" xfId="0" applyNumberFormat="1" applyFont="1" applyBorder="1" applyAlignment="1">
      <alignment horizontal="center" vertical="center" shrinkToFit="1"/>
    </xf>
    <xf numFmtId="2" fontId="9" fillId="0" borderId="39" xfId="0" applyNumberFormat="1" applyFont="1" applyBorder="1" applyAlignment="1">
      <alignment horizontal="center" vertical="center" shrinkToFit="1"/>
    </xf>
    <xf numFmtId="2" fontId="15" fillId="0" borderId="37" xfId="0" applyNumberFormat="1" applyFont="1" applyBorder="1" applyAlignment="1">
      <alignment horizontal="center" vertical="center" shrinkToFit="1"/>
    </xf>
    <xf numFmtId="2" fontId="15" fillId="0" borderId="38" xfId="0" applyNumberFormat="1" applyFont="1" applyBorder="1" applyAlignment="1">
      <alignment horizontal="center" vertical="center" shrinkToFit="1"/>
    </xf>
    <xf numFmtId="2" fontId="15" fillId="0" borderId="39" xfId="0" applyNumberFormat="1" applyFont="1" applyBorder="1" applyAlignment="1">
      <alignment horizontal="center" vertical="center" shrinkToFit="1"/>
    </xf>
    <xf numFmtId="2" fontId="15" fillId="0" borderId="25" xfId="0" applyNumberFormat="1" applyFont="1" applyBorder="1" applyAlignment="1">
      <alignment horizontal="center" vertical="center" shrinkToFit="1"/>
    </xf>
    <xf numFmtId="2" fontId="15" fillId="0" borderId="27" xfId="0" applyNumberFormat="1" applyFont="1" applyBorder="1" applyAlignment="1">
      <alignment horizontal="center" vertical="center" shrinkToFit="1"/>
    </xf>
    <xf numFmtId="2" fontId="15" fillId="0" borderId="29" xfId="0" applyNumberFormat="1" applyFont="1" applyBorder="1" applyAlignment="1">
      <alignment horizontal="center" vertical="center" shrinkToFit="1"/>
    </xf>
    <xf numFmtId="0" fontId="18" fillId="0" borderId="0" xfId="10" applyAlignment="1">
      <alignment horizontal="center"/>
    </xf>
    <xf numFmtId="0" fontId="18" fillId="0" borderId="0" xfId="10"/>
    <xf numFmtId="49" fontId="18" fillId="0" borderId="0" xfId="10" applyNumberFormat="1" applyAlignment="1">
      <alignment horizontal="center"/>
    </xf>
    <xf numFmtId="0" fontId="11" fillId="0" borderId="0" xfId="0" applyFont="1"/>
    <xf numFmtId="0" fontId="26" fillId="11" borderId="0" xfId="1" applyFont="1" applyFill="1" applyAlignment="1">
      <alignment horizontal="left"/>
    </xf>
    <xf numFmtId="0" fontId="10" fillId="11" borderId="0" xfId="1" applyFont="1" applyFill="1" applyAlignment="1" applyProtection="1">
      <alignment horizontal="left"/>
      <protection hidden="1"/>
    </xf>
    <xf numFmtId="0" fontId="54" fillId="0" borderId="0" xfId="6" applyFont="1" applyAlignment="1">
      <alignment horizontal="center"/>
    </xf>
    <xf numFmtId="0" fontId="54" fillId="0" borderId="0" xfId="10" applyFont="1"/>
    <xf numFmtId="0" fontId="54" fillId="0" borderId="12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/>
    <xf numFmtId="0" fontId="12" fillId="0" borderId="12" xfId="10" applyFont="1" applyBorder="1" applyAlignment="1">
      <alignment horizontal="center"/>
    </xf>
    <xf numFmtId="0" fontId="12" fillId="0" borderId="12" xfId="10" applyFont="1" applyBorder="1"/>
    <xf numFmtId="0" fontId="54" fillId="0" borderId="0" xfId="10" applyFont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29" fillId="7" borderId="0" xfId="2" applyFont="1" applyFill="1" applyAlignment="1">
      <alignment horizontal="center"/>
    </xf>
    <xf numFmtId="0" fontId="11" fillId="7" borderId="0" xfId="1" applyFont="1" applyFill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4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6" fillId="11" borderId="0" xfId="1" applyFont="1" applyFill="1" applyAlignment="1">
      <alignment horizontal="left"/>
    </xf>
    <xf numFmtId="0" fontId="26" fillId="11" borderId="10" xfId="1" applyFont="1" applyFill="1" applyBorder="1" applyAlignment="1">
      <alignment horizontal="left"/>
    </xf>
    <xf numFmtId="0" fontId="40" fillId="12" borderId="0" xfId="1" applyFont="1" applyFill="1" applyAlignment="1">
      <alignment horizontal="center"/>
    </xf>
    <xf numFmtId="0" fontId="11" fillId="13" borderId="12" xfId="1" applyFont="1" applyFill="1" applyBorder="1" applyAlignment="1">
      <alignment horizontal="center" vertical="center"/>
    </xf>
    <xf numFmtId="0" fontId="11" fillId="14" borderId="12" xfId="1" applyFont="1" applyFill="1" applyBorder="1" applyAlignment="1">
      <alignment horizontal="center" vertical="center"/>
    </xf>
    <xf numFmtId="0" fontId="11" fillId="15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/>
    </xf>
    <xf numFmtId="0" fontId="32" fillId="0" borderId="0" xfId="1" applyFont="1" applyAlignment="1">
      <alignment horizontal="center" vertical="center"/>
    </xf>
    <xf numFmtId="0" fontId="13" fillId="18" borderId="56" xfId="2" applyFont="1" applyFill="1" applyBorder="1" applyAlignment="1">
      <alignment horizontal="center" vertical="center" wrapText="1"/>
    </xf>
    <xf numFmtId="0" fontId="13" fillId="18" borderId="75" xfId="2" applyFont="1" applyFill="1" applyBorder="1" applyAlignment="1">
      <alignment horizontal="center" vertical="center" wrapText="1"/>
    </xf>
    <xf numFmtId="0" fontId="13" fillId="18" borderId="33" xfId="2" applyFont="1" applyFill="1" applyBorder="1" applyAlignment="1">
      <alignment horizontal="center" vertical="center" wrapText="1"/>
    </xf>
    <xf numFmtId="0" fontId="13" fillId="18" borderId="12" xfId="1" applyFont="1" applyFill="1" applyBorder="1" applyAlignment="1">
      <alignment horizontal="center" vertical="center"/>
    </xf>
    <xf numFmtId="0" fontId="13" fillId="18" borderId="12" xfId="2" applyFont="1" applyFill="1" applyBorder="1" applyAlignment="1">
      <alignment horizontal="center" vertical="center"/>
    </xf>
    <xf numFmtId="0" fontId="13" fillId="18" borderId="12" xfId="2" applyFont="1" applyFill="1" applyBorder="1" applyAlignment="1">
      <alignment horizontal="left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4" fillId="0" borderId="93" xfId="12" applyFont="1" applyBorder="1" applyAlignment="1" applyProtection="1">
      <alignment horizontal="center" vertical="center" shrinkToFit="1"/>
      <protection locked="0"/>
    </xf>
    <xf numFmtId="0" fontId="50" fillId="0" borderId="56" xfId="12" applyFont="1" applyBorder="1" applyAlignment="1">
      <alignment horizontal="center" vertical="center" shrinkToFit="1"/>
    </xf>
    <xf numFmtId="0" fontId="50" fillId="0" borderId="33" xfId="12" applyFont="1" applyBorder="1" applyAlignment="1">
      <alignment horizontal="center" vertical="center" shrinkToFit="1"/>
    </xf>
    <xf numFmtId="0" fontId="6" fillId="0" borderId="51" xfId="12" applyFont="1" applyBorder="1" applyAlignment="1">
      <alignment horizontal="center" vertical="center" shrinkToFit="1"/>
    </xf>
    <xf numFmtId="0" fontId="6" fillId="0" borderId="57" xfId="12" applyFont="1" applyBorder="1" applyAlignment="1">
      <alignment horizontal="center" vertical="center" shrinkToFit="1"/>
    </xf>
    <xf numFmtId="0" fontId="6" fillId="0" borderId="58" xfId="12" applyFont="1" applyBorder="1" applyAlignment="1">
      <alignment horizontal="center" vertical="center" shrinkToFit="1"/>
    </xf>
    <xf numFmtId="0" fontId="4" fillId="0" borderId="93" xfId="12" applyFont="1" applyBorder="1" applyAlignment="1" applyProtection="1">
      <alignment horizontal="left" vertical="center" shrinkToFit="1"/>
      <protection locked="0"/>
    </xf>
    <xf numFmtId="0" fontId="4" fillId="0" borderId="85" xfId="12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6" fillId="0" borderId="0" xfId="12" applyFont="1" applyAlignment="1">
      <alignment horizontal="center"/>
    </xf>
    <xf numFmtId="0" fontId="4" fillId="0" borderId="57" xfId="12" applyFont="1" applyBorder="1" applyAlignment="1">
      <alignment horizontal="center"/>
    </xf>
    <xf numFmtId="0" fontId="6" fillId="0" borderId="9" xfId="12" applyFont="1" applyBorder="1" applyAlignment="1">
      <alignment horizontal="center" vertical="center" shrinkToFit="1"/>
    </xf>
    <xf numFmtId="0" fontId="6" fillId="0" borderId="0" xfId="12" applyFont="1" applyAlignment="1">
      <alignment horizontal="center" vertical="center" shrinkToFit="1"/>
    </xf>
    <xf numFmtId="0" fontId="6" fillId="0" borderId="50" xfId="12" applyFont="1" applyBorder="1" applyAlignment="1">
      <alignment horizontal="center" vertical="center" shrinkToFit="1"/>
    </xf>
    <xf numFmtId="0" fontId="6" fillId="0" borderId="31" xfId="12" applyFont="1" applyBorder="1" applyAlignment="1">
      <alignment horizontal="center" vertical="center" shrinkToFit="1"/>
    </xf>
    <xf numFmtId="0" fontId="6" fillId="0" borderId="52" xfId="12" applyFont="1" applyBorder="1" applyAlignment="1">
      <alignment horizontal="center" vertical="center" shrinkToFit="1"/>
    </xf>
    <xf numFmtId="0" fontId="6" fillId="0" borderId="45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/>
    </xf>
    <xf numFmtId="0" fontId="4" fillId="0" borderId="0" xfId="12" applyFont="1" applyAlignment="1">
      <alignment horizontal="left"/>
    </xf>
    <xf numFmtId="0" fontId="4" fillId="0" borderId="14" xfId="12" applyFont="1" applyBorder="1" applyAlignment="1">
      <alignment horizontal="center" vertical="center" shrinkToFit="1"/>
    </xf>
    <xf numFmtId="0" fontId="4" fillId="0" borderId="28" xfId="12" applyFont="1" applyBorder="1" applyAlignment="1">
      <alignment horizontal="center" vertical="center" shrinkToFit="1"/>
    </xf>
    <xf numFmtId="0" fontId="4" fillId="0" borderId="42" xfId="12" applyFont="1" applyBorder="1" applyAlignment="1">
      <alignment horizontal="center" vertical="center" shrinkToFit="1"/>
    </xf>
    <xf numFmtId="0" fontId="4" fillId="0" borderId="56" xfId="12" applyFont="1" applyBorder="1" applyAlignment="1">
      <alignment horizontal="center" vertical="center" shrinkToFit="1"/>
    </xf>
    <xf numFmtId="0" fontId="4" fillId="0" borderId="33" xfId="12" applyFont="1" applyBorder="1" applyAlignment="1">
      <alignment horizontal="center" vertical="center" shrinkToFit="1"/>
    </xf>
    <xf numFmtId="0" fontId="6" fillId="0" borderId="56" xfId="12" applyFont="1" applyBorder="1" applyAlignment="1">
      <alignment horizontal="center" vertical="center" textRotation="90" shrinkToFit="1"/>
    </xf>
    <xf numFmtId="0" fontId="6" fillId="0" borderId="75" xfId="12" applyFont="1" applyBorder="1" applyAlignment="1">
      <alignment horizontal="center" vertical="center" textRotation="90" shrinkToFit="1"/>
    </xf>
    <xf numFmtId="0" fontId="6" fillId="0" borderId="33" xfId="12" applyFont="1" applyBorder="1" applyAlignment="1">
      <alignment horizontal="center" vertical="center" textRotation="90" shrinkToFit="1"/>
    </xf>
    <xf numFmtId="0" fontId="6" fillId="0" borderId="14" xfId="12" applyFont="1" applyBorder="1" applyAlignment="1">
      <alignment horizontal="center" vertical="center" shrinkToFit="1"/>
    </xf>
    <xf numFmtId="0" fontId="6" fillId="0" borderId="28" xfId="12" applyFont="1" applyBorder="1" applyAlignment="1">
      <alignment horizontal="center" vertical="center" shrinkToFit="1"/>
    </xf>
    <xf numFmtId="0" fontId="6" fillId="0" borderId="42" xfId="12" applyFont="1" applyBorder="1" applyAlignment="1">
      <alignment horizontal="center" vertical="center" shrinkToFit="1"/>
    </xf>
    <xf numFmtId="0" fontId="4" fillId="0" borderId="82" xfId="12" applyFont="1" applyBorder="1" applyAlignment="1">
      <alignment horizontal="center" vertical="center" shrinkToFit="1"/>
    </xf>
    <xf numFmtId="0" fontId="5" fillId="20" borderId="56" xfId="0" applyFont="1" applyFill="1" applyBorder="1" applyAlignment="1">
      <alignment horizontal="center" vertical="center"/>
    </xf>
    <xf numFmtId="0" fontId="5" fillId="20" borderId="33" xfId="0" applyFont="1" applyFill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14" fillId="0" borderId="4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0" borderId="25" xfId="0" applyFont="1" applyBorder="1" applyAlignment="1">
      <alignment textRotation="90"/>
    </xf>
    <xf numFmtId="0" fontId="15" fillId="0" borderId="27" xfId="0" applyFont="1" applyBorder="1" applyAlignment="1">
      <alignment textRotation="90"/>
    </xf>
    <xf numFmtId="0" fontId="15" fillId="0" borderId="29" xfId="0" applyFont="1" applyBorder="1" applyAlignment="1">
      <alignment textRotation="90"/>
    </xf>
    <xf numFmtId="0" fontId="15" fillId="0" borderId="37" xfId="0" applyFont="1" applyBorder="1" applyAlignment="1">
      <alignment horizontal="center" textRotation="90"/>
    </xf>
    <xf numFmtId="0" fontId="15" fillId="0" borderId="38" xfId="0" applyFont="1" applyBorder="1" applyAlignment="1">
      <alignment horizontal="center" textRotation="90"/>
    </xf>
    <xf numFmtId="0" fontId="13" fillId="20" borderId="12" xfId="0" applyFont="1" applyFill="1" applyBorder="1" applyAlignment="1">
      <alignment horizontal="center" vertical="center" wrapText="1"/>
    </xf>
    <xf numFmtId="0" fontId="13" fillId="20" borderId="12" xfId="0" applyFont="1" applyFill="1" applyBorder="1" applyAlignment="1">
      <alignment horizontal="center" vertical="center"/>
    </xf>
    <xf numFmtId="0" fontId="13" fillId="20" borderId="12" xfId="0" applyFont="1" applyFill="1" applyBorder="1" applyAlignment="1" applyProtection="1">
      <alignment horizontal="center" vertical="center"/>
      <protection locked="0"/>
    </xf>
    <xf numFmtId="0" fontId="13" fillId="20" borderId="12" xfId="0" applyFont="1" applyFill="1" applyBorder="1" applyAlignment="1">
      <alignment horizontal="center" textRotation="90" shrinkToFit="1"/>
    </xf>
    <xf numFmtId="0" fontId="5" fillId="20" borderId="14" xfId="0" applyFont="1" applyFill="1" applyBorder="1" applyAlignment="1">
      <alignment horizontal="center" vertical="center"/>
    </xf>
    <xf numFmtId="2" fontId="5" fillId="20" borderId="56" xfId="0" applyNumberFormat="1" applyFont="1" applyFill="1" applyBorder="1" applyAlignment="1">
      <alignment horizontal="center" vertical="center"/>
    </xf>
    <xf numFmtId="2" fontId="5" fillId="20" borderId="33" xfId="0" applyNumberFormat="1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78" xfId="0" applyFont="1" applyFill="1" applyBorder="1" applyAlignment="1">
      <alignment horizontal="center" textRotation="90" shrinkToFit="1"/>
    </xf>
    <xf numFmtId="0" fontId="14" fillId="5" borderId="58" xfId="0" applyFont="1" applyFill="1" applyBorder="1" applyAlignment="1">
      <alignment horizontal="center" textRotation="90" shrinkToFit="1"/>
    </xf>
    <xf numFmtId="0" fontId="14" fillId="5" borderId="35" xfId="0" applyFont="1" applyFill="1" applyBorder="1" applyAlignment="1">
      <alignment horizontal="center" textRotation="90" shrinkToFit="1"/>
    </xf>
    <xf numFmtId="0" fontId="14" fillId="5" borderId="45" xfId="0" applyFont="1" applyFill="1" applyBorder="1" applyAlignment="1">
      <alignment horizontal="center" textRotation="90" shrinkToFit="1"/>
    </xf>
    <xf numFmtId="0" fontId="14" fillId="5" borderId="51" xfId="0" applyFont="1" applyFill="1" applyBorder="1" applyAlignment="1">
      <alignment horizontal="center" textRotation="90" shrinkToFit="1"/>
    </xf>
    <xf numFmtId="0" fontId="14" fillId="5" borderId="31" xfId="0" applyFont="1" applyFill="1" applyBorder="1" applyAlignment="1">
      <alignment horizontal="center" textRotation="90" shrinkToFit="1"/>
    </xf>
    <xf numFmtId="0" fontId="14" fillId="5" borderId="74" xfId="0" applyFont="1" applyFill="1" applyBorder="1" applyAlignment="1">
      <alignment horizontal="center" textRotation="90" shrinkToFit="1"/>
    </xf>
    <xf numFmtId="0" fontId="14" fillId="5" borderId="32" xfId="0" applyFont="1" applyFill="1" applyBorder="1" applyAlignment="1">
      <alignment horizontal="center" textRotation="90" shrinkToFit="1"/>
    </xf>
    <xf numFmtId="0" fontId="5" fillId="20" borderId="7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15" fillId="0" borderId="39" xfId="0" applyFont="1" applyBorder="1" applyAlignment="1">
      <alignment horizontal="center" textRotation="90"/>
    </xf>
    <xf numFmtId="0" fontId="15" fillId="0" borderId="25" xfId="0" applyFont="1" applyBorder="1" applyAlignment="1">
      <alignment horizontal="center" textRotation="90"/>
    </xf>
    <xf numFmtId="0" fontId="15" fillId="0" borderId="27" xfId="0" applyFont="1" applyBorder="1" applyAlignment="1">
      <alignment horizontal="center" textRotation="90"/>
    </xf>
    <xf numFmtId="0" fontId="15" fillId="0" borderId="29" xfId="0" applyFont="1" applyBorder="1" applyAlignment="1">
      <alignment horizontal="center" textRotation="90"/>
    </xf>
    <xf numFmtId="0" fontId="23" fillId="0" borderId="6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15" fillId="0" borderId="6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65" xfId="0" applyBorder="1"/>
    <xf numFmtId="0" fontId="0" fillId="0" borderId="25" xfId="0" applyBorder="1"/>
    <xf numFmtId="0" fontId="27" fillId="0" borderId="2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2" fontId="15" fillId="0" borderId="5" xfId="7" applyNumberFormat="1" applyFont="1" applyBorder="1" applyAlignment="1">
      <alignment horizontal="center" shrinkToFit="1"/>
    </xf>
    <xf numFmtId="2" fontId="15" fillId="0" borderId="6" xfId="7" applyNumberFormat="1" applyFont="1" applyBorder="1" applyAlignment="1">
      <alignment horizontal="center" shrinkToFit="1"/>
    </xf>
    <xf numFmtId="2" fontId="15" fillId="0" borderId="12" xfId="7" applyNumberFormat="1" applyFont="1" applyBorder="1" applyAlignment="1">
      <alignment horizontal="center" shrinkToFit="1"/>
    </xf>
    <xf numFmtId="2" fontId="15" fillId="0" borderId="13" xfId="7" applyNumberFormat="1" applyFont="1" applyBorder="1" applyAlignment="1">
      <alignment horizontal="center" shrinkToFit="1"/>
    </xf>
    <xf numFmtId="2" fontId="15" fillId="0" borderId="20" xfId="7" applyNumberFormat="1" applyFont="1" applyBorder="1" applyAlignment="1">
      <alignment horizontal="center" shrinkToFit="1"/>
    </xf>
    <xf numFmtId="2" fontId="15" fillId="0" borderId="21" xfId="7" applyNumberFormat="1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textRotation="90" shrinkToFit="1"/>
    </xf>
    <xf numFmtId="2" fontId="15" fillId="0" borderId="11" xfId="7" applyNumberFormat="1" applyFont="1" applyBorder="1" applyAlignment="1">
      <alignment horizontal="center" shrinkToFit="1"/>
    </xf>
    <xf numFmtId="0" fontId="15" fillId="0" borderId="51" xfId="0" applyFont="1" applyBorder="1" applyAlignment="1">
      <alignment horizontal="left" vertical="center" shrinkToFit="1"/>
    </xf>
    <xf numFmtId="0" fontId="15" fillId="0" borderId="57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5" fillId="0" borderId="65" xfId="0" applyFont="1" applyBorder="1" applyAlignment="1">
      <alignment vertical="center" shrinkToFit="1"/>
    </xf>
    <xf numFmtId="0" fontId="15" fillId="0" borderId="65" xfId="0" applyFont="1" applyBorder="1" applyAlignment="1">
      <alignment horizontal="left" vertical="center" shrinkToFit="1"/>
    </xf>
    <xf numFmtId="0" fontId="14" fillId="0" borderId="6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textRotation="90" shrinkToFit="1"/>
    </xf>
    <xf numFmtId="0" fontId="14" fillId="0" borderId="14" xfId="0" applyFont="1" applyBorder="1" applyAlignment="1">
      <alignment horizontal="center" textRotation="90" shrinkToFit="1"/>
    </xf>
    <xf numFmtId="0" fontId="14" fillId="0" borderId="42" xfId="0" applyFont="1" applyBorder="1" applyAlignment="1">
      <alignment horizontal="center" textRotation="90" shrinkToFit="1"/>
    </xf>
    <xf numFmtId="0" fontId="14" fillId="0" borderId="27" xfId="0" applyFont="1" applyBorder="1" applyAlignment="1">
      <alignment horizontal="center" textRotation="90" shrinkToFit="1"/>
    </xf>
    <xf numFmtId="0" fontId="14" fillId="0" borderId="15" xfId="0" applyFont="1" applyBorder="1" applyAlignment="1">
      <alignment horizontal="center" textRotation="90" shrinkToFit="1"/>
    </xf>
    <xf numFmtId="0" fontId="14" fillId="0" borderId="13" xfId="0" applyFont="1" applyBorder="1" applyAlignment="1">
      <alignment horizontal="center" textRotation="90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2" fontId="15" fillId="0" borderId="4" xfId="7" applyNumberFormat="1" applyFont="1" applyBorder="1" applyAlignment="1">
      <alignment horizontal="center" shrinkToFit="1"/>
    </xf>
    <xf numFmtId="2" fontId="15" fillId="0" borderId="19" xfId="7" applyNumberFormat="1" applyFont="1" applyBorder="1" applyAlignment="1">
      <alignment horizontal="center" shrinkToFit="1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3" fillId="0" borderId="60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32" fillId="0" borderId="0" xfId="3" applyFont="1" applyAlignment="1">
      <alignment horizont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66" xfId="3" applyFont="1" applyBorder="1" applyAlignment="1">
      <alignment horizontal="center" vertical="center" wrapText="1"/>
    </xf>
    <xf numFmtId="0" fontId="13" fillId="0" borderId="36" xfId="3" applyFont="1" applyBorder="1" applyAlignment="1">
      <alignment horizontal="center" vertical="center"/>
    </xf>
    <xf numFmtId="188" fontId="12" fillId="0" borderId="4" xfId="3" applyNumberFormat="1" applyFont="1" applyBorder="1" applyAlignment="1">
      <alignment horizontal="center"/>
    </xf>
    <xf numFmtId="188" fontId="12" fillId="0" borderId="5" xfId="3" applyNumberFormat="1" applyFont="1" applyBorder="1" applyAlignment="1">
      <alignment horizontal="center"/>
    </xf>
    <xf numFmtId="188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88" fontId="12" fillId="0" borderId="67" xfId="3" applyNumberFormat="1" applyFont="1" applyBorder="1" applyAlignment="1" applyProtection="1">
      <alignment horizontal="center"/>
      <protection locked="0"/>
    </xf>
    <xf numFmtId="188" fontId="12" fillId="0" borderId="64" xfId="3" applyNumberFormat="1" applyFont="1" applyBorder="1" applyAlignment="1" applyProtection="1">
      <alignment horizontal="center"/>
      <protection locked="0"/>
    </xf>
    <xf numFmtId="188" fontId="12" fillId="0" borderId="3" xfId="3" applyNumberFormat="1" applyFont="1" applyBorder="1" applyAlignment="1" applyProtection="1">
      <alignment horizontal="center"/>
      <protection locked="0"/>
    </xf>
    <xf numFmtId="0" fontId="37" fillId="0" borderId="12" xfId="4" applyFont="1" applyBorder="1" applyAlignment="1">
      <alignment horizontal="center" vertical="center"/>
    </xf>
    <xf numFmtId="0" fontId="37" fillId="0" borderId="28" xfId="4" applyFont="1" applyBorder="1" applyAlignment="1">
      <alignment horizontal="left" vertical="center"/>
    </xf>
    <xf numFmtId="0" fontId="37" fillId="0" borderId="42" xfId="4" applyFont="1" applyBorder="1" applyAlignment="1">
      <alignment horizontal="left" vertical="center"/>
    </xf>
    <xf numFmtId="0" fontId="37" fillId="0" borderId="14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0" fillId="0" borderId="9" xfId="4" applyFont="1" applyBorder="1" applyAlignment="1">
      <alignment horizontal="center"/>
    </xf>
    <xf numFmtId="0" fontId="30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37" fillId="0" borderId="63" xfId="4" applyFont="1" applyBorder="1" applyAlignment="1">
      <alignment horizontal="center" vertical="center"/>
    </xf>
    <xf numFmtId="0" fontId="37" fillId="0" borderId="0" xfId="4" applyFont="1" applyAlignment="1">
      <alignment horizontal="left" vertical="center" shrinkToFit="1"/>
    </xf>
    <xf numFmtId="0" fontId="37" fillId="0" borderId="73" xfId="4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14" xfId="4" applyFont="1" applyBorder="1" applyAlignment="1">
      <alignment horizontal="center" vertical="center"/>
    </xf>
    <xf numFmtId="0" fontId="38" fillId="0" borderId="28" xfId="4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7" fillId="0" borderId="12" xfId="4" applyFont="1" applyBorder="1" applyAlignment="1">
      <alignment horizontal="center" vertical="center"/>
    </xf>
    <xf numFmtId="0" fontId="7" fillId="10" borderId="12" xfId="4" applyFont="1" applyFill="1" applyBorder="1" applyAlignment="1">
      <alignment horizontal="center" vertical="center"/>
    </xf>
    <xf numFmtId="0" fontId="36" fillId="0" borderId="12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/>
    </xf>
    <xf numFmtId="0" fontId="36" fillId="0" borderId="14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6" fillId="0" borderId="12" xfId="4" applyFont="1" applyBorder="1" applyAlignment="1">
      <alignment horizontal="center" vertical="center" wrapText="1"/>
    </xf>
    <xf numFmtId="0" fontId="13" fillId="0" borderId="15" xfId="5" applyFont="1" applyBorder="1" applyAlignment="1">
      <alignment horizontal="left"/>
    </xf>
    <xf numFmtId="0" fontId="13" fillId="0" borderId="28" xfId="5" applyFont="1" applyBorder="1" applyAlignment="1">
      <alignment horizontal="left"/>
    </xf>
    <xf numFmtId="0" fontId="13" fillId="0" borderId="27" xfId="5" applyFont="1" applyBorder="1" applyAlignment="1">
      <alignment horizontal="left"/>
    </xf>
    <xf numFmtId="0" fontId="45" fillId="0" borderId="14" xfId="5" applyFont="1" applyBorder="1" applyAlignment="1" applyProtection="1">
      <alignment horizontal="center" vertical="center"/>
      <protection locked="0"/>
    </xf>
    <xf numFmtId="0" fontId="45" fillId="0" borderId="28" xfId="5" applyFont="1" applyBorder="1" applyAlignment="1" applyProtection="1">
      <alignment horizontal="center" vertical="center"/>
      <protection locked="0"/>
    </xf>
    <xf numFmtId="0" fontId="45" fillId="0" borderId="42" xfId="5" applyFont="1" applyBorder="1" applyAlignment="1" applyProtection="1">
      <alignment horizontal="center" vertical="center"/>
      <protection locked="0"/>
    </xf>
    <xf numFmtId="0" fontId="40" fillId="0" borderId="51" xfId="5" applyFont="1" applyBorder="1" applyAlignment="1">
      <alignment horizontal="center" vertical="center"/>
    </xf>
    <xf numFmtId="0" fontId="40" fillId="0" borderId="57" xfId="5" applyFont="1" applyBorder="1" applyAlignment="1">
      <alignment horizontal="center" vertical="center"/>
    </xf>
    <xf numFmtId="0" fontId="40" fillId="0" borderId="58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64" xfId="5" applyFont="1" applyBorder="1" applyAlignment="1">
      <alignment horizontal="center" vertical="center"/>
    </xf>
    <xf numFmtId="0" fontId="13" fillId="0" borderId="55" xfId="5" applyFont="1" applyBorder="1" applyAlignment="1">
      <alignment horizontal="center" vertical="center"/>
    </xf>
    <xf numFmtId="0" fontId="13" fillId="0" borderId="31" xfId="5" applyFont="1" applyBorder="1" applyAlignment="1">
      <alignment horizontal="center" vertical="center"/>
    </xf>
    <xf numFmtId="0" fontId="13" fillId="0" borderId="52" xfId="5" applyFont="1" applyBorder="1" applyAlignment="1">
      <alignment horizontal="center" vertical="center"/>
    </xf>
    <xf numFmtId="0" fontId="13" fillId="0" borderId="45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65" xfId="5" applyFont="1" applyBorder="1" applyAlignment="1">
      <alignment horizontal="center" vertical="center"/>
    </xf>
    <xf numFmtId="0" fontId="5" fillId="0" borderId="41" xfId="5" applyFont="1" applyBorder="1" applyAlignment="1">
      <alignment horizontal="center" vertical="center"/>
    </xf>
    <xf numFmtId="0" fontId="5" fillId="0" borderId="64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45" fillId="0" borderId="9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0" xfId="5" applyFont="1" applyBorder="1" applyAlignment="1">
      <alignment horizontal="center" vertical="center"/>
    </xf>
    <xf numFmtId="0" fontId="45" fillId="0" borderId="31" xfId="5" applyFont="1" applyBorder="1" applyAlignment="1">
      <alignment horizontal="center" vertical="center"/>
    </xf>
    <xf numFmtId="0" fontId="45" fillId="0" borderId="52" xfId="5" applyFont="1" applyBorder="1" applyAlignment="1">
      <alignment horizontal="center" vertical="center"/>
    </xf>
    <xf numFmtId="0" fontId="45" fillId="0" borderId="45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4" xfId="5" applyFont="1" applyBorder="1" applyAlignment="1">
      <alignment horizontal="left"/>
    </xf>
    <xf numFmtId="0" fontId="8" fillId="0" borderId="28" xfId="5" applyFont="1" applyBorder="1" applyAlignment="1">
      <alignment horizontal="left"/>
    </xf>
    <xf numFmtId="0" fontId="8" fillId="0" borderId="42" xfId="5" applyFont="1" applyBorder="1" applyAlignment="1">
      <alignment horizontal="left"/>
    </xf>
    <xf numFmtId="187" fontId="8" fillId="0" borderId="14" xfId="5" applyNumberFormat="1" applyFont="1" applyBorder="1" applyAlignment="1">
      <alignment horizontal="center"/>
    </xf>
    <xf numFmtId="187" fontId="8" fillId="0" borderId="28" xfId="5" applyNumberFormat="1" applyFont="1" applyBorder="1" applyAlignment="1">
      <alignment horizontal="center"/>
    </xf>
    <xf numFmtId="187" fontId="8" fillId="0" borderId="42" xfId="5" applyNumberFormat="1" applyFont="1" applyBorder="1" applyAlignment="1">
      <alignment horizontal="center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28" xfId="5" applyFont="1" applyBorder="1" applyAlignment="1" applyProtection="1">
      <alignment horizontal="center" vertical="center"/>
      <protection locked="0"/>
    </xf>
    <xf numFmtId="0" fontId="8" fillId="0" borderId="27" xfId="5" applyFont="1" applyBorder="1" applyAlignment="1" applyProtection="1">
      <alignment horizontal="center" vertical="center"/>
      <protection locked="0"/>
    </xf>
    <xf numFmtId="0" fontId="8" fillId="0" borderId="12" xfId="5" applyFont="1" applyBorder="1" applyAlignment="1">
      <alignment horizontal="left"/>
    </xf>
    <xf numFmtId="0" fontId="46" fillId="0" borderId="28" xfId="6" applyFont="1" applyBorder="1"/>
    <xf numFmtId="0" fontId="46" fillId="0" borderId="27" xfId="6" applyFont="1" applyBorder="1"/>
    <xf numFmtId="0" fontId="13" fillId="0" borderId="42" xfId="5" applyFont="1" applyBorder="1" applyAlignment="1">
      <alignment horizontal="left"/>
    </xf>
    <xf numFmtId="187" fontId="8" fillId="2" borderId="12" xfId="5" applyNumberFormat="1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187" fontId="8" fillId="0" borderId="12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2" fontId="8" fillId="0" borderId="12" xfId="5" applyNumberFormat="1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5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42" xfId="5" applyFont="1" applyBorder="1" applyAlignment="1">
      <alignment horizontal="center"/>
    </xf>
    <xf numFmtId="0" fontId="8" fillId="17" borderId="12" xfId="5" applyFont="1" applyFill="1" applyBorder="1" applyAlignment="1">
      <alignment horizontal="center" vertical="center"/>
    </xf>
    <xf numFmtId="0" fontId="8" fillId="0" borderId="36" xfId="5" applyFont="1" applyBorder="1" applyAlignment="1">
      <alignment horizontal="left"/>
    </xf>
    <xf numFmtId="0" fontId="8" fillId="0" borderId="44" xfId="5" applyFont="1" applyBorder="1" applyAlignment="1">
      <alignment horizontal="left"/>
    </xf>
    <xf numFmtId="0" fontId="8" fillId="0" borderId="43" xfId="5" applyFont="1" applyBorder="1" applyAlignment="1">
      <alignment horizontal="left"/>
    </xf>
    <xf numFmtId="0" fontId="8" fillId="17" borderId="20" xfId="5" applyFont="1" applyFill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0" xfId="5" applyFont="1" applyBorder="1" applyAlignment="1" applyProtection="1">
      <alignment horizontal="center" vertical="center"/>
      <protection locked="0"/>
    </xf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22" xfId="5" applyFont="1" applyBorder="1" applyAlignment="1">
      <alignment horizontal="center"/>
    </xf>
    <xf numFmtId="0" fontId="8" fillId="0" borderId="44" xfId="5" applyFont="1" applyBorder="1" applyAlignment="1">
      <alignment horizontal="center"/>
    </xf>
    <xf numFmtId="0" fontId="8" fillId="0" borderId="43" xfId="5" applyFont="1" applyBorder="1" applyAlignment="1">
      <alignment horizontal="center"/>
    </xf>
    <xf numFmtId="0" fontId="8" fillId="0" borderId="21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43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8" fillId="0" borderId="30" xfId="5" applyFont="1" applyBorder="1" applyAlignment="1">
      <alignment horizontal="left" vertical="center"/>
    </xf>
    <xf numFmtId="0" fontId="8" fillId="0" borderId="33" xfId="5" applyFont="1" applyBorder="1" applyAlignment="1">
      <alignment horizontal="left" vertical="center"/>
    </xf>
    <xf numFmtId="187" fontId="8" fillId="0" borderId="2" xfId="5" applyNumberFormat="1" applyFont="1" applyBorder="1" applyAlignment="1">
      <alignment horizontal="center" vertical="center"/>
    </xf>
    <xf numFmtId="187" fontId="8" fillId="0" borderId="64" xfId="5" applyNumberFormat="1" applyFont="1" applyBorder="1" applyAlignment="1">
      <alignment horizontal="center" vertical="center"/>
    </xf>
    <xf numFmtId="187" fontId="8" fillId="0" borderId="55" xfId="5" applyNumberFormat="1" applyFont="1" applyBorder="1" applyAlignment="1">
      <alignment horizontal="center" vertical="center"/>
    </xf>
    <xf numFmtId="187" fontId="8" fillId="0" borderId="3" xfId="5" applyNumberFormat="1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187" fontId="8" fillId="0" borderId="13" xfId="5" applyNumberFormat="1" applyFont="1" applyBorder="1" applyAlignment="1">
      <alignment horizontal="center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8" xfId="5" applyNumberFormat="1" applyFont="1" applyBorder="1" applyAlignment="1">
      <alignment horizontal="center" vertical="center"/>
    </xf>
    <xf numFmtId="2" fontId="8" fillId="0" borderId="27" xfId="5" applyNumberFormat="1" applyFont="1" applyBorder="1" applyAlignment="1">
      <alignment horizontal="center" vertical="center"/>
    </xf>
    <xf numFmtId="187" fontId="8" fillId="0" borderId="14" xfId="5" applyNumberFormat="1" applyFont="1" applyBorder="1" applyAlignment="1">
      <alignment horizontal="center" vertical="center"/>
    </xf>
    <xf numFmtId="187" fontId="8" fillId="0" borderId="28" xfId="5" applyNumberFormat="1" applyFont="1" applyBorder="1" applyAlignment="1">
      <alignment horizontal="center" vertical="center"/>
    </xf>
    <xf numFmtId="187" fontId="8" fillId="0" borderId="42" xfId="5" applyNumberFormat="1" applyFont="1" applyBorder="1" applyAlignment="1">
      <alignment horizontal="center" vertical="center"/>
    </xf>
    <xf numFmtId="187" fontId="8" fillId="0" borderId="27" xfId="5" applyNumberFormat="1" applyFont="1" applyBorder="1" applyAlignment="1">
      <alignment horizontal="center" vertical="center"/>
    </xf>
    <xf numFmtId="0" fontId="40" fillId="0" borderId="9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0" xfId="5" applyFont="1" applyBorder="1" applyAlignment="1">
      <alignment horizontal="center" vertical="center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53" fillId="0" borderId="0" xfId="6" applyFont="1" applyAlignment="1">
      <alignment horizontal="center"/>
    </xf>
  </cellXfs>
  <cellStyles count="18">
    <cellStyle name="Comma" xfId="7" builtinId="3"/>
    <cellStyle name="Normal" xfId="0" builtinId="0"/>
    <cellStyle name="Normal 2" xfId="2" xr:uid="{00000000-0005-0000-0000-000002000000}"/>
    <cellStyle name="Normal 2 2" xfId="9" xr:uid="{00000000-0005-0000-0000-000003000000}"/>
    <cellStyle name="Normal 2 3" xfId="12" xr:uid="{00000000-0005-0000-0000-000004000000}"/>
    <cellStyle name="Normal 3" xfId="4" xr:uid="{00000000-0005-0000-0000-000005000000}"/>
    <cellStyle name="Normal 3 2" xfId="10" xr:uid="{00000000-0005-0000-0000-000006000000}"/>
    <cellStyle name="Normal 4" xfId="5" xr:uid="{00000000-0005-0000-0000-000007000000}"/>
    <cellStyle name="Normal 4 2" xfId="13" xr:uid="{00000000-0005-0000-0000-000008000000}"/>
    <cellStyle name="Normal 5" xfId="6" xr:uid="{00000000-0005-0000-0000-000009000000}"/>
    <cellStyle name="Normal 6" xfId="8" xr:uid="{00000000-0005-0000-0000-00000A000000}"/>
    <cellStyle name="Normal 7" xfId="11" xr:uid="{00000000-0005-0000-0000-00000B000000}"/>
    <cellStyle name="Normal 8" xfId="17" xr:uid="{00000000-0005-0000-0000-00000C000000}"/>
    <cellStyle name="ปกติ 2" xfId="1" xr:uid="{00000000-0005-0000-0000-00000D000000}"/>
    <cellStyle name="ปกติ 3" xfId="3" xr:uid="{00000000-0005-0000-0000-00000E000000}"/>
    <cellStyle name="ปกติ 4" xfId="16" xr:uid="{00000000-0005-0000-0000-00000F000000}"/>
    <cellStyle name="ปกติ_กลางภาค2-53" xfId="14" xr:uid="{00000000-0005-0000-0000-000010000000}"/>
    <cellStyle name="ปกติ_ประกาศผลครูรายวิชา" xfId="15" xr:uid="{00000000-0005-0000-0000-000011000000}"/>
  </cellStyles>
  <dxfs count="9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15241</xdr:colOff>
      <xdr:row>48</xdr:row>
      <xdr:rowOff>227039</xdr:rowOff>
    </xdr:from>
    <xdr:to>
      <xdr:col>33</xdr:col>
      <xdr:colOff>2540</xdr:colOff>
      <xdr:row>49</xdr:row>
      <xdr:rowOff>203329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C5C50-F377-4D49-AA7E-6760B805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9741" y="12948206"/>
          <a:ext cx="939799" cy="240873"/>
        </a:xfrm>
        <a:prstGeom prst="rect">
          <a:avLst/>
        </a:prstGeom>
      </xdr:spPr>
    </xdr:pic>
    <xdr:clientData/>
  </xdr:twoCellAnchor>
  <xdr:twoCellAnchor editAs="oneCell">
    <xdr:from>
      <xdr:col>60</xdr:col>
      <xdr:colOff>63368</xdr:colOff>
      <xdr:row>48</xdr:row>
      <xdr:rowOff>245564</xdr:rowOff>
    </xdr:from>
    <xdr:to>
      <xdr:col>65</xdr:col>
      <xdr:colOff>126493</xdr:colOff>
      <xdr:row>49</xdr:row>
      <xdr:rowOff>194212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02353C-1A52-4F09-9AF2-39D8FE19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3035" y="12966731"/>
          <a:ext cx="856875" cy="213231"/>
        </a:xfrm>
        <a:prstGeom prst="rect">
          <a:avLst/>
        </a:prstGeom>
      </xdr:spPr>
    </xdr:pic>
    <xdr:clientData/>
  </xdr:twoCellAnchor>
  <xdr:twoCellAnchor editAs="oneCell">
    <xdr:from>
      <xdr:col>93</xdr:col>
      <xdr:colOff>34891</xdr:colOff>
      <xdr:row>48</xdr:row>
      <xdr:rowOff>249992</xdr:rowOff>
    </xdr:from>
    <xdr:to>
      <xdr:col>98</xdr:col>
      <xdr:colOff>144780</xdr:colOff>
      <xdr:row>49</xdr:row>
      <xdr:rowOff>209256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245D4F-9975-4E2B-A7E4-840BFAE9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8931" y="13066832"/>
          <a:ext cx="948089" cy="225964"/>
        </a:xfrm>
        <a:prstGeom prst="rect">
          <a:avLst/>
        </a:prstGeom>
      </xdr:spPr>
    </xdr:pic>
    <xdr:clientData/>
  </xdr:twoCellAnchor>
  <xdr:twoCellAnchor editAs="oneCell">
    <xdr:from>
      <xdr:col>125</xdr:col>
      <xdr:colOff>151197</xdr:colOff>
      <xdr:row>48</xdr:row>
      <xdr:rowOff>263426</xdr:rowOff>
    </xdr:from>
    <xdr:to>
      <xdr:col>130</xdr:col>
      <xdr:colOff>152400</xdr:colOff>
      <xdr:row>49</xdr:row>
      <xdr:rowOff>206769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B85C2D-6754-480F-8AC7-2D5D814C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4177" y="13080266"/>
          <a:ext cx="839403" cy="210043"/>
        </a:xfrm>
        <a:prstGeom prst="rect">
          <a:avLst/>
        </a:prstGeom>
      </xdr:spPr>
    </xdr:pic>
    <xdr:clientData/>
  </xdr:twoCellAnchor>
  <xdr:twoCellAnchor editAs="oneCell">
    <xdr:from>
      <xdr:col>192</xdr:col>
      <xdr:colOff>57751</xdr:colOff>
      <xdr:row>48</xdr:row>
      <xdr:rowOff>251753</xdr:rowOff>
    </xdr:from>
    <xdr:to>
      <xdr:col>197</xdr:col>
      <xdr:colOff>144780</xdr:colOff>
      <xdr:row>49</xdr:row>
      <xdr:rowOff>224540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D6DB0-84CD-46D7-9587-407D462CD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1531" y="13068593"/>
          <a:ext cx="925229" cy="239487"/>
        </a:xfrm>
        <a:prstGeom prst="rect">
          <a:avLst/>
        </a:prstGeom>
      </xdr:spPr>
    </xdr:pic>
    <xdr:clientData/>
  </xdr:twoCellAnchor>
  <xdr:twoCellAnchor editAs="oneCell">
    <xdr:from>
      <xdr:col>217</xdr:col>
      <xdr:colOff>177667</xdr:colOff>
      <xdr:row>48</xdr:row>
      <xdr:rowOff>238328</xdr:rowOff>
    </xdr:from>
    <xdr:to>
      <xdr:col>221</xdr:col>
      <xdr:colOff>68580</xdr:colOff>
      <xdr:row>49</xdr:row>
      <xdr:rowOff>208480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EF05AE-7D1A-4322-B37B-036F6B4D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07567" y="13055168"/>
          <a:ext cx="957713" cy="236852"/>
        </a:xfrm>
        <a:prstGeom prst="rect">
          <a:avLst/>
        </a:prstGeom>
      </xdr:spPr>
    </xdr:pic>
    <xdr:clientData/>
  </xdr:twoCellAnchor>
  <xdr:twoCellAnchor editAs="oneCell">
    <xdr:from>
      <xdr:col>242</xdr:col>
      <xdr:colOff>218974</xdr:colOff>
      <xdr:row>48</xdr:row>
      <xdr:rowOff>236220</xdr:rowOff>
    </xdr:from>
    <xdr:to>
      <xdr:col>246</xdr:col>
      <xdr:colOff>124422</xdr:colOff>
      <xdr:row>49</xdr:row>
      <xdr:rowOff>196092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3F3392-E070-4B8A-9972-506C9C2F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9641" y="12957387"/>
          <a:ext cx="879114" cy="224455"/>
        </a:xfrm>
        <a:prstGeom prst="rect">
          <a:avLst/>
        </a:prstGeom>
      </xdr:spPr>
    </xdr:pic>
    <xdr:clientData/>
  </xdr:twoCellAnchor>
  <xdr:twoCellAnchor editAs="oneCell">
    <xdr:from>
      <xdr:col>159</xdr:col>
      <xdr:colOff>62564</xdr:colOff>
      <xdr:row>48</xdr:row>
      <xdr:rowOff>238204</xdr:rowOff>
    </xdr:from>
    <xdr:to>
      <xdr:col>164</xdr:col>
      <xdr:colOff>137160</xdr:colOff>
      <xdr:row>49</xdr:row>
      <xdr:rowOff>203265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C068C81-7B66-4916-ACF6-5AA8FF700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9764" y="13055044"/>
          <a:ext cx="912796" cy="231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72119</xdr:colOff>
      <xdr:row>57</xdr:row>
      <xdr:rowOff>142875</xdr:rowOff>
    </xdr:from>
    <xdr:to>
      <xdr:col>22</xdr:col>
      <xdr:colOff>186399</xdr:colOff>
      <xdr:row>59</xdr:row>
      <xdr:rowOff>1259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75700F-26D6-64A5-A268-079344C9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6019" y="12325350"/>
          <a:ext cx="1028680" cy="277484"/>
        </a:xfrm>
        <a:prstGeom prst="rect">
          <a:avLst/>
        </a:prstGeom>
      </xdr:spPr>
    </xdr:pic>
    <xdr:clientData/>
  </xdr:twoCellAnchor>
  <xdr:twoCellAnchor editAs="oneCell">
    <xdr:from>
      <xdr:col>43</xdr:col>
      <xdr:colOff>129269</xdr:colOff>
      <xdr:row>57</xdr:row>
      <xdr:rowOff>142875</xdr:rowOff>
    </xdr:from>
    <xdr:to>
      <xdr:col>48</xdr:col>
      <xdr:colOff>14949</xdr:colOff>
      <xdr:row>59</xdr:row>
      <xdr:rowOff>1259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6C92BA-0ED9-4E2C-B4BF-121C12F2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169" y="12325350"/>
          <a:ext cx="1028680" cy="277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76201</xdr:colOff>
      <xdr:row>0</xdr:row>
      <xdr:rowOff>1</xdr:rowOff>
    </xdr:from>
    <xdr:to>
      <xdr:col>39</xdr:col>
      <xdr:colOff>76201</xdr:colOff>
      <xdr:row>2</xdr:row>
      <xdr:rowOff>241159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0CEDC4-CAAE-4892-8732-7E1D73A5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1"/>
          <a:ext cx="571500" cy="774558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</xdr:colOff>
      <xdr:row>54</xdr:row>
      <xdr:rowOff>38100</xdr:rowOff>
    </xdr:from>
    <xdr:to>
      <xdr:col>40</xdr:col>
      <xdr:colOff>49488</xdr:colOff>
      <xdr:row>56</xdr:row>
      <xdr:rowOff>61479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BBA61-51D6-D27B-E97A-876F88BA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2363450"/>
          <a:ext cx="1421088" cy="366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71694</xdr:colOff>
      <xdr:row>32</xdr:row>
      <xdr:rowOff>184355</xdr:rowOff>
    </xdr:from>
    <xdr:to>
      <xdr:col>69</xdr:col>
      <xdr:colOff>43185</xdr:colOff>
      <xdr:row>34</xdr:row>
      <xdr:rowOff>41918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996EC-A6CE-4F13-9A0B-B37A29E2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7097" y="9074355"/>
          <a:ext cx="1446330" cy="390144"/>
        </a:xfrm>
        <a:prstGeom prst="rect">
          <a:avLst/>
        </a:prstGeom>
      </xdr:spPr>
    </xdr:pic>
    <xdr:clientData/>
  </xdr:twoCellAnchor>
  <xdr:twoCellAnchor editAs="oneCell">
    <xdr:from>
      <xdr:col>55</xdr:col>
      <xdr:colOff>81935</xdr:colOff>
      <xdr:row>74</xdr:row>
      <xdr:rowOff>153629</xdr:rowOff>
    </xdr:from>
    <xdr:to>
      <xdr:col>71</xdr:col>
      <xdr:colOff>15461</xdr:colOff>
      <xdr:row>76</xdr:row>
      <xdr:rowOff>41919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232199-CE8A-4920-BE60-94D05D41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693" y="19408468"/>
          <a:ext cx="1408365" cy="379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&#3588;&#3637;&#3618;&#3660;&#3611;&#3621;&#3634;&#3618;&#3616;&#3634;&#35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&#3591;&#3634;&#3609;&#3623;&#3633;&#3604;&#3612;&#3621;\&#3615;&#3629;&#3619;&#3660;&#3617;&#3588;&#3632;&#3649;&#3609;&#3609;\2568\&#3648;&#3607;&#3629;&#3617;%201\&#3611;&#3606;.06%20&#3610;%20&#3611;&#3606;.07%20&#3614;_M4-6.xlsx" TargetMode="External"/><Relationship Id="rId1" Type="http://schemas.openxmlformats.org/officeDocument/2006/relationships/externalLinkPath" Target="&#3611;&#3606;.06%20&#3610;%20&#3611;&#3606;.07%20&#3614;_M4-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>
            <v>0</v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>
            <v>0</v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>
            <v>0</v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>
            <v>0</v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>
            <v>0</v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>
            <v>0</v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>
            <v>0</v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>
            <v>0</v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>
            <v>0</v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>
            <v>0</v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>
            <v>0</v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>
            <v>0</v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>
            <v>0</v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>
            <v>0</v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>
            <v>0</v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>
            <v>0</v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>
            <v>0</v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>
            <v>0</v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>
            <v>0</v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>
            <v>0</v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>
            <v>0</v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>
            <v>0</v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>
            <v>0</v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>
            <v>0</v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>
            <v>0</v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>
            <v>0</v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>
            <v>0</v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>
            <v>0</v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>
            <v>0</v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>
            <v>0</v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>
            <v>0</v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>
            <v>0</v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>
            <v>0</v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>
            <v>0</v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>
            <v>0</v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>
            <v>0</v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>
            <v>0</v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>
            <v>0</v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>
            <v>0</v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>
            <v>0</v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>
            <v>0</v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>
            <v>0</v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>
            <v>0</v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>
            <v>0</v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>
            <v>0</v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>
            <v>0</v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>
            <v>0</v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>
            <v>0</v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>
            <v>0</v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>
            <v>0</v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>
            <v>0</v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>
            <v>0</v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>
            <v>0</v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>
            <v>0</v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>
            <v>0</v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>
            <v>0</v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>
            <v>0</v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>
            <v>0</v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>
            <v>0</v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>
            <v>0</v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>
            <v>0</v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>
            <v>0</v>
          </cell>
        </row>
        <row r="42"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C42">
            <v>0</v>
          </cell>
          <cell r="AE42">
            <v>0</v>
          </cell>
          <cell r="AG42">
            <v>0</v>
          </cell>
          <cell r="AI42">
            <v>0</v>
          </cell>
          <cell r="AK42">
            <v>0</v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>
            <v>0</v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>
            <v>0</v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>
            <v>0</v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>
            <v>0</v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>
            <v>0</v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>
            <v>0</v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>
            <v>0</v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>
            <v>0</v>
          </cell>
        </row>
        <row r="47"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I47">
            <v>0</v>
          </cell>
          <cell r="AK47">
            <v>0</v>
          </cell>
        </row>
        <row r="48"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I48">
            <v>0</v>
          </cell>
          <cell r="AK48">
            <v>0</v>
          </cell>
        </row>
        <row r="49"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  <cell r="AK49">
            <v>0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  <cell r="AK50">
            <v>0</v>
          </cell>
        </row>
        <row r="51"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I51">
            <v>0</v>
          </cell>
          <cell r="AK51">
            <v>0</v>
          </cell>
        </row>
        <row r="52"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I52">
            <v>0</v>
          </cell>
          <cell r="AK52">
            <v>0</v>
          </cell>
        </row>
        <row r="53"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E53">
            <v>0</v>
          </cell>
          <cell r="AG53">
            <v>0</v>
          </cell>
          <cell r="AI53">
            <v>0</v>
          </cell>
          <cell r="AK53">
            <v>0</v>
          </cell>
        </row>
        <row r="54"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Y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I54">
            <v>0</v>
          </cell>
          <cell r="AK54">
            <v>0</v>
          </cell>
        </row>
        <row r="55"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C55">
            <v>0</v>
          </cell>
          <cell r="AE55">
            <v>0</v>
          </cell>
          <cell r="AG55">
            <v>0</v>
          </cell>
          <cell r="AI55">
            <v>0</v>
          </cell>
          <cell r="AK55">
            <v>0</v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>
            <v>0</v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1.ข้อมูลเบื้องต้น"/>
      <sheetName val="2.ชื่อนักเรียน"/>
      <sheetName val="3.เวลาเรียน"/>
      <sheetName val="4.คีย์กลางภาค"/>
      <sheetName val="5.กลางภาค"/>
      <sheetName val="6.คีย์ปลายภาค"/>
      <sheetName val="6.1ประกาศผลปลายภาค"/>
      <sheetName val="6.2ปลายภาค"/>
      <sheetName val="6.3พัฒนาผู้เรียน"/>
      <sheetName val="7.อ่านคิดวิเคราะห์"/>
      <sheetName val="8.คุณลักษณะ"/>
      <sheetName val="ข้อมูลวิชาเพิ่มเติม"/>
      <sheetName val="7.บันทึกการเจริญเติบโต"/>
      <sheetName val="8.ความคิดเห็น"/>
      <sheetName val="9.บันทึกการเจริญเติบโต"/>
      <sheetName val="ปถ.07"/>
      <sheetName val="รายงานกลางภาค"/>
      <sheetName val="รายงาน-1"/>
      <sheetName val="รายงานปลายภาค"/>
      <sheetName val="Subject"/>
    </sheetNames>
    <sheetDataSet>
      <sheetData sheetId="0" refreshError="1"/>
      <sheetData sheetId="1">
        <row r="7">
          <cell r="C7" t="str">
            <v/>
          </cell>
          <cell r="D7" t="str">
            <v/>
          </cell>
        </row>
        <row r="8">
          <cell r="C8" t="str">
            <v/>
          </cell>
          <cell r="D8" t="str">
            <v/>
          </cell>
        </row>
        <row r="9">
          <cell r="C9" t="str">
            <v/>
          </cell>
          <cell r="D9" t="str">
            <v/>
          </cell>
        </row>
        <row r="10">
          <cell r="C10" t="str">
            <v/>
          </cell>
          <cell r="D10" t="str">
            <v/>
          </cell>
        </row>
        <row r="11">
          <cell r="C11" t="str">
            <v/>
          </cell>
          <cell r="D11" t="str">
            <v/>
          </cell>
        </row>
        <row r="12">
          <cell r="C12" t="str">
            <v/>
          </cell>
          <cell r="D12" t="str">
            <v/>
          </cell>
        </row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  <cell r="K14" t="str">
            <v>นายอัศวิน คงเพ็ชรศักดิ์</v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  <row r="31">
          <cell r="C31" t="str">
            <v/>
          </cell>
          <cell r="D31" t="str">
            <v/>
          </cell>
        </row>
        <row r="34">
          <cell r="C34" t="str">
            <v>กิจกรรมแนะแนว</v>
          </cell>
          <cell r="E34">
            <v>20</v>
          </cell>
        </row>
        <row r="35">
          <cell r="C35" t="str">
            <v>กิจกรรมนักเรียน</v>
          </cell>
          <cell r="E35">
            <v>30</v>
          </cell>
        </row>
        <row r="36">
          <cell r="C36" t="str">
            <v>กิจกรรมเพื่อสังคมและสาธารณประโยชน์</v>
          </cell>
          <cell r="E36">
            <v>10</v>
          </cell>
        </row>
      </sheetData>
      <sheetData sheetId="2"/>
      <sheetData sheetId="3" refreshError="1"/>
      <sheetData sheetId="4" refreshError="1"/>
      <sheetData sheetId="5" refreshError="1"/>
      <sheetData sheetId="6">
        <row r="6">
          <cell r="K6" t="str">
            <v/>
          </cell>
          <cell r="P6" t="str">
            <v/>
          </cell>
          <cell r="U6" t="str">
            <v/>
          </cell>
          <cell r="Z6" t="str">
            <v/>
          </cell>
          <cell r="AE6" t="str">
            <v/>
          </cell>
          <cell r="AJ6" t="str">
            <v/>
          </cell>
          <cell r="AO6" t="str">
            <v/>
          </cell>
          <cell r="AT6" t="str">
            <v/>
          </cell>
          <cell r="AY6" t="str">
            <v/>
          </cell>
          <cell r="BD6" t="str">
            <v/>
          </cell>
          <cell r="BI6" t="str">
            <v/>
          </cell>
          <cell r="BN6" t="str">
            <v/>
          </cell>
          <cell r="BS6" t="str">
            <v/>
          </cell>
          <cell r="BX6" t="str">
            <v/>
          </cell>
          <cell r="CC6" t="str">
            <v/>
          </cell>
          <cell r="CH6" t="str">
            <v/>
          </cell>
          <cell r="CM6" t="str">
            <v/>
          </cell>
          <cell r="CR6" t="str">
            <v/>
          </cell>
          <cell r="CW6" t="str">
            <v/>
          </cell>
          <cell r="DB6" t="str">
            <v/>
          </cell>
          <cell r="DG6" t="str">
            <v/>
          </cell>
          <cell r="DL6" t="str">
            <v/>
          </cell>
          <cell r="DQ6" t="str">
            <v/>
          </cell>
          <cell r="DV6" t="str">
            <v/>
          </cell>
        </row>
        <row r="7">
          <cell r="K7" t="str">
            <v/>
          </cell>
          <cell r="P7" t="str">
            <v/>
          </cell>
          <cell r="U7" t="str">
            <v/>
          </cell>
          <cell r="Z7" t="str">
            <v/>
          </cell>
          <cell r="AE7" t="str">
            <v/>
          </cell>
          <cell r="AJ7" t="str">
            <v/>
          </cell>
          <cell r="AO7" t="str">
            <v/>
          </cell>
          <cell r="AT7" t="str">
            <v/>
          </cell>
          <cell r="AY7" t="str">
            <v/>
          </cell>
          <cell r="BD7" t="str">
            <v/>
          </cell>
          <cell r="BI7" t="str">
            <v/>
          </cell>
          <cell r="BN7" t="str">
            <v/>
          </cell>
          <cell r="BS7" t="str">
            <v/>
          </cell>
          <cell r="BX7" t="str">
            <v/>
          </cell>
          <cell r="CC7" t="str">
            <v/>
          </cell>
          <cell r="CH7" t="str">
            <v/>
          </cell>
          <cell r="CM7" t="str">
            <v/>
          </cell>
          <cell r="CR7" t="str">
            <v/>
          </cell>
          <cell r="CW7" t="str">
            <v/>
          </cell>
          <cell r="DB7" t="str">
            <v/>
          </cell>
          <cell r="DG7" t="str">
            <v/>
          </cell>
          <cell r="DL7" t="str">
            <v/>
          </cell>
          <cell r="DQ7" t="str">
            <v/>
          </cell>
          <cell r="DV7" t="str">
            <v/>
          </cell>
        </row>
        <row r="8">
          <cell r="K8" t="str">
            <v/>
          </cell>
          <cell r="P8" t="str">
            <v/>
          </cell>
          <cell r="U8" t="str">
            <v/>
          </cell>
          <cell r="Z8" t="str">
            <v/>
          </cell>
          <cell r="AE8" t="str">
            <v/>
          </cell>
          <cell r="AJ8" t="str">
            <v/>
          </cell>
          <cell r="AO8" t="str">
            <v/>
          </cell>
          <cell r="AT8" t="str">
            <v/>
          </cell>
          <cell r="AY8" t="str">
            <v/>
          </cell>
          <cell r="BD8" t="str">
            <v/>
          </cell>
          <cell r="BI8" t="str">
            <v/>
          </cell>
          <cell r="BN8" t="str">
            <v/>
          </cell>
          <cell r="BS8" t="str">
            <v/>
          </cell>
          <cell r="BX8" t="str">
            <v/>
          </cell>
          <cell r="CC8" t="str">
            <v/>
          </cell>
          <cell r="CH8" t="str">
            <v/>
          </cell>
          <cell r="CM8" t="str">
            <v/>
          </cell>
          <cell r="CR8" t="str">
            <v/>
          </cell>
          <cell r="CW8" t="str">
            <v/>
          </cell>
          <cell r="DB8" t="str">
            <v/>
          </cell>
          <cell r="DG8" t="str">
            <v/>
          </cell>
          <cell r="DL8" t="str">
            <v/>
          </cell>
          <cell r="DQ8" t="str">
            <v/>
          </cell>
          <cell r="DV8" t="str">
            <v/>
          </cell>
        </row>
        <row r="9">
          <cell r="K9" t="str">
            <v/>
          </cell>
          <cell r="P9" t="str">
            <v/>
          </cell>
          <cell r="U9" t="str">
            <v/>
          </cell>
          <cell r="Z9" t="str">
            <v/>
          </cell>
          <cell r="AE9" t="str">
            <v/>
          </cell>
          <cell r="AJ9" t="str">
            <v/>
          </cell>
          <cell r="AO9" t="str">
            <v/>
          </cell>
          <cell r="AT9" t="str">
            <v/>
          </cell>
          <cell r="AY9" t="str">
            <v/>
          </cell>
          <cell r="BD9" t="str">
            <v/>
          </cell>
          <cell r="BI9" t="str">
            <v/>
          </cell>
          <cell r="BN9" t="str">
            <v/>
          </cell>
          <cell r="BS9" t="str">
            <v/>
          </cell>
          <cell r="BX9" t="str">
            <v/>
          </cell>
          <cell r="CC9" t="str">
            <v/>
          </cell>
          <cell r="CH9" t="str">
            <v/>
          </cell>
          <cell r="CM9" t="str">
            <v/>
          </cell>
          <cell r="CR9" t="str">
            <v/>
          </cell>
          <cell r="CW9" t="str">
            <v/>
          </cell>
          <cell r="DB9" t="str">
            <v/>
          </cell>
          <cell r="DG9" t="str">
            <v/>
          </cell>
          <cell r="DL9" t="str">
            <v/>
          </cell>
          <cell r="DQ9" t="str">
            <v/>
          </cell>
          <cell r="DV9" t="str">
            <v/>
          </cell>
        </row>
        <row r="10">
          <cell r="K10" t="str">
            <v/>
          </cell>
          <cell r="P10" t="str">
            <v/>
          </cell>
          <cell r="U10" t="str">
            <v/>
          </cell>
          <cell r="Z10" t="str">
            <v/>
          </cell>
          <cell r="AE10" t="str">
            <v/>
          </cell>
          <cell r="AJ10" t="str">
            <v/>
          </cell>
          <cell r="AO10" t="str">
            <v/>
          </cell>
          <cell r="AT10" t="str">
            <v/>
          </cell>
          <cell r="AY10" t="str">
            <v/>
          </cell>
          <cell r="BD10" t="str">
            <v/>
          </cell>
          <cell r="BI10" t="str">
            <v/>
          </cell>
          <cell r="BN10" t="str">
            <v/>
          </cell>
          <cell r="BS10" t="str">
            <v/>
          </cell>
          <cell r="BX10" t="str">
            <v/>
          </cell>
          <cell r="CC10" t="str">
            <v/>
          </cell>
          <cell r="CH10" t="str">
            <v/>
          </cell>
          <cell r="CM10" t="str">
            <v/>
          </cell>
          <cell r="CR10" t="str">
            <v/>
          </cell>
          <cell r="CW10" t="str">
            <v/>
          </cell>
          <cell r="DB10" t="str">
            <v/>
          </cell>
          <cell r="DG10" t="str">
            <v/>
          </cell>
          <cell r="DL10" t="str">
            <v/>
          </cell>
          <cell r="DQ10" t="str">
            <v/>
          </cell>
          <cell r="DV10" t="str">
            <v/>
          </cell>
        </row>
        <row r="11">
          <cell r="K11" t="str">
            <v/>
          </cell>
          <cell r="P11" t="str">
            <v/>
          </cell>
          <cell r="U11" t="str">
            <v/>
          </cell>
          <cell r="Z11" t="str">
            <v/>
          </cell>
          <cell r="AE11" t="str">
            <v/>
          </cell>
          <cell r="AJ11" t="str">
            <v/>
          </cell>
          <cell r="AO11" t="str">
            <v/>
          </cell>
          <cell r="AT11" t="str">
            <v/>
          </cell>
          <cell r="AY11" t="str">
            <v/>
          </cell>
          <cell r="BD11" t="str">
            <v/>
          </cell>
          <cell r="BI11" t="str">
            <v/>
          </cell>
          <cell r="BN11" t="str">
            <v/>
          </cell>
          <cell r="BS11" t="str">
            <v/>
          </cell>
          <cell r="BX11" t="str">
            <v/>
          </cell>
          <cell r="CC11" t="str">
            <v/>
          </cell>
          <cell r="CH11" t="str">
            <v/>
          </cell>
          <cell r="CM11" t="str">
            <v/>
          </cell>
          <cell r="CR11" t="str">
            <v/>
          </cell>
          <cell r="CW11" t="str">
            <v/>
          </cell>
          <cell r="DB11" t="str">
            <v/>
          </cell>
          <cell r="DG11" t="str">
            <v/>
          </cell>
          <cell r="DL11" t="str">
            <v/>
          </cell>
          <cell r="DQ11" t="str">
            <v/>
          </cell>
          <cell r="DV11" t="str">
            <v/>
          </cell>
        </row>
        <row r="12">
          <cell r="K12" t="str">
            <v/>
          </cell>
          <cell r="P12" t="str">
            <v/>
          </cell>
          <cell r="U12" t="str">
            <v/>
          </cell>
          <cell r="Z12" t="str">
            <v/>
          </cell>
          <cell r="AE12" t="str">
            <v/>
          </cell>
          <cell r="AJ12" t="str">
            <v/>
          </cell>
          <cell r="AO12" t="str">
            <v/>
          </cell>
          <cell r="AT12" t="str">
            <v/>
          </cell>
          <cell r="AY12" t="str">
            <v/>
          </cell>
          <cell r="BD12" t="str">
            <v/>
          </cell>
          <cell r="BI12" t="str">
            <v/>
          </cell>
          <cell r="BN12" t="str">
            <v/>
          </cell>
          <cell r="BS12" t="str">
            <v/>
          </cell>
          <cell r="BX12" t="str">
            <v/>
          </cell>
          <cell r="CC12" t="str">
            <v/>
          </cell>
          <cell r="CH12" t="str">
            <v/>
          </cell>
          <cell r="CM12" t="str">
            <v/>
          </cell>
          <cell r="CR12" t="str">
            <v/>
          </cell>
          <cell r="CW12" t="str">
            <v/>
          </cell>
          <cell r="DB12" t="str">
            <v/>
          </cell>
          <cell r="DG12" t="str">
            <v/>
          </cell>
          <cell r="DL12" t="str">
            <v/>
          </cell>
          <cell r="DQ12" t="str">
            <v/>
          </cell>
          <cell r="DV12" t="str">
            <v/>
          </cell>
        </row>
        <row r="13">
          <cell r="K13" t="str">
            <v/>
          </cell>
          <cell r="P13" t="str">
            <v/>
          </cell>
          <cell r="U13" t="str">
            <v/>
          </cell>
          <cell r="Z13" t="str">
            <v/>
          </cell>
          <cell r="AE13" t="str">
            <v/>
          </cell>
          <cell r="AJ13" t="str">
            <v/>
          </cell>
          <cell r="AO13" t="str">
            <v/>
          </cell>
          <cell r="AT13" t="str">
            <v/>
          </cell>
          <cell r="AY13" t="str">
            <v/>
          </cell>
          <cell r="BD13" t="str">
            <v/>
          </cell>
          <cell r="BI13" t="str">
            <v/>
          </cell>
          <cell r="BN13" t="str">
            <v/>
          </cell>
          <cell r="BS13" t="str">
            <v/>
          </cell>
          <cell r="BX13" t="str">
            <v/>
          </cell>
          <cell r="CC13" t="str">
            <v/>
          </cell>
          <cell r="CH13" t="str">
            <v/>
          </cell>
          <cell r="CM13" t="str">
            <v/>
          </cell>
          <cell r="CR13" t="str">
            <v/>
          </cell>
          <cell r="CW13" t="str">
            <v/>
          </cell>
          <cell r="DB13" t="str">
            <v/>
          </cell>
          <cell r="DG13" t="str">
            <v/>
          </cell>
          <cell r="DL13" t="str">
            <v/>
          </cell>
          <cell r="DQ13" t="str">
            <v/>
          </cell>
          <cell r="DV13" t="str">
            <v/>
          </cell>
        </row>
        <row r="14">
          <cell r="K14" t="str">
            <v/>
          </cell>
          <cell r="P14" t="str">
            <v/>
          </cell>
          <cell r="U14" t="str">
            <v/>
          </cell>
          <cell r="Z14" t="str">
            <v/>
          </cell>
          <cell r="AE14" t="str">
            <v/>
          </cell>
          <cell r="AJ14" t="str">
            <v/>
          </cell>
          <cell r="AO14" t="str">
            <v/>
          </cell>
          <cell r="AT14" t="str">
            <v/>
          </cell>
          <cell r="AY14" t="str">
            <v/>
          </cell>
          <cell r="BD14" t="str">
            <v/>
          </cell>
          <cell r="BI14" t="str">
            <v/>
          </cell>
          <cell r="BN14" t="str">
            <v/>
          </cell>
          <cell r="BS14" t="str">
            <v/>
          </cell>
          <cell r="BX14" t="str">
            <v/>
          </cell>
          <cell r="CC14" t="str">
            <v/>
          </cell>
          <cell r="CH14" t="str">
            <v/>
          </cell>
          <cell r="CM14" t="str">
            <v/>
          </cell>
          <cell r="CR14" t="str">
            <v/>
          </cell>
          <cell r="CW14" t="str">
            <v/>
          </cell>
          <cell r="DB14" t="str">
            <v/>
          </cell>
          <cell r="DG14" t="str">
            <v/>
          </cell>
          <cell r="DL14" t="str">
            <v/>
          </cell>
          <cell r="DQ14" t="str">
            <v/>
          </cell>
          <cell r="DV14" t="str">
            <v/>
          </cell>
        </row>
        <row r="15">
          <cell r="K15" t="str">
            <v/>
          </cell>
          <cell r="P15" t="str">
            <v/>
          </cell>
          <cell r="U15" t="str">
            <v/>
          </cell>
          <cell r="Z15" t="str">
            <v/>
          </cell>
          <cell r="AE15" t="str">
            <v/>
          </cell>
          <cell r="AJ15" t="str">
            <v/>
          </cell>
          <cell r="AO15" t="str">
            <v/>
          </cell>
          <cell r="AT15" t="str">
            <v/>
          </cell>
          <cell r="AY15" t="str">
            <v/>
          </cell>
          <cell r="BD15" t="str">
            <v/>
          </cell>
          <cell r="BI15" t="str">
            <v/>
          </cell>
          <cell r="BN15" t="str">
            <v/>
          </cell>
          <cell r="BS15" t="str">
            <v/>
          </cell>
          <cell r="BX15" t="str">
            <v/>
          </cell>
          <cell r="CC15" t="str">
            <v/>
          </cell>
          <cell r="CH15" t="str">
            <v/>
          </cell>
          <cell r="CM15" t="str">
            <v/>
          </cell>
          <cell r="CR15" t="str">
            <v/>
          </cell>
          <cell r="CW15" t="str">
            <v/>
          </cell>
          <cell r="DB15" t="str">
            <v/>
          </cell>
          <cell r="DG15" t="str">
            <v/>
          </cell>
          <cell r="DL15" t="str">
            <v/>
          </cell>
          <cell r="DQ15" t="str">
            <v/>
          </cell>
          <cell r="DV15" t="str">
            <v/>
          </cell>
        </row>
        <row r="16">
          <cell r="K16" t="str">
            <v/>
          </cell>
          <cell r="P16" t="str">
            <v/>
          </cell>
          <cell r="U16" t="str">
            <v/>
          </cell>
          <cell r="Z16" t="str">
            <v/>
          </cell>
          <cell r="AE16" t="str">
            <v/>
          </cell>
          <cell r="AJ16" t="str">
            <v/>
          </cell>
          <cell r="AO16" t="str">
            <v/>
          </cell>
          <cell r="AT16" t="str">
            <v/>
          </cell>
          <cell r="AY16" t="str">
            <v/>
          </cell>
          <cell r="BD16" t="str">
            <v/>
          </cell>
          <cell r="BI16" t="str">
            <v/>
          </cell>
          <cell r="BN16" t="str">
            <v/>
          </cell>
          <cell r="BS16" t="str">
            <v/>
          </cell>
          <cell r="BX16" t="str">
            <v/>
          </cell>
          <cell r="CC16" t="str">
            <v/>
          </cell>
          <cell r="CH16" t="str">
            <v/>
          </cell>
          <cell r="CM16" t="str">
            <v/>
          </cell>
          <cell r="CR16" t="str">
            <v/>
          </cell>
          <cell r="CW16" t="str">
            <v/>
          </cell>
          <cell r="DB16" t="str">
            <v/>
          </cell>
          <cell r="DG16" t="str">
            <v/>
          </cell>
          <cell r="DL16" t="str">
            <v/>
          </cell>
          <cell r="DQ16" t="str">
            <v/>
          </cell>
          <cell r="DV16" t="str">
            <v/>
          </cell>
        </row>
        <row r="17">
          <cell r="K17" t="str">
            <v/>
          </cell>
          <cell r="P17" t="str">
            <v/>
          </cell>
          <cell r="U17" t="str">
            <v/>
          </cell>
          <cell r="Z17" t="str">
            <v/>
          </cell>
          <cell r="AE17" t="str">
            <v/>
          </cell>
          <cell r="AJ17" t="str">
            <v/>
          </cell>
          <cell r="AO17" t="str">
            <v/>
          </cell>
          <cell r="AT17" t="str">
            <v/>
          </cell>
          <cell r="AY17" t="str">
            <v/>
          </cell>
          <cell r="BD17" t="str">
            <v/>
          </cell>
          <cell r="BI17" t="str">
            <v/>
          </cell>
          <cell r="BN17" t="str">
            <v/>
          </cell>
          <cell r="BS17" t="str">
            <v/>
          </cell>
          <cell r="BX17" t="str">
            <v/>
          </cell>
          <cell r="CC17" t="str">
            <v/>
          </cell>
          <cell r="CH17" t="str">
            <v/>
          </cell>
          <cell r="CM17" t="str">
            <v/>
          </cell>
          <cell r="CR17" t="str">
            <v/>
          </cell>
          <cell r="CW17" t="str">
            <v/>
          </cell>
          <cell r="DB17" t="str">
            <v/>
          </cell>
          <cell r="DG17" t="str">
            <v/>
          </cell>
          <cell r="DL17" t="str">
            <v/>
          </cell>
          <cell r="DQ17" t="str">
            <v/>
          </cell>
          <cell r="DV17" t="str">
            <v/>
          </cell>
        </row>
        <row r="18">
          <cell r="K18" t="str">
            <v/>
          </cell>
          <cell r="P18" t="str">
            <v/>
          </cell>
          <cell r="U18" t="str">
            <v/>
          </cell>
          <cell r="Z18" t="str">
            <v/>
          </cell>
          <cell r="AE18" t="str">
            <v/>
          </cell>
          <cell r="AJ18" t="str">
            <v/>
          </cell>
          <cell r="AO18" t="str">
            <v/>
          </cell>
          <cell r="AT18" t="str">
            <v/>
          </cell>
          <cell r="AY18" t="str">
            <v/>
          </cell>
          <cell r="BD18" t="str">
            <v/>
          </cell>
          <cell r="BI18" t="str">
            <v/>
          </cell>
          <cell r="BN18" t="str">
            <v/>
          </cell>
          <cell r="BS18" t="str">
            <v/>
          </cell>
          <cell r="BX18" t="str">
            <v/>
          </cell>
          <cell r="CC18" t="str">
            <v/>
          </cell>
          <cell r="CH18" t="str">
            <v/>
          </cell>
          <cell r="CM18" t="str">
            <v/>
          </cell>
          <cell r="CR18" t="str">
            <v/>
          </cell>
          <cell r="CW18" t="str">
            <v/>
          </cell>
          <cell r="DB18" t="str">
            <v/>
          </cell>
          <cell r="DG18" t="str">
            <v/>
          </cell>
          <cell r="DL18" t="str">
            <v/>
          </cell>
          <cell r="DQ18" t="str">
            <v/>
          </cell>
          <cell r="DV18" t="str">
            <v/>
          </cell>
        </row>
        <row r="19">
          <cell r="K19" t="str">
            <v/>
          </cell>
          <cell r="P19" t="str">
            <v/>
          </cell>
          <cell r="U19" t="str">
            <v/>
          </cell>
          <cell r="Z19" t="str">
            <v/>
          </cell>
          <cell r="AE19" t="str">
            <v/>
          </cell>
          <cell r="AJ19" t="str">
            <v/>
          </cell>
          <cell r="AO19" t="str">
            <v/>
          </cell>
          <cell r="AT19" t="str">
            <v/>
          </cell>
          <cell r="AY19" t="str">
            <v/>
          </cell>
          <cell r="BD19" t="str">
            <v/>
          </cell>
          <cell r="BI19" t="str">
            <v/>
          </cell>
          <cell r="BN19" t="str">
            <v/>
          </cell>
          <cell r="BS19" t="str">
            <v/>
          </cell>
          <cell r="BX19" t="str">
            <v/>
          </cell>
          <cell r="CC19" t="str">
            <v/>
          </cell>
          <cell r="CH19" t="str">
            <v/>
          </cell>
          <cell r="CM19" t="str">
            <v/>
          </cell>
          <cell r="CR19" t="str">
            <v/>
          </cell>
          <cell r="CW19" t="str">
            <v/>
          </cell>
          <cell r="DB19" t="str">
            <v/>
          </cell>
          <cell r="DG19" t="str">
            <v/>
          </cell>
          <cell r="DL19" t="str">
            <v/>
          </cell>
          <cell r="DQ19" t="str">
            <v/>
          </cell>
          <cell r="DV19" t="str">
            <v/>
          </cell>
        </row>
        <row r="20">
          <cell r="K20" t="str">
            <v/>
          </cell>
          <cell r="P20" t="str">
            <v/>
          </cell>
          <cell r="U20" t="str">
            <v/>
          </cell>
          <cell r="Z20" t="str">
            <v/>
          </cell>
          <cell r="AE20" t="str">
            <v/>
          </cell>
          <cell r="AJ20" t="str">
            <v/>
          </cell>
          <cell r="AO20" t="str">
            <v/>
          </cell>
          <cell r="AT20" t="str">
            <v/>
          </cell>
          <cell r="AY20" t="str">
            <v/>
          </cell>
          <cell r="BD20" t="str">
            <v/>
          </cell>
          <cell r="BI20" t="str">
            <v/>
          </cell>
          <cell r="BN20" t="str">
            <v/>
          </cell>
          <cell r="BS20" t="str">
            <v/>
          </cell>
          <cell r="BX20" t="str">
            <v/>
          </cell>
          <cell r="CC20" t="str">
            <v/>
          </cell>
          <cell r="CH20" t="str">
            <v/>
          </cell>
          <cell r="CM20" t="str">
            <v/>
          </cell>
          <cell r="CR20" t="str">
            <v/>
          </cell>
          <cell r="CW20" t="str">
            <v/>
          </cell>
          <cell r="DB20" t="str">
            <v/>
          </cell>
          <cell r="DG20" t="str">
            <v/>
          </cell>
          <cell r="DL20" t="str">
            <v/>
          </cell>
          <cell r="DQ20" t="str">
            <v/>
          </cell>
          <cell r="DV20" t="str">
            <v/>
          </cell>
        </row>
        <row r="21">
          <cell r="K21" t="str">
            <v/>
          </cell>
          <cell r="P21" t="str">
            <v/>
          </cell>
          <cell r="U21" t="str">
            <v/>
          </cell>
          <cell r="Z21" t="str">
            <v/>
          </cell>
          <cell r="AE21" t="str">
            <v/>
          </cell>
          <cell r="AJ21" t="str">
            <v/>
          </cell>
          <cell r="AO21" t="str">
            <v/>
          </cell>
          <cell r="AT21" t="str">
            <v/>
          </cell>
          <cell r="AY21" t="str">
            <v/>
          </cell>
          <cell r="BD21" t="str">
            <v/>
          </cell>
          <cell r="BI21" t="str">
            <v/>
          </cell>
          <cell r="BN21" t="str">
            <v/>
          </cell>
          <cell r="BS21" t="str">
            <v/>
          </cell>
          <cell r="BX21" t="str">
            <v/>
          </cell>
          <cell r="CC21" t="str">
            <v/>
          </cell>
          <cell r="CH21" t="str">
            <v/>
          </cell>
          <cell r="CM21" t="str">
            <v/>
          </cell>
          <cell r="CR21" t="str">
            <v/>
          </cell>
          <cell r="CW21" t="str">
            <v/>
          </cell>
          <cell r="DB21" t="str">
            <v/>
          </cell>
          <cell r="DG21" t="str">
            <v/>
          </cell>
          <cell r="DL21" t="str">
            <v/>
          </cell>
          <cell r="DQ21" t="str">
            <v/>
          </cell>
          <cell r="DV21" t="str">
            <v/>
          </cell>
        </row>
        <row r="22">
          <cell r="K22" t="str">
            <v/>
          </cell>
          <cell r="P22" t="str">
            <v/>
          </cell>
          <cell r="U22" t="str">
            <v/>
          </cell>
          <cell r="Z22" t="str">
            <v/>
          </cell>
          <cell r="AE22" t="str">
            <v/>
          </cell>
          <cell r="AJ22" t="str">
            <v/>
          </cell>
          <cell r="AO22" t="str">
            <v/>
          </cell>
          <cell r="AT22" t="str">
            <v/>
          </cell>
          <cell r="AY22" t="str">
            <v/>
          </cell>
          <cell r="BD22" t="str">
            <v/>
          </cell>
          <cell r="BI22" t="str">
            <v/>
          </cell>
          <cell r="BN22" t="str">
            <v/>
          </cell>
          <cell r="BS22" t="str">
            <v/>
          </cell>
          <cell r="BX22" t="str">
            <v/>
          </cell>
          <cell r="CC22" t="str">
            <v/>
          </cell>
          <cell r="CH22" t="str">
            <v/>
          </cell>
          <cell r="CM22" t="str">
            <v/>
          </cell>
          <cell r="CR22" t="str">
            <v/>
          </cell>
          <cell r="CW22" t="str">
            <v/>
          </cell>
          <cell r="DB22" t="str">
            <v/>
          </cell>
          <cell r="DG22" t="str">
            <v/>
          </cell>
          <cell r="DL22" t="str">
            <v/>
          </cell>
          <cell r="DQ22" t="str">
            <v/>
          </cell>
          <cell r="DV22" t="str">
            <v/>
          </cell>
        </row>
        <row r="23">
          <cell r="K23" t="str">
            <v/>
          </cell>
          <cell r="P23" t="str">
            <v/>
          </cell>
          <cell r="U23" t="str">
            <v/>
          </cell>
          <cell r="Z23" t="str">
            <v/>
          </cell>
          <cell r="AE23" t="str">
            <v/>
          </cell>
          <cell r="AJ23" t="str">
            <v/>
          </cell>
          <cell r="AO23" t="str">
            <v/>
          </cell>
          <cell r="AT23" t="str">
            <v/>
          </cell>
          <cell r="AY23" t="str">
            <v/>
          </cell>
          <cell r="BD23" t="str">
            <v/>
          </cell>
          <cell r="BI23" t="str">
            <v/>
          </cell>
          <cell r="BN23" t="str">
            <v/>
          </cell>
          <cell r="BS23" t="str">
            <v/>
          </cell>
          <cell r="BX23" t="str">
            <v/>
          </cell>
          <cell r="CC23" t="str">
            <v/>
          </cell>
          <cell r="CH23" t="str">
            <v/>
          </cell>
          <cell r="CM23" t="str">
            <v/>
          </cell>
          <cell r="CR23" t="str">
            <v/>
          </cell>
          <cell r="CW23" t="str">
            <v/>
          </cell>
          <cell r="DB23" t="str">
            <v/>
          </cell>
          <cell r="DG23" t="str">
            <v/>
          </cell>
          <cell r="DL23" t="str">
            <v/>
          </cell>
          <cell r="DQ23" t="str">
            <v/>
          </cell>
          <cell r="DV23" t="str">
            <v/>
          </cell>
        </row>
        <row r="24">
          <cell r="K24" t="str">
            <v/>
          </cell>
          <cell r="P24" t="str">
            <v/>
          </cell>
          <cell r="U24" t="str">
            <v/>
          </cell>
          <cell r="Z24" t="str">
            <v/>
          </cell>
          <cell r="AE24" t="str">
            <v/>
          </cell>
          <cell r="AJ24" t="str">
            <v/>
          </cell>
          <cell r="AO24" t="str">
            <v/>
          </cell>
          <cell r="AT24" t="str">
            <v/>
          </cell>
          <cell r="AY24" t="str">
            <v/>
          </cell>
          <cell r="BD24" t="str">
            <v/>
          </cell>
          <cell r="BI24" t="str">
            <v/>
          </cell>
          <cell r="BN24" t="str">
            <v/>
          </cell>
          <cell r="BS24" t="str">
            <v/>
          </cell>
          <cell r="BX24" t="str">
            <v/>
          </cell>
          <cell r="CC24" t="str">
            <v/>
          </cell>
          <cell r="CH24" t="str">
            <v/>
          </cell>
          <cell r="CM24" t="str">
            <v/>
          </cell>
          <cell r="CR24" t="str">
            <v/>
          </cell>
          <cell r="CW24" t="str">
            <v/>
          </cell>
          <cell r="DB24" t="str">
            <v/>
          </cell>
          <cell r="DG24" t="str">
            <v/>
          </cell>
          <cell r="DL24" t="str">
            <v/>
          </cell>
          <cell r="DQ24" t="str">
            <v/>
          </cell>
          <cell r="DV24" t="str">
            <v/>
          </cell>
        </row>
        <row r="25">
          <cell r="K25" t="str">
            <v/>
          </cell>
          <cell r="P25" t="str">
            <v/>
          </cell>
          <cell r="U25" t="str">
            <v/>
          </cell>
          <cell r="Z25" t="str">
            <v/>
          </cell>
          <cell r="AE25" t="str">
            <v/>
          </cell>
          <cell r="AJ25" t="str">
            <v/>
          </cell>
          <cell r="AO25" t="str">
            <v/>
          </cell>
          <cell r="AT25" t="str">
            <v/>
          </cell>
          <cell r="AY25" t="str">
            <v/>
          </cell>
          <cell r="BD25" t="str">
            <v/>
          </cell>
          <cell r="BI25" t="str">
            <v/>
          </cell>
          <cell r="BN25" t="str">
            <v/>
          </cell>
          <cell r="BS25" t="str">
            <v/>
          </cell>
          <cell r="BX25" t="str">
            <v/>
          </cell>
          <cell r="CC25" t="str">
            <v/>
          </cell>
          <cell r="CH25" t="str">
            <v/>
          </cell>
          <cell r="CM25" t="str">
            <v/>
          </cell>
          <cell r="CR25" t="str">
            <v/>
          </cell>
          <cell r="CW25" t="str">
            <v/>
          </cell>
          <cell r="DB25" t="str">
            <v/>
          </cell>
          <cell r="DG25" t="str">
            <v/>
          </cell>
          <cell r="DL25" t="str">
            <v/>
          </cell>
          <cell r="DQ25" t="str">
            <v/>
          </cell>
          <cell r="DV25" t="str">
            <v/>
          </cell>
        </row>
        <row r="26">
          <cell r="K26" t="str">
            <v/>
          </cell>
          <cell r="P26" t="str">
            <v/>
          </cell>
          <cell r="U26" t="str">
            <v/>
          </cell>
          <cell r="Z26" t="str">
            <v/>
          </cell>
          <cell r="AE26" t="str">
            <v/>
          </cell>
          <cell r="AJ26" t="str">
            <v/>
          </cell>
          <cell r="AO26" t="str">
            <v/>
          </cell>
          <cell r="AT26" t="str">
            <v/>
          </cell>
          <cell r="AY26" t="str">
            <v/>
          </cell>
          <cell r="BD26" t="str">
            <v/>
          </cell>
          <cell r="BI26" t="str">
            <v/>
          </cell>
          <cell r="BN26" t="str">
            <v/>
          </cell>
          <cell r="BS26" t="str">
            <v/>
          </cell>
          <cell r="BX26" t="str">
            <v/>
          </cell>
          <cell r="CC26" t="str">
            <v/>
          </cell>
          <cell r="CH26" t="str">
            <v/>
          </cell>
          <cell r="CM26" t="str">
            <v/>
          </cell>
          <cell r="CR26" t="str">
            <v/>
          </cell>
          <cell r="CW26" t="str">
            <v/>
          </cell>
          <cell r="DB26" t="str">
            <v/>
          </cell>
          <cell r="DG26" t="str">
            <v/>
          </cell>
          <cell r="DL26" t="str">
            <v/>
          </cell>
          <cell r="DQ26" t="str">
            <v/>
          </cell>
          <cell r="DV26" t="str">
            <v/>
          </cell>
        </row>
        <row r="27">
          <cell r="K27" t="str">
            <v/>
          </cell>
          <cell r="P27" t="str">
            <v/>
          </cell>
          <cell r="U27" t="str">
            <v/>
          </cell>
          <cell r="Z27" t="str">
            <v/>
          </cell>
          <cell r="AE27" t="str">
            <v/>
          </cell>
          <cell r="AJ27" t="str">
            <v/>
          </cell>
          <cell r="AO27" t="str">
            <v/>
          </cell>
          <cell r="AT27" t="str">
            <v/>
          </cell>
          <cell r="AY27" t="str">
            <v/>
          </cell>
          <cell r="BD27" t="str">
            <v/>
          </cell>
          <cell r="BI27" t="str">
            <v/>
          </cell>
          <cell r="BN27" t="str">
            <v/>
          </cell>
          <cell r="BS27" t="str">
            <v/>
          </cell>
          <cell r="BX27" t="str">
            <v/>
          </cell>
          <cell r="CC27" t="str">
            <v/>
          </cell>
          <cell r="CH27" t="str">
            <v/>
          </cell>
          <cell r="CM27" t="str">
            <v/>
          </cell>
          <cell r="CR27" t="str">
            <v/>
          </cell>
          <cell r="CW27" t="str">
            <v/>
          </cell>
          <cell r="DB27" t="str">
            <v/>
          </cell>
          <cell r="DG27" t="str">
            <v/>
          </cell>
          <cell r="DL27" t="str">
            <v/>
          </cell>
          <cell r="DQ27" t="str">
            <v/>
          </cell>
          <cell r="DV27" t="str">
            <v/>
          </cell>
        </row>
        <row r="28">
          <cell r="K28" t="str">
            <v/>
          </cell>
          <cell r="P28" t="str">
            <v/>
          </cell>
          <cell r="U28" t="str">
            <v/>
          </cell>
          <cell r="Z28" t="str">
            <v/>
          </cell>
          <cell r="AE28" t="str">
            <v/>
          </cell>
          <cell r="AJ28" t="str">
            <v/>
          </cell>
          <cell r="AO28" t="str">
            <v/>
          </cell>
          <cell r="AT28" t="str">
            <v/>
          </cell>
          <cell r="AY28" t="str">
            <v/>
          </cell>
          <cell r="BD28" t="str">
            <v/>
          </cell>
          <cell r="BI28" t="str">
            <v/>
          </cell>
          <cell r="BN28" t="str">
            <v/>
          </cell>
          <cell r="BS28" t="str">
            <v/>
          </cell>
          <cell r="BX28" t="str">
            <v/>
          </cell>
          <cell r="CC28" t="str">
            <v/>
          </cell>
          <cell r="CH28" t="str">
            <v/>
          </cell>
          <cell r="CM28" t="str">
            <v/>
          </cell>
          <cell r="CR28" t="str">
            <v/>
          </cell>
          <cell r="CW28" t="str">
            <v/>
          </cell>
          <cell r="DB28" t="str">
            <v/>
          </cell>
          <cell r="DG28" t="str">
            <v/>
          </cell>
          <cell r="DL28" t="str">
            <v/>
          </cell>
          <cell r="DQ28" t="str">
            <v/>
          </cell>
          <cell r="DV28" t="str">
            <v/>
          </cell>
        </row>
        <row r="29">
          <cell r="K29" t="str">
            <v/>
          </cell>
          <cell r="P29" t="str">
            <v/>
          </cell>
          <cell r="U29" t="str">
            <v/>
          </cell>
          <cell r="Z29" t="str">
            <v/>
          </cell>
          <cell r="AE29" t="str">
            <v/>
          </cell>
          <cell r="AJ29" t="str">
            <v/>
          </cell>
          <cell r="AO29" t="str">
            <v/>
          </cell>
          <cell r="AT29" t="str">
            <v/>
          </cell>
          <cell r="AY29" t="str">
            <v/>
          </cell>
          <cell r="BD29" t="str">
            <v/>
          </cell>
          <cell r="BI29" t="str">
            <v/>
          </cell>
          <cell r="BN29" t="str">
            <v/>
          </cell>
          <cell r="BS29" t="str">
            <v/>
          </cell>
          <cell r="BX29" t="str">
            <v/>
          </cell>
          <cell r="CC29" t="str">
            <v/>
          </cell>
          <cell r="CH29" t="str">
            <v/>
          </cell>
          <cell r="CM29" t="str">
            <v/>
          </cell>
          <cell r="CR29" t="str">
            <v/>
          </cell>
          <cell r="CW29" t="str">
            <v/>
          </cell>
          <cell r="DB29" t="str">
            <v/>
          </cell>
          <cell r="DG29" t="str">
            <v/>
          </cell>
          <cell r="DL29" t="str">
            <v/>
          </cell>
          <cell r="DQ29" t="str">
            <v/>
          </cell>
          <cell r="DV29" t="str">
            <v/>
          </cell>
        </row>
        <row r="30">
          <cell r="K30" t="str">
            <v/>
          </cell>
          <cell r="P30" t="str">
            <v/>
          </cell>
          <cell r="U30" t="str">
            <v/>
          </cell>
          <cell r="Z30" t="str">
            <v/>
          </cell>
          <cell r="AE30" t="str">
            <v/>
          </cell>
          <cell r="AJ30" t="str">
            <v/>
          </cell>
          <cell r="AO30" t="str">
            <v/>
          </cell>
          <cell r="AT30" t="str">
            <v/>
          </cell>
          <cell r="AY30" t="str">
            <v/>
          </cell>
          <cell r="BD30" t="str">
            <v/>
          </cell>
          <cell r="BI30" t="str">
            <v/>
          </cell>
          <cell r="BN30" t="str">
            <v/>
          </cell>
          <cell r="BS30" t="str">
            <v/>
          </cell>
          <cell r="BX30" t="str">
            <v/>
          </cell>
          <cell r="CC30" t="str">
            <v/>
          </cell>
          <cell r="CH30" t="str">
            <v/>
          </cell>
          <cell r="CM30" t="str">
            <v/>
          </cell>
          <cell r="CR30" t="str">
            <v/>
          </cell>
          <cell r="CW30" t="str">
            <v/>
          </cell>
          <cell r="DB30" t="str">
            <v/>
          </cell>
          <cell r="DG30" t="str">
            <v/>
          </cell>
          <cell r="DL30" t="str">
            <v/>
          </cell>
          <cell r="DQ30" t="str">
            <v/>
          </cell>
          <cell r="DV30" t="str">
            <v/>
          </cell>
        </row>
        <row r="31">
          <cell r="K31" t="str">
            <v/>
          </cell>
          <cell r="P31" t="str">
            <v/>
          </cell>
          <cell r="U31" t="str">
            <v/>
          </cell>
          <cell r="Z31" t="str">
            <v/>
          </cell>
          <cell r="AE31" t="str">
            <v/>
          </cell>
          <cell r="AJ31" t="str">
            <v/>
          </cell>
          <cell r="AO31" t="str">
            <v/>
          </cell>
          <cell r="AT31" t="str">
            <v/>
          </cell>
          <cell r="AY31" t="str">
            <v/>
          </cell>
          <cell r="BD31" t="str">
            <v/>
          </cell>
          <cell r="BI31" t="str">
            <v/>
          </cell>
          <cell r="BN31" t="str">
            <v/>
          </cell>
          <cell r="BS31" t="str">
            <v/>
          </cell>
          <cell r="BX31" t="str">
            <v/>
          </cell>
          <cell r="CC31" t="str">
            <v/>
          </cell>
          <cell r="CH31" t="str">
            <v/>
          </cell>
          <cell r="CM31" t="str">
            <v/>
          </cell>
          <cell r="CR31" t="str">
            <v/>
          </cell>
          <cell r="CW31" t="str">
            <v/>
          </cell>
          <cell r="DB31" t="str">
            <v/>
          </cell>
          <cell r="DG31" t="str">
            <v/>
          </cell>
          <cell r="DL31" t="str">
            <v/>
          </cell>
          <cell r="DQ31" t="str">
            <v/>
          </cell>
          <cell r="DV31" t="str">
            <v/>
          </cell>
        </row>
        <row r="32">
          <cell r="K32" t="str">
            <v/>
          </cell>
          <cell r="P32" t="str">
            <v/>
          </cell>
          <cell r="U32" t="str">
            <v/>
          </cell>
          <cell r="Z32" t="str">
            <v/>
          </cell>
          <cell r="AE32" t="str">
            <v/>
          </cell>
          <cell r="AJ32" t="str">
            <v/>
          </cell>
          <cell r="AO32" t="str">
            <v/>
          </cell>
          <cell r="AT32" t="str">
            <v/>
          </cell>
          <cell r="AY32" t="str">
            <v/>
          </cell>
          <cell r="BD32" t="str">
            <v/>
          </cell>
          <cell r="BI32" t="str">
            <v/>
          </cell>
          <cell r="BN32" t="str">
            <v/>
          </cell>
          <cell r="BS32" t="str">
            <v/>
          </cell>
          <cell r="BX32" t="str">
            <v/>
          </cell>
          <cell r="CC32" t="str">
            <v/>
          </cell>
          <cell r="CH32" t="str">
            <v/>
          </cell>
          <cell r="CM32" t="str">
            <v/>
          </cell>
          <cell r="CR32" t="str">
            <v/>
          </cell>
          <cell r="CW32" t="str">
            <v/>
          </cell>
          <cell r="DB32" t="str">
            <v/>
          </cell>
          <cell r="DG32" t="str">
            <v/>
          </cell>
          <cell r="DL32" t="str">
            <v/>
          </cell>
          <cell r="DQ32" t="str">
            <v/>
          </cell>
          <cell r="DV32" t="str">
            <v/>
          </cell>
        </row>
        <row r="33">
          <cell r="K33" t="str">
            <v/>
          </cell>
          <cell r="P33" t="str">
            <v/>
          </cell>
          <cell r="U33" t="str">
            <v/>
          </cell>
          <cell r="Z33" t="str">
            <v/>
          </cell>
          <cell r="AE33" t="str">
            <v/>
          </cell>
          <cell r="AJ33" t="str">
            <v/>
          </cell>
          <cell r="AO33" t="str">
            <v/>
          </cell>
          <cell r="AT33" t="str">
            <v/>
          </cell>
          <cell r="AY33" t="str">
            <v/>
          </cell>
          <cell r="BD33" t="str">
            <v/>
          </cell>
          <cell r="BI33" t="str">
            <v/>
          </cell>
          <cell r="BN33" t="str">
            <v/>
          </cell>
          <cell r="BS33" t="str">
            <v/>
          </cell>
          <cell r="BX33" t="str">
            <v/>
          </cell>
          <cell r="CC33" t="str">
            <v/>
          </cell>
          <cell r="CH33" t="str">
            <v/>
          </cell>
          <cell r="CM33" t="str">
            <v/>
          </cell>
          <cell r="CR33" t="str">
            <v/>
          </cell>
          <cell r="CW33" t="str">
            <v/>
          </cell>
          <cell r="DB33" t="str">
            <v/>
          </cell>
          <cell r="DG33" t="str">
            <v/>
          </cell>
          <cell r="DL33" t="str">
            <v/>
          </cell>
          <cell r="DQ33" t="str">
            <v/>
          </cell>
          <cell r="DV33" t="str">
            <v/>
          </cell>
        </row>
        <row r="34">
          <cell r="K34" t="str">
            <v/>
          </cell>
          <cell r="P34" t="str">
            <v/>
          </cell>
          <cell r="U34" t="str">
            <v/>
          </cell>
          <cell r="Z34" t="str">
            <v/>
          </cell>
          <cell r="AE34" t="str">
            <v/>
          </cell>
          <cell r="AJ34" t="str">
            <v/>
          </cell>
          <cell r="AO34" t="str">
            <v/>
          </cell>
          <cell r="AT34" t="str">
            <v/>
          </cell>
          <cell r="AY34" t="str">
            <v/>
          </cell>
          <cell r="BD34" t="str">
            <v/>
          </cell>
          <cell r="BI34" t="str">
            <v/>
          </cell>
          <cell r="BN34" t="str">
            <v/>
          </cell>
          <cell r="BS34" t="str">
            <v/>
          </cell>
          <cell r="BX34" t="str">
            <v/>
          </cell>
          <cell r="CC34" t="str">
            <v/>
          </cell>
          <cell r="CH34" t="str">
            <v/>
          </cell>
          <cell r="CM34" t="str">
            <v/>
          </cell>
          <cell r="CR34" t="str">
            <v/>
          </cell>
          <cell r="CW34" t="str">
            <v/>
          </cell>
          <cell r="DB34" t="str">
            <v/>
          </cell>
          <cell r="DG34" t="str">
            <v/>
          </cell>
          <cell r="DL34" t="str">
            <v/>
          </cell>
          <cell r="DQ34" t="str">
            <v/>
          </cell>
          <cell r="DV34" t="str">
            <v/>
          </cell>
        </row>
        <row r="35">
          <cell r="K35" t="str">
            <v/>
          </cell>
          <cell r="P35" t="str">
            <v/>
          </cell>
          <cell r="U35" t="str">
            <v/>
          </cell>
          <cell r="Z35" t="str">
            <v/>
          </cell>
          <cell r="AE35" t="str">
            <v/>
          </cell>
          <cell r="AJ35" t="str">
            <v/>
          </cell>
          <cell r="AO35" t="str">
            <v/>
          </cell>
          <cell r="AT35" t="str">
            <v/>
          </cell>
          <cell r="AY35" t="str">
            <v/>
          </cell>
          <cell r="BD35" t="str">
            <v/>
          </cell>
          <cell r="BI35" t="str">
            <v/>
          </cell>
          <cell r="BN35" t="str">
            <v/>
          </cell>
          <cell r="BS35" t="str">
            <v/>
          </cell>
          <cell r="BX35" t="str">
            <v/>
          </cell>
          <cell r="CC35" t="str">
            <v/>
          </cell>
          <cell r="CH35" t="str">
            <v/>
          </cell>
          <cell r="CM35" t="str">
            <v/>
          </cell>
          <cell r="CR35" t="str">
            <v/>
          </cell>
          <cell r="CW35" t="str">
            <v/>
          </cell>
          <cell r="DB35" t="str">
            <v/>
          </cell>
          <cell r="DG35" t="str">
            <v/>
          </cell>
          <cell r="DL35" t="str">
            <v/>
          </cell>
          <cell r="DQ35" t="str">
            <v/>
          </cell>
          <cell r="DV35" t="str">
            <v/>
          </cell>
        </row>
        <row r="36">
          <cell r="K36" t="str">
            <v/>
          </cell>
          <cell r="P36" t="str">
            <v/>
          </cell>
          <cell r="U36" t="str">
            <v/>
          </cell>
          <cell r="Z36" t="str">
            <v/>
          </cell>
          <cell r="AE36" t="str">
            <v/>
          </cell>
          <cell r="AJ36" t="str">
            <v/>
          </cell>
          <cell r="AO36" t="str">
            <v/>
          </cell>
          <cell r="AT36" t="str">
            <v/>
          </cell>
          <cell r="AY36" t="str">
            <v/>
          </cell>
          <cell r="BD36" t="str">
            <v/>
          </cell>
          <cell r="BI36" t="str">
            <v/>
          </cell>
          <cell r="BN36" t="str">
            <v/>
          </cell>
          <cell r="BS36" t="str">
            <v/>
          </cell>
          <cell r="BX36" t="str">
            <v/>
          </cell>
          <cell r="CC36" t="str">
            <v/>
          </cell>
          <cell r="CH36" t="str">
            <v/>
          </cell>
          <cell r="CM36" t="str">
            <v/>
          </cell>
          <cell r="CR36" t="str">
            <v/>
          </cell>
          <cell r="CW36" t="str">
            <v/>
          </cell>
          <cell r="DB36" t="str">
            <v/>
          </cell>
          <cell r="DG36" t="str">
            <v/>
          </cell>
          <cell r="DL36" t="str">
            <v/>
          </cell>
          <cell r="DQ36" t="str">
            <v/>
          </cell>
          <cell r="DV36" t="str">
            <v/>
          </cell>
        </row>
        <row r="37">
          <cell r="K37" t="str">
            <v/>
          </cell>
          <cell r="P37" t="str">
            <v/>
          </cell>
          <cell r="U37" t="str">
            <v/>
          </cell>
          <cell r="Z37" t="str">
            <v/>
          </cell>
          <cell r="AE37" t="str">
            <v/>
          </cell>
          <cell r="AJ37" t="str">
            <v/>
          </cell>
          <cell r="AO37" t="str">
            <v/>
          </cell>
          <cell r="AT37" t="str">
            <v/>
          </cell>
          <cell r="AY37" t="str">
            <v/>
          </cell>
          <cell r="BD37" t="str">
            <v/>
          </cell>
          <cell r="BI37" t="str">
            <v/>
          </cell>
          <cell r="BN37" t="str">
            <v/>
          </cell>
          <cell r="BS37" t="str">
            <v/>
          </cell>
          <cell r="BX37" t="str">
            <v/>
          </cell>
          <cell r="CC37" t="str">
            <v/>
          </cell>
          <cell r="CH37" t="str">
            <v/>
          </cell>
          <cell r="CM37" t="str">
            <v/>
          </cell>
          <cell r="CR37" t="str">
            <v/>
          </cell>
          <cell r="CW37" t="str">
            <v/>
          </cell>
          <cell r="DB37" t="str">
            <v/>
          </cell>
          <cell r="DG37" t="str">
            <v/>
          </cell>
          <cell r="DL37" t="str">
            <v/>
          </cell>
          <cell r="DQ37" t="str">
            <v/>
          </cell>
          <cell r="DV37" t="str">
            <v/>
          </cell>
        </row>
        <row r="38">
          <cell r="K38" t="str">
            <v/>
          </cell>
          <cell r="P38" t="str">
            <v/>
          </cell>
          <cell r="U38" t="str">
            <v/>
          </cell>
          <cell r="Z38" t="str">
            <v/>
          </cell>
          <cell r="AE38" t="str">
            <v/>
          </cell>
          <cell r="AJ38" t="str">
            <v/>
          </cell>
          <cell r="AO38" t="str">
            <v/>
          </cell>
          <cell r="AT38" t="str">
            <v/>
          </cell>
          <cell r="AY38" t="str">
            <v/>
          </cell>
          <cell r="BD38" t="str">
            <v/>
          </cell>
          <cell r="BI38" t="str">
            <v/>
          </cell>
          <cell r="BN38" t="str">
            <v/>
          </cell>
          <cell r="BS38" t="str">
            <v/>
          </cell>
          <cell r="BX38" t="str">
            <v/>
          </cell>
          <cell r="CC38" t="str">
            <v/>
          </cell>
          <cell r="CH38" t="str">
            <v/>
          </cell>
          <cell r="CM38" t="str">
            <v/>
          </cell>
          <cell r="CR38" t="str">
            <v/>
          </cell>
          <cell r="CW38" t="str">
            <v/>
          </cell>
          <cell r="DB38" t="str">
            <v/>
          </cell>
          <cell r="DG38" t="str">
            <v/>
          </cell>
          <cell r="DL38" t="str">
            <v/>
          </cell>
          <cell r="DQ38" t="str">
            <v/>
          </cell>
          <cell r="DV38" t="str">
            <v/>
          </cell>
        </row>
        <row r="39">
          <cell r="K39" t="str">
            <v/>
          </cell>
          <cell r="P39" t="str">
            <v/>
          </cell>
          <cell r="U39" t="str">
            <v/>
          </cell>
          <cell r="Z39" t="str">
            <v/>
          </cell>
          <cell r="AE39" t="str">
            <v/>
          </cell>
          <cell r="AJ39" t="str">
            <v/>
          </cell>
          <cell r="AO39" t="str">
            <v/>
          </cell>
          <cell r="AT39" t="str">
            <v/>
          </cell>
          <cell r="AY39" t="str">
            <v/>
          </cell>
          <cell r="BD39" t="str">
            <v/>
          </cell>
          <cell r="BI39" t="str">
            <v/>
          </cell>
          <cell r="BN39" t="str">
            <v/>
          </cell>
          <cell r="BS39" t="str">
            <v/>
          </cell>
          <cell r="BX39" t="str">
            <v/>
          </cell>
          <cell r="CC39" t="str">
            <v/>
          </cell>
          <cell r="CH39" t="str">
            <v/>
          </cell>
          <cell r="CM39" t="str">
            <v/>
          </cell>
          <cell r="CR39" t="str">
            <v/>
          </cell>
          <cell r="CW39" t="str">
            <v/>
          </cell>
          <cell r="DB39" t="str">
            <v/>
          </cell>
          <cell r="DG39" t="str">
            <v/>
          </cell>
          <cell r="DL39" t="str">
            <v/>
          </cell>
          <cell r="DQ39" t="str">
            <v/>
          </cell>
          <cell r="DV39" t="str">
            <v/>
          </cell>
        </row>
        <row r="40">
          <cell r="K40" t="str">
            <v/>
          </cell>
          <cell r="P40" t="str">
            <v/>
          </cell>
          <cell r="U40" t="str">
            <v/>
          </cell>
          <cell r="Z40" t="str">
            <v/>
          </cell>
          <cell r="AE40" t="str">
            <v/>
          </cell>
          <cell r="AJ40" t="str">
            <v/>
          </cell>
          <cell r="AO40" t="str">
            <v/>
          </cell>
          <cell r="AT40" t="str">
            <v/>
          </cell>
          <cell r="AY40" t="str">
            <v/>
          </cell>
          <cell r="BD40" t="str">
            <v/>
          </cell>
          <cell r="BI40" t="str">
            <v/>
          </cell>
          <cell r="BN40" t="str">
            <v/>
          </cell>
          <cell r="BS40" t="str">
            <v/>
          </cell>
          <cell r="BX40" t="str">
            <v/>
          </cell>
          <cell r="CC40" t="str">
            <v/>
          </cell>
          <cell r="CH40" t="str">
            <v/>
          </cell>
          <cell r="CM40" t="str">
            <v/>
          </cell>
          <cell r="CR40" t="str">
            <v/>
          </cell>
          <cell r="CW40" t="str">
            <v/>
          </cell>
          <cell r="DB40" t="str">
            <v/>
          </cell>
          <cell r="DG40" t="str">
            <v/>
          </cell>
          <cell r="DL40" t="str">
            <v/>
          </cell>
          <cell r="DQ40" t="str">
            <v/>
          </cell>
          <cell r="DV40" t="str">
            <v/>
          </cell>
        </row>
        <row r="41">
          <cell r="K41" t="str">
            <v/>
          </cell>
          <cell r="P41" t="str">
            <v/>
          </cell>
          <cell r="U41" t="str">
            <v/>
          </cell>
          <cell r="Z41" t="str">
            <v/>
          </cell>
          <cell r="AE41" t="str">
            <v/>
          </cell>
          <cell r="AJ41" t="str">
            <v/>
          </cell>
          <cell r="AO41" t="str">
            <v/>
          </cell>
          <cell r="AT41" t="str">
            <v/>
          </cell>
          <cell r="AY41" t="str">
            <v/>
          </cell>
          <cell r="BD41" t="str">
            <v/>
          </cell>
          <cell r="BI41" t="str">
            <v/>
          </cell>
          <cell r="BN41" t="str">
            <v/>
          </cell>
          <cell r="BS41" t="str">
            <v/>
          </cell>
          <cell r="BX41" t="str">
            <v/>
          </cell>
          <cell r="CC41" t="str">
            <v/>
          </cell>
          <cell r="CH41" t="str">
            <v/>
          </cell>
          <cell r="CM41" t="str">
            <v/>
          </cell>
          <cell r="CR41" t="str">
            <v/>
          </cell>
          <cell r="CW41" t="str">
            <v/>
          </cell>
          <cell r="DB41" t="str">
            <v/>
          </cell>
          <cell r="DG41" t="str">
            <v/>
          </cell>
          <cell r="DL41" t="str">
            <v/>
          </cell>
          <cell r="DQ41" t="str">
            <v/>
          </cell>
          <cell r="DV41" t="str">
            <v/>
          </cell>
        </row>
        <row r="42">
          <cell r="K42" t="str">
            <v/>
          </cell>
          <cell r="P42" t="str">
            <v/>
          </cell>
          <cell r="U42" t="str">
            <v/>
          </cell>
          <cell r="Z42" t="str">
            <v/>
          </cell>
          <cell r="AE42" t="str">
            <v/>
          </cell>
          <cell r="AJ42" t="str">
            <v/>
          </cell>
          <cell r="AO42" t="str">
            <v/>
          </cell>
          <cell r="AT42" t="str">
            <v/>
          </cell>
          <cell r="AY42" t="str">
            <v/>
          </cell>
          <cell r="BD42" t="str">
            <v/>
          </cell>
          <cell r="BI42" t="str">
            <v/>
          </cell>
          <cell r="BN42" t="str">
            <v/>
          </cell>
          <cell r="BS42" t="str">
            <v/>
          </cell>
          <cell r="BX42" t="str">
            <v/>
          </cell>
          <cell r="CC42" t="str">
            <v/>
          </cell>
          <cell r="CH42" t="str">
            <v/>
          </cell>
          <cell r="CM42" t="str">
            <v/>
          </cell>
          <cell r="CR42" t="str">
            <v/>
          </cell>
          <cell r="CW42" t="str">
            <v/>
          </cell>
          <cell r="DB42" t="str">
            <v/>
          </cell>
          <cell r="DG42" t="str">
            <v/>
          </cell>
          <cell r="DL42" t="str">
            <v/>
          </cell>
          <cell r="DQ42" t="str">
            <v/>
          </cell>
          <cell r="DV42" t="str">
            <v/>
          </cell>
        </row>
        <row r="43">
          <cell r="K43" t="str">
            <v/>
          </cell>
          <cell r="P43" t="str">
            <v/>
          </cell>
          <cell r="U43" t="str">
            <v/>
          </cell>
          <cell r="Z43" t="str">
            <v/>
          </cell>
          <cell r="AE43" t="str">
            <v/>
          </cell>
          <cell r="AJ43" t="str">
            <v/>
          </cell>
          <cell r="AO43" t="str">
            <v/>
          </cell>
          <cell r="AT43" t="str">
            <v/>
          </cell>
          <cell r="AY43" t="str">
            <v/>
          </cell>
          <cell r="BD43" t="str">
            <v/>
          </cell>
          <cell r="BI43" t="str">
            <v/>
          </cell>
          <cell r="BN43" t="str">
            <v/>
          </cell>
          <cell r="BS43" t="str">
            <v/>
          </cell>
          <cell r="BX43" t="str">
            <v/>
          </cell>
          <cell r="CC43" t="str">
            <v/>
          </cell>
          <cell r="CH43" t="str">
            <v/>
          </cell>
          <cell r="CM43" t="str">
            <v/>
          </cell>
          <cell r="CR43" t="str">
            <v/>
          </cell>
          <cell r="CW43" t="str">
            <v/>
          </cell>
          <cell r="DB43" t="str">
            <v/>
          </cell>
          <cell r="DG43" t="str">
            <v/>
          </cell>
          <cell r="DL43" t="str">
            <v/>
          </cell>
          <cell r="DQ43" t="str">
            <v/>
          </cell>
          <cell r="DV43" t="str">
            <v/>
          </cell>
        </row>
        <row r="44">
          <cell r="K44" t="str">
            <v/>
          </cell>
          <cell r="P44" t="str">
            <v/>
          </cell>
          <cell r="U44" t="str">
            <v/>
          </cell>
          <cell r="Z44" t="str">
            <v/>
          </cell>
          <cell r="AE44" t="str">
            <v/>
          </cell>
          <cell r="AJ44" t="str">
            <v/>
          </cell>
          <cell r="AO44" t="str">
            <v/>
          </cell>
          <cell r="AT44" t="str">
            <v/>
          </cell>
          <cell r="AY44" t="str">
            <v/>
          </cell>
          <cell r="BD44" t="str">
            <v/>
          </cell>
          <cell r="BI44" t="str">
            <v/>
          </cell>
          <cell r="BN44" t="str">
            <v/>
          </cell>
          <cell r="BS44" t="str">
            <v/>
          </cell>
          <cell r="BX44" t="str">
            <v/>
          </cell>
          <cell r="CC44" t="str">
            <v/>
          </cell>
          <cell r="CH44" t="str">
            <v/>
          </cell>
          <cell r="CM44" t="str">
            <v/>
          </cell>
          <cell r="CR44" t="str">
            <v/>
          </cell>
          <cell r="CW44" t="str">
            <v/>
          </cell>
          <cell r="DB44" t="str">
            <v/>
          </cell>
          <cell r="DG44" t="str">
            <v/>
          </cell>
          <cell r="DL44" t="str">
            <v/>
          </cell>
          <cell r="DQ44" t="str">
            <v/>
          </cell>
          <cell r="DV44" t="str">
            <v/>
          </cell>
        </row>
        <row r="45">
          <cell r="K45" t="str">
            <v/>
          </cell>
          <cell r="P45" t="str">
            <v/>
          </cell>
          <cell r="U45" t="str">
            <v/>
          </cell>
          <cell r="Z45" t="str">
            <v/>
          </cell>
          <cell r="AE45" t="str">
            <v/>
          </cell>
          <cell r="AJ45" t="str">
            <v/>
          </cell>
          <cell r="AO45" t="str">
            <v/>
          </cell>
          <cell r="AT45" t="str">
            <v/>
          </cell>
          <cell r="AY45" t="str">
            <v/>
          </cell>
          <cell r="BD45" t="str">
            <v/>
          </cell>
          <cell r="BI45" t="str">
            <v/>
          </cell>
          <cell r="BN45" t="str">
            <v/>
          </cell>
          <cell r="BS45" t="str">
            <v/>
          </cell>
          <cell r="BX45" t="str">
            <v/>
          </cell>
          <cell r="CC45" t="str">
            <v/>
          </cell>
          <cell r="CH45" t="str">
            <v/>
          </cell>
          <cell r="CM45" t="str">
            <v/>
          </cell>
          <cell r="CR45" t="str">
            <v/>
          </cell>
          <cell r="CW45" t="str">
            <v/>
          </cell>
          <cell r="DB45" t="str">
            <v/>
          </cell>
          <cell r="DG45" t="str">
            <v/>
          </cell>
          <cell r="DL45" t="str">
            <v/>
          </cell>
          <cell r="DQ45" t="str">
            <v/>
          </cell>
          <cell r="DV45" t="str">
            <v/>
          </cell>
        </row>
        <row r="46">
          <cell r="K46" t="str">
            <v/>
          </cell>
          <cell r="P46" t="str">
            <v/>
          </cell>
          <cell r="U46" t="str">
            <v/>
          </cell>
          <cell r="Z46" t="str">
            <v/>
          </cell>
          <cell r="AE46" t="str">
            <v/>
          </cell>
          <cell r="AJ46" t="str">
            <v/>
          </cell>
          <cell r="AO46" t="str">
            <v/>
          </cell>
          <cell r="AT46" t="str">
            <v/>
          </cell>
          <cell r="AY46" t="str">
            <v/>
          </cell>
          <cell r="BD46" t="str">
            <v/>
          </cell>
          <cell r="BI46" t="str">
            <v/>
          </cell>
          <cell r="BN46" t="str">
            <v/>
          </cell>
          <cell r="BS46" t="str">
            <v/>
          </cell>
          <cell r="BX46" t="str">
            <v/>
          </cell>
          <cell r="CC46" t="str">
            <v/>
          </cell>
          <cell r="CH46" t="str">
            <v/>
          </cell>
          <cell r="CM46" t="str">
            <v/>
          </cell>
          <cell r="CR46" t="str">
            <v/>
          </cell>
          <cell r="CW46" t="str">
            <v/>
          </cell>
          <cell r="DB46" t="str">
            <v/>
          </cell>
          <cell r="DG46" t="str">
            <v/>
          </cell>
          <cell r="DL46" t="str">
            <v/>
          </cell>
          <cell r="DQ46" t="str">
            <v/>
          </cell>
          <cell r="DV46" t="str">
            <v/>
          </cell>
        </row>
        <row r="47">
          <cell r="K47" t="str">
            <v/>
          </cell>
          <cell r="P47" t="str">
            <v/>
          </cell>
          <cell r="U47" t="str">
            <v/>
          </cell>
          <cell r="Z47" t="str">
            <v/>
          </cell>
          <cell r="AE47" t="str">
            <v/>
          </cell>
          <cell r="AJ47" t="str">
            <v/>
          </cell>
          <cell r="AO47" t="str">
            <v/>
          </cell>
          <cell r="AT47" t="str">
            <v/>
          </cell>
          <cell r="AY47" t="str">
            <v/>
          </cell>
          <cell r="BD47" t="str">
            <v/>
          </cell>
          <cell r="BI47" t="str">
            <v/>
          </cell>
          <cell r="BN47" t="str">
            <v/>
          </cell>
          <cell r="BS47" t="str">
            <v/>
          </cell>
          <cell r="BX47" t="str">
            <v/>
          </cell>
          <cell r="CC47" t="str">
            <v/>
          </cell>
          <cell r="CH47" t="str">
            <v/>
          </cell>
          <cell r="CM47" t="str">
            <v/>
          </cell>
          <cell r="CR47" t="str">
            <v/>
          </cell>
          <cell r="CW47" t="str">
            <v/>
          </cell>
          <cell r="DB47" t="str">
            <v/>
          </cell>
          <cell r="DG47" t="str">
            <v/>
          </cell>
          <cell r="DL47" t="str">
            <v/>
          </cell>
          <cell r="DQ47" t="str">
            <v/>
          </cell>
          <cell r="DV47" t="str">
            <v/>
          </cell>
        </row>
        <row r="48">
          <cell r="K48" t="str">
            <v/>
          </cell>
          <cell r="P48" t="str">
            <v/>
          </cell>
          <cell r="U48" t="str">
            <v/>
          </cell>
          <cell r="Z48" t="str">
            <v/>
          </cell>
          <cell r="AE48" t="str">
            <v/>
          </cell>
          <cell r="AJ48" t="str">
            <v/>
          </cell>
          <cell r="AO48" t="str">
            <v/>
          </cell>
          <cell r="AT48" t="str">
            <v/>
          </cell>
          <cell r="AY48" t="str">
            <v/>
          </cell>
          <cell r="BD48" t="str">
            <v/>
          </cell>
          <cell r="BI48" t="str">
            <v/>
          </cell>
          <cell r="BN48" t="str">
            <v/>
          </cell>
          <cell r="BS48" t="str">
            <v/>
          </cell>
          <cell r="BX48" t="str">
            <v/>
          </cell>
          <cell r="CC48" t="str">
            <v/>
          </cell>
          <cell r="CH48" t="str">
            <v/>
          </cell>
          <cell r="CM48" t="str">
            <v/>
          </cell>
          <cell r="CR48" t="str">
            <v/>
          </cell>
          <cell r="CW48" t="str">
            <v/>
          </cell>
          <cell r="DB48" t="str">
            <v/>
          </cell>
          <cell r="DG48" t="str">
            <v/>
          </cell>
          <cell r="DL48" t="str">
            <v/>
          </cell>
          <cell r="DQ48" t="str">
            <v/>
          </cell>
          <cell r="DV48" t="str">
            <v/>
          </cell>
        </row>
        <row r="49">
          <cell r="K49" t="str">
            <v/>
          </cell>
          <cell r="P49" t="str">
            <v/>
          </cell>
          <cell r="U49" t="str">
            <v/>
          </cell>
          <cell r="Z49" t="str">
            <v/>
          </cell>
          <cell r="AE49" t="str">
            <v/>
          </cell>
          <cell r="AJ49" t="str">
            <v/>
          </cell>
          <cell r="AO49" t="str">
            <v/>
          </cell>
          <cell r="AT49" t="str">
            <v/>
          </cell>
          <cell r="AY49" t="str">
            <v/>
          </cell>
          <cell r="BD49" t="str">
            <v/>
          </cell>
          <cell r="BI49" t="str">
            <v/>
          </cell>
          <cell r="BN49" t="str">
            <v/>
          </cell>
          <cell r="BS49" t="str">
            <v/>
          </cell>
          <cell r="BX49" t="str">
            <v/>
          </cell>
          <cell r="CC49" t="str">
            <v/>
          </cell>
          <cell r="CH49" t="str">
            <v/>
          </cell>
          <cell r="CM49" t="str">
            <v/>
          </cell>
          <cell r="CR49" t="str">
            <v/>
          </cell>
          <cell r="CW49" t="str">
            <v/>
          </cell>
          <cell r="DB49" t="str">
            <v/>
          </cell>
          <cell r="DG49" t="str">
            <v/>
          </cell>
          <cell r="DL49" t="str">
            <v/>
          </cell>
          <cell r="DQ49" t="str">
            <v/>
          </cell>
          <cell r="DV49" t="str">
            <v/>
          </cell>
        </row>
        <row r="50">
          <cell r="K50" t="str">
            <v/>
          </cell>
          <cell r="P50" t="str">
            <v/>
          </cell>
          <cell r="U50" t="str">
            <v/>
          </cell>
          <cell r="Z50" t="str">
            <v/>
          </cell>
          <cell r="AE50" t="str">
            <v/>
          </cell>
          <cell r="AJ50" t="str">
            <v/>
          </cell>
          <cell r="AO50" t="str">
            <v/>
          </cell>
          <cell r="AT50" t="str">
            <v/>
          </cell>
          <cell r="AY50" t="str">
            <v/>
          </cell>
          <cell r="BD50" t="str">
            <v/>
          </cell>
          <cell r="BI50" t="str">
            <v/>
          </cell>
          <cell r="BN50" t="str">
            <v/>
          </cell>
          <cell r="BS50" t="str">
            <v/>
          </cell>
          <cell r="BX50" t="str">
            <v/>
          </cell>
          <cell r="CC50" t="str">
            <v/>
          </cell>
          <cell r="CH50" t="str">
            <v/>
          </cell>
          <cell r="CM50" t="str">
            <v/>
          </cell>
          <cell r="CR50" t="str">
            <v/>
          </cell>
          <cell r="CW50" t="str">
            <v/>
          </cell>
          <cell r="DB50" t="str">
            <v/>
          </cell>
          <cell r="DG50" t="str">
            <v/>
          </cell>
          <cell r="DL50" t="str">
            <v/>
          </cell>
          <cell r="DQ50" t="str">
            <v/>
          </cell>
          <cell r="DV50" t="str">
            <v/>
          </cell>
        </row>
      </sheetData>
      <sheetData sheetId="7" refreshError="1"/>
      <sheetData sheetId="8" refreshError="1"/>
      <sheetData sheetId="9"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H42" t="str">
            <v/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10"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11">
        <row r="11">
          <cell r="L11" t="str">
            <v/>
          </cell>
        </row>
        <row r="12">
          <cell r="L12" t="str">
            <v/>
          </cell>
        </row>
        <row r="13">
          <cell r="L13" t="str">
            <v/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 t="str">
            <v/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 t="str">
            <v/>
          </cell>
        </row>
        <row r="20">
          <cell r="L20" t="str">
            <v/>
          </cell>
        </row>
        <row r="21">
          <cell r="L21" t="str">
            <v/>
          </cell>
        </row>
        <row r="22">
          <cell r="L22" t="str">
            <v/>
          </cell>
        </row>
        <row r="23">
          <cell r="L23" t="str">
            <v/>
          </cell>
        </row>
        <row r="24">
          <cell r="L24" t="str">
            <v/>
          </cell>
        </row>
        <row r="25">
          <cell r="L25" t="str">
            <v/>
          </cell>
        </row>
        <row r="26">
          <cell r="L26" t="str">
            <v/>
          </cell>
        </row>
        <row r="27">
          <cell r="L27" t="str">
            <v/>
          </cell>
        </row>
        <row r="28">
          <cell r="L28" t="str">
            <v/>
          </cell>
        </row>
        <row r="29">
          <cell r="L29" t="str">
            <v/>
          </cell>
        </row>
        <row r="30">
          <cell r="L30" t="str">
            <v/>
          </cell>
        </row>
        <row r="31">
          <cell r="L31" t="str">
            <v/>
          </cell>
        </row>
        <row r="32">
          <cell r="L32" t="str">
            <v/>
          </cell>
        </row>
        <row r="33">
          <cell r="L33" t="str">
            <v/>
          </cell>
        </row>
        <row r="34">
          <cell r="L34" t="str">
            <v/>
          </cell>
        </row>
        <row r="35">
          <cell r="L35" t="str">
            <v/>
          </cell>
        </row>
        <row r="36">
          <cell r="L36" t="str">
            <v/>
          </cell>
        </row>
        <row r="37">
          <cell r="L37" t="str">
            <v/>
          </cell>
        </row>
        <row r="38">
          <cell r="L38" t="str">
            <v/>
          </cell>
        </row>
        <row r="39">
          <cell r="L39" t="str">
            <v/>
          </cell>
        </row>
        <row r="40">
          <cell r="L40" t="str">
            <v/>
          </cell>
        </row>
        <row r="41">
          <cell r="L41" t="str">
            <v/>
          </cell>
        </row>
        <row r="42">
          <cell r="L42" t="str">
            <v/>
          </cell>
        </row>
        <row r="43">
          <cell r="L43" t="str">
            <v/>
          </cell>
        </row>
        <row r="44">
          <cell r="L44" t="str">
            <v/>
          </cell>
        </row>
        <row r="45">
          <cell r="L45" t="str">
            <v/>
          </cell>
        </row>
        <row r="46">
          <cell r="L46" t="str">
            <v/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3"/>
  <sheetViews>
    <sheetView zoomScale="90" zoomScaleNormal="90" workbookViewId="0">
      <selection activeCell="T5" sqref="T5"/>
    </sheetView>
  </sheetViews>
  <sheetFormatPr defaultColWidth="9.33203125" defaultRowHeight="25.8" x14ac:dyDescent="0.5"/>
  <cols>
    <col min="1" max="1" width="7.33203125" style="5" customWidth="1"/>
    <col min="2" max="2" width="8.44140625" style="5" customWidth="1"/>
    <col min="3" max="3" width="29.33203125" style="5" customWidth="1"/>
    <col min="4" max="6" width="8.44140625" style="5" customWidth="1"/>
    <col min="7" max="7" width="7.33203125" style="5" customWidth="1"/>
    <col min="8" max="8" width="4.33203125" style="5" customWidth="1"/>
    <col min="9" max="9" width="11.44140625" style="7" customWidth="1"/>
    <col min="10" max="10" width="12.6640625" style="7" customWidth="1"/>
    <col min="11" max="11" width="13.44140625" style="7" customWidth="1"/>
    <col min="12" max="12" width="16.33203125" style="7" customWidth="1"/>
    <col min="13" max="13" width="40.33203125" style="7" customWidth="1"/>
    <col min="14" max="14" width="4.33203125" style="6" customWidth="1"/>
    <col min="15" max="15" width="49.44140625" style="6" customWidth="1"/>
    <col min="16" max="16384" width="9.33203125" style="6"/>
  </cols>
  <sheetData>
    <row r="1" spans="1:15" ht="26.4" thickBot="1" x14ac:dyDescent="0.55000000000000004">
      <c r="A1" s="567" t="s">
        <v>106</v>
      </c>
      <c r="B1" s="567"/>
      <c r="C1" s="567"/>
      <c r="D1" s="567"/>
      <c r="E1" s="567"/>
      <c r="F1" s="567"/>
      <c r="G1" s="567"/>
      <c r="H1" s="171"/>
      <c r="I1" s="172"/>
      <c r="J1" s="172"/>
      <c r="K1" s="172"/>
      <c r="L1" s="172"/>
      <c r="M1" s="172"/>
      <c r="N1" s="171"/>
      <c r="O1" s="555" t="s">
        <v>1141</v>
      </c>
    </row>
    <row r="2" spans="1:15" ht="30" customHeight="1" thickBot="1" x14ac:dyDescent="0.55000000000000004">
      <c r="A2" s="568" t="s">
        <v>693</v>
      </c>
      <c r="B2" s="568"/>
      <c r="C2" s="568"/>
      <c r="D2" s="568"/>
      <c r="E2" s="568"/>
      <c r="F2" s="568"/>
      <c r="G2" s="568"/>
      <c r="H2" s="171"/>
      <c r="I2" s="577" t="s">
        <v>165</v>
      </c>
      <c r="J2" s="578"/>
      <c r="K2" s="210"/>
      <c r="L2" s="174" t="s">
        <v>17</v>
      </c>
      <c r="M2" s="10"/>
      <c r="N2" s="171"/>
    </row>
    <row r="3" spans="1:15" s="7" customFormat="1" ht="30" customHeight="1" thickBot="1" x14ac:dyDescent="0.55000000000000004">
      <c r="A3" s="568" t="s">
        <v>15</v>
      </c>
      <c r="B3" s="568"/>
      <c r="C3" s="568"/>
      <c r="D3" s="568"/>
      <c r="E3" s="568"/>
      <c r="F3" s="568"/>
      <c r="G3" s="568"/>
      <c r="H3" s="171"/>
      <c r="I3" s="557"/>
      <c r="J3" s="557"/>
      <c r="K3" s="171"/>
      <c r="L3" s="175"/>
      <c r="M3" s="176"/>
      <c r="N3" s="171"/>
    </row>
    <row r="4" spans="1:15" s="7" customFormat="1" ht="30" customHeight="1" thickBot="1" x14ac:dyDescent="0.55000000000000004">
      <c r="A4" s="568" t="s">
        <v>47</v>
      </c>
      <c r="B4" s="568"/>
      <c r="C4" s="568"/>
      <c r="D4" s="568"/>
      <c r="E4" s="568"/>
      <c r="F4" s="568"/>
      <c r="G4" s="568"/>
      <c r="H4" s="171"/>
      <c r="I4" s="557"/>
      <c r="J4" s="557"/>
      <c r="K4" s="171"/>
      <c r="L4" s="175" t="s">
        <v>18</v>
      </c>
      <c r="M4" s="10"/>
      <c r="N4" s="171"/>
    </row>
    <row r="5" spans="1:15" s="7" customFormat="1" ht="30" customHeight="1" thickBot="1" x14ac:dyDescent="0.55000000000000004">
      <c r="A5" s="170"/>
      <c r="B5" s="575" t="s">
        <v>38</v>
      </c>
      <c r="C5" s="576"/>
      <c r="D5" s="576"/>
      <c r="E5" s="576"/>
      <c r="F5" s="576"/>
      <c r="G5" s="170"/>
      <c r="H5" s="171"/>
      <c r="I5" s="557"/>
      <c r="J5" s="557"/>
      <c r="K5" s="176"/>
      <c r="L5" s="171"/>
      <c r="M5" s="171"/>
      <c r="N5" s="171"/>
    </row>
    <row r="6" spans="1:15" ht="26.4" thickBot="1" x14ac:dyDescent="0.55000000000000004">
      <c r="A6" s="170"/>
      <c r="B6" s="155" t="s">
        <v>19</v>
      </c>
      <c r="C6" s="155" t="s">
        <v>20</v>
      </c>
      <c r="D6" s="155" t="s">
        <v>39</v>
      </c>
      <c r="E6" s="155" t="s">
        <v>40</v>
      </c>
      <c r="F6" s="155" t="s">
        <v>618</v>
      </c>
      <c r="G6" s="170"/>
      <c r="H6" s="171"/>
      <c r="I6" s="556" t="s">
        <v>12</v>
      </c>
      <c r="J6" s="556"/>
      <c r="K6" s="522"/>
      <c r="L6" s="11"/>
      <c r="M6" s="9"/>
      <c r="N6" s="171"/>
    </row>
    <row r="7" spans="1:15" ht="26.4" thickBot="1" x14ac:dyDescent="0.55000000000000004">
      <c r="A7" s="170"/>
      <c r="B7" s="1"/>
      <c r="C7" s="479" t="str">
        <f>IF(codegen1="","",VLOOKUP(codegen1,Subject!$A$3:$C$300,2,FALSE))</f>
        <v/>
      </c>
      <c r="D7" s="478" t="str">
        <f>IF(codegen1="","",VLOOKUP(codegen1,Subject!$A$3:$C$300,3,FALSE))</f>
        <v/>
      </c>
      <c r="E7" s="478"/>
      <c r="F7" s="480"/>
      <c r="G7" s="170"/>
      <c r="H7" s="171"/>
      <c r="I7" s="556"/>
      <c r="J7" s="556"/>
      <c r="K7" s="172"/>
      <c r="L7" s="172"/>
      <c r="M7" s="172"/>
      <c r="N7" s="171"/>
    </row>
    <row r="8" spans="1:15" ht="26.4" thickBot="1" x14ac:dyDescent="0.55000000000000004">
      <c r="A8" s="170"/>
      <c r="B8" s="1"/>
      <c r="C8" s="479" t="str">
        <f>IF(codegen2="","",VLOOKUP(codegen2,Subject!$A$3:$C$300,2,FALSE))</f>
        <v/>
      </c>
      <c r="D8" s="478" t="str">
        <f>IF(codegen2="","",VLOOKUP(codegen2,Subject!$A$3:$C$300,3,FALSE))</f>
        <v/>
      </c>
      <c r="E8" s="478"/>
      <c r="F8" s="480"/>
      <c r="G8" s="170"/>
      <c r="H8" s="171"/>
      <c r="I8" s="556" t="s">
        <v>692</v>
      </c>
      <c r="J8" s="556"/>
      <c r="K8" s="522"/>
      <c r="L8" s="11"/>
      <c r="M8" s="9"/>
      <c r="N8" s="171"/>
    </row>
    <row r="9" spans="1:15" ht="26.4" thickBot="1" x14ac:dyDescent="0.55000000000000004">
      <c r="A9" s="170"/>
      <c r="B9" s="1"/>
      <c r="C9" s="479" t="str">
        <f>IF(codegen3="","",VLOOKUP(codegen3,Subject!$A$3:$C$300,2,FALSE))</f>
        <v/>
      </c>
      <c r="D9" s="478" t="str">
        <f>IF(codegen3="","",VLOOKUP(codegen3,Subject!$A$3:$C$300,3,FALSE))</f>
        <v/>
      </c>
      <c r="E9" s="478"/>
      <c r="F9" s="480"/>
      <c r="G9" s="170"/>
      <c r="H9" s="171"/>
      <c r="I9" s="556"/>
      <c r="J9" s="556"/>
      <c r="K9" s="172"/>
      <c r="L9" s="172"/>
      <c r="M9" s="172"/>
      <c r="N9" s="171"/>
    </row>
    <row r="10" spans="1:15" ht="26.4" thickBot="1" x14ac:dyDescent="0.55000000000000004">
      <c r="A10" s="170"/>
      <c r="B10" s="1"/>
      <c r="C10" s="479" t="str">
        <f>IF(codegen4="","",VLOOKUP(codegen4,Subject!$A$3:$C$300,2,FALSE))</f>
        <v/>
      </c>
      <c r="D10" s="478" t="str">
        <f>IF(codegen4="","",VLOOKUP(codegen4,Subject!$A$3:$C$300,3,FALSE))</f>
        <v/>
      </c>
      <c r="E10" s="478"/>
      <c r="F10" s="480"/>
      <c r="G10" s="170"/>
      <c r="H10" s="171"/>
      <c r="I10" s="556" t="s">
        <v>78</v>
      </c>
      <c r="J10" s="556"/>
      <c r="K10" s="8"/>
      <c r="L10" s="11"/>
      <c r="M10" s="9"/>
      <c r="N10" s="171"/>
      <c r="O10" s="211" t="s">
        <v>166</v>
      </c>
    </row>
    <row r="11" spans="1:15" ht="26.4" thickBot="1" x14ac:dyDescent="0.55000000000000004">
      <c r="A11" s="170"/>
      <c r="B11" s="1"/>
      <c r="C11" s="479" t="str">
        <f>IF(codegen5="","",VLOOKUP(codegen5,Subject!$A$3:$C$300,2,FALSE))</f>
        <v/>
      </c>
      <c r="D11" s="478" t="str">
        <f>IF(codegen5="","",VLOOKUP(codegen5,Subject!$A$3:$C$300,3,FALSE))</f>
        <v/>
      </c>
      <c r="E11" s="478"/>
      <c r="F11" s="480"/>
      <c r="G11" s="170"/>
      <c r="H11" s="171"/>
      <c r="I11" s="556"/>
      <c r="J11" s="556"/>
      <c r="K11" s="172"/>
      <c r="L11" s="172"/>
      <c r="M11" s="172"/>
      <c r="N11" s="171"/>
      <c r="O11" s="211"/>
    </row>
    <row r="12" spans="1:15" ht="26.4" thickBot="1" x14ac:dyDescent="0.55000000000000004">
      <c r="A12" s="170"/>
      <c r="B12" s="1"/>
      <c r="C12" s="479" t="str">
        <f>IF(codegen6="","",VLOOKUP(codegen6,Subject!$A$3:$C$300,2,FALSE))</f>
        <v/>
      </c>
      <c r="D12" s="478" t="str">
        <f>IF(codegen6="","",VLOOKUP(codegen6,Subject!$A$3:$C$300,3,FALSE))</f>
        <v/>
      </c>
      <c r="E12" s="478"/>
      <c r="F12" s="480"/>
      <c r="G12" s="170"/>
      <c r="H12" s="171"/>
      <c r="I12" s="556" t="s">
        <v>48</v>
      </c>
      <c r="J12" s="556"/>
      <c r="K12" s="8"/>
      <c r="L12" s="11"/>
      <c r="M12" s="9"/>
      <c r="N12" s="171"/>
      <c r="O12" s="211" t="s">
        <v>568</v>
      </c>
    </row>
    <row r="13" spans="1:15" ht="26.4" thickBot="1" x14ac:dyDescent="0.55000000000000004">
      <c r="A13" s="170"/>
      <c r="B13" s="1"/>
      <c r="C13" s="479" t="str">
        <f>IF(codegen7="","",VLOOKUP(codegen7,Subject!$A$3:$C$300,2,FALSE))</f>
        <v/>
      </c>
      <c r="D13" s="478" t="str">
        <f>IF(codegen7="","",VLOOKUP(codegen7,Subject!$A$3:$C$300,3,FALSE))</f>
        <v/>
      </c>
      <c r="E13" s="478"/>
      <c r="F13" s="480"/>
      <c r="G13" s="170"/>
      <c r="H13" s="171"/>
      <c r="I13" s="556"/>
      <c r="J13" s="556"/>
      <c r="K13" s="172"/>
      <c r="L13" s="172"/>
      <c r="M13" s="172"/>
      <c r="N13" s="171"/>
    </row>
    <row r="14" spans="1:15" ht="26.4" thickBot="1" x14ac:dyDescent="0.55000000000000004">
      <c r="A14" s="170"/>
      <c r="B14" s="1"/>
      <c r="C14" s="479" t="str">
        <f>IF(codegen8="","",VLOOKUP(codegen8,Subject!$A$3:$C$300,2,FALSE))</f>
        <v/>
      </c>
      <c r="D14" s="478" t="str">
        <f>IF(codegen8="","",VLOOKUP(codegen8,Subject!$A$3:$C$300,3,FALSE))</f>
        <v/>
      </c>
      <c r="E14" s="478"/>
      <c r="F14" s="480"/>
      <c r="G14" s="170"/>
      <c r="H14" s="171"/>
      <c r="I14" s="556" t="s">
        <v>49</v>
      </c>
      <c r="J14" s="556"/>
      <c r="K14" s="8" t="s">
        <v>83</v>
      </c>
      <c r="L14" s="11"/>
      <c r="M14" s="9"/>
      <c r="N14" s="171"/>
    </row>
    <row r="15" spans="1:15" ht="26.4" thickBot="1" x14ac:dyDescent="0.55000000000000004">
      <c r="A15" s="170"/>
      <c r="B15" s="1"/>
      <c r="C15" s="479" t="str">
        <f>IF(codegen9="","",VLOOKUP(codegen9,Subject!$A$3:$C$300,2,FALSE))</f>
        <v/>
      </c>
      <c r="D15" s="478" t="str">
        <f>IF(codegen9="","",VLOOKUP(codegen9,Subject!$A$3:$C$300,3,FALSE))</f>
        <v/>
      </c>
      <c r="E15" s="478"/>
      <c r="F15" s="480"/>
      <c r="G15" s="170"/>
      <c r="H15" s="171"/>
      <c r="I15" s="556"/>
      <c r="J15" s="556"/>
      <c r="K15" s="172"/>
      <c r="L15" s="172"/>
      <c r="M15" s="172"/>
      <c r="N15" s="171"/>
    </row>
    <row r="16" spans="1:15" ht="26.4" thickBot="1" x14ac:dyDescent="0.55000000000000004">
      <c r="A16" s="170"/>
      <c r="B16" s="1"/>
      <c r="C16" s="479" t="str">
        <f>IF(codegen10="","",VLOOKUP(codegen10,Subject!$A$3:$C$300,2,FALSE))</f>
        <v/>
      </c>
      <c r="D16" s="478" t="str">
        <f>IF(codegen10="","",VLOOKUP(codegen10,Subject!$A$3:$C$300,3,FALSE))</f>
        <v/>
      </c>
      <c r="E16" s="478"/>
      <c r="F16" s="480"/>
      <c r="G16" s="170"/>
      <c r="H16" s="171"/>
      <c r="I16" s="556" t="s">
        <v>82</v>
      </c>
      <c r="J16" s="556"/>
      <c r="K16" s="130"/>
      <c r="L16" s="130"/>
      <c r="M16" s="129"/>
      <c r="N16" s="171"/>
    </row>
    <row r="17" spans="1:14" x14ac:dyDescent="0.5">
      <c r="A17" s="170"/>
      <c r="B17" s="1"/>
      <c r="C17" s="479" t="str">
        <f>IF(codegen11="","",VLOOKUP(codegen11,Subject!$A$3:$C$300,2,FALSE))</f>
        <v/>
      </c>
      <c r="D17" s="478" t="str">
        <f>IF(codegen11="","",VLOOKUP(codegen11,Subject!$A$3:$C$300,3,FALSE))</f>
        <v/>
      </c>
      <c r="E17" s="478"/>
      <c r="F17" s="480"/>
      <c r="G17" s="170"/>
      <c r="H17" s="171"/>
      <c r="I17" s="173"/>
      <c r="J17" s="173"/>
      <c r="K17" s="173" t="s">
        <v>79</v>
      </c>
      <c r="L17" s="173" t="s">
        <v>80</v>
      </c>
      <c r="M17" s="173" t="s">
        <v>81</v>
      </c>
      <c r="N17" s="171"/>
    </row>
    <row r="18" spans="1:14" x14ac:dyDescent="0.5">
      <c r="A18" s="170"/>
      <c r="B18" s="1"/>
      <c r="C18" s="479" t="str">
        <f>IF(codegen12="","",VLOOKUP(codegen12,Subject!$A$3:$C$300,2,FALSE))</f>
        <v/>
      </c>
      <c r="D18" s="478" t="str">
        <f>IF(codegen12="","",VLOOKUP(codegen12,Subject!$A$3:$C$300,3,FALSE))</f>
        <v/>
      </c>
      <c r="E18" s="478"/>
      <c r="F18" s="480"/>
      <c r="G18" s="170"/>
      <c r="H18" s="7"/>
      <c r="I18" s="12" t="s">
        <v>21</v>
      </c>
      <c r="J18" s="7" t="s">
        <v>22</v>
      </c>
    </row>
    <row r="19" spans="1:14" x14ac:dyDescent="0.5">
      <c r="A19" s="170"/>
      <c r="B19" s="569" t="s">
        <v>41</v>
      </c>
      <c r="C19" s="570"/>
      <c r="D19" s="570"/>
      <c r="E19" s="570"/>
      <c r="F19" s="571"/>
      <c r="G19" s="170"/>
      <c r="H19" s="7"/>
      <c r="M19" s="12" t="s">
        <v>124</v>
      </c>
    </row>
    <row r="20" spans="1:14" x14ac:dyDescent="0.5">
      <c r="A20" s="170"/>
      <c r="B20" s="1"/>
      <c r="C20" s="479" t="str">
        <f>IF(CodeEle1="","",VLOOKUP(CodeEle1,Subject!$A$3:$C$300,2,FALSE))</f>
        <v/>
      </c>
      <c r="D20" s="478" t="str">
        <f>IF(CodeEle1="","",VLOOKUP(CodeEle1,Subject!$A$3:$C$300,3,FALSE))</f>
        <v/>
      </c>
      <c r="E20" s="478"/>
      <c r="F20" s="480" t="str">
        <f>IF(CodeEle1="","",IF(VLOOKUP(CodeEle1,Subject!$A$3:$F$300,6,FALSE)="","",VLOOKUP(CodeEle1,Subject!$A$3:$F$300,6,FALSE)))</f>
        <v/>
      </c>
      <c r="G20" s="170"/>
      <c r="H20" s="7"/>
    </row>
    <row r="21" spans="1:14" ht="28.8" x14ac:dyDescent="0.55000000000000004">
      <c r="A21" s="170"/>
      <c r="B21" s="1"/>
      <c r="C21" s="479" t="str">
        <f>IF(CodeEle2="","",VLOOKUP(CodeEle2,Subject!$A$3:$C$300,2,FALSE))</f>
        <v/>
      </c>
      <c r="D21" s="478" t="str">
        <f>IF(CodeEle2="","",VLOOKUP(CodeEle2,Subject!$A$3:$C$300,3,FALSE))</f>
        <v/>
      </c>
      <c r="E21" s="478"/>
      <c r="F21" s="480" t="str">
        <f>IF(CodeEle2="","",IF(VLOOKUP(CodeEle2,Subject!$A$3:$F$300,6,FALSE)="","",VLOOKUP(CodeEle2,Subject!$A$3:$F$300,6,FALSE)))</f>
        <v/>
      </c>
      <c r="G21" s="170"/>
      <c r="H21" s="7"/>
      <c r="I21" s="579" t="s">
        <v>112</v>
      </c>
      <c r="J21" s="579"/>
      <c r="K21" s="579"/>
      <c r="L21" s="579"/>
      <c r="M21" s="579"/>
    </row>
    <row r="22" spans="1:14" x14ac:dyDescent="0.5">
      <c r="A22" s="170"/>
      <c r="B22" s="1"/>
      <c r="C22" s="479" t="str">
        <f>IF(CodeEle3="","",VLOOKUP(CodeEle3,Subject!$A$3:$C$300,2,FALSE))</f>
        <v/>
      </c>
      <c r="D22" s="478" t="str">
        <f>IF(CodeEle3="","",VLOOKUP(CodeEle3,Subject!$A$3:$C$300,3,FALSE))</f>
        <v/>
      </c>
      <c r="E22" s="478"/>
      <c r="F22" s="480" t="str">
        <f>IF(CodeEle3="","",IF(VLOOKUP(CodeEle3,Subject!$A$3:$F$300,6,FALSE)="","",VLOOKUP(CodeEle3,Subject!$A$3:$F$300,6,FALSE)))</f>
        <v/>
      </c>
      <c r="G22" s="170"/>
      <c r="H22" s="7"/>
      <c r="I22" s="580" t="s">
        <v>113</v>
      </c>
      <c r="J22" s="580"/>
      <c r="K22" s="580" t="s">
        <v>114</v>
      </c>
      <c r="L22" s="580"/>
      <c r="M22" s="187" t="s">
        <v>115</v>
      </c>
    </row>
    <row r="23" spans="1:14" x14ac:dyDescent="0.5">
      <c r="A23" s="170"/>
      <c r="B23" s="1"/>
      <c r="C23" s="479" t="str">
        <f>IF(CodeEle4="","",VLOOKUP(CodeEle4,Subject!$A$3:$C$300,2,FALSE))</f>
        <v/>
      </c>
      <c r="D23" s="478" t="str">
        <f>IF(CodeEle4="","",VLOOKUP(CodeEle4,Subject!$A$3:$C$300,3,FALSE))</f>
        <v/>
      </c>
      <c r="E23" s="478"/>
      <c r="F23" s="480" t="str">
        <f>IF(CodeEle4="","",IF(VLOOKUP(CodeEle4,Subject!$A$3:$F$300,6,FALSE)="","",VLOOKUP(CodeEle4,Subject!$A$3:$F$300,6,FALSE)))</f>
        <v/>
      </c>
      <c r="G23" s="170"/>
      <c r="H23" s="7"/>
      <c r="I23" s="581" t="s">
        <v>116</v>
      </c>
      <c r="J23" s="581"/>
      <c r="K23" s="572" t="s">
        <v>117</v>
      </c>
      <c r="L23" s="573"/>
      <c r="M23" s="188" t="s">
        <v>118</v>
      </c>
    </row>
    <row r="24" spans="1:14" x14ac:dyDescent="0.5">
      <c r="A24" s="170"/>
      <c r="B24" s="1"/>
      <c r="C24" s="479" t="str">
        <f>IF(CodeEle5="","",VLOOKUP(CodeEle5,Subject!$A$3:$C$300,2,FALSE))</f>
        <v/>
      </c>
      <c r="D24" s="478" t="str">
        <f>IF(CodeEle5="","",VLOOKUP(CodeEle5,Subject!$A$3:$C$300,3,FALSE))</f>
        <v/>
      </c>
      <c r="E24" s="478"/>
      <c r="F24" s="480" t="str">
        <f>IF(CodeEle5="","",IF(VLOOKUP(CodeEle5,Subject!$A$3:$F$300,6,FALSE)="","",VLOOKUP(CodeEle5,Subject!$A$3:$F$300,6,FALSE)))</f>
        <v/>
      </c>
      <c r="G24" s="170"/>
      <c r="H24" s="7"/>
      <c r="I24" s="582" t="s">
        <v>119</v>
      </c>
      <c r="J24" s="582"/>
      <c r="K24" s="572" t="s">
        <v>117</v>
      </c>
      <c r="L24" s="573"/>
      <c r="M24" s="188" t="s">
        <v>117</v>
      </c>
    </row>
    <row r="25" spans="1:14" x14ac:dyDescent="0.5">
      <c r="A25" s="170"/>
      <c r="B25" s="1"/>
      <c r="C25" s="479" t="str">
        <f>IF(CodeEle6="","",VLOOKUP(CodeEle6,Subject!$A$3:$C$300,2,FALSE))</f>
        <v/>
      </c>
      <c r="D25" s="478" t="str">
        <f>IF(CodeEle6="","",VLOOKUP(CodeEle6,Subject!$A$3:$C$300,3,FALSE))</f>
        <v/>
      </c>
      <c r="E25" s="478"/>
      <c r="F25" s="480" t="str">
        <f>IF(CodeEle6="","",IF(VLOOKUP(CodeEle6,Subject!$A$3:$F$300,6,FALSE)="","",VLOOKUP(CodeEle6,Subject!$A$3:$F$300,6,FALSE)))</f>
        <v/>
      </c>
      <c r="G25" s="170"/>
      <c r="H25" s="7"/>
      <c r="I25" s="583" t="s">
        <v>120</v>
      </c>
      <c r="J25" s="583"/>
      <c r="K25" s="572" t="s">
        <v>118</v>
      </c>
      <c r="L25" s="573"/>
      <c r="M25" s="188" t="s">
        <v>117</v>
      </c>
    </row>
    <row r="26" spans="1:14" x14ac:dyDescent="0.5">
      <c r="A26" s="170"/>
      <c r="B26" s="1"/>
      <c r="C26" s="479" t="str">
        <f>IF(CodeEle7="","",VLOOKUP(CodeEle7,Subject!$A$3:$C$300,2,FALSE))</f>
        <v/>
      </c>
      <c r="D26" s="478" t="str">
        <f>IF(CodeEle7="","",VLOOKUP(CodeEle7,Subject!$A$3:$C$300,3,FALSE))</f>
        <v/>
      </c>
      <c r="E26" s="478"/>
      <c r="F26" s="480" t="str">
        <f>IF(CodeEle7="","",IF(VLOOKUP(CodeEle7,Subject!$A$3:$F$300,6,FALSE)="","",VLOOKUP(CodeEle7,Subject!$A$3:$F$300,6,FALSE)))</f>
        <v/>
      </c>
      <c r="G26" s="170"/>
      <c r="H26" s="7"/>
      <c r="I26" s="574" t="s">
        <v>121</v>
      </c>
      <c r="J26" s="574"/>
      <c r="K26" s="572" t="s">
        <v>118</v>
      </c>
      <c r="L26" s="573"/>
      <c r="M26" s="188" t="s">
        <v>118</v>
      </c>
    </row>
    <row r="27" spans="1:14" x14ac:dyDescent="0.5">
      <c r="A27" s="170"/>
      <c r="B27" s="1"/>
      <c r="C27" s="479" t="str">
        <f>IF(CodeEle8="","",VLOOKUP(CodeEle8,Subject!$A$3:$C$300,2,FALSE))</f>
        <v/>
      </c>
      <c r="D27" s="478" t="str">
        <f>IF(CodeEle8="","",VLOOKUP(CodeEle8,Subject!$A$3:$C$300,3,FALSE))</f>
        <v/>
      </c>
      <c r="E27" s="478"/>
      <c r="F27" s="480" t="str">
        <f>IF(CodeEle8="","",IF(VLOOKUP(CodeEle8,Subject!$A$3:$F$300,6,FALSE)="","",VLOOKUP(CodeEle8,Subject!$A$3:$F$300,6,FALSE)))</f>
        <v/>
      </c>
      <c r="G27" s="170"/>
      <c r="H27" s="7"/>
    </row>
    <row r="28" spans="1:14" x14ac:dyDescent="0.5">
      <c r="A28" s="170"/>
      <c r="B28" s="1"/>
      <c r="C28" s="479" t="str">
        <f>IF(CodeEle9="","",VLOOKUP(CodeEle9,Subject!$A$3:$C$300,2,FALSE))</f>
        <v/>
      </c>
      <c r="D28" s="478" t="str">
        <f>IF(CodeEle9="","",VLOOKUP(CodeEle9,Subject!$A$3:$C$300,3,FALSE))</f>
        <v/>
      </c>
      <c r="E28" s="478"/>
      <c r="F28" s="480" t="str">
        <f>IF(CodeEle9="","",IF(VLOOKUP(CodeEle9,Subject!$A$3:$F$300,6,FALSE)="","",VLOOKUP(CodeEle9,Subject!$A$3:$F$300,6,FALSE)))</f>
        <v/>
      </c>
      <c r="G28" s="170"/>
      <c r="H28" s="7"/>
    </row>
    <row r="29" spans="1:14" x14ac:dyDescent="0.5">
      <c r="A29" s="170"/>
      <c r="B29" s="1"/>
      <c r="C29" s="479" t="str">
        <f>IF(CodeEle10="","",VLOOKUP(CodeEle10,Subject!$A$3:$C$300,2,FALSE))</f>
        <v/>
      </c>
      <c r="D29" s="478" t="str">
        <f>IF(CodeEle10="","",VLOOKUP(CodeEle10,Subject!$A$3:$C$300,3,FALSE))</f>
        <v/>
      </c>
      <c r="E29" s="478"/>
      <c r="F29" s="480" t="str">
        <f>IF(CodeEle10="","",IF(VLOOKUP(CodeEle10,Subject!$A$3:$F$300,6,FALSE)="","",VLOOKUP(CodeEle10,Subject!$A$3:$F$300,6,FALSE)))</f>
        <v/>
      </c>
      <c r="G29" s="170"/>
      <c r="H29" s="7"/>
    </row>
    <row r="30" spans="1:14" x14ac:dyDescent="0.5">
      <c r="A30" s="170"/>
      <c r="B30" s="1"/>
      <c r="C30" s="479" t="str">
        <f>IF(CodeEle11="","",VLOOKUP(CodeEle11,Subject!$A$3:$C$300,2,FALSE))</f>
        <v/>
      </c>
      <c r="D30" s="478" t="str">
        <f>IF(CodeEle11="","",VLOOKUP(CodeEle11,Subject!$A$3:$C$300,3,FALSE))</f>
        <v/>
      </c>
      <c r="E30" s="478"/>
      <c r="F30" s="480" t="str">
        <f>IF(CodeEle11="","",IF(VLOOKUP(CodeEle11,Subject!$A$3:$F$300,6,FALSE)="","",VLOOKUP(CodeEle11,Subject!$A$3:$F$300,6,FALSE)))</f>
        <v/>
      </c>
      <c r="G30" s="170"/>
      <c r="H30" s="7"/>
    </row>
    <row r="31" spans="1:14" x14ac:dyDescent="0.5">
      <c r="A31" s="170"/>
      <c r="B31" s="1"/>
      <c r="C31" s="479" t="str">
        <f>IF(CodeEle12="","",VLOOKUP(CodeEle12,Subject!$A$3:$C$300,2,FALSE))</f>
        <v/>
      </c>
      <c r="D31" s="478" t="str">
        <f>IF(CodeEle12="","",VLOOKUP(CodeEle12,Subject!$A$3:$C$300,3,FALSE))</f>
        <v/>
      </c>
      <c r="E31" s="478"/>
      <c r="F31" s="480" t="str">
        <f>IF(CodeEle12="","",IF(VLOOKUP(CodeEle12,Subject!$A$3:$F$300,6,FALSE)="","",VLOOKUP(CodeEle12,Subject!$A$3:$F$300,6,FALSE)))</f>
        <v/>
      </c>
      <c r="G31" s="170"/>
      <c r="H31" s="7"/>
    </row>
    <row r="32" spans="1:14" x14ac:dyDescent="0.5">
      <c r="A32" s="170"/>
      <c r="B32" s="1"/>
      <c r="C32" s="479" t="str">
        <f>IF(B32="","",VLOOKUP(B32,Subject!$A$3:$C$300,2,FALSE))</f>
        <v/>
      </c>
      <c r="D32" s="478" t="str">
        <f>IF(B32="","",VLOOKUP(B32,Subject!$A$3:$C$300,3,FALSE))</f>
        <v/>
      </c>
      <c r="E32" s="478"/>
      <c r="F32" s="480" t="str">
        <f>IF(B32="","",IF(VLOOKUP(B32,Subject!$A$3:$F$300,6,FALSE)="","",VLOOKUP(B32,Subject!$A$3:$F$300,6,FALSE)))</f>
        <v/>
      </c>
      <c r="G32" s="170"/>
      <c r="H32" s="7"/>
    </row>
    <row r="33" spans="1:8" x14ac:dyDescent="0.5">
      <c r="A33" s="170"/>
      <c r="B33" s="566" t="s">
        <v>42</v>
      </c>
      <c r="C33" s="566"/>
      <c r="D33" s="566"/>
      <c r="E33" s="566"/>
      <c r="F33" s="392"/>
      <c r="G33" s="170"/>
      <c r="H33" s="7"/>
    </row>
    <row r="34" spans="1:8" x14ac:dyDescent="0.5">
      <c r="A34" s="170"/>
      <c r="B34" s="2"/>
      <c r="C34" s="3" t="s">
        <v>43</v>
      </c>
      <c r="D34" s="4"/>
      <c r="E34" s="4">
        <v>20</v>
      </c>
      <c r="F34" s="4"/>
      <c r="G34" s="170"/>
      <c r="H34" s="7"/>
    </row>
    <row r="35" spans="1:8" x14ac:dyDescent="0.5">
      <c r="A35" s="170"/>
      <c r="B35" s="2"/>
      <c r="C35" s="3" t="s">
        <v>44</v>
      </c>
      <c r="D35" s="4"/>
      <c r="E35" s="4">
        <v>20</v>
      </c>
      <c r="F35" s="4"/>
      <c r="G35" s="170"/>
      <c r="H35" s="7"/>
    </row>
    <row r="36" spans="1:8" x14ac:dyDescent="0.5">
      <c r="A36" s="170"/>
      <c r="B36" s="2"/>
      <c r="C36" s="3" t="s">
        <v>45</v>
      </c>
      <c r="D36" s="4"/>
      <c r="E36" s="4">
        <v>20</v>
      </c>
      <c r="F36" s="4"/>
      <c r="G36" s="170"/>
      <c r="H36" s="7"/>
    </row>
    <row r="37" spans="1:8" x14ac:dyDescent="0.5">
      <c r="A37" s="170"/>
      <c r="B37" s="2"/>
      <c r="C37" s="3" t="s">
        <v>46</v>
      </c>
      <c r="D37" s="4"/>
      <c r="E37" s="534">
        <v>8</v>
      </c>
      <c r="F37" s="4"/>
      <c r="G37" s="170"/>
      <c r="H37" s="7"/>
    </row>
    <row r="38" spans="1:8" x14ac:dyDescent="0.5">
      <c r="A38" s="170"/>
      <c r="B38" s="170"/>
      <c r="C38" s="170"/>
      <c r="D38" s="170"/>
      <c r="E38" s="170"/>
      <c r="F38" s="170"/>
      <c r="G38" s="170"/>
      <c r="H38" s="7"/>
    </row>
    <row r="39" spans="1:8" x14ac:dyDescent="0.5">
      <c r="H39" s="7"/>
    </row>
    <row r="40" spans="1:8" x14ac:dyDescent="0.5">
      <c r="H40" s="7"/>
    </row>
    <row r="41" spans="1:8" x14ac:dyDescent="0.5">
      <c r="H41" s="7"/>
    </row>
    <row r="42" spans="1:8" x14ac:dyDescent="0.5">
      <c r="H42" s="7"/>
    </row>
    <row r="43" spans="1:8" x14ac:dyDescent="0.5">
      <c r="H43" s="7"/>
    </row>
  </sheetData>
  <sheetProtection algorithmName="SHA-512" hashValue="Z55HcZpzzJLZfYg2+4tUaZtaIIBXAitSY/47VvSXo2zLd+I78HyIep2OZGa9BKe5ZswDSKum2UPC+7e0MPxbDA==" saltValue="gowuL7E/3MzA6pORg5tyeg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9">
    <mergeCell ref="K25:L25"/>
    <mergeCell ref="I26:J26"/>
    <mergeCell ref="K26:L26"/>
    <mergeCell ref="B5:F5"/>
    <mergeCell ref="I2:J2"/>
    <mergeCell ref="I21:M21"/>
    <mergeCell ref="I22:J22"/>
    <mergeCell ref="K22:L22"/>
    <mergeCell ref="I23:J23"/>
    <mergeCell ref="K23:L23"/>
    <mergeCell ref="I24:J24"/>
    <mergeCell ref="K24:L24"/>
    <mergeCell ref="I25:J25"/>
    <mergeCell ref="B33:E33"/>
    <mergeCell ref="A1:G1"/>
    <mergeCell ref="A2:G2"/>
    <mergeCell ref="A3:G3"/>
    <mergeCell ref="A4:G4"/>
    <mergeCell ref="B19:F19"/>
  </mergeCells>
  <dataValidations count="1">
    <dataValidation type="list" allowBlank="1" showInputMessage="1" showErrorMessage="1" sqref="M4" xr:uid="{B49CA231-C18D-4DC1-9C71-4F0581862006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Subject!$A$3:$A$300</xm:f>
          </x14:formula1>
          <xm:sqref>B7:B18 B20:B32</xm:sqref>
        </x14:dataValidation>
        <x14:dataValidation type="list" allowBlank="1" showInputMessage="1" showErrorMessage="1" xr:uid="{34BA02E5-BBDC-4662-8AA7-04BE711CB6D3}">
          <x14:formula1>
            <xm:f>list!$A$2:$A$16</xm:f>
          </x14:formula1>
          <xm:sqref>K2</xm:sqref>
        </x14:dataValidation>
        <x14:dataValidation type="list" allowBlank="1" showInputMessage="1" showErrorMessage="1" xr:uid="{3F715510-2587-4CB0-8CF5-C5C4B07A2704}">
          <x14:formula1>
            <xm:f>list!$D$2:$D$923</xm:f>
          </x14:formula1>
          <xm:sqref>M2 M16</xm:sqref>
        </x14:dataValidation>
        <x14:dataValidation type="list" allowBlank="1" showInputMessage="1" showErrorMessage="1" xr:uid="{2C6B61E0-419F-42B3-978E-F7523F354C01}">
          <x14:formula1>
            <xm:f>list!$B$2:$B$32</xm:f>
          </x14:formula1>
          <xm:sqref>K16</xm:sqref>
        </x14:dataValidation>
        <x14:dataValidation type="list" allowBlank="1" showInputMessage="1" showErrorMessage="1" xr:uid="{3841E616-84A2-40B6-8CC0-FED547483C97}">
          <x14:formula1>
            <xm:f>list!$C$2:$C$13</xm:f>
          </x14:formula1>
          <xm:sqref>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AJ60"/>
  <sheetViews>
    <sheetView view="pageBreakPreview" zoomScaleSheetLayoutView="100" workbookViewId="0">
      <selection activeCell="AN16" sqref="AN16"/>
    </sheetView>
  </sheetViews>
  <sheetFormatPr defaultColWidth="9.33203125" defaultRowHeight="18" x14ac:dyDescent="0.25"/>
  <cols>
    <col min="1" max="1" width="9.33203125" style="56"/>
    <col min="2" max="2" width="12" style="57" customWidth="1"/>
    <col min="3" max="3" width="16.33203125" style="56" customWidth="1"/>
    <col min="4" max="4" width="16.6640625" style="56" customWidth="1"/>
    <col min="5" max="17" width="2" style="57" customWidth="1"/>
    <col min="18" max="18" width="8.33203125" style="57" customWidth="1"/>
    <col min="19" max="19" width="6.44140625" style="57" customWidth="1"/>
    <col min="20" max="21" width="6.44140625" style="41" customWidth="1"/>
    <col min="22" max="22" width="9.44140625" style="57" hidden="1" customWidth="1"/>
    <col min="23" max="23" width="9.33203125" style="57"/>
    <col min="24" max="24" width="21.6640625" style="215" customWidth="1"/>
    <col min="25" max="25" width="5.6640625" style="57" customWidth="1"/>
    <col min="26" max="26" width="19" style="56" hidden="1" customWidth="1"/>
    <col min="27" max="27" width="10.6640625" style="56" hidden="1" customWidth="1"/>
    <col min="28" max="28" width="15.6640625" style="56" hidden="1" customWidth="1"/>
    <col min="29" max="29" width="10.44140625" style="56" hidden="1" customWidth="1"/>
    <col min="30" max="30" width="15.44140625" style="56" hidden="1" customWidth="1"/>
    <col min="31" max="31" width="12" style="57" hidden="1" customWidth="1"/>
    <col min="32" max="32" width="9.33203125" style="56" hidden="1" customWidth="1"/>
    <col min="33" max="16384" width="9.33203125" style="56"/>
  </cols>
  <sheetData>
    <row r="1" spans="1:36" s="40" customFormat="1" ht="25.8" x14ac:dyDescent="0.25">
      <c r="A1" s="592" t="s">
        <v>58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84" t="s">
        <v>619</v>
      </c>
      <c r="W1" s="584"/>
      <c r="X1" s="584"/>
      <c r="Y1" s="584"/>
      <c r="AD1" s="41"/>
    </row>
    <row r="2" spans="1:36" s="40" customFormat="1" ht="25.8" x14ac:dyDescent="0.25">
      <c r="A2" s="592" t="s">
        <v>693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84"/>
      <c r="W2" s="584"/>
      <c r="X2" s="584"/>
      <c r="Y2" s="584"/>
      <c r="AD2" s="41"/>
    </row>
    <row r="3" spans="1:36" s="74" customFormat="1" ht="21" x14ac:dyDescent="0.25">
      <c r="A3" s="593" t="str">
        <f>IF(B11="","ปีการศึกษา................................. ภาคเรียนที่...................................ชั้น........................................................",CONCATENATE("ปีการศึกษา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ภาคเรียนที่...................................ชั้น........................................................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77"/>
      <c r="W3" s="75"/>
      <c r="X3" s="40"/>
      <c r="Y3" s="75"/>
      <c r="AD3" s="75"/>
    </row>
    <row r="4" spans="1:36" s="74" customFormat="1" ht="21" hidden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5"/>
      <c r="X4" s="40"/>
      <c r="Y4" s="75"/>
      <c r="AD4" s="75"/>
    </row>
    <row r="5" spans="1:36" s="74" customFormat="1" ht="21" hidden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5"/>
      <c r="X5" s="40"/>
      <c r="Y5" s="75"/>
      <c r="AD5" s="75"/>
    </row>
    <row r="6" spans="1:36" s="74" customFormat="1" ht="21" hidden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5"/>
      <c r="X6" s="40"/>
      <c r="Y6" s="75"/>
      <c r="AD6" s="75"/>
    </row>
    <row r="7" spans="1:36" s="74" customFormat="1" ht="21" hidden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5"/>
      <c r="X7" s="40"/>
      <c r="Y7" s="75"/>
      <c r="AD7" s="75"/>
    </row>
    <row r="8" spans="1:36" s="40" customForma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6"/>
      <c r="T8" s="76"/>
      <c r="U8" s="76"/>
      <c r="V8" s="585" t="s">
        <v>566</v>
      </c>
      <c r="W8" s="588" t="s">
        <v>168</v>
      </c>
      <c r="X8" s="588"/>
      <c r="Y8" s="588"/>
      <c r="AD8" s="41"/>
      <c r="AG8" s="584" t="s">
        <v>620</v>
      </c>
      <c r="AH8" s="584"/>
      <c r="AI8" s="584"/>
      <c r="AJ8" s="584"/>
    </row>
    <row r="9" spans="1:36" ht="17.25" customHeight="1" x14ac:dyDescent="0.25">
      <c r="A9" s="594" t="s">
        <v>23</v>
      </c>
      <c r="B9" s="594" t="s">
        <v>24</v>
      </c>
      <c r="C9" s="596" t="s">
        <v>25</v>
      </c>
      <c r="D9" s="598"/>
      <c r="E9" s="596" t="s">
        <v>26</v>
      </c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8"/>
      <c r="R9" s="594" t="s">
        <v>27</v>
      </c>
      <c r="S9" s="602" t="s">
        <v>56</v>
      </c>
      <c r="T9" s="603"/>
      <c r="U9" s="604"/>
      <c r="V9" s="586"/>
      <c r="W9" s="589" t="s">
        <v>19</v>
      </c>
      <c r="X9" s="590" t="s">
        <v>20</v>
      </c>
      <c r="Y9" s="591" t="s">
        <v>39</v>
      </c>
      <c r="Z9" s="61"/>
      <c r="AA9" s="61"/>
      <c r="AB9" s="72" t="s">
        <v>28</v>
      </c>
      <c r="AC9" s="71" t="s">
        <v>27</v>
      </c>
      <c r="AD9" s="72" t="s">
        <v>29</v>
      </c>
      <c r="AE9" s="71" t="s">
        <v>27</v>
      </c>
      <c r="AG9" s="584"/>
      <c r="AH9" s="584"/>
      <c r="AI9" s="584"/>
      <c r="AJ9" s="584"/>
    </row>
    <row r="10" spans="1:36" ht="17.25" customHeight="1" x14ac:dyDescent="0.25">
      <c r="A10" s="595"/>
      <c r="B10" s="595"/>
      <c r="C10" s="599"/>
      <c r="D10" s="601"/>
      <c r="E10" s="599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1"/>
      <c r="R10" s="595"/>
      <c r="S10" s="156" t="s">
        <v>86</v>
      </c>
      <c r="T10" s="157" t="s">
        <v>87</v>
      </c>
      <c r="U10" s="157" t="s">
        <v>57</v>
      </c>
      <c r="V10" s="587"/>
      <c r="W10" s="589"/>
      <c r="X10" s="590"/>
      <c r="Y10" s="591"/>
      <c r="Z10" s="61"/>
      <c r="AA10" s="61"/>
      <c r="AB10" s="72"/>
      <c r="AC10" s="71"/>
      <c r="AD10" s="72"/>
      <c r="AE10" s="71"/>
      <c r="AG10" s="584"/>
      <c r="AH10" s="584"/>
      <c r="AI10" s="584"/>
      <c r="AJ10" s="584"/>
    </row>
    <row r="11" spans="1:36" ht="17.25" customHeight="1" x14ac:dyDescent="0.25">
      <c r="A11" s="66">
        <v>1</v>
      </c>
      <c r="B11" s="65"/>
      <c r="C11" s="64"/>
      <c r="D11" s="63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443" t="str">
        <f>IF(B11="","",IF('2.ชื่อนักเรียน'!R11="ย้าย","-",'3.เวลาเรียน'!$IX$4))</f>
        <v/>
      </c>
      <c r="T11" s="444" t="str">
        <f>IF('3.เวลาเรียน'!IE5="","",IF('2.ชื่อนักเรียน'!R11="ย้าย","-",'3.เวลาเรียน'!IE5))</f>
        <v/>
      </c>
      <c r="U11" s="158" t="str">
        <f>IF(T11="","",IF('2.ชื่อนักเรียน'!R11="ย้าย","-",(T11*100)/S11))</f>
        <v/>
      </c>
      <c r="V11" s="62"/>
      <c r="W11" s="391"/>
      <c r="X11" s="214" t="str">
        <f>IF(W11="","",VLOOKUP(W11,Subject!$A$3:$C$300,2,FALSE))</f>
        <v/>
      </c>
      <c r="Y11" s="66" t="str">
        <f>IF(W11="","",VLOOKUP(W11,Subject!$A$3:$C$300,3,FALSE))</f>
        <v/>
      </c>
      <c r="AA11" s="61" t="str">
        <f t="shared" ref="AA11:AA55" si="0">MID(C11,1,7)</f>
        <v/>
      </c>
      <c r="AB11" s="61" t="str">
        <f t="shared" ref="AB11:AB55" si="1">IF(MID(C11,1,7)="เด็กชาย",C11,IF(MID(C11,1,3)="นาย",C11,""))</f>
        <v/>
      </c>
      <c r="AC11" s="61" t="str">
        <f t="shared" ref="AC11:AC55" si="2">IF(MID(C11,1,7)="เด็กชาย",R11,IF(MID(C11,1,3)="นาย",R11,""))</f>
        <v/>
      </c>
      <c r="AD11" s="61" t="str">
        <f t="shared" ref="AD11:AD55" si="3">IF(MID(C11,1,8)="เด็กหญิง",C11,IF(MID(C11,1,6)="นางสาว",C11,""))</f>
        <v/>
      </c>
      <c r="AE11" s="61" t="str">
        <f t="shared" ref="AE11:AE55" si="4">IF(MID(C11,1,8)="เด็กหญิง",R11,IF(MID(C11,1,6)="นางสาว",R11,""))</f>
        <v/>
      </c>
      <c r="AF11" s="56" t="str">
        <f t="shared" ref="AF11:AF54" si="5">MID(C11,1,3)</f>
        <v/>
      </c>
    </row>
    <row r="12" spans="1:36" ht="17.25" customHeight="1" x14ac:dyDescent="0.25">
      <c r="A12" s="66">
        <v>2</v>
      </c>
      <c r="B12" s="65"/>
      <c r="C12" s="64"/>
      <c r="D12" s="63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6" t="str">
        <f>IF(B12="","",IF('2.ชื่อนักเรียน'!R12="ย้าย","-",'3.เวลาเรียน'!$IX$4))</f>
        <v/>
      </c>
      <c r="T12" s="445" t="str">
        <f>IF('3.เวลาเรียน'!IE6="","",IF('2.ชื่อนักเรียน'!R12="ย้าย","-",'3.เวลาเรียน'!IE6))</f>
        <v/>
      </c>
      <c r="U12" s="159" t="str">
        <f>IF(T12="","",IF('2.ชื่อนักเรียน'!R12="ย้าย","-",(T12*100)/S12))</f>
        <v/>
      </c>
      <c r="V12" s="62">
        <v>2562</v>
      </c>
      <c r="W12" s="391"/>
      <c r="X12" s="214" t="str">
        <f>IF(W12="","",VLOOKUP(W12,Subject!$A$3:$C$300,2,FALSE))</f>
        <v/>
      </c>
      <c r="Y12" s="66" t="str">
        <f>IF(W12="","",VLOOKUP(W12,Subject!$A$3:$C$300,3,FALSE))</f>
        <v/>
      </c>
      <c r="AA12" s="61" t="str">
        <f t="shared" si="0"/>
        <v/>
      </c>
      <c r="AB12" s="61" t="str">
        <f t="shared" si="1"/>
        <v/>
      </c>
      <c r="AC12" s="61" t="str">
        <f t="shared" si="2"/>
        <v/>
      </c>
      <c r="AD12" s="61" t="str">
        <f t="shared" si="3"/>
        <v/>
      </c>
      <c r="AE12" s="61" t="str">
        <f t="shared" si="4"/>
        <v/>
      </c>
      <c r="AF12" s="56" t="str">
        <f t="shared" si="5"/>
        <v/>
      </c>
    </row>
    <row r="13" spans="1:36" ht="17.25" customHeight="1" x14ac:dyDescent="0.25">
      <c r="A13" s="66">
        <v>3</v>
      </c>
      <c r="B13" s="65"/>
      <c r="C13" s="64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6" t="str">
        <f>IF(B13="","",IF('2.ชื่อนักเรียน'!R13="ย้าย","-",'3.เวลาเรียน'!$IX$4))</f>
        <v/>
      </c>
      <c r="T13" s="445" t="str">
        <f>IF('3.เวลาเรียน'!IE7="","",IF('2.ชื่อนักเรียน'!R13="ย้าย","-",'3.เวลาเรียน'!IE7))</f>
        <v/>
      </c>
      <c r="U13" s="159" t="str">
        <f>IF(T13="","",IF('2.ชื่อนักเรียน'!R13="ย้าย","-",(T13*100)/S13))</f>
        <v/>
      </c>
      <c r="V13" s="62">
        <v>2562</v>
      </c>
      <c r="W13" s="391"/>
      <c r="X13" s="214" t="str">
        <f>IF(W13="","",VLOOKUP(W13,Subject!$A$3:$C$300,2,FALSE))</f>
        <v/>
      </c>
      <c r="Y13" s="66" t="str">
        <f>IF(W13="","",VLOOKUP(W13,Subject!$A$3:$C$300,3,FALSE))</f>
        <v/>
      </c>
      <c r="AA13" s="61" t="str">
        <f t="shared" si="0"/>
        <v/>
      </c>
      <c r="AB13" s="61" t="str">
        <f t="shared" si="1"/>
        <v/>
      </c>
      <c r="AC13" s="61" t="str">
        <f t="shared" si="2"/>
        <v/>
      </c>
      <c r="AD13" s="61" t="str">
        <f t="shared" si="3"/>
        <v/>
      </c>
      <c r="AE13" s="61" t="str">
        <f t="shared" si="4"/>
        <v/>
      </c>
      <c r="AF13" s="56" t="str">
        <f t="shared" si="5"/>
        <v/>
      </c>
    </row>
    <row r="14" spans="1:36" ht="17.25" customHeight="1" x14ac:dyDescent="0.25">
      <c r="A14" s="66">
        <v>4</v>
      </c>
      <c r="B14" s="65"/>
      <c r="C14" s="64"/>
      <c r="D14" s="63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6" t="str">
        <f>IF(B14="","",IF('2.ชื่อนักเรียน'!R14="ย้าย","-",'3.เวลาเรียน'!$IX$4))</f>
        <v/>
      </c>
      <c r="T14" s="445" t="str">
        <f>IF('3.เวลาเรียน'!IE8="","",IF('2.ชื่อนักเรียน'!R14="ย้าย","-",'3.เวลาเรียน'!IE8))</f>
        <v/>
      </c>
      <c r="U14" s="159" t="str">
        <f>IF(T14="","",IF('2.ชื่อนักเรียน'!R14="ย้าย","-",(T14*100)/S14))</f>
        <v/>
      </c>
      <c r="V14" s="62">
        <v>2562</v>
      </c>
      <c r="W14" s="391"/>
      <c r="X14" s="214" t="str">
        <f>IF(W14="","",VLOOKUP(W14,Subject!$A$3:$C$300,2,FALSE))</f>
        <v/>
      </c>
      <c r="Y14" s="66" t="str">
        <f>IF(W14="","",VLOOKUP(W14,Subject!$A$3:$C$300,3,FALSE))</f>
        <v/>
      </c>
      <c r="AA14" s="61" t="str">
        <f t="shared" si="0"/>
        <v/>
      </c>
      <c r="AB14" s="61" t="str">
        <f t="shared" si="1"/>
        <v/>
      </c>
      <c r="AC14" s="61" t="str">
        <f t="shared" si="2"/>
        <v/>
      </c>
      <c r="AD14" s="61" t="str">
        <f t="shared" si="3"/>
        <v/>
      </c>
      <c r="AE14" s="61" t="str">
        <f t="shared" si="4"/>
        <v/>
      </c>
      <c r="AF14" s="56" t="str">
        <f t="shared" si="5"/>
        <v/>
      </c>
    </row>
    <row r="15" spans="1:36" ht="17.25" customHeight="1" x14ac:dyDescent="0.25">
      <c r="A15" s="66">
        <v>5</v>
      </c>
      <c r="B15" s="65"/>
      <c r="C15" s="64"/>
      <c r="D15" s="6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6" t="str">
        <f>IF(B15="","",IF('2.ชื่อนักเรียน'!R15="ย้าย","-",'3.เวลาเรียน'!$IX$4))</f>
        <v/>
      </c>
      <c r="T15" s="445" t="str">
        <f>IF('3.เวลาเรียน'!IE9="","",IF('2.ชื่อนักเรียน'!R15="ย้าย","-",'3.เวลาเรียน'!IE9))</f>
        <v/>
      </c>
      <c r="U15" s="159" t="str">
        <f>IF(T15="","",IF('2.ชื่อนักเรียน'!R15="ย้าย","-",(T15*100)/S15))</f>
        <v/>
      </c>
      <c r="V15" s="62">
        <v>2562</v>
      </c>
      <c r="W15" s="391"/>
      <c r="X15" s="214" t="str">
        <f>IF(W15="","",VLOOKUP(W15,Subject!$A$3:$C$300,2,FALSE))</f>
        <v/>
      </c>
      <c r="Y15" s="66" t="str">
        <f>IF(W15="","",VLOOKUP(W15,Subject!$A$3:$C$300,3,FALSE))</f>
        <v/>
      </c>
      <c r="AA15" s="61" t="str">
        <f t="shared" si="0"/>
        <v/>
      </c>
      <c r="AB15" s="61" t="str">
        <f t="shared" si="1"/>
        <v/>
      </c>
      <c r="AC15" s="61" t="str">
        <f t="shared" si="2"/>
        <v/>
      </c>
      <c r="AD15" s="61" t="str">
        <f t="shared" si="3"/>
        <v/>
      </c>
      <c r="AE15" s="61" t="str">
        <f t="shared" si="4"/>
        <v/>
      </c>
      <c r="AF15" s="56" t="str">
        <f t="shared" si="5"/>
        <v/>
      </c>
    </row>
    <row r="16" spans="1:36" ht="17.25" customHeight="1" x14ac:dyDescent="0.25">
      <c r="A16" s="66">
        <v>6</v>
      </c>
      <c r="B16" s="65"/>
      <c r="C16" s="68"/>
      <c r="D16" s="63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6" t="str">
        <f>IF(B16="","",IF('2.ชื่อนักเรียน'!R16="ย้าย","-",'3.เวลาเรียน'!$IX$4))</f>
        <v/>
      </c>
      <c r="T16" s="445" t="str">
        <f>IF('3.เวลาเรียน'!IE10="","",IF('2.ชื่อนักเรียน'!R16="ย้าย","-",'3.เวลาเรียน'!IE10))</f>
        <v/>
      </c>
      <c r="U16" s="159" t="str">
        <f>IF(T16="","",IF('2.ชื่อนักเรียน'!R16="ย้าย","-",(T16*100)/S16))</f>
        <v/>
      </c>
      <c r="V16" s="62">
        <v>2562</v>
      </c>
      <c r="W16" s="391"/>
      <c r="X16" s="214" t="str">
        <f>IF(W16="","",VLOOKUP(W16,Subject!$A$3:$C$300,2,FALSE))</f>
        <v/>
      </c>
      <c r="Y16" s="66" t="str">
        <f>IF(W16="","",VLOOKUP(W16,Subject!$A$3:$C$300,3,FALSE))</f>
        <v/>
      </c>
      <c r="AA16" s="61" t="str">
        <f t="shared" si="0"/>
        <v/>
      </c>
      <c r="AB16" s="61" t="str">
        <f t="shared" si="1"/>
        <v/>
      </c>
      <c r="AC16" s="61" t="str">
        <f t="shared" si="2"/>
        <v/>
      </c>
      <c r="AD16" s="61" t="str">
        <f t="shared" si="3"/>
        <v/>
      </c>
      <c r="AE16" s="61" t="str">
        <f t="shared" si="4"/>
        <v/>
      </c>
      <c r="AF16" s="56" t="str">
        <f t="shared" si="5"/>
        <v/>
      </c>
    </row>
    <row r="17" spans="1:32" ht="17.25" customHeight="1" x14ac:dyDescent="0.25">
      <c r="A17" s="66">
        <v>7</v>
      </c>
      <c r="B17" s="65"/>
      <c r="C17" s="64"/>
      <c r="D17" s="6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6" t="str">
        <f>IF(B17="","",IF('2.ชื่อนักเรียน'!R17="ย้าย","-",'3.เวลาเรียน'!$IX$4))</f>
        <v/>
      </c>
      <c r="T17" s="445" t="str">
        <f>IF('3.เวลาเรียน'!IE11="","",IF('2.ชื่อนักเรียน'!R17="ย้าย","-",'3.เวลาเรียน'!IE11))</f>
        <v/>
      </c>
      <c r="U17" s="159" t="str">
        <f>IF(T17="","",IF('2.ชื่อนักเรียน'!R17="ย้าย","-",(T17*100)/S17))</f>
        <v/>
      </c>
      <c r="V17" s="62">
        <v>2562</v>
      </c>
      <c r="W17" s="391"/>
      <c r="X17" s="214" t="str">
        <f>IF(W17="","",VLOOKUP(W17,Subject!$A$3:$C$300,2,FALSE))</f>
        <v/>
      </c>
      <c r="Y17" s="66" t="str">
        <f>IF(W17="","",VLOOKUP(W17,Subject!$A$3:$C$300,3,FALSE))</f>
        <v/>
      </c>
      <c r="AA17" s="61" t="str">
        <f t="shared" si="0"/>
        <v/>
      </c>
      <c r="AB17" s="61" t="str">
        <f t="shared" si="1"/>
        <v/>
      </c>
      <c r="AC17" s="61" t="str">
        <f t="shared" si="2"/>
        <v/>
      </c>
      <c r="AD17" s="61" t="str">
        <f t="shared" si="3"/>
        <v/>
      </c>
      <c r="AE17" s="61" t="str">
        <f t="shared" si="4"/>
        <v/>
      </c>
      <c r="AF17" s="56" t="str">
        <f t="shared" si="5"/>
        <v/>
      </c>
    </row>
    <row r="18" spans="1:32" ht="17.25" customHeight="1" x14ac:dyDescent="0.25">
      <c r="A18" s="66">
        <v>8</v>
      </c>
      <c r="B18" s="65"/>
      <c r="C18" s="64"/>
      <c r="D18" s="63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6" t="str">
        <f>IF(B18="","",IF('2.ชื่อนักเรียน'!R18="ย้าย","-",'3.เวลาเรียน'!$IX$4))</f>
        <v/>
      </c>
      <c r="T18" s="445" t="str">
        <f>IF('3.เวลาเรียน'!IE12="","",IF('2.ชื่อนักเรียน'!R18="ย้าย","-",'3.เวลาเรียน'!IE12))</f>
        <v/>
      </c>
      <c r="U18" s="159" t="str">
        <f>IF(T18="","",IF('2.ชื่อนักเรียน'!R18="ย้าย","-",(T18*100)/S18))</f>
        <v/>
      </c>
      <c r="V18" s="62">
        <v>2562</v>
      </c>
      <c r="W18" s="391"/>
      <c r="X18" s="214" t="str">
        <f>IF(W18="","",VLOOKUP(W18,Subject!$A$3:$C$300,2,FALSE))</f>
        <v/>
      </c>
      <c r="Y18" s="66" t="str">
        <f>IF(W18="","",VLOOKUP(W18,Subject!$A$3:$C$300,3,FALSE))</f>
        <v/>
      </c>
      <c r="AA18" s="61" t="str">
        <f t="shared" si="0"/>
        <v/>
      </c>
      <c r="AB18" s="61" t="str">
        <f t="shared" si="1"/>
        <v/>
      </c>
      <c r="AC18" s="61" t="str">
        <f t="shared" si="2"/>
        <v/>
      </c>
      <c r="AD18" s="61" t="str">
        <f t="shared" si="3"/>
        <v/>
      </c>
      <c r="AE18" s="61" t="str">
        <f t="shared" si="4"/>
        <v/>
      </c>
      <c r="AF18" s="56" t="str">
        <f t="shared" si="5"/>
        <v/>
      </c>
    </row>
    <row r="19" spans="1:32" ht="18" customHeight="1" x14ac:dyDescent="0.25">
      <c r="A19" s="66">
        <v>9</v>
      </c>
      <c r="B19" s="65"/>
      <c r="C19" s="64"/>
      <c r="D19" s="63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6" t="str">
        <f>IF(B19="","",IF('2.ชื่อนักเรียน'!R19="ย้าย","-",'3.เวลาเรียน'!$IX$4))</f>
        <v/>
      </c>
      <c r="T19" s="445" t="str">
        <f>IF('3.เวลาเรียน'!IE13="","",IF('2.ชื่อนักเรียน'!R19="ย้าย","-",'3.เวลาเรียน'!IE13))</f>
        <v/>
      </c>
      <c r="U19" s="159" t="str">
        <f>IF(T19="","",IF('2.ชื่อนักเรียน'!R19="ย้าย","-",(T19*100)/S19))</f>
        <v/>
      </c>
      <c r="V19" s="62">
        <v>2562</v>
      </c>
      <c r="W19" s="391"/>
      <c r="X19" s="214" t="str">
        <f>IF(W19="","",VLOOKUP(W19,Subject!$A$3:$C$300,2,FALSE))</f>
        <v/>
      </c>
      <c r="Y19" s="66" t="str">
        <f>IF(W19="","",VLOOKUP(W19,Subject!$A$3:$C$300,3,FALSE))</f>
        <v/>
      </c>
      <c r="AA19" s="61" t="str">
        <f t="shared" si="0"/>
        <v/>
      </c>
      <c r="AB19" s="61" t="str">
        <f t="shared" si="1"/>
        <v/>
      </c>
      <c r="AC19" s="61" t="str">
        <f t="shared" si="2"/>
        <v/>
      </c>
      <c r="AD19" s="61" t="str">
        <f t="shared" si="3"/>
        <v/>
      </c>
      <c r="AE19" s="61" t="str">
        <f t="shared" si="4"/>
        <v/>
      </c>
      <c r="AF19" s="56" t="str">
        <f t="shared" si="5"/>
        <v/>
      </c>
    </row>
    <row r="20" spans="1:32" ht="17.25" customHeight="1" x14ac:dyDescent="0.25">
      <c r="A20" s="66">
        <v>10</v>
      </c>
      <c r="B20" s="65"/>
      <c r="C20" s="64"/>
      <c r="D20" s="63"/>
      <c r="E20" s="70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6" t="str">
        <f>IF(B20="","",IF('2.ชื่อนักเรียน'!R20="ย้าย","-",'3.เวลาเรียน'!$IX$4))</f>
        <v/>
      </c>
      <c r="T20" s="445" t="str">
        <f>IF('3.เวลาเรียน'!IE14="","",IF('2.ชื่อนักเรียน'!R20="ย้าย","-",'3.เวลาเรียน'!IE14))</f>
        <v/>
      </c>
      <c r="U20" s="159" t="str">
        <f>IF(T20="","",IF('2.ชื่อนักเรียน'!R20="ย้าย","-",(T20*100)/S20))</f>
        <v/>
      </c>
      <c r="V20" s="62"/>
      <c r="W20" s="391"/>
      <c r="X20" s="214" t="str">
        <f>IF(W20="","",VLOOKUP(W20,Subject!$A$3:$C$300,2,FALSE))</f>
        <v/>
      </c>
      <c r="Y20" s="66" t="str">
        <f>IF(W20="","",VLOOKUP(W20,Subject!$A$3:$C$300,3,FALSE))</f>
        <v/>
      </c>
      <c r="AA20" s="61" t="str">
        <f t="shared" si="0"/>
        <v/>
      </c>
      <c r="AB20" s="61" t="str">
        <f t="shared" si="1"/>
        <v/>
      </c>
      <c r="AC20" s="61" t="str">
        <f t="shared" si="2"/>
        <v/>
      </c>
      <c r="AD20" s="61" t="str">
        <f t="shared" si="3"/>
        <v/>
      </c>
      <c r="AE20" s="61" t="str">
        <f t="shared" si="4"/>
        <v/>
      </c>
      <c r="AF20" s="56" t="str">
        <f t="shared" si="5"/>
        <v/>
      </c>
    </row>
    <row r="21" spans="1:32" ht="17.25" customHeight="1" x14ac:dyDescent="0.25">
      <c r="A21" s="66">
        <v>11</v>
      </c>
      <c r="B21" s="65"/>
      <c r="C21" s="64"/>
      <c r="D21" s="63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6" t="str">
        <f>IF(B21="","",IF('2.ชื่อนักเรียน'!R21="ย้าย","-",'3.เวลาเรียน'!$IX$4))</f>
        <v/>
      </c>
      <c r="T21" s="445" t="str">
        <f>IF('3.เวลาเรียน'!IE15="","",IF('2.ชื่อนักเรียน'!R21="ย้าย","-",'3.เวลาเรียน'!IE15))</f>
        <v/>
      </c>
      <c r="U21" s="159" t="str">
        <f>IF(T21="","",IF('2.ชื่อนักเรียน'!R21="ย้าย","-",(T21*100)/S21))</f>
        <v/>
      </c>
      <c r="V21" s="62">
        <v>2562</v>
      </c>
      <c r="W21" s="391"/>
      <c r="X21" s="214" t="str">
        <f>IF(W21="","",VLOOKUP(W21,Subject!$A$3:$C$300,2,FALSE))</f>
        <v/>
      </c>
      <c r="Y21" s="66" t="str">
        <f>IF(W21="","",VLOOKUP(W21,Subject!$A$3:$C$300,3,FALSE))</f>
        <v/>
      </c>
      <c r="AA21" s="61" t="str">
        <f t="shared" si="0"/>
        <v/>
      </c>
      <c r="AB21" s="61" t="str">
        <f t="shared" si="1"/>
        <v/>
      </c>
      <c r="AC21" s="61" t="str">
        <f t="shared" si="2"/>
        <v/>
      </c>
      <c r="AD21" s="61" t="str">
        <f t="shared" si="3"/>
        <v/>
      </c>
      <c r="AE21" s="61" t="str">
        <f t="shared" si="4"/>
        <v/>
      </c>
      <c r="AF21" s="56" t="str">
        <f t="shared" si="5"/>
        <v/>
      </c>
    </row>
    <row r="22" spans="1:32" ht="17.25" customHeight="1" x14ac:dyDescent="0.25">
      <c r="A22" s="66">
        <v>12</v>
      </c>
      <c r="B22" s="65"/>
      <c r="C22" s="64"/>
      <c r="D22" s="63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6" t="str">
        <f>IF(B22="","",IF('2.ชื่อนักเรียน'!R22="ย้าย","-",'3.เวลาเรียน'!$IX$4))</f>
        <v/>
      </c>
      <c r="T22" s="445" t="str">
        <f>IF('3.เวลาเรียน'!IE16="","",IF('2.ชื่อนักเรียน'!R22="ย้าย","-",'3.เวลาเรียน'!IE16))</f>
        <v/>
      </c>
      <c r="U22" s="159" t="str">
        <f>IF(T22="","",IF('2.ชื่อนักเรียน'!R22="ย้าย","-",(T22*100)/S22))</f>
        <v/>
      </c>
      <c r="V22" s="62">
        <v>2562</v>
      </c>
      <c r="W22" s="391"/>
      <c r="X22" s="214" t="str">
        <f>IF(W22="","",VLOOKUP(W22,Subject!$A$3:$C$300,2,FALSE))</f>
        <v/>
      </c>
      <c r="Y22" s="66" t="str">
        <f>IF(W22="","",VLOOKUP(W22,Subject!$A$3:$C$300,3,FALSE))</f>
        <v/>
      </c>
      <c r="AA22" s="61" t="str">
        <f t="shared" si="0"/>
        <v/>
      </c>
      <c r="AB22" s="61" t="str">
        <f t="shared" si="1"/>
        <v/>
      </c>
      <c r="AC22" s="61" t="str">
        <f t="shared" si="2"/>
        <v/>
      </c>
      <c r="AD22" s="61" t="str">
        <f t="shared" si="3"/>
        <v/>
      </c>
      <c r="AE22" s="61" t="str">
        <f t="shared" si="4"/>
        <v/>
      </c>
      <c r="AF22" s="56" t="str">
        <f t="shared" si="5"/>
        <v/>
      </c>
    </row>
    <row r="23" spans="1:32" ht="17.25" customHeight="1" x14ac:dyDescent="0.25">
      <c r="A23" s="66">
        <v>13</v>
      </c>
      <c r="B23" s="65"/>
      <c r="C23" s="68"/>
      <c r="D23" s="67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6" t="str">
        <f>IF(B23="","",IF('2.ชื่อนักเรียน'!R23="ย้าย","-",'3.เวลาเรียน'!$IX$4))</f>
        <v/>
      </c>
      <c r="T23" s="445" t="str">
        <f>IF('3.เวลาเรียน'!IE17="","",IF('2.ชื่อนักเรียน'!R23="ย้าย","-",'3.เวลาเรียน'!IE17))</f>
        <v/>
      </c>
      <c r="U23" s="159" t="str">
        <f>IF(T23="","",IF('2.ชื่อนักเรียน'!R23="ย้าย","-",(T23*100)/S23))</f>
        <v/>
      </c>
      <c r="V23" s="62">
        <v>2562</v>
      </c>
      <c r="W23" s="391"/>
      <c r="X23" s="214" t="str">
        <f>IF(W23="","",VLOOKUP(W23,Subject!$A$3:$C$300,2,FALSE))</f>
        <v/>
      </c>
      <c r="Y23" s="66" t="str">
        <f>IF(W23="","",VLOOKUP(W23,Subject!$A$3:$C$300,3,FALSE))</f>
        <v/>
      </c>
      <c r="AA23" s="61" t="str">
        <f t="shared" si="0"/>
        <v/>
      </c>
      <c r="AB23" s="61" t="str">
        <f t="shared" si="1"/>
        <v/>
      </c>
      <c r="AC23" s="61" t="str">
        <f t="shared" si="2"/>
        <v/>
      </c>
      <c r="AD23" s="61" t="str">
        <f t="shared" si="3"/>
        <v/>
      </c>
      <c r="AE23" s="61" t="str">
        <f t="shared" si="4"/>
        <v/>
      </c>
      <c r="AF23" s="56" t="str">
        <f t="shared" si="5"/>
        <v/>
      </c>
    </row>
    <row r="24" spans="1:32" ht="17.25" customHeight="1" x14ac:dyDescent="0.25">
      <c r="A24" s="66">
        <v>14</v>
      </c>
      <c r="B24" s="65"/>
      <c r="C24" s="64"/>
      <c r="D24" s="63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6" t="str">
        <f>IF(B24="","",IF('2.ชื่อนักเรียน'!R24="ย้าย","-",'3.เวลาเรียน'!$IX$4))</f>
        <v/>
      </c>
      <c r="T24" s="445" t="str">
        <f>IF('3.เวลาเรียน'!IE18="","",IF('2.ชื่อนักเรียน'!R24="ย้าย","-",'3.เวลาเรียน'!IE18))</f>
        <v/>
      </c>
      <c r="U24" s="159" t="str">
        <f>IF(T24="","",IF('2.ชื่อนักเรียน'!R24="ย้าย","-",(T24*100)/S24))</f>
        <v/>
      </c>
      <c r="V24" s="62">
        <v>2562</v>
      </c>
      <c r="W24" s="391"/>
      <c r="X24" s="214" t="str">
        <f>IF(W24="","",VLOOKUP(W24,Subject!$A$3:$C$300,2,FALSE))</f>
        <v/>
      </c>
      <c r="Y24" s="66" t="str">
        <f>IF(W24="","",VLOOKUP(W24,Subject!$A$3:$C$300,3,FALSE))</f>
        <v/>
      </c>
      <c r="AA24" s="61" t="str">
        <f t="shared" si="0"/>
        <v/>
      </c>
      <c r="AB24" s="61" t="str">
        <f t="shared" si="1"/>
        <v/>
      </c>
      <c r="AC24" s="61" t="str">
        <f t="shared" si="2"/>
        <v/>
      </c>
      <c r="AD24" s="61" t="str">
        <f t="shared" si="3"/>
        <v/>
      </c>
      <c r="AE24" s="61" t="str">
        <f t="shared" si="4"/>
        <v/>
      </c>
      <c r="AF24" s="56" t="str">
        <f t="shared" si="5"/>
        <v/>
      </c>
    </row>
    <row r="25" spans="1:32" ht="17.25" customHeight="1" x14ac:dyDescent="0.25">
      <c r="A25" s="66">
        <v>15</v>
      </c>
      <c r="B25" s="65"/>
      <c r="C25" s="64"/>
      <c r="D25" s="63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6" t="str">
        <f>IF(B25="","",IF('2.ชื่อนักเรียน'!R25="ย้าย","-",'3.เวลาเรียน'!$IX$4))</f>
        <v/>
      </c>
      <c r="T25" s="445" t="str">
        <f>IF('3.เวลาเรียน'!IE19="","",IF('2.ชื่อนักเรียน'!R25="ย้าย","-",'3.เวลาเรียน'!IE19))</f>
        <v/>
      </c>
      <c r="U25" s="159" t="str">
        <f>IF(T25="","",IF('2.ชื่อนักเรียน'!R25="ย้าย","-",(T25*100)/S25))</f>
        <v/>
      </c>
      <c r="V25" s="62">
        <v>2562</v>
      </c>
      <c r="W25" s="391"/>
      <c r="X25" s="214" t="str">
        <f>IF(W25="","",VLOOKUP(W25,Subject!$A$3:$C$300,2,FALSE))</f>
        <v/>
      </c>
      <c r="Y25" s="66" t="str">
        <f>IF(W25="","",VLOOKUP(W25,Subject!$A$3:$C$300,3,FALSE))</f>
        <v/>
      </c>
      <c r="AA25" s="61" t="str">
        <f t="shared" si="0"/>
        <v/>
      </c>
      <c r="AB25" s="61" t="str">
        <f t="shared" si="1"/>
        <v/>
      </c>
      <c r="AC25" s="61" t="str">
        <f t="shared" si="2"/>
        <v/>
      </c>
      <c r="AD25" s="61" t="str">
        <f t="shared" si="3"/>
        <v/>
      </c>
      <c r="AE25" s="61" t="str">
        <f t="shared" si="4"/>
        <v/>
      </c>
      <c r="AF25" s="56" t="str">
        <f t="shared" si="5"/>
        <v/>
      </c>
    </row>
    <row r="26" spans="1:32" ht="17.25" customHeight="1" x14ac:dyDescent="0.25">
      <c r="A26" s="66">
        <v>16</v>
      </c>
      <c r="B26" s="65"/>
      <c r="C26" s="68"/>
      <c r="D26" s="67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6" t="str">
        <f>IF(B26="","",IF('2.ชื่อนักเรียน'!R26="ย้าย","-",'3.เวลาเรียน'!$IX$4))</f>
        <v/>
      </c>
      <c r="T26" s="445" t="str">
        <f>IF('3.เวลาเรียน'!IE20="","",IF('2.ชื่อนักเรียน'!R26="ย้าย","-",'3.เวลาเรียน'!IE20))</f>
        <v/>
      </c>
      <c r="U26" s="159" t="str">
        <f>IF(T26="","",IF('2.ชื่อนักเรียน'!R26="ย้าย","-",(T26*100)/S26))</f>
        <v/>
      </c>
      <c r="V26" s="62">
        <v>2562</v>
      </c>
      <c r="W26" s="391"/>
      <c r="X26" s="214" t="str">
        <f>IF(W26="","",VLOOKUP(W26,Subject!$A$3:$C$300,2,FALSE))</f>
        <v/>
      </c>
      <c r="Y26" s="66" t="str">
        <f>IF(W26="","",VLOOKUP(W26,Subject!$A$3:$C$300,3,FALSE))</f>
        <v/>
      </c>
      <c r="AA26" s="61" t="str">
        <f t="shared" si="0"/>
        <v/>
      </c>
      <c r="AB26" s="61" t="str">
        <f t="shared" si="1"/>
        <v/>
      </c>
      <c r="AC26" s="61" t="str">
        <f t="shared" si="2"/>
        <v/>
      </c>
      <c r="AD26" s="61" t="str">
        <f t="shared" si="3"/>
        <v/>
      </c>
      <c r="AE26" s="61" t="str">
        <f t="shared" si="4"/>
        <v/>
      </c>
      <c r="AF26" s="56" t="str">
        <f t="shared" si="5"/>
        <v/>
      </c>
    </row>
    <row r="27" spans="1:32" ht="17.25" customHeight="1" x14ac:dyDescent="0.25">
      <c r="A27" s="66">
        <v>17</v>
      </c>
      <c r="B27" s="65"/>
      <c r="C27" s="64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6" t="str">
        <f>IF(B27="","",IF('2.ชื่อนักเรียน'!R27="ย้าย","-",'3.เวลาเรียน'!$IX$4))</f>
        <v/>
      </c>
      <c r="T27" s="445" t="str">
        <f>IF('3.เวลาเรียน'!IE21="","",IF('2.ชื่อนักเรียน'!R27="ย้าย","-",'3.เวลาเรียน'!IE21))</f>
        <v/>
      </c>
      <c r="U27" s="159" t="str">
        <f>IF(T27="","",IF('2.ชื่อนักเรียน'!R27="ย้าย","-",(T27*100)/S27))</f>
        <v/>
      </c>
      <c r="V27" s="62">
        <v>2562</v>
      </c>
      <c r="W27" s="391"/>
      <c r="X27" s="214" t="str">
        <f>IF(W27="","",VLOOKUP(W27,Subject!$A$3:$C$300,2,FALSE))</f>
        <v/>
      </c>
      <c r="Y27" s="66" t="str">
        <f>IF(W27="","",VLOOKUP(W27,Subject!$A$3:$C$300,3,FALSE))</f>
        <v/>
      </c>
      <c r="AA27" s="61" t="str">
        <f t="shared" si="0"/>
        <v/>
      </c>
      <c r="AB27" s="61" t="str">
        <f t="shared" si="1"/>
        <v/>
      </c>
      <c r="AC27" s="61" t="str">
        <f t="shared" si="2"/>
        <v/>
      </c>
      <c r="AD27" s="61" t="str">
        <f t="shared" si="3"/>
        <v/>
      </c>
      <c r="AE27" s="61" t="str">
        <f t="shared" si="4"/>
        <v/>
      </c>
      <c r="AF27" s="56" t="str">
        <f t="shared" si="5"/>
        <v/>
      </c>
    </row>
    <row r="28" spans="1:32" ht="17.25" customHeight="1" x14ac:dyDescent="0.25">
      <c r="A28" s="66">
        <v>18</v>
      </c>
      <c r="B28" s="65"/>
      <c r="C28" s="64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6" t="str">
        <f>IF(B28="","",IF('2.ชื่อนักเรียน'!R28="ย้าย","-",'3.เวลาเรียน'!$IX$4))</f>
        <v/>
      </c>
      <c r="T28" s="445" t="str">
        <f>IF('3.เวลาเรียน'!IE22="","",IF('2.ชื่อนักเรียน'!R28="ย้าย","-",'3.เวลาเรียน'!IE22))</f>
        <v/>
      </c>
      <c r="U28" s="159" t="str">
        <f>IF(T28="","",IF('2.ชื่อนักเรียน'!R28="ย้าย","-",(T28*100)/S28))</f>
        <v/>
      </c>
      <c r="V28" s="62">
        <v>2562</v>
      </c>
      <c r="W28" s="391"/>
      <c r="X28" s="214" t="str">
        <f>IF(W28="","",VLOOKUP(W28,Subject!$A$3:$C$300,2,FALSE))</f>
        <v/>
      </c>
      <c r="Y28" s="66" t="str">
        <f>IF(W28="","",VLOOKUP(W28,Subject!$A$3:$C$300,3,FALSE))</f>
        <v/>
      </c>
      <c r="AA28" s="61" t="str">
        <f t="shared" si="0"/>
        <v/>
      </c>
      <c r="AB28" s="61" t="str">
        <f t="shared" si="1"/>
        <v/>
      </c>
      <c r="AC28" s="61" t="str">
        <f t="shared" si="2"/>
        <v/>
      </c>
      <c r="AD28" s="61" t="str">
        <f t="shared" si="3"/>
        <v/>
      </c>
      <c r="AE28" s="61" t="str">
        <f t="shared" si="4"/>
        <v/>
      </c>
      <c r="AF28" s="56" t="str">
        <f t="shared" si="5"/>
        <v/>
      </c>
    </row>
    <row r="29" spans="1:32" ht="17.25" customHeight="1" x14ac:dyDescent="0.25">
      <c r="A29" s="66">
        <v>19</v>
      </c>
      <c r="B29" s="65"/>
      <c r="C29" s="64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6" t="str">
        <f>IF(B29="","",IF('2.ชื่อนักเรียน'!R29="ย้าย","-",'3.เวลาเรียน'!$IX$4))</f>
        <v/>
      </c>
      <c r="T29" s="445" t="str">
        <f>IF('3.เวลาเรียน'!IE23="","",IF('2.ชื่อนักเรียน'!R29="ย้าย","-",'3.เวลาเรียน'!IE23))</f>
        <v/>
      </c>
      <c r="U29" s="159" t="str">
        <f>IF(T29="","",IF('2.ชื่อนักเรียน'!R29="ย้าย","-",(T29*100)/S29))</f>
        <v/>
      </c>
      <c r="V29" s="62">
        <v>2562</v>
      </c>
      <c r="W29" s="391"/>
      <c r="X29" s="214" t="str">
        <f>IF(W29="","",VLOOKUP(W29,Subject!$A$3:$C$300,2,FALSE))</f>
        <v/>
      </c>
      <c r="Y29" s="66" t="str">
        <f>IF(W29="","",VLOOKUP(W29,Subject!$A$3:$C$300,3,FALSE))</f>
        <v/>
      </c>
      <c r="AA29" s="61" t="str">
        <f t="shared" si="0"/>
        <v/>
      </c>
      <c r="AB29" s="61" t="str">
        <f t="shared" si="1"/>
        <v/>
      </c>
      <c r="AC29" s="61" t="str">
        <f t="shared" si="2"/>
        <v/>
      </c>
      <c r="AD29" s="61" t="str">
        <f t="shared" si="3"/>
        <v/>
      </c>
      <c r="AE29" s="61" t="str">
        <f t="shared" si="4"/>
        <v/>
      </c>
      <c r="AF29" s="56" t="str">
        <f t="shared" si="5"/>
        <v/>
      </c>
    </row>
    <row r="30" spans="1:32" ht="18" customHeight="1" x14ac:dyDescent="0.25">
      <c r="A30" s="66">
        <v>20</v>
      </c>
      <c r="B30" s="65"/>
      <c r="C30" s="68"/>
      <c r="D30" s="67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6" t="str">
        <f>IF(B30="","",IF('2.ชื่อนักเรียน'!R30="ย้าย","-",'3.เวลาเรียน'!$IX$4))</f>
        <v/>
      </c>
      <c r="T30" s="445" t="str">
        <f>IF('3.เวลาเรียน'!IE24="","",IF('2.ชื่อนักเรียน'!R30="ย้าย","-",'3.เวลาเรียน'!IE24))</f>
        <v/>
      </c>
      <c r="U30" s="159" t="str">
        <f>IF(T30="","",IF('2.ชื่อนักเรียน'!R30="ย้าย","-",(T30*100)/S30))</f>
        <v/>
      </c>
      <c r="V30" s="62"/>
      <c r="W30" s="391"/>
      <c r="X30" s="214" t="str">
        <f>IF(W30="","",VLOOKUP(W30,Subject!$A$3:$C$300,2,FALSE))</f>
        <v/>
      </c>
      <c r="Y30" s="66" t="str">
        <f>IF(W30="","",VLOOKUP(W30,Subject!$A$3:$C$300,3,FALSE))</f>
        <v/>
      </c>
      <c r="AA30" s="61" t="str">
        <f t="shared" si="0"/>
        <v/>
      </c>
      <c r="AB30" s="61" t="str">
        <f t="shared" si="1"/>
        <v/>
      </c>
      <c r="AC30" s="61" t="str">
        <f t="shared" si="2"/>
        <v/>
      </c>
      <c r="AD30" s="61" t="str">
        <f t="shared" si="3"/>
        <v/>
      </c>
      <c r="AE30" s="61" t="str">
        <f t="shared" si="4"/>
        <v/>
      </c>
      <c r="AF30" s="56" t="str">
        <f t="shared" si="5"/>
        <v/>
      </c>
    </row>
    <row r="31" spans="1:32" ht="17.25" customHeight="1" x14ac:dyDescent="0.25">
      <c r="A31" s="66">
        <v>21</v>
      </c>
      <c r="B31" s="65"/>
      <c r="C31" s="64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6" t="str">
        <f>IF(B31="","",IF('2.ชื่อนักเรียน'!R31="ย้าย","-",'3.เวลาเรียน'!$IX$4))</f>
        <v/>
      </c>
      <c r="T31" s="445" t="str">
        <f>IF('3.เวลาเรียน'!IE25="","",IF('2.ชื่อนักเรียน'!R31="ย้าย","-",'3.เวลาเรียน'!IE25))</f>
        <v/>
      </c>
      <c r="U31" s="159" t="str">
        <f>IF(T31="","",IF('2.ชื่อนักเรียน'!R31="ย้าย","-",(T31*100)/S31))</f>
        <v/>
      </c>
      <c r="V31" s="62">
        <v>2562</v>
      </c>
      <c r="W31" s="391"/>
      <c r="X31" s="214" t="str">
        <f>IF(W31="","",VLOOKUP(W31,Subject!$A$3:$C$300,2,FALSE))</f>
        <v/>
      </c>
      <c r="Y31" s="66" t="str">
        <f>IF(W31="","",VLOOKUP(W31,Subject!$A$3:$C$300,3,FALSE))</f>
        <v/>
      </c>
      <c r="AA31" s="61" t="str">
        <f t="shared" si="0"/>
        <v/>
      </c>
      <c r="AB31" s="61" t="str">
        <f t="shared" si="1"/>
        <v/>
      </c>
      <c r="AC31" s="61" t="str">
        <f t="shared" si="2"/>
        <v/>
      </c>
      <c r="AD31" s="61" t="str">
        <f t="shared" si="3"/>
        <v/>
      </c>
      <c r="AE31" s="61" t="str">
        <f t="shared" si="4"/>
        <v/>
      </c>
      <c r="AF31" s="56" t="str">
        <f t="shared" si="5"/>
        <v/>
      </c>
    </row>
    <row r="32" spans="1:32" ht="17.25" customHeight="1" x14ac:dyDescent="0.25">
      <c r="A32" s="66">
        <v>22</v>
      </c>
      <c r="B32" s="65"/>
      <c r="C32" s="64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6" t="str">
        <f>IF(B32="","",IF('2.ชื่อนักเรียน'!R32="ย้าย","-",'3.เวลาเรียน'!$IX$4))</f>
        <v/>
      </c>
      <c r="T32" s="445" t="str">
        <f>IF('3.เวลาเรียน'!IE26="","",IF('2.ชื่อนักเรียน'!R32="ย้าย","-",'3.เวลาเรียน'!IE26))</f>
        <v/>
      </c>
      <c r="U32" s="159" t="str">
        <f>IF(T32="","",IF('2.ชื่อนักเรียน'!R32="ย้าย","-",(T32*100)/S32))</f>
        <v/>
      </c>
      <c r="V32" s="62">
        <v>2562</v>
      </c>
      <c r="W32" s="391"/>
      <c r="X32" s="214" t="str">
        <f>IF(W32="","",VLOOKUP(W32,Subject!$A$3:$C$300,2,FALSE))</f>
        <v/>
      </c>
      <c r="Y32" s="66" t="str">
        <f>IF(W32="","",VLOOKUP(W32,Subject!$A$3:$C$300,3,FALSE))</f>
        <v/>
      </c>
      <c r="AA32" s="61" t="str">
        <f t="shared" si="0"/>
        <v/>
      </c>
      <c r="AB32" s="61" t="str">
        <f t="shared" si="1"/>
        <v/>
      </c>
      <c r="AC32" s="61" t="str">
        <f t="shared" si="2"/>
        <v/>
      </c>
      <c r="AD32" s="61" t="str">
        <f t="shared" si="3"/>
        <v/>
      </c>
      <c r="AE32" s="61" t="str">
        <f t="shared" si="4"/>
        <v/>
      </c>
      <c r="AF32" s="56" t="str">
        <f t="shared" si="5"/>
        <v/>
      </c>
    </row>
    <row r="33" spans="1:32" ht="17.25" customHeight="1" x14ac:dyDescent="0.25">
      <c r="A33" s="66">
        <v>23</v>
      </c>
      <c r="B33" s="65"/>
      <c r="C33" s="64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6" t="str">
        <f>IF(B33="","",IF('2.ชื่อนักเรียน'!R33="ย้าย","-",'3.เวลาเรียน'!$IX$4))</f>
        <v/>
      </c>
      <c r="T33" s="445" t="str">
        <f>IF('3.เวลาเรียน'!IE27="","",IF('2.ชื่อนักเรียน'!R33="ย้าย","-",'3.เวลาเรียน'!IE27))</f>
        <v/>
      </c>
      <c r="U33" s="159" t="str">
        <f>IF(T33="","",IF('2.ชื่อนักเรียน'!R33="ย้าย","-",(T33*100)/S33))</f>
        <v/>
      </c>
      <c r="V33" s="62">
        <v>2562</v>
      </c>
      <c r="W33" s="391"/>
      <c r="X33" s="214" t="str">
        <f>IF(W33="","",VLOOKUP(W33,Subject!$A$3:$C$300,2,FALSE))</f>
        <v/>
      </c>
      <c r="Y33" s="66" t="str">
        <f>IF(W33="","",VLOOKUP(W33,Subject!$A$3:$C$300,3,FALSE))</f>
        <v/>
      </c>
      <c r="AA33" s="61" t="str">
        <f t="shared" si="0"/>
        <v/>
      </c>
      <c r="AB33" s="61" t="str">
        <f t="shared" si="1"/>
        <v/>
      </c>
      <c r="AC33" s="61" t="str">
        <f t="shared" si="2"/>
        <v/>
      </c>
      <c r="AD33" s="61" t="str">
        <f t="shared" si="3"/>
        <v/>
      </c>
      <c r="AE33" s="61" t="str">
        <f t="shared" si="4"/>
        <v/>
      </c>
      <c r="AF33" s="56" t="str">
        <f t="shared" si="5"/>
        <v/>
      </c>
    </row>
    <row r="34" spans="1:32" ht="17.25" customHeight="1" x14ac:dyDescent="0.25">
      <c r="A34" s="66">
        <v>24</v>
      </c>
      <c r="B34" s="65"/>
      <c r="C34" s="64"/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6" t="str">
        <f>IF(B34="","",IF('2.ชื่อนักเรียน'!R34="ย้าย","-",'3.เวลาเรียน'!$IX$4))</f>
        <v/>
      </c>
      <c r="T34" s="445" t="str">
        <f>IF('3.เวลาเรียน'!IE28="","",IF('2.ชื่อนักเรียน'!R34="ย้าย","-",'3.เวลาเรียน'!IE28))</f>
        <v/>
      </c>
      <c r="U34" s="159" t="str">
        <f>IF(T34="","",IF('2.ชื่อนักเรียน'!R34="ย้าย","-",(T34*100)/S34))</f>
        <v/>
      </c>
      <c r="V34" s="62">
        <v>2562</v>
      </c>
      <c r="W34" s="391"/>
      <c r="X34" s="214" t="str">
        <f>IF(W34="","",VLOOKUP(W34,Subject!$A$3:$C$300,2,FALSE))</f>
        <v/>
      </c>
      <c r="Y34" s="66" t="str">
        <f>IF(W34="","",VLOOKUP(W34,Subject!$A$3:$C$300,3,FALSE))</f>
        <v/>
      </c>
      <c r="AA34" s="61" t="str">
        <f t="shared" si="0"/>
        <v/>
      </c>
      <c r="AB34" s="61" t="str">
        <f t="shared" si="1"/>
        <v/>
      </c>
      <c r="AC34" s="61" t="str">
        <f t="shared" si="2"/>
        <v/>
      </c>
      <c r="AD34" s="61" t="str">
        <f t="shared" si="3"/>
        <v/>
      </c>
      <c r="AE34" s="61" t="str">
        <f t="shared" si="4"/>
        <v/>
      </c>
      <c r="AF34" s="56" t="str">
        <f t="shared" si="5"/>
        <v/>
      </c>
    </row>
    <row r="35" spans="1:32" ht="18" customHeight="1" x14ac:dyDescent="0.25">
      <c r="A35" s="66">
        <v>25</v>
      </c>
      <c r="B35" s="65"/>
      <c r="C35" s="64"/>
      <c r="D35" s="6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6" t="str">
        <f>IF(B35="","",IF('2.ชื่อนักเรียน'!R35="ย้าย","-",'3.เวลาเรียน'!$IX$4))</f>
        <v/>
      </c>
      <c r="T35" s="445" t="str">
        <f>IF('3.เวลาเรียน'!IE29="","",IF('2.ชื่อนักเรียน'!R35="ย้าย","-",'3.เวลาเรียน'!IE29))</f>
        <v/>
      </c>
      <c r="U35" s="159" t="str">
        <f>IF(T35="","",IF('2.ชื่อนักเรียน'!R35="ย้าย","-",(T35*100)/S35))</f>
        <v/>
      </c>
      <c r="V35" s="62"/>
      <c r="W35" s="391"/>
      <c r="X35" s="214" t="str">
        <f>IF(W35="","",VLOOKUP(W35,Subject!$A$3:$C$300,2,FALSE))</f>
        <v/>
      </c>
      <c r="Y35" s="66" t="str">
        <f>IF(W35="","",VLOOKUP(W35,Subject!$A$3:$C$300,3,FALSE))</f>
        <v/>
      </c>
      <c r="AA35" s="61" t="str">
        <f t="shared" si="0"/>
        <v/>
      </c>
      <c r="AB35" s="61" t="str">
        <f t="shared" si="1"/>
        <v/>
      </c>
      <c r="AC35" s="61" t="str">
        <f t="shared" si="2"/>
        <v/>
      </c>
      <c r="AD35" s="61" t="str">
        <f t="shared" si="3"/>
        <v/>
      </c>
      <c r="AE35" s="61" t="str">
        <f t="shared" si="4"/>
        <v/>
      </c>
      <c r="AF35" s="56" t="str">
        <f t="shared" si="5"/>
        <v/>
      </c>
    </row>
    <row r="36" spans="1:32" ht="17.25" customHeight="1" x14ac:dyDescent="0.25">
      <c r="A36" s="66">
        <v>26</v>
      </c>
      <c r="B36" s="65"/>
      <c r="C36" s="64"/>
      <c r="D36" s="63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6" t="str">
        <f>IF(B36="","",IF('2.ชื่อนักเรียน'!R36="ย้าย","-",'3.เวลาเรียน'!$IX$4))</f>
        <v/>
      </c>
      <c r="T36" s="445" t="str">
        <f>IF('3.เวลาเรียน'!IE30="","",IF('2.ชื่อนักเรียน'!R36="ย้าย","-",'3.เวลาเรียน'!IE30))</f>
        <v/>
      </c>
      <c r="U36" s="159" t="str">
        <f>IF(T36="","",IF('2.ชื่อนักเรียน'!R36="ย้าย","-",(T36*100)/S36))</f>
        <v/>
      </c>
      <c r="V36" s="62">
        <v>2562</v>
      </c>
      <c r="W36" s="391"/>
      <c r="X36" s="214" t="str">
        <f>IF(W36="","",VLOOKUP(W36,Subject!$A$3:$C$300,2,FALSE))</f>
        <v/>
      </c>
      <c r="Y36" s="66" t="str">
        <f>IF(W36="","",VLOOKUP(W36,Subject!$A$3:$C$300,3,FALSE))</f>
        <v/>
      </c>
      <c r="AA36" s="61" t="str">
        <f t="shared" si="0"/>
        <v/>
      </c>
      <c r="AB36" s="61" t="str">
        <f t="shared" si="1"/>
        <v/>
      </c>
      <c r="AC36" s="61" t="str">
        <f t="shared" si="2"/>
        <v/>
      </c>
      <c r="AD36" s="61" t="str">
        <f t="shared" si="3"/>
        <v/>
      </c>
      <c r="AE36" s="61" t="str">
        <f t="shared" si="4"/>
        <v/>
      </c>
      <c r="AF36" s="56" t="str">
        <f t="shared" si="5"/>
        <v/>
      </c>
    </row>
    <row r="37" spans="1:32" ht="17.25" customHeight="1" x14ac:dyDescent="0.25">
      <c r="A37" s="66">
        <v>27</v>
      </c>
      <c r="B37" s="65"/>
      <c r="C37" s="64"/>
      <c r="D37" s="63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6" t="str">
        <f>IF(B37="","",IF('2.ชื่อนักเรียน'!R37="ย้าย","-",'3.เวลาเรียน'!$IX$4))</f>
        <v/>
      </c>
      <c r="T37" s="445" t="str">
        <f>IF('3.เวลาเรียน'!IE31="","",IF('2.ชื่อนักเรียน'!R37="ย้าย","-",'3.เวลาเรียน'!IE31))</f>
        <v/>
      </c>
      <c r="U37" s="159" t="str">
        <f>IF(T37="","",IF('2.ชื่อนักเรียน'!R37="ย้าย","-",(T37*100)/S37))</f>
        <v/>
      </c>
      <c r="V37" s="62">
        <v>2562</v>
      </c>
      <c r="W37" s="391"/>
      <c r="X37" s="214" t="str">
        <f>IF(W37="","",VLOOKUP(W37,Subject!$A$3:$C$300,2,FALSE))</f>
        <v/>
      </c>
      <c r="Y37" s="66" t="str">
        <f>IF(W37="","",VLOOKUP(W37,Subject!$A$3:$C$300,3,FALSE))</f>
        <v/>
      </c>
      <c r="AA37" s="61" t="str">
        <f t="shared" si="0"/>
        <v/>
      </c>
      <c r="AB37" s="61" t="str">
        <f t="shared" si="1"/>
        <v/>
      </c>
      <c r="AC37" s="61" t="str">
        <f t="shared" si="2"/>
        <v/>
      </c>
      <c r="AD37" s="61" t="str">
        <f t="shared" si="3"/>
        <v/>
      </c>
      <c r="AE37" s="61" t="str">
        <f t="shared" si="4"/>
        <v/>
      </c>
      <c r="AF37" s="56" t="str">
        <f t="shared" si="5"/>
        <v/>
      </c>
    </row>
    <row r="38" spans="1:32" ht="17.25" customHeight="1" x14ac:dyDescent="0.25">
      <c r="A38" s="66">
        <v>28</v>
      </c>
      <c r="B38" s="65"/>
      <c r="C38" s="64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6" t="str">
        <f>IF(B38="","",IF('2.ชื่อนักเรียน'!R38="ย้าย","-",'3.เวลาเรียน'!$IX$4))</f>
        <v/>
      </c>
      <c r="T38" s="445" t="str">
        <f>IF('3.เวลาเรียน'!IE32="","",IF('2.ชื่อนักเรียน'!R38="ย้าย","-",'3.เวลาเรียน'!IE32))</f>
        <v/>
      </c>
      <c r="U38" s="159" t="str">
        <f>IF(T38="","",IF('2.ชื่อนักเรียน'!R38="ย้าย","-",(T38*100)/S38))</f>
        <v/>
      </c>
      <c r="V38" s="62"/>
      <c r="W38" s="391"/>
      <c r="X38" s="214" t="str">
        <f>IF(W38="","",VLOOKUP(W38,Subject!$A$3:$C$300,2,FALSE))</f>
        <v/>
      </c>
      <c r="Y38" s="66" t="str">
        <f>IF(W38="","",VLOOKUP(W38,Subject!$A$3:$C$300,3,FALSE))</f>
        <v/>
      </c>
      <c r="AA38" s="61" t="str">
        <f t="shared" si="0"/>
        <v/>
      </c>
      <c r="AB38" s="61" t="str">
        <f t="shared" si="1"/>
        <v/>
      </c>
      <c r="AC38" s="61" t="str">
        <f t="shared" si="2"/>
        <v/>
      </c>
      <c r="AD38" s="61" t="str">
        <f t="shared" si="3"/>
        <v/>
      </c>
      <c r="AE38" s="61" t="str">
        <f t="shared" si="4"/>
        <v/>
      </c>
      <c r="AF38" s="56" t="str">
        <f t="shared" si="5"/>
        <v/>
      </c>
    </row>
    <row r="39" spans="1:32" ht="17.25" customHeight="1" x14ac:dyDescent="0.25">
      <c r="A39" s="66">
        <v>29</v>
      </c>
      <c r="B39" s="65"/>
      <c r="C39" s="64"/>
      <c r="D39" s="6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6" t="str">
        <f>IF(B39="","",IF('2.ชื่อนักเรียน'!R39="ย้าย","-",'3.เวลาเรียน'!$IX$4))</f>
        <v/>
      </c>
      <c r="T39" s="445" t="str">
        <f>IF('3.เวลาเรียน'!IE33="","",IF('2.ชื่อนักเรียน'!R39="ย้าย","-",'3.เวลาเรียน'!IE33))</f>
        <v/>
      </c>
      <c r="U39" s="159" t="str">
        <f>IF(T39="","",IF('2.ชื่อนักเรียน'!R39="ย้าย","-",(T39*100)/S39))</f>
        <v/>
      </c>
      <c r="V39" s="62">
        <v>2562</v>
      </c>
      <c r="W39" s="391"/>
      <c r="X39" s="214" t="str">
        <f>IF(W39="","",VLOOKUP(W39,Subject!$A$3:$C$300,2,FALSE))</f>
        <v/>
      </c>
      <c r="Y39" s="66" t="str">
        <f>IF(W39="","",VLOOKUP(W39,Subject!$A$3:$C$300,3,FALSE))</f>
        <v/>
      </c>
      <c r="AA39" s="61" t="str">
        <f t="shared" si="0"/>
        <v/>
      </c>
      <c r="AB39" s="61" t="str">
        <f t="shared" si="1"/>
        <v/>
      </c>
      <c r="AC39" s="61" t="str">
        <f t="shared" si="2"/>
        <v/>
      </c>
      <c r="AD39" s="61" t="str">
        <f t="shared" si="3"/>
        <v/>
      </c>
      <c r="AE39" s="61" t="str">
        <f t="shared" si="4"/>
        <v/>
      </c>
      <c r="AF39" s="56" t="str">
        <f t="shared" si="5"/>
        <v/>
      </c>
    </row>
    <row r="40" spans="1:32" ht="18" customHeight="1" x14ac:dyDescent="0.25">
      <c r="A40" s="66">
        <v>30</v>
      </c>
      <c r="B40" s="65"/>
      <c r="C40" s="68"/>
      <c r="D40" s="6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6" t="str">
        <f>IF(B40="","",IF('2.ชื่อนักเรียน'!R40="ย้าย","-",'3.เวลาเรียน'!$IX$4))</f>
        <v/>
      </c>
      <c r="T40" s="445" t="str">
        <f>IF('3.เวลาเรียน'!IE34="","",IF('2.ชื่อนักเรียน'!R40="ย้าย","-",'3.เวลาเรียน'!IE34))</f>
        <v/>
      </c>
      <c r="U40" s="159" t="str">
        <f>IF(T40="","",IF('2.ชื่อนักเรียน'!R40="ย้าย","-",(T40*100)/S40))</f>
        <v/>
      </c>
      <c r="V40" s="62">
        <v>2562</v>
      </c>
      <c r="W40" s="391"/>
      <c r="X40" s="214" t="str">
        <f>IF(W40="","",VLOOKUP(W40,Subject!$A$3:$C$300,2,FALSE))</f>
        <v/>
      </c>
      <c r="Y40" s="66" t="str">
        <f>IF(W40="","",VLOOKUP(W40,Subject!$A$3:$C$300,3,FALSE))</f>
        <v/>
      </c>
      <c r="AA40" s="61" t="str">
        <f t="shared" si="0"/>
        <v/>
      </c>
      <c r="AB40" s="61" t="str">
        <f t="shared" si="1"/>
        <v/>
      </c>
      <c r="AC40" s="61" t="str">
        <f t="shared" si="2"/>
        <v/>
      </c>
      <c r="AD40" s="61" t="str">
        <f t="shared" si="3"/>
        <v/>
      </c>
      <c r="AE40" s="61" t="str">
        <f t="shared" si="4"/>
        <v/>
      </c>
      <c r="AF40" s="56" t="str">
        <f t="shared" si="5"/>
        <v/>
      </c>
    </row>
    <row r="41" spans="1:32" ht="17.25" customHeight="1" x14ac:dyDescent="0.25">
      <c r="A41" s="66">
        <v>31</v>
      </c>
      <c r="B41" s="65"/>
      <c r="C41" s="64"/>
      <c r="D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6" t="str">
        <f>IF(B41="","",IF('2.ชื่อนักเรียน'!R41="ย้าย","-",'3.เวลาเรียน'!$IX$4))</f>
        <v/>
      </c>
      <c r="T41" s="445" t="str">
        <f>IF('3.เวลาเรียน'!IE35="","",IF('2.ชื่อนักเรียน'!R41="ย้าย","-",'3.เวลาเรียน'!IE35))</f>
        <v/>
      </c>
      <c r="U41" s="159" t="str">
        <f>IF(T41="","",IF('2.ชื่อนักเรียน'!R41="ย้าย","-",(T41*100)/S41))</f>
        <v/>
      </c>
      <c r="V41" s="62">
        <v>2562</v>
      </c>
      <c r="W41" s="391"/>
      <c r="X41" s="214" t="str">
        <f>IF(W41="","",VLOOKUP(W41,Subject!$A$3:$C$300,2,FALSE))</f>
        <v/>
      </c>
      <c r="Y41" s="66" t="str">
        <f>IF(W41="","",VLOOKUP(W41,Subject!$A$3:$C$300,3,FALSE))</f>
        <v/>
      </c>
      <c r="AA41" s="61" t="str">
        <f t="shared" si="0"/>
        <v/>
      </c>
      <c r="AB41" s="61" t="str">
        <f t="shared" si="1"/>
        <v/>
      </c>
      <c r="AC41" s="61" t="str">
        <f t="shared" si="2"/>
        <v/>
      </c>
      <c r="AD41" s="61" t="str">
        <f t="shared" si="3"/>
        <v/>
      </c>
      <c r="AE41" s="61" t="str">
        <f t="shared" si="4"/>
        <v/>
      </c>
      <c r="AF41" s="56" t="str">
        <f t="shared" si="5"/>
        <v/>
      </c>
    </row>
    <row r="42" spans="1:32" ht="17.25" customHeight="1" x14ac:dyDescent="0.25">
      <c r="A42" s="66">
        <v>32</v>
      </c>
      <c r="B42" s="65"/>
      <c r="C42" s="64"/>
      <c r="D42" s="63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6" t="str">
        <f>IF(B42="","",IF('2.ชื่อนักเรียน'!R42="ย้าย","-",'3.เวลาเรียน'!$IX$4))</f>
        <v/>
      </c>
      <c r="T42" s="445" t="str">
        <f>IF('3.เวลาเรียน'!IE36="","",IF('2.ชื่อนักเรียน'!R42="ย้าย","-",'3.เวลาเรียน'!IE36))</f>
        <v/>
      </c>
      <c r="U42" s="159" t="str">
        <f>IF(T42="","",IF('2.ชื่อนักเรียน'!R42="ย้าย","-",(T42*100)/S42))</f>
        <v/>
      </c>
      <c r="V42" s="62">
        <v>2562</v>
      </c>
      <c r="W42" s="391"/>
      <c r="X42" s="214" t="str">
        <f>IF(W42="","",VLOOKUP(W42,Subject!$A$3:$C$300,2,FALSE))</f>
        <v/>
      </c>
      <c r="Y42" s="66" t="str">
        <f>IF(W42="","",VLOOKUP(W42,Subject!$A$3:$C$300,3,FALSE))</f>
        <v/>
      </c>
      <c r="AA42" s="61" t="str">
        <f t="shared" si="0"/>
        <v/>
      </c>
      <c r="AB42" s="61" t="str">
        <f t="shared" si="1"/>
        <v/>
      </c>
      <c r="AC42" s="61" t="str">
        <f t="shared" si="2"/>
        <v/>
      </c>
      <c r="AD42" s="61" t="str">
        <f t="shared" si="3"/>
        <v/>
      </c>
      <c r="AE42" s="61" t="str">
        <f t="shared" si="4"/>
        <v/>
      </c>
      <c r="AF42" s="56" t="str">
        <f t="shared" si="5"/>
        <v/>
      </c>
    </row>
    <row r="43" spans="1:32" ht="17.25" customHeight="1" x14ac:dyDescent="0.25">
      <c r="A43" s="66">
        <v>33</v>
      </c>
      <c r="B43" s="65"/>
      <c r="C43" s="68"/>
      <c r="D43" s="6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6" t="str">
        <f>IF(B43="","",IF('2.ชื่อนักเรียน'!R43="ย้าย","-",'3.เวลาเรียน'!$IX$4))</f>
        <v/>
      </c>
      <c r="T43" s="445" t="str">
        <f>IF('3.เวลาเรียน'!IE37="","",IF('2.ชื่อนักเรียน'!R43="ย้าย","-",'3.เวลาเรียน'!IE37))</f>
        <v/>
      </c>
      <c r="U43" s="159" t="str">
        <f>IF(T43="","",IF('2.ชื่อนักเรียน'!R43="ย้าย","-",(T43*100)/S43))</f>
        <v/>
      </c>
      <c r="V43" s="62">
        <v>2562</v>
      </c>
      <c r="W43" s="391"/>
      <c r="X43" s="214" t="str">
        <f>IF(W43="","",VLOOKUP(W43,Subject!$A$3:$C$300,2,FALSE))</f>
        <v/>
      </c>
      <c r="Y43" s="66" t="str">
        <f>IF(W43="","",VLOOKUP(W43,Subject!$A$3:$C$300,3,FALSE))</f>
        <v/>
      </c>
      <c r="AA43" s="61" t="str">
        <f t="shared" si="0"/>
        <v/>
      </c>
      <c r="AB43" s="61" t="str">
        <f t="shared" si="1"/>
        <v/>
      </c>
      <c r="AC43" s="61" t="str">
        <f t="shared" si="2"/>
        <v/>
      </c>
      <c r="AD43" s="61" t="str">
        <f t="shared" si="3"/>
        <v/>
      </c>
      <c r="AE43" s="61" t="str">
        <f t="shared" si="4"/>
        <v/>
      </c>
      <c r="AF43" s="56" t="str">
        <f t="shared" si="5"/>
        <v/>
      </c>
    </row>
    <row r="44" spans="1:32" ht="17.25" customHeight="1" x14ac:dyDescent="0.25">
      <c r="A44" s="66">
        <v>34</v>
      </c>
      <c r="B44" s="65"/>
      <c r="C44" s="64"/>
      <c r="D44" s="63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6" t="str">
        <f>IF(B44="","",IF('2.ชื่อนักเรียน'!R44="ย้าย","-",'3.เวลาเรียน'!$IX$4))</f>
        <v/>
      </c>
      <c r="T44" s="445" t="str">
        <f>IF('3.เวลาเรียน'!IE38="","",IF('2.ชื่อนักเรียน'!R44="ย้าย","-",'3.เวลาเรียน'!IE38))</f>
        <v/>
      </c>
      <c r="U44" s="159" t="str">
        <f>IF(T44="","",IF('2.ชื่อนักเรียน'!R44="ย้าย","-",(T44*100)/S44))</f>
        <v/>
      </c>
      <c r="V44" s="62">
        <v>2562</v>
      </c>
      <c r="W44" s="391"/>
      <c r="X44" s="214" t="str">
        <f>IF(W44="","",VLOOKUP(W44,Subject!$A$3:$C$300,2,FALSE))</f>
        <v/>
      </c>
      <c r="Y44" s="66" t="str">
        <f>IF(W44="","",VLOOKUP(W44,Subject!$A$3:$C$300,3,FALSE))</f>
        <v/>
      </c>
      <c r="AA44" s="61" t="str">
        <f t="shared" si="0"/>
        <v/>
      </c>
      <c r="AB44" s="61" t="str">
        <f t="shared" si="1"/>
        <v/>
      </c>
      <c r="AC44" s="61" t="str">
        <f t="shared" si="2"/>
        <v/>
      </c>
      <c r="AD44" s="61" t="str">
        <f t="shared" si="3"/>
        <v/>
      </c>
      <c r="AE44" s="61" t="str">
        <f t="shared" si="4"/>
        <v/>
      </c>
      <c r="AF44" s="56" t="str">
        <f t="shared" si="5"/>
        <v/>
      </c>
    </row>
    <row r="45" spans="1:32" ht="17.25" customHeight="1" x14ac:dyDescent="0.25">
      <c r="A45" s="66">
        <v>35</v>
      </c>
      <c r="B45" s="65"/>
      <c r="C45" s="64"/>
      <c r="D45" s="63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6" t="str">
        <f>IF(B45="","",IF('2.ชื่อนักเรียน'!R45="ย้าย","-",'3.เวลาเรียน'!$IX$4))</f>
        <v/>
      </c>
      <c r="T45" s="445" t="str">
        <f>IF('3.เวลาเรียน'!IE39="","",IF('2.ชื่อนักเรียน'!R45="ย้าย","-",'3.เวลาเรียน'!IE39))</f>
        <v/>
      </c>
      <c r="U45" s="159" t="str">
        <f>IF(T45="","",IF('2.ชื่อนักเรียน'!R45="ย้าย","-",(T45*100)/S45))</f>
        <v/>
      </c>
      <c r="V45" s="62">
        <v>2562</v>
      </c>
      <c r="W45" s="391"/>
      <c r="X45" s="214" t="str">
        <f>IF(W45="","",VLOOKUP(W45,Subject!$A$3:$C$300,2,FALSE))</f>
        <v/>
      </c>
      <c r="Y45" s="66" t="str">
        <f>IF(W45="","",VLOOKUP(W45,Subject!$A$3:$C$300,3,FALSE))</f>
        <v/>
      </c>
      <c r="AA45" s="61" t="str">
        <f t="shared" si="0"/>
        <v/>
      </c>
      <c r="AB45" s="61" t="str">
        <f t="shared" si="1"/>
        <v/>
      </c>
      <c r="AC45" s="61" t="str">
        <f t="shared" si="2"/>
        <v/>
      </c>
      <c r="AD45" s="61" t="str">
        <f t="shared" si="3"/>
        <v/>
      </c>
      <c r="AE45" s="61" t="str">
        <f t="shared" si="4"/>
        <v/>
      </c>
      <c r="AF45" s="56" t="str">
        <f t="shared" si="5"/>
        <v/>
      </c>
    </row>
    <row r="46" spans="1:32" ht="17.25" customHeight="1" x14ac:dyDescent="0.25">
      <c r="A46" s="66">
        <v>36</v>
      </c>
      <c r="B46" s="65"/>
      <c r="C46" s="68"/>
      <c r="D46" s="6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6" t="str">
        <f>IF(B46="","",IF('2.ชื่อนักเรียน'!R46="ย้าย","-",'3.เวลาเรียน'!$IX$4))</f>
        <v/>
      </c>
      <c r="T46" s="445" t="str">
        <f>IF('3.เวลาเรียน'!IE40="","",IF('2.ชื่อนักเรียน'!R46="ย้าย","-",'3.เวลาเรียน'!IE40))</f>
        <v/>
      </c>
      <c r="U46" s="159" t="str">
        <f>IF(T46="","",IF('2.ชื่อนักเรียน'!R46="ย้าย","-",(T46*100)/S46))</f>
        <v/>
      </c>
      <c r="V46" s="62">
        <v>2562</v>
      </c>
      <c r="W46" s="391"/>
      <c r="X46" s="214" t="str">
        <f>IF(W46="","",VLOOKUP(W46,Subject!$A$3:$C$300,2,FALSE))</f>
        <v/>
      </c>
      <c r="Y46" s="66" t="str">
        <f>IF(W46="","",VLOOKUP(W46,Subject!$A$3:$C$300,3,FALSE))</f>
        <v/>
      </c>
      <c r="AA46" s="61" t="str">
        <f t="shared" si="0"/>
        <v/>
      </c>
      <c r="AB46" s="61" t="str">
        <f t="shared" si="1"/>
        <v/>
      </c>
      <c r="AC46" s="61" t="str">
        <f t="shared" si="2"/>
        <v/>
      </c>
      <c r="AD46" s="61" t="str">
        <f t="shared" si="3"/>
        <v/>
      </c>
      <c r="AE46" s="61" t="str">
        <f t="shared" si="4"/>
        <v/>
      </c>
      <c r="AF46" s="56" t="str">
        <f t="shared" si="5"/>
        <v/>
      </c>
    </row>
    <row r="47" spans="1:32" ht="17.25" customHeight="1" x14ac:dyDescent="0.25">
      <c r="A47" s="66">
        <v>37</v>
      </c>
      <c r="B47" s="65"/>
      <c r="C47" s="64"/>
      <c r="D47" s="63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6" t="str">
        <f>IF(B47="","",IF('2.ชื่อนักเรียน'!R47="ย้าย","-",'3.เวลาเรียน'!$IX$4))</f>
        <v/>
      </c>
      <c r="T47" s="445" t="str">
        <f>IF('3.เวลาเรียน'!IE41="","",IF('2.ชื่อนักเรียน'!R47="ย้าย","-",'3.เวลาเรียน'!IE41))</f>
        <v/>
      </c>
      <c r="U47" s="159" t="str">
        <f>IF(T47="","",IF('2.ชื่อนักเรียน'!R47="ย้าย","-",(T47*100)/S47))</f>
        <v/>
      </c>
      <c r="V47" s="62"/>
      <c r="W47" s="391"/>
      <c r="X47" s="214" t="str">
        <f>IF(W47="","",VLOOKUP(W47,Subject!$A$3:$C$300,2,FALSE))</f>
        <v/>
      </c>
      <c r="Y47" s="66" t="str">
        <f>IF(W47="","",VLOOKUP(W47,Subject!$A$3:$C$300,3,FALSE))</f>
        <v/>
      </c>
      <c r="AA47" s="61" t="str">
        <f t="shared" si="0"/>
        <v/>
      </c>
      <c r="AB47" s="61" t="str">
        <f t="shared" si="1"/>
        <v/>
      </c>
      <c r="AC47" s="61" t="str">
        <f t="shared" si="2"/>
        <v/>
      </c>
      <c r="AD47" s="61" t="str">
        <f t="shared" si="3"/>
        <v/>
      </c>
      <c r="AE47" s="61" t="str">
        <f t="shared" si="4"/>
        <v/>
      </c>
      <c r="AF47" s="56" t="str">
        <f t="shared" si="5"/>
        <v/>
      </c>
    </row>
    <row r="48" spans="1:32" ht="17.25" customHeight="1" x14ac:dyDescent="0.25">
      <c r="A48" s="66">
        <v>38</v>
      </c>
      <c r="B48" s="65"/>
      <c r="C48" s="64"/>
      <c r="D48" s="63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6" t="str">
        <f>IF(B48="","",IF('2.ชื่อนักเรียน'!R48="ย้าย","-",'3.เวลาเรียน'!$IX$4))</f>
        <v/>
      </c>
      <c r="T48" s="445" t="str">
        <f>IF('3.เวลาเรียน'!IE42="","",IF('2.ชื่อนักเรียน'!R48="ย้าย","-",'3.เวลาเรียน'!IE42))</f>
        <v/>
      </c>
      <c r="U48" s="159" t="str">
        <f>IF(T48="","",IF('2.ชื่อนักเรียน'!R48="ย้าย","-",(T48*100)/S48))</f>
        <v/>
      </c>
      <c r="V48" s="62"/>
      <c r="W48" s="62"/>
      <c r="X48" s="214" t="str">
        <f>IF(W48="","",VLOOKUP(W48,Subject!$A$3:$C$300,2,FALSE))</f>
        <v/>
      </c>
      <c r="Y48" s="66" t="str">
        <f>IF(W48="","",VLOOKUP(W48,Subject!$A$3:$C$300,3,FALSE))</f>
        <v/>
      </c>
      <c r="AA48" s="61" t="str">
        <f t="shared" si="0"/>
        <v/>
      </c>
      <c r="AB48" s="61" t="str">
        <f t="shared" si="1"/>
        <v/>
      </c>
      <c r="AC48" s="61" t="str">
        <f t="shared" si="2"/>
        <v/>
      </c>
      <c r="AD48" s="61" t="str">
        <f t="shared" si="3"/>
        <v/>
      </c>
      <c r="AE48" s="61" t="str">
        <f t="shared" si="4"/>
        <v/>
      </c>
      <c r="AF48" s="56" t="str">
        <f t="shared" si="5"/>
        <v/>
      </c>
    </row>
    <row r="49" spans="1:32" ht="18" customHeight="1" x14ac:dyDescent="0.25">
      <c r="A49" s="66">
        <v>39</v>
      </c>
      <c r="B49" s="65"/>
      <c r="C49" s="64"/>
      <c r="D49" s="63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6" t="str">
        <f>IF(B49="","",IF('2.ชื่อนักเรียน'!R49="ย้าย","-",'3.เวลาเรียน'!$IX$4))</f>
        <v/>
      </c>
      <c r="T49" s="445" t="str">
        <f>IF('3.เวลาเรียน'!IE43="","",IF('2.ชื่อนักเรียน'!R49="ย้าย","-",'3.เวลาเรียน'!IE43))</f>
        <v/>
      </c>
      <c r="U49" s="159" t="str">
        <f>IF(T49="","",IF('2.ชื่อนักเรียน'!R49="ย้าย","-",(T49*100)/S49))</f>
        <v/>
      </c>
      <c r="V49" s="62"/>
      <c r="W49" s="62"/>
      <c r="X49" s="214" t="str">
        <f>IF(W49="","",VLOOKUP(W49,Subject!$A$3:$C$300,2,FALSE))</f>
        <v/>
      </c>
      <c r="Y49" s="66" t="str">
        <f>IF(W49="","",VLOOKUP(W49,Subject!$A$3:$C$300,3,FALSE))</f>
        <v/>
      </c>
      <c r="AA49" s="61" t="str">
        <f t="shared" si="0"/>
        <v/>
      </c>
      <c r="AB49" s="61" t="str">
        <f t="shared" si="1"/>
        <v/>
      </c>
      <c r="AC49" s="61" t="str">
        <f t="shared" si="2"/>
        <v/>
      </c>
      <c r="AD49" s="61" t="str">
        <f t="shared" si="3"/>
        <v/>
      </c>
      <c r="AE49" s="61" t="str">
        <f t="shared" si="4"/>
        <v/>
      </c>
      <c r="AF49" s="56" t="str">
        <f t="shared" si="5"/>
        <v/>
      </c>
    </row>
    <row r="50" spans="1:32" ht="17.25" customHeight="1" x14ac:dyDescent="0.25">
      <c r="A50" s="66">
        <v>40</v>
      </c>
      <c r="B50" s="65"/>
      <c r="C50" s="64"/>
      <c r="D50" s="6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6" t="str">
        <f>IF(B50="","",IF('2.ชื่อนักเรียน'!R50="ย้าย","-",'3.เวลาเรียน'!$IX$4))</f>
        <v/>
      </c>
      <c r="T50" s="445" t="str">
        <f>IF('3.เวลาเรียน'!IE44="","",IF('2.ชื่อนักเรียน'!R50="ย้าย","-",'3.เวลาเรียน'!IE44))</f>
        <v/>
      </c>
      <c r="U50" s="159" t="str">
        <f>IF(T50="","",IF('2.ชื่อนักเรียน'!R50="ย้าย","-",(T50*100)/S50))</f>
        <v/>
      </c>
      <c r="V50" s="62"/>
      <c r="W50" s="62"/>
      <c r="X50" s="214" t="str">
        <f>IF(W50="","",VLOOKUP(W50,Subject!$A$3:$C$300,2,FALSE))</f>
        <v/>
      </c>
      <c r="Y50" s="66" t="str">
        <f>IF(W50="","",VLOOKUP(W50,Subject!$A$3:$C$300,3,FALSE))</f>
        <v/>
      </c>
      <c r="AA50" s="61" t="str">
        <f t="shared" si="0"/>
        <v/>
      </c>
      <c r="AB50" s="61" t="str">
        <f t="shared" si="1"/>
        <v/>
      </c>
      <c r="AC50" s="61" t="str">
        <f t="shared" si="2"/>
        <v/>
      </c>
      <c r="AD50" s="61" t="str">
        <f t="shared" si="3"/>
        <v/>
      </c>
      <c r="AE50" s="61" t="str">
        <f t="shared" si="4"/>
        <v/>
      </c>
      <c r="AF50" s="56" t="str">
        <f t="shared" si="5"/>
        <v/>
      </c>
    </row>
    <row r="51" spans="1:32" ht="17.25" customHeight="1" x14ac:dyDescent="0.25">
      <c r="A51" s="66">
        <v>41</v>
      </c>
      <c r="B51" s="65"/>
      <c r="C51" s="64"/>
      <c r="D51" s="6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6" t="str">
        <f>IF(B51="","",IF('2.ชื่อนักเรียน'!R51="ย้าย","-",'3.เวลาเรียน'!$IX$4))</f>
        <v/>
      </c>
      <c r="T51" s="445" t="str">
        <f>IF('3.เวลาเรียน'!IE45="","",IF('2.ชื่อนักเรียน'!R51="ย้าย","-",'3.เวลาเรียน'!IE45))</f>
        <v/>
      </c>
      <c r="U51" s="159" t="str">
        <f>IF(T51="","",IF('2.ชื่อนักเรียน'!R51="ย้าย","-",(T51*100)/S51))</f>
        <v/>
      </c>
      <c r="V51" s="62"/>
      <c r="W51" s="62"/>
      <c r="X51" s="214" t="str">
        <f>IF(W51="","",VLOOKUP(W51,Subject!$A$3:$C$300,2,FALSE))</f>
        <v/>
      </c>
      <c r="Y51" s="66" t="str">
        <f>IF(W51="","",VLOOKUP(W51,Subject!$A$3:$C$300,3,FALSE))</f>
        <v/>
      </c>
      <c r="AA51" s="61" t="str">
        <f t="shared" si="0"/>
        <v/>
      </c>
      <c r="AB51" s="61" t="str">
        <f t="shared" si="1"/>
        <v/>
      </c>
      <c r="AC51" s="61" t="str">
        <f t="shared" si="2"/>
        <v/>
      </c>
      <c r="AD51" s="61" t="str">
        <f t="shared" si="3"/>
        <v/>
      </c>
      <c r="AE51" s="61" t="str">
        <f t="shared" si="4"/>
        <v/>
      </c>
      <c r="AF51" s="56" t="str">
        <f t="shared" si="5"/>
        <v/>
      </c>
    </row>
    <row r="52" spans="1:32" ht="17.25" customHeight="1" x14ac:dyDescent="0.25">
      <c r="A52" s="66">
        <v>42</v>
      </c>
      <c r="B52" s="65"/>
      <c r="C52" s="64"/>
      <c r="D52" s="63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6" t="str">
        <f>IF(B52="","",IF('2.ชื่อนักเรียน'!R52="ย้าย","-",'3.เวลาเรียน'!$IX$4))</f>
        <v/>
      </c>
      <c r="T52" s="445" t="str">
        <f>IF('3.เวลาเรียน'!IE46="","",IF('2.ชื่อนักเรียน'!R52="ย้าย","-",'3.เวลาเรียน'!IE46))</f>
        <v/>
      </c>
      <c r="U52" s="159" t="str">
        <f>IF(T52="","",IF('2.ชื่อนักเรียน'!R52="ย้าย","-",(T52*100)/S52))</f>
        <v/>
      </c>
      <c r="V52" s="62"/>
      <c r="W52" s="62"/>
      <c r="X52" s="214" t="str">
        <f>IF(W52="","",VLOOKUP(W52,Subject!$A$3:$C$300,2,FALSE))</f>
        <v/>
      </c>
      <c r="Y52" s="66" t="str">
        <f>IF(W52="","",VLOOKUP(W52,Subject!$A$3:$C$300,3,FALSE))</f>
        <v/>
      </c>
      <c r="AA52" s="61" t="str">
        <f t="shared" si="0"/>
        <v/>
      </c>
      <c r="AB52" s="61" t="str">
        <f t="shared" si="1"/>
        <v/>
      </c>
      <c r="AC52" s="61" t="str">
        <f t="shared" si="2"/>
        <v/>
      </c>
      <c r="AD52" s="61" t="str">
        <f t="shared" si="3"/>
        <v/>
      </c>
      <c r="AE52" s="61" t="str">
        <f t="shared" si="4"/>
        <v/>
      </c>
      <c r="AF52" s="56" t="str">
        <f t="shared" si="5"/>
        <v/>
      </c>
    </row>
    <row r="53" spans="1:32" ht="17.25" customHeight="1" x14ac:dyDescent="0.25">
      <c r="A53" s="66">
        <v>43</v>
      </c>
      <c r="B53" s="65"/>
      <c r="C53" s="64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6" t="str">
        <f>IF(B53="","",IF('2.ชื่อนักเรียน'!R53="ย้าย","-",'3.เวลาเรียน'!$IX$4))</f>
        <v/>
      </c>
      <c r="T53" s="445" t="str">
        <f>IF('3.เวลาเรียน'!IE47="","",IF('2.ชื่อนักเรียน'!R53="ย้าย","-",'3.เวลาเรียน'!IE47))</f>
        <v/>
      </c>
      <c r="U53" s="159" t="str">
        <f>IF(T53="","",IF('2.ชื่อนักเรียน'!R53="ย้าย","-",(T53*100)/S53))</f>
        <v/>
      </c>
      <c r="V53" s="62"/>
      <c r="W53" s="62"/>
      <c r="X53" s="214" t="str">
        <f>IF(W53="","",VLOOKUP(W53,Subject!$A$3:$C$300,2,FALSE))</f>
        <v/>
      </c>
      <c r="Y53" s="66" t="str">
        <f>IF(W53="","",VLOOKUP(W53,Subject!$A$3:$C$300,3,FALSE))</f>
        <v/>
      </c>
      <c r="AA53" s="61" t="str">
        <f t="shared" si="0"/>
        <v/>
      </c>
      <c r="AB53" s="61" t="str">
        <f t="shared" si="1"/>
        <v/>
      </c>
      <c r="AC53" s="61" t="str">
        <f t="shared" si="2"/>
        <v/>
      </c>
      <c r="AD53" s="61" t="str">
        <f t="shared" si="3"/>
        <v/>
      </c>
      <c r="AE53" s="61" t="str">
        <f t="shared" si="4"/>
        <v/>
      </c>
      <c r="AF53" s="56" t="str">
        <f t="shared" si="5"/>
        <v/>
      </c>
    </row>
    <row r="54" spans="1:32" ht="17.25" customHeight="1" x14ac:dyDescent="0.25">
      <c r="A54" s="66">
        <v>44</v>
      </c>
      <c r="B54" s="65"/>
      <c r="C54" s="64"/>
      <c r="D54" s="63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6" t="str">
        <f>IF(B54="","",IF('2.ชื่อนักเรียน'!R54="ย้าย","-",'3.เวลาเรียน'!$IX$4))</f>
        <v/>
      </c>
      <c r="T54" s="445" t="str">
        <f>IF('3.เวลาเรียน'!IE48="","",IF('2.ชื่อนักเรียน'!R54="ย้าย","-",'3.เวลาเรียน'!IE48))</f>
        <v/>
      </c>
      <c r="U54" s="159" t="str">
        <f>IF(T54="","",IF('2.ชื่อนักเรียน'!R54="ย้าย","-",(T54*100)/S54))</f>
        <v/>
      </c>
      <c r="V54" s="62"/>
      <c r="W54" s="62"/>
      <c r="X54" s="214" t="str">
        <f>IF(W54="","",VLOOKUP(W54,Subject!$A$3:$C$300,2,FALSE))</f>
        <v/>
      </c>
      <c r="Y54" s="66" t="str">
        <f>IF(W54="","",VLOOKUP(W54,Subject!$A$3:$C$300,3,FALSE))</f>
        <v/>
      </c>
      <c r="AA54" s="61" t="str">
        <f t="shared" si="0"/>
        <v/>
      </c>
      <c r="AB54" s="61" t="str">
        <f t="shared" si="1"/>
        <v/>
      </c>
      <c r="AC54" s="61" t="str">
        <f t="shared" si="2"/>
        <v/>
      </c>
      <c r="AD54" s="61" t="str">
        <f t="shared" si="3"/>
        <v/>
      </c>
      <c r="AE54" s="61" t="str">
        <f t="shared" si="4"/>
        <v/>
      </c>
      <c r="AF54" s="56" t="str">
        <f t="shared" si="5"/>
        <v/>
      </c>
    </row>
    <row r="55" spans="1:32" ht="17.25" customHeight="1" x14ac:dyDescent="0.25">
      <c r="A55" s="66">
        <v>45</v>
      </c>
      <c r="B55" s="65"/>
      <c r="C55" s="64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6" t="str">
        <f>IF(B55="","",IF('2.ชื่อนักเรียน'!R55="ย้าย","-",'3.เวลาเรียน'!$IX$4))</f>
        <v/>
      </c>
      <c r="T55" s="445" t="str">
        <f>IF('3.เวลาเรียน'!IE49="","",IF('2.ชื่อนักเรียน'!R55="ย้าย","-",'3.เวลาเรียน'!IE49))</f>
        <v/>
      </c>
      <c r="U55" s="159" t="str">
        <f>IF(T55="","",IF('2.ชื่อนักเรียน'!R55="ย้าย","-",(T55*100)/S55))</f>
        <v/>
      </c>
      <c r="V55" s="62"/>
      <c r="W55" s="62"/>
      <c r="X55" s="214" t="str">
        <f>IF(W55="","",VLOOKUP(W55,Subject!$A$3:$C$300,2,FALSE))</f>
        <v/>
      </c>
      <c r="Y55" s="66" t="str">
        <f>IF(W55="","",VLOOKUP(W55,Subject!$A$3:$C$300,3,FALSE))</f>
        <v/>
      </c>
      <c r="AA55" s="61" t="str">
        <f t="shared" si="0"/>
        <v/>
      </c>
      <c r="AB55" s="61" t="str">
        <f t="shared" si="1"/>
        <v/>
      </c>
      <c r="AC55" s="61" t="str">
        <f t="shared" si="2"/>
        <v/>
      </c>
      <c r="AD55" s="61" t="str">
        <f t="shared" si="3"/>
        <v/>
      </c>
      <c r="AE55" s="61" t="str">
        <f t="shared" si="4"/>
        <v/>
      </c>
      <c r="AF55" s="56" t="s">
        <v>75</v>
      </c>
    </row>
    <row r="56" spans="1:32" x14ac:dyDescent="0.25">
      <c r="T56" s="78"/>
      <c r="U56" s="78"/>
      <c r="AA56" s="61"/>
      <c r="AB56" s="61" t="s">
        <v>30</v>
      </c>
      <c r="AC56" s="60">
        <f>COUNTIF(AA11:AA55,"เด็กชาย")+COUNTIF(AF11:AF55,"นาย")</f>
        <v>0</v>
      </c>
      <c r="AD56" s="61" t="s">
        <v>31</v>
      </c>
      <c r="AE56" s="60">
        <f>COUNTIF(AA11:AA55,"เด็กหญิ")++COUNTIF(AF11:AF55,"นาง")</f>
        <v>0</v>
      </c>
      <c r="AF56" s="56">
        <f>AC56+AE56</f>
        <v>0</v>
      </c>
    </row>
    <row r="57" spans="1:32" x14ac:dyDescent="0.25">
      <c r="T57" s="78"/>
      <c r="U57" s="78"/>
      <c r="AA57" s="61"/>
      <c r="AB57" s="61" t="s">
        <v>32</v>
      </c>
      <c r="AC57" s="60">
        <f>COUNTIF(AC11:AC55,"ย้าย")</f>
        <v>0</v>
      </c>
      <c r="AD57" s="61" t="s">
        <v>33</v>
      </c>
      <c r="AE57" s="60">
        <f>COUNTIF(AE11:AE55,"ย้าย")</f>
        <v>0</v>
      </c>
      <c r="AF57" s="56">
        <f t="shared" ref="AF57:AF59" si="6">AC57+AE57</f>
        <v>0</v>
      </c>
    </row>
    <row r="58" spans="1:32" x14ac:dyDescent="0.25">
      <c r="T58" s="78"/>
      <c r="U58" s="78"/>
      <c r="AA58" s="61"/>
      <c r="AB58" s="61" t="s">
        <v>34</v>
      </c>
      <c r="AC58" s="60">
        <f>COUNTIF(AC11:AC55,"มส")</f>
        <v>0</v>
      </c>
      <c r="AD58" s="61" t="s">
        <v>35</v>
      </c>
      <c r="AE58" s="60">
        <f>COUNTIF(AE11:AE55,"มส")</f>
        <v>0</v>
      </c>
      <c r="AF58" s="56">
        <f t="shared" si="6"/>
        <v>0</v>
      </c>
    </row>
    <row r="59" spans="1:32" x14ac:dyDescent="0.25">
      <c r="T59" s="78"/>
      <c r="U59" s="78"/>
      <c r="AA59" s="61"/>
      <c r="AB59" s="61" t="s">
        <v>36</v>
      </c>
      <c r="AC59" s="60">
        <f>COUNTIF(AC11:AC55,"ร")</f>
        <v>0</v>
      </c>
      <c r="AD59" s="61" t="s">
        <v>37</v>
      </c>
      <c r="AE59" s="60">
        <f>COUNTIF(AE11:AE55,"ร")</f>
        <v>0</v>
      </c>
      <c r="AF59" s="56">
        <f t="shared" si="6"/>
        <v>0</v>
      </c>
    </row>
    <row r="60" spans="1:32" x14ac:dyDescent="0.25">
      <c r="AA60" s="59"/>
      <c r="AB60" s="59" t="s">
        <v>76</v>
      </c>
      <c r="AC60" s="58">
        <f>AC56-AC57-AC58-AC59</f>
        <v>0</v>
      </c>
      <c r="AD60" s="59" t="s">
        <v>77</v>
      </c>
      <c r="AE60" s="58">
        <f>AE56-AE57-AE58-AE59</f>
        <v>0</v>
      </c>
      <c r="AF60" s="56">
        <f>AC60+AE60</f>
        <v>0</v>
      </c>
    </row>
  </sheetData>
  <sheetProtection algorithmName="SHA-512" hashValue="caf5WReAGc3gswj/9E0F+VIqWnM3WR8EKSppszuUcNK3GZqk+93BfAb5ck1EO4GuHW0f4ydjnvfs0093RkFV2g==" saltValue="NPYCYeonay7cU2X30Owt4Q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6">
    <mergeCell ref="V1:Y2"/>
    <mergeCell ref="A1:U1"/>
    <mergeCell ref="A3:U3"/>
    <mergeCell ref="A2:U2"/>
    <mergeCell ref="R9:R10"/>
    <mergeCell ref="E9:Q10"/>
    <mergeCell ref="C9:D10"/>
    <mergeCell ref="B9:B10"/>
    <mergeCell ref="A9:A10"/>
    <mergeCell ref="S9:U9"/>
    <mergeCell ref="AG8:AJ10"/>
    <mergeCell ref="V8:V10"/>
    <mergeCell ref="W8:Y8"/>
    <mergeCell ref="W9:W10"/>
    <mergeCell ref="X9:X10"/>
    <mergeCell ref="Y9:Y10"/>
  </mergeCells>
  <conditionalFormatting sqref="A11:V11">
    <cfRule type="expression" dxfId="98" priority="109" stopIfTrue="1">
      <formula>$R$11="ย้าย"</formula>
    </cfRule>
    <cfRule type="expression" dxfId="97" priority="110" stopIfTrue="1">
      <formula>$R$11="มส"</formula>
    </cfRule>
  </conditionalFormatting>
  <conditionalFormatting sqref="A12:V12">
    <cfRule type="expression" dxfId="96" priority="108" stopIfTrue="1">
      <formula>$R$12="มส"</formula>
    </cfRule>
    <cfRule type="expression" dxfId="95" priority="107" stopIfTrue="1">
      <formula>$R$12="ย้าย"</formula>
    </cfRule>
  </conditionalFormatting>
  <conditionalFormatting sqref="A13:V13">
    <cfRule type="expression" dxfId="94" priority="106" stopIfTrue="1">
      <formula>$R$13="มส"</formula>
    </cfRule>
    <cfRule type="expression" dxfId="93" priority="105" stopIfTrue="1">
      <formula>$R$13="ย้าย"</formula>
    </cfRule>
  </conditionalFormatting>
  <conditionalFormatting sqref="A14:V14">
    <cfRule type="expression" dxfId="92" priority="103" stopIfTrue="1">
      <formula>$R$14="ย้าย"</formula>
    </cfRule>
    <cfRule type="expression" dxfId="91" priority="104" stopIfTrue="1">
      <formula>$R$14="มส"</formula>
    </cfRule>
  </conditionalFormatting>
  <conditionalFormatting sqref="A15:V15">
    <cfRule type="expression" dxfId="90" priority="102" stopIfTrue="1">
      <formula>$R$15="มส"</formula>
    </cfRule>
    <cfRule type="expression" dxfId="89" priority="101" stopIfTrue="1">
      <formula>$R$15="ย้าย"</formula>
    </cfRule>
  </conditionalFormatting>
  <conditionalFormatting sqref="A16:V16">
    <cfRule type="expression" dxfId="88" priority="100" stopIfTrue="1">
      <formula>$R$16="มส"</formula>
    </cfRule>
    <cfRule type="expression" dxfId="87" priority="99" stopIfTrue="1">
      <formula>$R$16="ย้าย"</formula>
    </cfRule>
  </conditionalFormatting>
  <conditionalFormatting sqref="A17:V17">
    <cfRule type="expression" dxfId="86" priority="97" stopIfTrue="1">
      <formula>$R$17="ย้าย"</formula>
    </cfRule>
    <cfRule type="expression" dxfId="85" priority="98" stopIfTrue="1">
      <formula>$R$17="มส"</formula>
    </cfRule>
  </conditionalFormatting>
  <conditionalFormatting sqref="A18:V18">
    <cfRule type="expression" dxfId="84" priority="95" stopIfTrue="1">
      <formula>$R$18="ย้าย"</formula>
    </cfRule>
    <cfRule type="expression" dxfId="83" priority="96" stopIfTrue="1">
      <formula>$R$18="มส"</formula>
    </cfRule>
  </conditionalFormatting>
  <conditionalFormatting sqref="A19:V19">
    <cfRule type="expression" dxfId="82" priority="93" stopIfTrue="1">
      <formula>$R$19="ย้าย"</formula>
    </cfRule>
    <cfRule type="expression" dxfId="81" priority="94" stopIfTrue="1">
      <formula>$R$19="มส"</formula>
    </cfRule>
  </conditionalFormatting>
  <conditionalFormatting sqref="A20:V20">
    <cfRule type="expression" dxfId="80" priority="92" stopIfTrue="1">
      <formula>$R$20="มส"</formula>
    </cfRule>
    <cfRule type="expression" dxfId="79" priority="91" stopIfTrue="1">
      <formula>$R$20="ย้าย"</formula>
    </cfRule>
  </conditionalFormatting>
  <conditionalFormatting sqref="A21:V21">
    <cfRule type="expression" dxfId="78" priority="89" stopIfTrue="1">
      <formula>$R$21="ย้าย"</formula>
    </cfRule>
    <cfRule type="expression" dxfId="77" priority="90" stopIfTrue="1">
      <formula>$R$21="มส"</formula>
    </cfRule>
  </conditionalFormatting>
  <conditionalFormatting sqref="A22:V22">
    <cfRule type="expression" dxfId="76" priority="88" stopIfTrue="1">
      <formula>$R$22="มส"</formula>
    </cfRule>
    <cfRule type="expression" dxfId="75" priority="87" stopIfTrue="1">
      <formula>$R$22="ย้าย"</formula>
    </cfRule>
  </conditionalFormatting>
  <conditionalFormatting sqref="A23:V23">
    <cfRule type="expression" dxfId="74" priority="85" stopIfTrue="1">
      <formula>$R$23="ย้าย"</formula>
    </cfRule>
    <cfRule type="expression" dxfId="73" priority="86" stopIfTrue="1">
      <formula>$R$23="มส"</formula>
    </cfRule>
  </conditionalFormatting>
  <conditionalFormatting sqref="A24:V24">
    <cfRule type="expression" dxfId="72" priority="83" stopIfTrue="1">
      <formula>$R$24="ย้าย"</formula>
    </cfRule>
    <cfRule type="expression" dxfId="71" priority="84" stopIfTrue="1">
      <formula>$R$24="มส"</formula>
    </cfRule>
  </conditionalFormatting>
  <conditionalFormatting sqref="A25:V25">
    <cfRule type="expression" dxfId="70" priority="81" stopIfTrue="1">
      <formula>$R$25="ย้าย"</formula>
    </cfRule>
    <cfRule type="expression" dxfId="69" priority="82" stopIfTrue="1">
      <formula>$R$25="มส"</formula>
    </cfRule>
  </conditionalFormatting>
  <conditionalFormatting sqref="A26:V26">
    <cfRule type="expression" dxfId="68" priority="80" stopIfTrue="1">
      <formula>$R$26="มส"</formula>
    </cfRule>
    <cfRule type="expression" dxfId="67" priority="79" stopIfTrue="1">
      <formula>$R$26="ย้าย"</formula>
    </cfRule>
  </conditionalFormatting>
  <conditionalFormatting sqref="A27:V27">
    <cfRule type="expression" dxfId="66" priority="78" stopIfTrue="1">
      <formula>$R$27="มส"</formula>
    </cfRule>
    <cfRule type="expression" dxfId="65" priority="77" stopIfTrue="1">
      <formula>$R$27="ย้าย"</formula>
    </cfRule>
  </conditionalFormatting>
  <conditionalFormatting sqref="A28:V28">
    <cfRule type="expression" dxfId="64" priority="75" stopIfTrue="1">
      <formula>$R$28="ย้าย"</formula>
    </cfRule>
    <cfRule type="expression" dxfId="63" priority="76" stopIfTrue="1">
      <formula>$R$28="มส"</formula>
    </cfRule>
  </conditionalFormatting>
  <conditionalFormatting sqref="A29:V29">
    <cfRule type="expression" dxfId="62" priority="74" stopIfTrue="1">
      <formula>$R$29="มส"</formula>
    </cfRule>
    <cfRule type="expression" dxfId="61" priority="73" stopIfTrue="1">
      <formula>$R$29="ย้าย"</formula>
    </cfRule>
  </conditionalFormatting>
  <conditionalFormatting sqref="A30:V30">
    <cfRule type="expression" dxfId="60" priority="72" stopIfTrue="1">
      <formula>$R$30="มส"</formula>
    </cfRule>
    <cfRule type="expression" dxfId="59" priority="71" stopIfTrue="1">
      <formula>$R$30="ย้าย"</formula>
    </cfRule>
  </conditionalFormatting>
  <conditionalFormatting sqref="A31:V31">
    <cfRule type="expression" dxfId="58" priority="70" stopIfTrue="1">
      <formula>$R$31="มส"</formula>
    </cfRule>
    <cfRule type="expression" dxfId="57" priority="69" stopIfTrue="1">
      <formula>$R$31="ย้าย"</formula>
    </cfRule>
  </conditionalFormatting>
  <conditionalFormatting sqref="A32:V32">
    <cfRule type="expression" dxfId="56" priority="68" stopIfTrue="1">
      <formula>$R$32="มส"</formula>
    </cfRule>
    <cfRule type="expression" dxfId="55" priority="67" stopIfTrue="1">
      <formula>$R$32="ย้าย"</formula>
    </cfRule>
  </conditionalFormatting>
  <conditionalFormatting sqref="A33:V33">
    <cfRule type="expression" dxfId="54" priority="66" stopIfTrue="1">
      <formula>$R$33="มส"</formula>
    </cfRule>
    <cfRule type="expression" dxfId="53" priority="65" stopIfTrue="1">
      <formula>$R$33="ย้าย"</formula>
    </cfRule>
  </conditionalFormatting>
  <conditionalFormatting sqref="A34:V34">
    <cfRule type="expression" dxfId="52" priority="63" stopIfTrue="1">
      <formula>$R$34="ย้าย"</formula>
    </cfRule>
    <cfRule type="expression" dxfId="51" priority="64" stopIfTrue="1">
      <formula>$R$34="มส"</formula>
    </cfRule>
  </conditionalFormatting>
  <conditionalFormatting sqref="A35:V35">
    <cfRule type="expression" dxfId="50" priority="61" stopIfTrue="1">
      <formula>$R$35="ย้าย"</formula>
    </cfRule>
    <cfRule type="expression" dxfId="49" priority="62" stopIfTrue="1">
      <formula>$R$35="มส"</formula>
    </cfRule>
  </conditionalFormatting>
  <conditionalFormatting sqref="A36:V36">
    <cfRule type="expression" dxfId="48" priority="59" stopIfTrue="1">
      <formula>$R$36="ย้าย"</formula>
    </cfRule>
    <cfRule type="expression" dxfId="47" priority="60" stopIfTrue="1">
      <formula>$R$36="มส"</formula>
    </cfRule>
  </conditionalFormatting>
  <conditionalFormatting sqref="A37:V37">
    <cfRule type="expression" dxfId="46" priority="58" stopIfTrue="1">
      <formula>$R$37="มส"</formula>
    </cfRule>
    <cfRule type="expression" dxfId="45" priority="57" stopIfTrue="1">
      <formula>$R$37="ย้าย"</formula>
    </cfRule>
  </conditionalFormatting>
  <conditionalFormatting sqref="A38:V38">
    <cfRule type="expression" dxfId="44" priority="56" stopIfTrue="1">
      <formula>$R$38="มส"</formula>
    </cfRule>
    <cfRule type="expression" dxfId="43" priority="55" stopIfTrue="1">
      <formula>$R$38="ย้าย"</formula>
    </cfRule>
  </conditionalFormatting>
  <conditionalFormatting sqref="A39:V39">
    <cfRule type="expression" dxfId="42" priority="145" stopIfTrue="1">
      <formula>$R$39="ย้าย"</formula>
    </cfRule>
    <cfRule type="expression" dxfId="41" priority="146" stopIfTrue="1">
      <formula>$R$39="มส"</formula>
    </cfRule>
  </conditionalFormatting>
  <conditionalFormatting sqref="A40:V40">
    <cfRule type="expression" dxfId="40" priority="144" stopIfTrue="1">
      <formula>$R$40="มส"</formula>
    </cfRule>
    <cfRule type="expression" dxfId="39" priority="143" stopIfTrue="1">
      <formula>$R$40="ย้าย"</formula>
    </cfRule>
  </conditionalFormatting>
  <conditionalFormatting sqref="A41:V41">
    <cfRule type="expression" dxfId="38" priority="141" stopIfTrue="1">
      <formula>$R$41="ย้าย"</formula>
    </cfRule>
    <cfRule type="expression" dxfId="37" priority="142" stopIfTrue="1">
      <formula>$R$41="มส"</formula>
    </cfRule>
  </conditionalFormatting>
  <conditionalFormatting sqref="A42:V42">
    <cfRule type="expression" dxfId="36" priority="140" stopIfTrue="1">
      <formula>$R$42="มส"</formula>
    </cfRule>
    <cfRule type="expression" dxfId="35" priority="139" stopIfTrue="1">
      <formula>$R$42="ย้าย"</formula>
    </cfRule>
  </conditionalFormatting>
  <conditionalFormatting sqref="A43:V43">
    <cfRule type="expression" dxfId="34" priority="137" stopIfTrue="1">
      <formula>$R$43="ย้าย"</formula>
    </cfRule>
    <cfRule type="expression" dxfId="33" priority="138" stopIfTrue="1">
      <formula>$R$43="มส"</formula>
    </cfRule>
  </conditionalFormatting>
  <conditionalFormatting sqref="A44:V44">
    <cfRule type="expression" dxfId="32" priority="135" stopIfTrue="1">
      <formula>$R$44="ย้าย"</formula>
    </cfRule>
    <cfRule type="expression" dxfId="31" priority="136" stopIfTrue="1">
      <formula>$R$44="มส"</formula>
    </cfRule>
  </conditionalFormatting>
  <conditionalFormatting sqref="A45:V45">
    <cfRule type="expression" dxfId="30" priority="133" stopIfTrue="1">
      <formula>$R$45="ย้าย"</formula>
    </cfRule>
    <cfRule type="expression" dxfId="29" priority="134" stopIfTrue="1">
      <formula>$R$45="มส"</formula>
    </cfRule>
  </conditionalFormatting>
  <conditionalFormatting sqref="A46:V46">
    <cfRule type="expression" dxfId="28" priority="131" stopIfTrue="1">
      <formula>$R$46="ย้าย"</formula>
    </cfRule>
    <cfRule type="expression" dxfId="27" priority="132" stopIfTrue="1">
      <formula>$R$46="มส"</formula>
    </cfRule>
  </conditionalFormatting>
  <conditionalFormatting sqref="A47:V47">
    <cfRule type="expression" dxfId="26" priority="129" stopIfTrue="1">
      <formula>$R$47="ย้าย"</formula>
    </cfRule>
    <cfRule type="expression" dxfId="25" priority="130" stopIfTrue="1">
      <formula>$R$47="มส"</formula>
    </cfRule>
  </conditionalFormatting>
  <conditionalFormatting sqref="A48:V48">
    <cfRule type="expression" dxfId="24" priority="218" stopIfTrue="1">
      <formula>$R$48="มส"</formula>
    </cfRule>
    <cfRule type="expression" dxfId="23" priority="217" stopIfTrue="1">
      <formula>$R$48="ย้าย"</formula>
    </cfRule>
  </conditionalFormatting>
  <conditionalFormatting sqref="A49:V49">
    <cfRule type="expression" dxfId="22" priority="215" stopIfTrue="1">
      <formula>$R$49="ย้าย"</formula>
    </cfRule>
    <cfRule type="expression" dxfId="21" priority="216" stopIfTrue="1">
      <formula>$R$49="มส"</formula>
    </cfRule>
  </conditionalFormatting>
  <conditionalFormatting sqref="A50:V50">
    <cfRule type="expression" dxfId="20" priority="213" stopIfTrue="1">
      <formula>$R$50="ย้าย"</formula>
    </cfRule>
    <cfRule type="expression" dxfId="19" priority="214" stopIfTrue="1">
      <formula>$R$50="มส"</formula>
    </cfRule>
  </conditionalFormatting>
  <conditionalFormatting sqref="A51:V51">
    <cfRule type="expression" dxfId="18" priority="211" stopIfTrue="1">
      <formula>$R$51="ย้าย"</formula>
    </cfRule>
    <cfRule type="expression" dxfId="17" priority="212" stopIfTrue="1">
      <formula>$R$51="มส"</formula>
    </cfRule>
  </conditionalFormatting>
  <conditionalFormatting sqref="A52:V52">
    <cfRule type="expression" dxfId="16" priority="209" stopIfTrue="1">
      <formula>$R$52="ย้าย"</formula>
    </cfRule>
    <cfRule type="expression" dxfId="15" priority="210" stopIfTrue="1">
      <formula>$R$52="มส"</formula>
    </cfRule>
  </conditionalFormatting>
  <conditionalFormatting sqref="A53:V53">
    <cfRule type="expression" dxfId="14" priority="208" stopIfTrue="1">
      <formula>$R$53="มส"</formula>
    </cfRule>
    <cfRule type="expression" dxfId="13" priority="207" stopIfTrue="1">
      <formula>$R$53="ย้าย"</formula>
    </cfRule>
  </conditionalFormatting>
  <conditionalFormatting sqref="A54:V54">
    <cfRule type="expression" dxfId="12" priority="205" stopIfTrue="1">
      <formula>$R$54="ย้าย"</formula>
    </cfRule>
    <cfRule type="expression" dxfId="11" priority="206" stopIfTrue="1">
      <formula>$R$54="มส"</formula>
    </cfRule>
  </conditionalFormatting>
  <conditionalFormatting sqref="A55:V55">
    <cfRule type="expression" dxfId="10" priority="203" stopIfTrue="1">
      <formula>$R$55="ย้าย"</formula>
    </cfRule>
    <cfRule type="expression" dxfId="9" priority="204" stopIfTrue="1">
      <formula>$R$55="มส"</formula>
    </cfRule>
  </conditionalFormatting>
  <conditionalFormatting sqref="T12:U16">
    <cfRule type="expression" dxfId="8" priority="47" stopIfTrue="1">
      <formula>#REF!="ย้าย"</formula>
    </cfRule>
    <cfRule type="expression" dxfId="7" priority="48" stopIfTrue="1">
      <formula>#REF!="มส"</formula>
    </cfRule>
  </conditionalFormatting>
  <conditionalFormatting sqref="T16:U59">
    <cfRule type="expression" dxfId="6" priority="1" stopIfTrue="1">
      <formula>#REF!="ย้าย"</formula>
    </cfRule>
    <cfRule type="expression" dxfId="5" priority="2" stopIfTrue="1">
      <formula>#REF!="มส"</formula>
    </cfRule>
  </conditionalFormatting>
  <dataValidations count="1">
    <dataValidation type="list" allowBlank="1" showInputMessage="1" showErrorMessage="1" sqref="R11:R55" xr:uid="{00000000-0002-0000-0100-000000000000}">
      <formula1>"มส,ย้าย"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96" orientation="portrait" blackAndWhite="1" horizontalDpi="4294967293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Subject!$A$3:$A$300</xm:f>
          </x14:formula1>
          <xm:sqref>W11:W55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Y50"/>
  <sheetViews>
    <sheetView tabSelected="1" view="pageBreakPreview" zoomScale="90" zoomScaleSheetLayoutView="90" workbookViewId="0">
      <pane xSplit="4" ySplit="4" topLeftCell="HJ29" activePane="bottomRight" state="frozen"/>
      <selection pane="topRight" activeCell="D1" sqref="D1"/>
      <selection pane="bottomLeft" activeCell="A5" sqref="A5"/>
      <selection pane="bottomRight" activeCell="HU50" sqref="HU50:IE50"/>
    </sheetView>
  </sheetViews>
  <sheetFormatPr defaultColWidth="8" defaultRowHeight="21" x14ac:dyDescent="0.4"/>
  <cols>
    <col min="1" max="1" width="17.33203125" style="40" customWidth="1"/>
    <col min="2" max="2" width="14.33203125" style="40" customWidth="1"/>
    <col min="3" max="3" width="7.33203125" style="40" customWidth="1"/>
    <col min="4" max="4" width="8.33203125" style="394" customWidth="1"/>
    <col min="5" max="35" width="2.44140625" style="394" customWidth="1"/>
    <col min="36" max="36" width="17.33203125" style="394" customWidth="1"/>
    <col min="37" max="37" width="8.33203125" style="394" customWidth="1"/>
    <col min="38" max="68" width="2.44140625" style="394" customWidth="1"/>
    <col min="69" max="69" width="17.33203125" style="394" customWidth="1"/>
    <col min="70" max="70" width="8.33203125" style="394" customWidth="1"/>
    <col min="71" max="101" width="2.44140625" style="394" customWidth="1"/>
    <col min="102" max="102" width="17.33203125" style="394" customWidth="1"/>
    <col min="103" max="103" width="8.33203125" style="394" customWidth="1"/>
    <col min="104" max="134" width="2.44140625" style="394" customWidth="1"/>
    <col min="135" max="135" width="17.33203125" style="394" customWidth="1"/>
    <col min="136" max="136" width="8.33203125" style="394" customWidth="1"/>
    <col min="137" max="167" width="2.44140625" style="394" customWidth="1"/>
    <col min="168" max="168" width="17.33203125" style="394" customWidth="1"/>
    <col min="169" max="169" width="8.33203125" style="394" customWidth="1"/>
    <col min="170" max="200" width="2.44140625" style="394" customWidth="1"/>
    <col min="201" max="201" width="17.33203125" style="394" customWidth="1"/>
    <col min="202" max="202" width="7.6640625" style="394" customWidth="1"/>
    <col min="203" max="227" width="3.6640625" style="394" customWidth="1"/>
    <col min="228" max="228" width="8.44140625" style="394" customWidth="1"/>
    <col min="229" max="239" width="3.6640625" style="394" customWidth="1"/>
    <col min="240" max="240" width="7.44140625" style="394" customWidth="1"/>
    <col min="241" max="252" width="3.6640625" style="394" customWidth="1"/>
    <col min="253" max="253" width="13.6640625" style="394" customWidth="1"/>
    <col min="254" max="16384" width="8" style="394"/>
  </cols>
  <sheetData>
    <row r="1" spans="1:259" ht="23.25" customHeight="1" x14ac:dyDescent="0.4">
      <c r="A1" s="613" t="s">
        <v>53</v>
      </c>
      <c r="B1" s="613"/>
      <c r="C1" s="76"/>
      <c r="D1" s="615" t="str">
        <f>CONCATENATE("แบบบันทึกเวลาเรียน ปีการศึกษา ",'1.ข้อมูลเบื้องต้น'!M2," ภาคเรียนที่ ",'1.ข้อมูลเบื้องต้น'!M4,)</f>
        <v xml:space="preserve">แบบบันทึกเวลาเรียน ปีการศึกษา  ภาคเรียนที่ 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 t="str">
        <f>CONCATENATE("แบบบันทึกเวลาเรียน ปีการศึกษา ",'1.ข้อมูลเบื้องต้น'!M2," ภาคเรียนที่ ",'1.ข้อมูลเบื้องต้น'!M4)</f>
        <v xml:space="preserve">แบบบันทึกเวลาเรียน ปีการศึกษา  ภาคเรียนที่ </v>
      </c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5"/>
      <c r="BF1" s="615"/>
      <c r="BG1" s="615"/>
      <c r="BH1" s="615"/>
      <c r="BI1" s="615"/>
      <c r="BJ1" s="615"/>
      <c r="BK1" s="615"/>
      <c r="BL1" s="615"/>
      <c r="BM1" s="615"/>
      <c r="BN1" s="615"/>
      <c r="BO1" s="615"/>
      <c r="BP1" s="615"/>
      <c r="BQ1" s="615"/>
      <c r="BR1" s="615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BS1" s="615"/>
      <c r="BT1" s="615"/>
      <c r="BU1" s="615"/>
      <c r="BV1" s="615"/>
      <c r="BW1" s="615"/>
      <c r="BX1" s="615"/>
      <c r="BY1" s="615"/>
      <c r="BZ1" s="615"/>
      <c r="CA1" s="615"/>
      <c r="CB1" s="615"/>
      <c r="CC1" s="615"/>
      <c r="CD1" s="615"/>
      <c r="CE1" s="615"/>
      <c r="CF1" s="615"/>
      <c r="CG1" s="615"/>
      <c r="CH1" s="615"/>
      <c r="CI1" s="615"/>
      <c r="CJ1" s="615"/>
      <c r="CK1" s="615"/>
      <c r="CL1" s="615"/>
      <c r="CM1" s="615"/>
      <c r="CN1" s="615"/>
      <c r="CO1" s="615"/>
      <c r="CP1" s="615"/>
      <c r="CQ1" s="615"/>
      <c r="CR1" s="615"/>
      <c r="CS1" s="615"/>
      <c r="CT1" s="615"/>
      <c r="CU1" s="615"/>
      <c r="CV1" s="615"/>
      <c r="CW1" s="615"/>
      <c r="CX1" s="615"/>
      <c r="CY1" s="615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CZ1" s="615"/>
      <c r="DA1" s="615"/>
      <c r="DB1" s="615"/>
      <c r="DC1" s="615"/>
      <c r="DD1" s="615"/>
      <c r="DE1" s="615"/>
      <c r="DF1" s="615"/>
      <c r="DG1" s="615"/>
      <c r="DH1" s="615"/>
      <c r="DI1" s="615"/>
      <c r="DJ1" s="615"/>
      <c r="DK1" s="615"/>
      <c r="DL1" s="615"/>
      <c r="DM1" s="615"/>
      <c r="DN1" s="615"/>
      <c r="DO1" s="615"/>
      <c r="DP1" s="615"/>
      <c r="DQ1" s="615"/>
      <c r="DR1" s="615"/>
      <c r="DS1" s="615"/>
      <c r="DT1" s="615"/>
      <c r="DU1" s="615"/>
      <c r="DV1" s="615"/>
      <c r="DW1" s="615"/>
      <c r="DX1" s="615"/>
      <c r="DY1" s="615"/>
      <c r="DZ1" s="615"/>
      <c r="EA1" s="615"/>
      <c r="EB1" s="615"/>
      <c r="EC1" s="615"/>
      <c r="ED1" s="615"/>
      <c r="EE1" s="615"/>
      <c r="EF1" s="615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EG1" s="615"/>
      <c r="EH1" s="615"/>
      <c r="EI1" s="615"/>
      <c r="EJ1" s="615"/>
      <c r="EK1" s="615"/>
      <c r="EL1" s="615"/>
      <c r="EM1" s="615"/>
      <c r="EN1" s="615"/>
      <c r="EO1" s="615"/>
      <c r="EP1" s="615"/>
      <c r="EQ1" s="615"/>
      <c r="ER1" s="615"/>
      <c r="ES1" s="615"/>
      <c r="ET1" s="615"/>
      <c r="EU1" s="615"/>
      <c r="EV1" s="615"/>
      <c r="EW1" s="615"/>
      <c r="EX1" s="615"/>
      <c r="EY1" s="615"/>
      <c r="EZ1" s="615"/>
      <c r="FA1" s="615"/>
      <c r="FB1" s="615"/>
      <c r="FC1" s="615"/>
      <c r="FD1" s="615"/>
      <c r="FE1" s="615"/>
      <c r="FF1" s="615"/>
      <c r="FG1" s="615"/>
      <c r="FH1" s="615"/>
      <c r="FI1" s="615"/>
      <c r="FJ1" s="615"/>
      <c r="FK1" s="615"/>
      <c r="FL1" s="615"/>
      <c r="FM1" s="615" t="str">
        <f>CONCATENATE("แบบบันทึกเวลาเรียน ปีการศึกษา ",'1.ข้อมูลเบื้องต้น'!$M$2," ภาคเรียนที่ ",'1.ข้อมูลเบื้องต้น'!$M$4)</f>
        <v xml:space="preserve">แบบบันทึกเวลาเรียน ปีการศึกษา  ภาคเรียนที่ </v>
      </c>
      <c r="FN1" s="615"/>
      <c r="FO1" s="615"/>
      <c r="FP1" s="615"/>
      <c r="FQ1" s="615"/>
      <c r="FR1" s="615"/>
      <c r="FS1" s="615"/>
      <c r="FT1" s="615"/>
      <c r="FU1" s="615"/>
      <c r="FV1" s="615"/>
      <c r="FW1" s="615"/>
      <c r="FX1" s="615"/>
      <c r="FY1" s="615"/>
      <c r="FZ1" s="615"/>
      <c r="GA1" s="615"/>
      <c r="GB1" s="615"/>
      <c r="GC1" s="615"/>
      <c r="GD1" s="615"/>
      <c r="GE1" s="615"/>
      <c r="GF1" s="615"/>
      <c r="GG1" s="615"/>
      <c r="GH1" s="615"/>
      <c r="GI1" s="615"/>
      <c r="GJ1" s="615"/>
      <c r="GK1" s="615"/>
      <c r="GL1" s="615"/>
      <c r="GM1" s="615"/>
      <c r="GN1" s="615"/>
      <c r="GO1" s="615"/>
      <c r="GP1" s="615"/>
      <c r="GQ1" s="615"/>
      <c r="GR1" s="615"/>
      <c r="GS1" s="615"/>
      <c r="GT1" s="615" t="s">
        <v>635</v>
      </c>
      <c r="GU1" s="615"/>
      <c r="GV1" s="615"/>
      <c r="GW1" s="615"/>
      <c r="GX1" s="615"/>
      <c r="GY1" s="615"/>
      <c r="GZ1" s="615"/>
      <c r="HA1" s="615"/>
      <c r="HB1" s="615"/>
      <c r="HC1" s="615"/>
      <c r="HD1" s="615"/>
      <c r="HE1" s="615"/>
      <c r="HF1" s="615"/>
      <c r="HG1" s="615"/>
      <c r="HH1" s="615"/>
      <c r="HI1" s="615"/>
      <c r="HJ1" s="615"/>
      <c r="HK1" s="615"/>
      <c r="HL1" s="615"/>
      <c r="HM1" s="615"/>
      <c r="HN1" s="615"/>
      <c r="HO1" s="615"/>
      <c r="HP1" s="615"/>
      <c r="HQ1" s="615"/>
      <c r="HR1" s="615"/>
      <c r="HS1" s="615"/>
      <c r="HT1" s="615" t="s">
        <v>635</v>
      </c>
      <c r="HU1" s="615"/>
      <c r="HV1" s="615"/>
      <c r="HW1" s="615"/>
      <c r="HX1" s="615"/>
      <c r="HY1" s="615"/>
      <c r="HZ1" s="615"/>
      <c r="IA1" s="615"/>
      <c r="IB1" s="615"/>
      <c r="IC1" s="615"/>
      <c r="ID1" s="615"/>
      <c r="IE1" s="615"/>
      <c r="IF1" s="615"/>
      <c r="IG1" s="615"/>
      <c r="IH1" s="615"/>
      <c r="II1" s="615"/>
      <c r="IJ1" s="615"/>
      <c r="IK1" s="615"/>
      <c r="IL1" s="615"/>
      <c r="IM1" s="615"/>
      <c r="IN1" s="615"/>
      <c r="IO1" s="615"/>
      <c r="IP1" s="615"/>
      <c r="IQ1" s="615"/>
      <c r="IR1" s="615"/>
      <c r="IS1" s="393"/>
    </row>
    <row r="2" spans="1:259" ht="20.7" customHeight="1" x14ac:dyDescent="0.4">
      <c r="A2" s="613"/>
      <c r="B2" s="613"/>
      <c r="C2" s="76"/>
      <c r="D2" s="618" t="str">
        <f>IF('1.ข้อมูลเบื้องต้น'!$M$4=1,CONCATENATE("เดือน ",'3.เวลาเรียน'!$IT$6),CONCATENATE("เดือน ",'3.เวลาเรียน'!$IW$6))</f>
        <v>เดือน ตุลาคม</v>
      </c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 t="str">
        <f>IF('1.ข้อมูลเบื้องต้น'!$M$4=1,CONCATENATE("เดือน ",'3.เวลาเรียน'!$IT$7),CONCATENATE("เดือน ",'3.เวลาเรียน'!$IW$7))</f>
        <v>เดือน พฤศจิกายน</v>
      </c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  <c r="BI2" s="618"/>
      <c r="BJ2" s="618"/>
      <c r="BK2" s="618"/>
      <c r="BL2" s="618"/>
      <c r="BM2" s="618"/>
      <c r="BN2" s="618"/>
      <c r="BO2" s="618"/>
      <c r="BP2" s="618"/>
      <c r="BQ2" s="618"/>
      <c r="BR2" s="618" t="str">
        <f>IF('1.ข้อมูลเบื้องต้น'!$M$4=1,CONCATENATE("เดือน ",'3.เวลาเรียน'!$IT$8),CONCATENATE("เดือน ",'3.เวลาเรียน'!$IW$8))</f>
        <v>เดือน ธันวาคม</v>
      </c>
      <c r="BS2" s="618"/>
      <c r="BT2" s="618"/>
      <c r="BU2" s="618"/>
      <c r="BV2" s="618"/>
      <c r="BW2" s="618"/>
      <c r="BX2" s="618"/>
      <c r="BY2" s="618"/>
      <c r="BZ2" s="618"/>
      <c r="CA2" s="618"/>
      <c r="CB2" s="618"/>
      <c r="CC2" s="618"/>
      <c r="CD2" s="618"/>
      <c r="CE2" s="618"/>
      <c r="CF2" s="618"/>
      <c r="CG2" s="618"/>
      <c r="CH2" s="618"/>
      <c r="CI2" s="618"/>
      <c r="CJ2" s="618"/>
      <c r="CK2" s="618"/>
      <c r="CL2" s="618"/>
      <c r="CM2" s="618"/>
      <c r="CN2" s="618"/>
      <c r="CO2" s="618"/>
      <c r="CP2" s="618"/>
      <c r="CQ2" s="618"/>
      <c r="CR2" s="618"/>
      <c r="CS2" s="618"/>
      <c r="CT2" s="618"/>
      <c r="CU2" s="618"/>
      <c r="CV2" s="618"/>
      <c r="CW2" s="618"/>
      <c r="CX2" s="618"/>
      <c r="CY2" s="618" t="str">
        <f>IF('1.ข้อมูลเบื้องต้น'!$M$4=1,CONCATENATE("เดือน ",'3.เวลาเรียน'!$IT$9),CONCATENATE("เดือน ",'3.เวลาเรียน'!$IW$9))</f>
        <v>เดือน มกราคม</v>
      </c>
      <c r="CZ2" s="618"/>
      <c r="DA2" s="618"/>
      <c r="DB2" s="618"/>
      <c r="DC2" s="618"/>
      <c r="DD2" s="618"/>
      <c r="DE2" s="618"/>
      <c r="DF2" s="618"/>
      <c r="DG2" s="618"/>
      <c r="DH2" s="618"/>
      <c r="DI2" s="618"/>
      <c r="DJ2" s="618"/>
      <c r="DK2" s="618"/>
      <c r="DL2" s="618"/>
      <c r="DM2" s="618"/>
      <c r="DN2" s="618"/>
      <c r="DO2" s="618"/>
      <c r="DP2" s="618"/>
      <c r="DQ2" s="618"/>
      <c r="DR2" s="618"/>
      <c r="DS2" s="618"/>
      <c r="DT2" s="618"/>
      <c r="DU2" s="618"/>
      <c r="DV2" s="618"/>
      <c r="DW2" s="618"/>
      <c r="DX2" s="618"/>
      <c r="DY2" s="618"/>
      <c r="DZ2" s="618"/>
      <c r="EA2" s="618"/>
      <c r="EB2" s="618"/>
      <c r="EC2" s="618"/>
      <c r="ED2" s="618"/>
      <c r="EE2" s="618"/>
      <c r="EF2" s="618" t="str">
        <f>IF('1.ข้อมูลเบื้องต้น'!$M$4=1,CONCATENATE("เดือน ",'3.เวลาเรียน'!$IT$10),CONCATENATE("เดือน ",'3.เวลาเรียน'!$IW$10))</f>
        <v>เดือน กุมภาพันธ์</v>
      </c>
      <c r="EG2" s="618"/>
      <c r="EH2" s="618"/>
      <c r="EI2" s="618"/>
      <c r="EJ2" s="618"/>
      <c r="EK2" s="618"/>
      <c r="EL2" s="618"/>
      <c r="EM2" s="618"/>
      <c r="EN2" s="618"/>
      <c r="EO2" s="618"/>
      <c r="EP2" s="618"/>
      <c r="EQ2" s="618"/>
      <c r="ER2" s="618"/>
      <c r="ES2" s="618"/>
      <c r="ET2" s="618"/>
      <c r="EU2" s="618"/>
      <c r="EV2" s="618"/>
      <c r="EW2" s="618"/>
      <c r="EX2" s="618"/>
      <c r="EY2" s="618"/>
      <c r="EZ2" s="618"/>
      <c r="FA2" s="618"/>
      <c r="FB2" s="618"/>
      <c r="FC2" s="618"/>
      <c r="FD2" s="618"/>
      <c r="FE2" s="618"/>
      <c r="FF2" s="618"/>
      <c r="FG2" s="618"/>
      <c r="FH2" s="618"/>
      <c r="FI2" s="618"/>
      <c r="FJ2" s="618"/>
      <c r="FK2" s="618"/>
      <c r="FL2" s="618"/>
      <c r="FM2" s="618" t="str">
        <f>IF('1.ข้อมูลเบื้องต้น'!$M$4=1,CONCATENATE("เดือน ",'3.เวลาเรียน'!$IT$11),CONCATENATE("เดือน ",'3.เวลาเรียน'!$IW$11))</f>
        <v>เดือน มีนาคม</v>
      </c>
      <c r="FN2" s="618"/>
      <c r="FO2" s="618"/>
      <c r="FP2" s="618"/>
      <c r="FQ2" s="618"/>
      <c r="FR2" s="618"/>
      <c r="FS2" s="618"/>
      <c r="FT2" s="618"/>
      <c r="FU2" s="618"/>
      <c r="FV2" s="618"/>
      <c r="FW2" s="618"/>
      <c r="FX2" s="618"/>
      <c r="FY2" s="618"/>
      <c r="FZ2" s="618"/>
      <c r="GA2" s="618"/>
      <c r="GB2" s="618"/>
      <c r="GC2" s="618"/>
      <c r="GD2" s="618"/>
      <c r="GE2" s="618"/>
      <c r="GF2" s="618"/>
      <c r="GG2" s="618"/>
      <c r="GH2" s="618"/>
      <c r="GI2" s="618"/>
      <c r="GJ2" s="618"/>
      <c r="GK2" s="618"/>
      <c r="GL2" s="618"/>
      <c r="GM2" s="618"/>
      <c r="GN2" s="618"/>
      <c r="GO2" s="618"/>
      <c r="GP2" s="618"/>
      <c r="GQ2" s="618"/>
      <c r="GR2" s="618"/>
      <c r="GS2" s="618"/>
      <c r="GT2" s="630" t="s">
        <v>23</v>
      </c>
      <c r="GU2" s="633" t="str">
        <f>CONCATENATE("ภาคเรียนที่ ",'1.ข้อมูลเบื้องต้น'!M4)</f>
        <v xml:space="preserve">ภาคเรียนที่ </v>
      </c>
      <c r="GV2" s="634"/>
      <c r="GW2" s="634"/>
      <c r="GX2" s="634"/>
      <c r="GY2" s="634"/>
      <c r="GZ2" s="634"/>
      <c r="HA2" s="634"/>
      <c r="HB2" s="634"/>
      <c r="HC2" s="634"/>
      <c r="HD2" s="634"/>
      <c r="HE2" s="634"/>
      <c r="HF2" s="634"/>
      <c r="HG2" s="634"/>
      <c r="HH2" s="634"/>
      <c r="HI2" s="634"/>
      <c r="HJ2" s="634"/>
      <c r="HK2" s="634"/>
      <c r="HL2" s="634"/>
      <c r="HM2" s="634"/>
      <c r="HN2" s="634"/>
      <c r="HO2" s="634"/>
      <c r="HP2" s="634"/>
      <c r="HQ2" s="634"/>
      <c r="HR2" s="634"/>
      <c r="HS2" s="635"/>
      <c r="HT2" s="630" t="s">
        <v>23</v>
      </c>
      <c r="HU2" s="608" t="str">
        <f>CONCATENATE("ภาคเรียนที่ ",'1.ข้อมูลเบื้องต้น'!M4)</f>
        <v xml:space="preserve">ภาคเรียนที่ </v>
      </c>
      <c r="HV2" s="609"/>
      <c r="HW2" s="609"/>
      <c r="HX2" s="609"/>
      <c r="HY2" s="609"/>
      <c r="HZ2" s="609"/>
      <c r="IA2" s="609"/>
      <c r="IB2" s="609"/>
      <c r="IC2" s="609"/>
      <c r="ID2" s="609"/>
      <c r="IE2" s="609"/>
      <c r="IF2" s="610"/>
      <c r="IG2" s="608" t="s">
        <v>21</v>
      </c>
      <c r="IH2" s="609"/>
      <c r="II2" s="609"/>
      <c r="IJ2" s="609"/>
      <c r="IK2" s="609"/>
      <c r="IL2" s="609"/>
      <c r="IM2" s="609"/>
      <c r="IN2" s="609"/>
      <c r="IO2" s="609"/>
      <c r="IP2" s="609"/>
      <c r="IQ2" s="609"/>
      <c r="IR2" s="610"/>
      <c r="IS2" s="393"/>
    </row>
    <row r="3" spans="1:259" ht="21" customHeight="1" x14ac:dyDescent="0.4">
      <c r="A3" s="613"/>
      <c r="B3" s="613"/>
      <c r="C3" s="76" t="s">
        <v>654</v>
      </c>
      <c r="D3" s="395" t="s">
        <v>79</v>
      </c>
      <c r="E3" s="396">
        <v>1</v>
      </c>
      <c r="F3" s="397">
        <v>2</v>
      </c>
      <c r="G3" s="397">
        <v>3</v>
      </c>
      <c r="H3" s="397">
        <v>4</v>
      </c>
      <c r="I3" s="397">
        <v>5</v>
      </c>
      <c r="J3" s="397">
        <v>6</v>
      </c>
      <c r="K3" s="397">
        <v>7</v>
      </c>
      <c r="L3" s="397">
        <v>8</v>
      </c>
      <c r="M3" s="397">
        <v>9</v>
      </c>
      <c r="N3" s="397">
        <v>10</v>
      </c>
      <c r="O3" s="397">
        <v>11</v>
      </c>
      <c r="P3" s="397">
        <v>12</v>
      </c>
      <c r="Q3" s="397">
        <v>13</v>
      </c>
      <c r="R3" s="397">
        <v>14</v>
      </c>
      <c r="S3" s="397">
        <v>15</v>
      </c>
      <c r="T3" s="397">
        <v>16</v>
      </c>
      <c r="U3" s="397">
        <v>17</v>
      </c>
      <c r="V3" s="397">
        <v>18</v>
      </c>
      <c r="W3" s="397">
        <v>19</v>
      </c>
      <c r="X3" s="397">
        <v>20</v>
      </c>
      <c r="Y3" s="397">
        <v>21</v>
      </c>
      <c r="Z3" s="397">
        <v>22</v>
      </c>
      <c r="AA3" s="397">
        <v>23</v>
      </c>
      <c r="AB3" s="397">
        <v>24</v>
      </c>
      <c r="AC3" s="397">
        <v>25</v>
      </c>
      <c r="AD3" s="397">
        <v>26</v>
      </c>
      <c r="AE3" s="397">
        <v>27</v>
      </c>
      <c r="AF3" s="397">
        <v>28</v>
      </c>
      <c r="AG3" s="397">
        <v>29</v>
      </c>
      <c r="AH3" s="398">
        <v>30</v>
      </c>
      <c r="AI3" s="404">
        <v>31</v>
      </c>
      <c r="AJ3" s="628" t="s">
        <v>636</v>
      </c>
      <c r="AK3" s="395" t="s">
        <v>79</v>
      </c>
      <c r="AL3" s="396">
        <v>1</v>
      </c>
      <c r="AM3" s="397">
        <v>2</v>
      </c>
      <c r="AN3" s="397">
        <v>3</v>
      </c>
      <c r="AO3" s="397">
        <v>4</v>
      </c>
      <c r="AP3" s="397">
        <v>5</v>
      </c>
      <c r="AQ3" s="397">
        <v>6</v>
      </c>
      <c r="AR3" s="397">
        <v>7</v>
      </c>
      <c r="AS3" s="397">
        <v>8</v>
      </c>
      <c r="AT3" s="397">
        <v>9</v>
      </c>
      <c r="AU3" s="397">
        <v>10</v>
      </c>
      <c r="AV3" s="397">
        <v>11</v>
      </c>
      <c r="AW3" s="397">
        <v>12</v>
      </c>
      <c r="AX3" s="397">
        <v>13</v>
      </c>
      <c r="AY3" s="397">
        <v>14</v>
      </c>
      <c r="AZ3" s="397">
        <v>15</v>
      </c>
      <c r="BA3" s="397">
        <v>16</v>
      </c>
      <c r="BB3" s="397">
        <v>17</v>
      </c>
      <c r="BC3" s="397">
        <v>18</v>
      </c>
      <c r="BD3" s="397">
        <v>19</v>
      </c>
      <c r="BE3" s="397">
        <v>20</v>
      </c>
      <c r="BF3" s="397">
        <v>21</v>
      </c>
      <c r="BG3" s="397">
        <v>22</v>
      </c>
      <c r="BH3" s="397">
        <v>23</v>
      </c>
      <c r="BI3" s="397">
        <v>24</v>
      </c>
      <c r="BJ3" s="397">
        <v>25</v>
      </c>
      <c r="BK3" s="397">
        <v>26</v>
      </c>
      <c r="BL3" s="397">
        <v>27</v>
      </c>
      <c r="BM3" s="397">
        <v>28</v>
      </c>
      <c r="BN3" s="397">
        <v>29</v>
      </c>
      <c r="BO3" s="397">
        <v>30</v>
      </c>
      <c r="BP3" s="397">
        <v>31</v>
      </c>
      <c r="BQ3" s="628" t="s">
        <v>636</v>
      </c>
      <c r="BR3" s="395" t="s">
        <v>79</v>
      </c>
      <c r="BS3" s="396">
        <v>1</v>
      </c>
      <c r="BT3" s="397">
        <v>2</v>
      </c>
      <c r="BU3" s="397">
        <v>3</v>
      </c>
      <c r="BV3" s="397">
        <v>4</v>
      </c>
      <c r="BW3" s="397">
        <v>5</v>
      </c>
      <c r="BX3" s="397">
        <v>6</v>
      </c>
      <c r="BY3" s="397">
        <v>7</v>
      </c>
      <c r="BZ3" s="397">
        <v>8</v>
      </c>
      <c r="CA3" s="397">
        <v>9</v>
      </c>
      <c r="CB3" s="397">
        <v>10</v>
      </c>
      <c r="CC3" s="397">
        <v>11</v>
      </c>
      <c r="CD3" s="397">
        <v>12</v>
      </c>
      <c r="CE3" s="397">
        <v>13</v>
      </c>
      <c r="CF3" s="397">
        <v>14</v>
      </c>
      <c r="CG3" s="397">
        <v>15</v>
      </c>
      <c r="CH3" s="397">
        <v>16</v>
      </c>
      <c r="CI3" s="397">
        <v>17</v>
      </c>
      <c r="CJ3" s="397">
        <v>18</v>
      </c>
      <c r="CK3" s="397">
        <v>19</v>
      </c>
      <c r="CL3" s="397">
        <v>20</v>
      </c>
      <c r="CM3" s="397">
        <v>21</v>
      </c>
      <c r="CN3" s="397">
        <v>22</v>
      </c>
      <c r="CO3" s="397">
        <v>23</v>
      </c>
      <c r="CP3" s="397">
        <v>24</v>
      </c>
      <c r="CQ3" s="397">
        <v>25</v>
      </c>
      <c r="CR3" s="397">
        <v>26</v>
      </c>
      <c r="CS3" s="397">
        <v>27</v>
      </c>
      <c r="CT3" s="397">
        <v>28</v>
      </c>
      <c r="CU3" s="397">
        <v>29</v>
      </c>
      <c r="CV3" s="397">
        <v>30</v>
      </c>
      <c r="CW3" s="398">
        <v>31</v>
      </c>
      <c r="CX3" s="628" t="s">
        <v>636</v>
      </c>
      <c r="CY3" s="395" t="s">
        <v>79</v>
      </c>
      <c r="CZ3" s="396">
        <v>1</v>
      </c>
      <c r="DA3" s="397">
        <v>2</v>
      </c>
      <c r="DB3" s="397">
        <v>3</v>
      </c>
      <c r="DC3" s="397">
        <v>4</v>
      </c>
      <c r="DD3" s="397">
        <v>5</v>
      </c>
      <c r="DE3" s="397">
        <v>6</v>
      </c>
      <c r="DF3" s="397">
        <v>7</v>
      </c>
      <c r="DG3" s="397">
        <v>8</v>
      </c>
      <c r="DH3" s="397">
        <v>9</v>
      </c>
      <c r="DI3" s="397">
        <v>10</v>
      </c>
      <c r="DJ3" s="397">
        <v>11</v>
      </c>
      <c r="DK3" s="397">
        <v>12</v>
      </c>
      <c r="DL3" s="397">
        <v>13</v>
      </c>
      <c r="DM3" s="397">
        <v>14</v>
      </c>
      <c r="DN3" s="397">
        <v>15</v>
      </c>
      <c r="DO3" s="397">
        <v>16</v>
      </c>
      <c r="DP3" s="397">
        <v>17</v>
      </c>
      <c r="DQ3" s="397">
        <v>18</v>
      </c>
      <c r="DR3" s="397">
        <v>19</v>
      </c>
      <c r="DS3" s="397">
        <v>20</v>
      </c>
      <c r="DT3" s="397">
        <v>21</v>
      </c>
      <c r="DU3" s="397">
        <v>22</v>
      </c>
      <c r="DV3" s="397">
        <v>23</v>
      </c>
      <c r="DW3" s="397">
        <v>24</v>
      </c>
      <c r="DX3" s="397">
        <v>25</v>
      </c>
      <c r="DY3" s="397">
        <v>26</v>
      </c>
      <c r="DZ3" s="397">
        <v>27</v>
      </c>
      <c r="EA3" s="397">
        <v>28</v>
      </c>
      <c r="EB3" s="397">
        <v>29</v>
      </c>
      <c r="EC3" s="397">
        <v>30</v>
      </c>
      <c r="ED3" s="398">
        <v>31</v>
      </c>
      <c r="EE3" s="628" t="s">
        <v>636</v>
      </c>
      <c r="EF3" s="395" t="s">
        <v>79</v>
      </c>
      <c r="EG3" s="396">
        <v>1</v>
      </c>
      <c r="EH3" s="397">
        <v>2</v>
      </c>
      <c r="EI3" s="397">
        <v>3</v>
      </c>
      <c r="EJ3" s="397">
        <v>4</v>
      </c>
      <c r="EK3" s="397">
        <v>5</v>
      </c>
      <c r="EL3" s="397">
        <v>6</v>
      </c>
      <c r="EM3" s="397">
        <v>7</v>
      </c>
      <c r="EN3" s="397">
        <v>8</v>
      </c>
      <c r="EO3" s="397">
        <v>9</v>
      </c>
      <c r="EP3" s="397">
        <v>10</v>
      </c>
      <c r="EQ3" s="397">
        <v>11</v>
      </c>
      <c r="ER3" s="397">
        <v>12</v>
      </c>
      <c r="ES3" s="397">
        <v>13</v>
      </c>
      <c r="ET3" s="397">
        <v>14</v>
      </c>
      <c r="EU3" s="397">
        <v>15</v>
      </c>
      <c r="EV3" s="397">
        <v>16</v>
      </c>
      <c r="EW3" s="397">
        <v>17</v>
      </c>
      <c r="EX3" s="397">
        <v>18</v>
      </c>
      <c r="EY3" s="397">
        <v>19</v>
      </c>
      <c r="EZ3" s="397">
        <v>20</v>
      </c>
      <c r="FA3" s="397">
        <v>21</v>
      </c>
      <c r="FB3" s="397">
        <v>22</v>
      </c>
      <c r="FC3" s="397">
        <v>23</v>
      </c>
      <c r="FD3" s="397">
        <v>24</v>
      </c>
      <c r="FE3" s="397">
        <v>25</v>
      </c>
      <c r="FF3" s="397">
        <v>26</v>
      </c>
      <c r="FG3" s="397">
        <v>27</v>
      </c>
      <c r="FH3" s="397">
        <v>28</v>
      </c>
      <c r="FI3" s="397">
        <v>29</v>
      </c>
      <c r="FJ3" s="397">
        <v>30</v>
      </c>
      <c r="FK3" s="397">
        <v>31</v>
      </c>
      <c r="FL3" s="628" t="s">
        <v>636</v>
      </c>
      <c r="FM3" s="395" t="s">
        <v>79</v>
      </c>
      <c r="FN3" s="396">
        <v>1</v>
      </c>
      <c r="FO3" s="397">
        <v>2</v>
      </c>
      <c r="FP3" s="397">
        <v>3</v>
      </c>
      <c r="FQ3" s="397">
        <v>4</v>
      </c>
      <c r="FR3" s="397">
        <v>5</v>
      </c>
      <c r="FS3" s="397">
        <v>6</v>
      </c>
      <c r="FT3" s="397">
        <v>7</v>
      </c>
      <c r="FU3" s="397">
        <v>8</v>
      </c>
      <c r="FV3" s="397">
        <v>9</v>
      </c>
      <c r="FW3" s="397">
        <v>10</v>
      </c>
      <c r="FX3" s="397">
        <v>11</v>
      </c>
      <c r="FY3" s="397">
        <v>12</v>
      </c>
      <c r="FZ3" s="397">
        <v>13</v>
      </c>
      <c r="GA3" s="397">
        <v>14</v>
      </c>
      <c r="GB3" s="397">
        <v>15</v>
      </c>
      <c r="GC3" s="397">
        <v>16</v>
      </c>
      <c r="GD3" s="397">
        <v>17</v>
      </c>
      <c r="GE3" s="397">
        <v>18</v>
      </c>
      <c r="GF3" s="397">
        <v>19</v>
      </c>
      <c r="GG3" s="397">
        <v>20</v>
      </c>
      <c r="GH3" s="397">
        <v>21</v>
      </c>
      <c r="GI3" s="397">
        <v>22</v>
      </c>
      <c r="GJ3" s="397">
        <v>23</v>
      </c>
      <c r="GK3" s="397">
        <v>24</v>
      </c>
      <c r="GL3" s="397">
        <v>25</v>
      </c>
      <c r="GM3" s="397">
        <v>26</v>
      </c>
      <c r="GN3" s="397">
        <v>27</v>
      </c>
      <c r="GO3" s="397">
        <v>28</v>
      </c>
      <c r="GP3" s="397">
        <v>29</v>
      </c>
      <c r="GQ3" s="398">
        <v>30</v>
      </c>
      <c r="GR3" s="398">
        <v>31</v>
      </c>
      <c r="GS3" s="628" t="s">
        <v>636</v>
      </c>
      <c r="GT3" s="631"/>
      <c r="GU3" s="625" t="str">
        <f>IF('1.ข้อมูลเบื้องต้น'!$M$4=1,'3.เวลาเรียน'!$IT$6,'3.เวลาเรียน'!$IW$6)</f>
        <v>ตุลาคม</v>
      </c>
      <c r="GV3" s="626"/>
      <c r="GW3" s="626"/>
      <c r="GX3" s="626"/>
      <c r="GY3" s="627"/>
      <c r="GZ3" s="625" t="str">
        <f>IF('1.ข้อมูลเบื้องต้น'!$M$4=1,'3.เวลาเรียน'!$IT$7,'3.เวลาเรียน'!$IW$7)</f>
        <v>พฤศจิกายน</v>
      </c>
      <c r="HA3" s="626"/>
      <c r="HB3" s="626"/>
      <c r="HC3" s="626"/>
      <c r="HD3" s="627"/>
      <c r="HE3" s="625" t="str">
        <f>IF('1.ข้อมูลเบื้องต้น'!$M$4=1,'3.เวลาเรียน'!$IT$8,'3.เวลาเรียน'!$IW$8)</f>
        <v>ธันวาคม</v>
      </c>
      <c r="HF3" s="626"/>
      <c r="HG3" s="626"/>
      <c r="HH3" s="626"/>
      <c r="HI3" s="627"/>
      <c r="HJ3" s="625" t="str">
        <f>IF('1.ข้อมูลเบื้องต้น'!$M$4=1,'3.เวลาเรียน'!$IT$9,'3.เวลาเรียน'!$IW$9)</f>
        <v>มกราคม</v>
      </c>
      <c r="HK3" s="626"/>
      <c r="HL3" s="626"/>
      <c r="HM3" s="626"/>
      <c r="HN3" s="627"/>
      <c r="HO3" s="625" t="str">
        <f>IF('1.ข้อมูลเบื้องต้น'!$M$4=1,'3.เวลาเรียน'!$IT$10,'3.เวลาเรียน'!$IW$10)</f>
        <v>กุมภาพันธ์</v>
      </c>
      <c r="HP3" s="626"/>
      <c r="HQ3" s="626"/>
      <c r="HR3" s="626"/>
      <c r="HS3" s="627"/>
      <c r="HT3" s="631"/>
      <c r="HU3" s="626" t="str">
        <f>IF(IT11="","",IF('1.ข้อมูลเบื้องต้น'!$M$4=1,'3.เวลาเรียน'!$IT$11,'3.เวลาเรียน'!$IW$11))</f>
        <v>มีนาคม</v>
      </c>
      <c r="HV3" s="626"/>
      <c r="HW3" s="626"/>
      <c r="HX3" s="626"/>
      <c r="HY3" s="636"/>
      <c r="HZ3" s="625" t="s">
        <v>653</v>
      </c>
      <c r="IA3" s="626"/>
      <c r="IB3" s="626"/>
      <c r="IC3" s="626"/>
      <c r="ID3" s="626"/>
      <c r="IE3" s="606" t="s">
        <v>75</v>
      </c>
      <c r="IF3" s="606" t="s">
        <v>57</v>
      </c>
      <c r="IG3" s="617"/>
      <c r="IH3" s="618"/>
      <c r="II3" s="618"/>
      <c r="IJ3" s="618"/>
      <c r="IK3" s="618"/>
      <c r="IL3" s="618"/>
      <c r="IM3" s="618"/>
      <c r="IN3" s="618"/>
      <c r="IO3" s="618"/>
      <c r="IP3" s="618"/>
      <c r="IQ3" s="618"/>
      <c r="IR3" s="619"/>
      <c r="IS3" s="393"/>
    </row>
    <row r="4" spans="1:259" ht="21" customHeight="1" x14ac:dyDescent="0.4">
      <c r="A4" s="614"/>
      <c r="B4" s="614"/>
      <c r="C4" s="76"/>
      <c r="D4" s="399" t="s">
        <v>645</v>
      </c>
      <c r="E4" s="400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2"/>
      <c r="AI4" s="402"/>
      <c r="AJ4" s="629"/>
      <c r="AK4" s="399" t="s">
        <v>645</v>
      </c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629"/>
      <c r="BR4" s="399" t="s">
        <v>645</v>
      </c>
      <c r="BS4" s="400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1"/>
      <c r="CV4" s="401"/>
      <c r="CW4" s="401"/>
      <c r="CX4" s="629"/>
      <c r="CY4" s="399" t="s">
        <v>645</v>
      </c>
      <c r="CZ4" s="401"/>
      <c r="DA4" s="401"/>
      <c r="DB4" s="401"/>
      <c r="DC4" s="401"/>
      <c r="DD4" s="401"/>
      <c r="DE4" s="401"/>
      <c r="DF4" s="401"/>
      <c r="DG4" s="401"/>
      <c r="DH4" s="401"/>
      <c r="DI4" s="401"/>
      <c r="DJ4" s="401"/>
      <c r="DK4" s="401"/>
      <c r="DL4" s="401"/>
      <c r="DM4" s="401"/>
      <c r="DN4" s="401"/>
      <c r="DO4" s="401"/>
      <c r="DP4" s="401"/>
      <c r="DQ4" s="401"/>
      <c r="DR4" s="401"/>
      <c r="DS4" s="401"/>
      <c r="DT4" s="401"/>
      <c r="DU4" s="401"/>
      <c r="DV4" s="401"/>
      <c r="DW4" s="401"/>
      <c r="DX4" s="401"/>
      <c r="DY4" s="401"/>
      <c r="DZ4" s="401"/>
      <c r="EA4" s="401"/>
      <c r="EB4" s="402"/>
      <c r="EC4" s="401"/>
      <c r="ED4" s="401"/>
      <c r="EE4" s="629"/>
      <c r="EF4" s="399" t="s">
        <v>645</v>
      </c>
      <c r="EG4" s="400"/>
      <c r="EH4" s="401"/>
      <c r="EI4" s="401"/>
      <c r="EJ4" s="401"/>
      <c r="EK4" s="401"/>
      <c r="EL4" s="401"/>
      <c r="EM4" s="401"/>
      <c r="EN4" s="401"/>
      <c r="EO4" s="401"/>
      <c r="EP4" s="401"/>
      <c r="EQ4" s="401"/>
      <c r="ER4" s="401"/>
      <c r="ES4" s="401"/>
      <c r="ET4" s="401"/>
      <c r="EU4" s="401"/>
      <c r="EV4" s="401"/>
      <c r="EW4" s="401"/>
      <c r="EX4" s="401"/>
      <c r="EY4" s="401"/>
      <c r="EZ4" s="401"/>
      <c r="FA4" s="401"/>
      <c r="FB4" s="401"/>
      <c r="FC4" s="401"/>
      <c r="FD4" s="401"/>
      <c r="FE4" s="401"/>
      <c r="FF4" s="401"/>
      <c r="FG4" s="401"/>
      <c r="FH4" s="401"/>
      <c r="FI4" s="401"/>
      <c r="FJ4" s="401"/>
      <c r="FK4" s="401"/>
      <c r="FL4" s="629"/>
      <c r="FM4" s="399" t="s">
        <v>645</v>
      </c>
      <c r="FN4" s="400"/>
      <c r="FO4" s="401"/>
      <c r="FP4" s="401"/>
      <c r="FQ4" s="401"/>
      <c r="FR4" s="401"/>
      <c r="FS4" s="401"/>
      <c r="FT4" s="401"/>
      <c r="FU4" s="401"/>
      <c r="FV4" s="401"/>
      <c r="FW4" s="401"/>
      <c r="FX4" s="401"/>
      <c r="FY4" s="401"/>
      <c r="FZ4" s="401"/>
      <c r="GA4" s="401"/>
      <c r="GB4" s="401"/>
      <c r="GC4" s="401"/>
      <c r="GD4" s="401"/>
      <c r="GE4" s="401"/>
      <c r="GF4" s="401"/>
      <c r="GG4" s="401"/>
      <c r="GH4" s="401"/>
      <c r="GI4" s="401"/>
      <c r="GJ4" s="401"/>
      <c r="GK4" s="401"/>
      <c r="GL4" s="401"/>
      <c r="GM4" s="401"/>
      <c r="GN4" s="401"/>
      <c r="GO4" s="401"/>
      <c r="GP4" s="401"/>
      <c r="GQ4" s="402"/>
      <c r="GR4" s="402"/>
      <c r="GS4" s="629"/>
      <c r="GT4" s="632"/>
      <c r="GU4" s="396" t="s">
        <v>646</v>
      </c>
      <c r="GV4" s="403" t="s">
        <v>650</v>
      </c>
      <c r="GW4" s="397" t="s">
        <v>647</v>
      </c>
      <c r="GX4" s="397" t="s">
        <v>648</v>
      </c>
      <c r="GY4" s="404" t="s">
        <v>649</v>
      </c>
      <c r="GZ4" s="396" t="s">
        <v>646</v>
      </c>
      <c r="HA4" s="403" t="s">
        <v>650</v>
      </c>
      <c r="HB4" s="397" t="s">
        <v>647</v>
      </c>
      <c r="HC4" s="397" t="s">
        <v>648</v>
      </c>
      <c r="HD4" s="404" t="s">
        <v>649</v>
      </c>
      <c r="HE4" s="396" t="s">
        <v>646</v>
      </c>
      <c r="HF4" s="403" t="s">
        <v>650</v>
      </c>
      <c r="HG4" s="397" t="s">
        <v>647</v>
      </c>
      <c r="HH4" s="397" t="s">
        <v>648</v>
      </c>
      <c r="HI4" s="404" t="s">
        <v>649</v>
      </c>
      <c r="HJ4" s="396" t="s">
        <v>646</v>
      </c>
      <c r="HK4" s="403" t="s">
        <v>650</v>
      </c>
      <c r="HL4" s="397" t="s">
        <v>647</v>
      </c>
      <c r="HM4" s="397" t="s">
        <v>648</v>
      </c>
      <c r="HN4" s="404" t="s">
        <v>649</v>
      </c>
      <c r="HO4" s="396" t="s">
        <v>646</v>
      </c>
      <c r="HP4" s="403" t="s">
        <v>650</v>
      </c>
      <c r="HQ4" s="397" t="s">
        <v>647</v>
      </c>
      <c r="HR4" s="397" t="s">
        <v>648</v>
      </c>
      <c r="HS4" s="404" t="s">
        <v>649</v>
      </c>
      <c r="HT4" s="632"/>
      <c r="HU4" s="396" t="s">
        <v>646</v>
      </c>
      <c r="HV4" s="403" t="s">
        <v>650</v>
      </c>
      <c r="HW4" s="397" t="s">
        <v>647</v>
      </c>
      <c r="HX4" s="397" t="s">
        <v>648</v>
      </c>
      <c r="HY4" s="397" t="s">
        <v>649</v>
      </c>
      <c r="HZ4" s="396" t="s">
        <v>646</v>
      </c>
      <c r="IA4" s="403" t="s">
        <v>650</v>
      </c>
      <c r="IB4" s="397" t="s">
        <v>647</v>
      </c>
      <c r="IC4" s="397" t="s">
        <v>648</v>
      </c>
      <c r="ID4" s="398" t="s">
        <v>649</v>
      </c>
      <c r="IE4" s="607"/>
      <c r="IF4" s="607"/>
      <c r="IG4" s="620"/>
      <c r="IH4" s="621"/>
      <c r="II4" s="621"/>
      <c r="IJ4" s="621"/>
      <c r="IK4" s="621"/>
      <c r="IL4" s="621"/>
      <c r="IM4" s="621"/>
      <c r="IN4" s="621"/>
      <c r="IO4" s="621"/>
      <c r="IP4" s="621"/>
      <c r="IQ4" s="621"/>
      <c r="IR4" s="622"/>
      <c r="IS4" s="393"/>
      <c r="IT4" s="615" t="s">
        <v>56</v>
      </c>
      <c r="IU4" s="615"/>
      <c r="IV4" s="615"/>
      <c r="IW4" s="615"/>
      <c r="IX4" s="394">
        <f>COUNTA(E4:AI4,AL4:BP4,BS4:CW4,CZ4:ED4,EG4:FK4,FN4:GR4)</f>
        <v>0</v>
      </c>
      <c r="IY4" s="394" t="s">
        <v>645</v>
      </c>
    </row>
    <row r="5" spans="1:259" ht="21" customHeight="1" x14ac:dyDescent="0.4">
      <c r="A5" s="405" t="str">
        <f>IF(Name1="","",Name1)</f>
        <v/>
      </c>
      <c r="B5" s="406" t="str">
        <f>IF(Surname1="","",Surname1)</f>
        <v/>
      </c>
      <c r="C5" s="441" t="str">
        <f>IF('2.ชื่อนักเรียน'!R11="","",'2.ชื่อนักเรียน'!R11)</f>
        <v/>
      </c>
      <c r="D5" s="407">
        <v>1</v>
      </c>
      <c r="E5" s="408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10"/>
      <c r="AJ5" s="407" t="str">
        <f>IF(COUNTA($E$4:AI$4)=0,"",IF('2.ชื่อนักเรียน'!R11="ย้าย","ย้าย",GU5))</f>
        <v/>
      </c>
      <c r="AK5" s="407">
        <v>1</v>
      </c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7" t="str">
        <f>IF(COUNTA($AL$4:$BP$4)=0,"",IF('2.ชื่อนักเรียน'!R11="ย้าย","ย้าย",GZ5))</f>
        <v/>
      </c>
      <c r="BR5" s="407">
        <v>1</v>
      </c>
      <c r="BS5" s="408"/>
      <c r="BT5" s="409"/>
      <c r="BU5" s="409"/>
      <c r="BV5" s="409"/>
      <c r="BW5" s="409"/>
      <c r="BX5" s="409"/>
      <c r="BY5" s="409"/>
      <c r="BZ5" s="409"/>
      <c r="CA5" s="409"/>
      <c r="CB5" s="409"/>
      <c r="CC5" s="409"/>
      <c r="CD5" s="409"/>
      <c r="CE5" s="409"/>
      <c r="CF5" s="409"/>
      <c r="CG5" s="409"/>
      <c r="CH5" s="409"/>
      <c r="CI5" s="409"/>
      <c r="CJ5" s="409"/>
      <c r="CK5" s="409"/>
      <c r="CL5" s="409"/>
      <c r="CM5" s="409"/>
      <c r="CN5" s="409"/>
      <c r="CO5" s="409"/>
      <c r="CP5" s="409"/>
      <c r="CQ5" s="409"/>
      <c r="CR5" s="409"/>
      <c r="CS5" s="409"/>
      <c r="CT5" s="409"/>
      <c r="CU5" s="409"/>
      <c r="CV5" s="410"/>
      <c r="CW5" s="409"/>
      <c r="CX5" s="407" t="str">
        <f>IF(COUNTA($BS$4:$CW$4)=0,"",IF('2.ชื่อนักเรียน'!R11="ย้าย","ย้าย",HE5))</f>
        <v/>
      </c>
      <c r="CY5" s="407">
        <v>1</v>
      </c>
      <c r="CZ5" s="409"/>
      <c r="DA5" s="409"/>
      <c r="DB5" s="409"/>
      <c r="DC5" s="409"/>
      <c r="DD5" s="409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09"/>
      <c r="DP5" s="409"/>
      <c r="DQ5" s="409"/>
      <c r="DR5" s="409"/>
      <c r="DS5" s="409"/>
      <c r="DT5" s="409"/>
      <c r="DU5" s="409"/>
      <c r="DV5" s="409"/>
      <c r="DW5" s="409"/>
      <c r="DX5" s="409"/>
      <c r="DY5" s="409"/>
      <c r="DZ5" s="409"/>
      <c r="EA5" s="409"/>
      <c r="EB5" s="409"/>
      <c r="EC5" s="410"/>
      <c r="ED5" s="410"/>
      <c r="EE5" s="407" t="str">
        <f>IF(COUNTA($CZ$4:$ED$4)=0,"",IF('2.ชื่อนักเรียน'!R11="ย้าย","ย้าย",HJ5))</f>
        <v/>
      </c>
      <c r="EF5" s="407">
        <v>1</v>
      </c>
      <c r="EG5" s="409"/>
      <c r="EH5" s="409"/>
      <c r="EI5" s="409"/>
      <c r="EJ5" s="409"/>
      <c r="EK5" s="409"/>
      <c r="EL5" s="409"/>
      <c r="EM5" s="409"/>
      <c r="EN5" s="409"/>
      <c r="EO5" s="409"/>
      <c r="EP5" s="409"/>
      <c r="EQ5" s="409"/>
      <c r="ER5" s="409"/>
      <c r="ES5" s="409"/>
      <c r="ET5" s="409"/>
      <c r="EU5" s="409"/>
      <c r="EV5" s="409"/>
      <c r="EW5" s="409"/>
      <c r="EX5" s="409"/>
      <c r="EY5" s="409"/>
      <c r="EZ5" s="409"/>
      <c r="FA5" s="409"/>
      <c r="FB5" s="409"/>
      <c r="FC5" s="409"/>
      <c r="FD5" s="409"/>
      <c r="FE5" s="409"/>
      <c r="FF5" s="409"/>
      <c r="FG5" s="409"/>
      <c r="FH5" s="409"/>
      <c r="FI5" s="409"/>
      <c r="FJ5" s="409"/>
      <c r="FK5" s="409"/>
      <c r="FL5" s="407" t="str">
        <f>IF(COUNTA($EG$4:$FK$4)=0,"",IF('2.ชื่อนักเรียน'!R11="ย้าย","ย้าย",HO5))</f>
        <v/>
      </c>
      <c r="FM5" s="407">
        <v>1</v>
      </c>
      <c r="FN5" s="408"/>
      <c r="FO5" s="409"/>
      <c r="FP5" s="409"/>
      <c r="FQ5" s="409"/>
      <c r="FR5" s="409"/>
      <c r="FS5" s="409"/>
      <c r="FT5" s="409"/>
      <c r="FU5" s="409"/>
      <c r="FV5" s="409"/>
      <c r="FW5" s="409"/>
      <c r="FX5" s="409"/>
      <c r="FY5" s="409"/>
      <c r="FZ5" s="409"/>
      <c r="GA5" s="409"/>
      <c r="GB5" s="409"/>
      <c r="GC5" s="409"/>
      <c r="GD5" s="409"/>
      <c r="GE5" s="409"/>
      <c r="GF5" s="409"/>
      <c r="GG5" s="409"/>
      <c r="GH5" s="409"/>
      <c r="GI5" s="409"/>
      <c r="GJ5" s="409"/>
      <c r="GK5" s="409"/>
      <c r="GL5" s="409"/>
      <c r="GM5" s="409"/>
      <c r="GN5" s="409"/>
      <c r="GO5" s="409"/>
      <c r="GP5" s="409"/>
      <c r="GQ5" s="410"/>
      <c r="GR5" s="410"/>
      <c r="GS5" s="407" t="str">
        <f>IF(COUNTA($FN$4:$GR$4)=0,"",IF('2.ชื่อนักเรียน'!R11="ย้าย","ย้าย",HU5))</f>
        <v/>
      </c>
      <c r="GT5" s="407">
        <v>1</v>
      </c>
      <c r="GU5" s="411" t="str">
        <f>IF(OR(COUNTA($E$4:$AI$4)=0,$A5=""),"",IF('2.ชื่อนักเรียน'!R11="ย้าย","-",COUNTIF($E5:$AI5,"/")))</f>
        <v/>
      </c>
      <c r="GV5" s="414" t="str">
        <f>IF(OR(COUNTA($E$4:$AI$4)=0,$A5=""),"",IF('2.ชื่อนักเรียน'!R11="ย้าย","-",COUNTIF($E5:$AI5,"ส")))</f>
        <v/>
      </c>
      <c r="GW5" s="412" t="str">
        <f>IF(OR(COUNTA($E$4:$AI$4)=0,$A5=""),"",IF('2.ชื่อนักเรียน'!R11="ย้าย","-",COUNTIF($E5:$AI5,"ป")))</f>
        <v/>
      </c>
      <c r="GX5" s="412" t="str">
        <f>IF(OR(COUNTA($E$4:$AI$4)=0,$A5=""),"",IF('2.ชื่อนักเรียน'!R11="ย้าย","-",COUNTIF($E5:$AI5,"ล")))</f>
        <v/>
      </c>
      <c r="GY5" s="415" t="str">
        <f>IF(OR(COUNTA($E$4:$AI$4)=0,$A5=""),"",IF('2.ชื่อนักเรียน'!R11="ย้าย","-",COUNTIF($E5:$AI5,"ข")))</f>
        <v/>
      </c>
      <c r="GZ5" s="411" t="str">
        <f>IF(OR(COUNTA($AL$4:$BP$4)=0,$A5=""),"",IF('2.ชื่อนักเรียน'!R11="ย้าย","-",COUNTIF($AL5:$BP5,"/")))</f>
        <v/>
      </c>
      <c r="HA5" s="414" t="str">
        <f>IF(OR(COUNTA($AL$4:$BP$4)=0,$A5=""),"",IF('2.ชื่อนักเรียน'!R11="ย้าย","-",COUNTIF($AL5:$BP5,"ส")))</f>
        <v/>
      </c>
      <c r="HB5" s="412" t="str">
        <f>IF(OR(COUNTA($AL$4:$BP$4)=0,$A5=""),"",IF('2.ชื่อนักเรียน'!R11="ย้าย","-",COUNTIF($AL5:$BP5,"ป")))</f>
        <v/>
      </c>
      <c r="HC5" s="412" t="str">
        <f>IF(OR(COUNTA($AL$4:$BP$4)=0,$A5=""),"",IF('2.ชื่อนักเรียน'!R11="ย้าย","-",COUNTIF($AL5:$BP5,"ล")))</f>
        <v/>
      </c>
      <c r="HD5" s="415" t="str">
        <f>IF(OR(COUNTA($AL$4:$BP$4)=0,$A5=""),"",IF('2.ชื่อนักเรียน'!R11="ย้าย","-",COUNTIF($AL5:$BP5,"ข")))</f>
        <v/>
      </c>
      <c r="HE5" s="411" t="str">
        <f>IF(OR(COUNTA($BS$4:$CW$4)=0,$A5=""),"",IF('2.ชื่อนักเรียน'!R11="ย้าย","-",COUNTIF($BS5:$CW5,"/")))</f>
        <v/>
      </c>
      <c r="HF5" s="414" t="str">
        <f>IF(OR(COUNTA($BS$4:$CW$4)=0,$A5=""),"",IF('2.ชื่อนักเรียน'!R11="ย้าย","-",COUNTIF($BS5:$CW5,"ส")))</f>
        <v/>
      </c>
      <c r="HG5" s="412" t="str">
        <f>IF(OR(COUNTA($BS$4:$CW$4)=0,$A5=""),"",IF('2.ชื่อนักเรียน'!R11="ย้าย","-",COUNTIF($BS5:$CW5,"ป")))</f>
        <v/>
      </c>
      <c r="HH5" s="412" t="str">
        <f>IF(OR(COUNTA($BS$4:$CW$4)=0,$A5=""),"",IF('2.ชื่อนักเรียน'!R11="ย้าย","-",COUNTIF($BS5:$CW5,"ล")))</f>
        <v/>
      </c>
      <c r="HI5" s="415" t="str">
        <f>IF(OR(COUNTA($BS$4:$CW$4)=0,$A5=""),"",IF('2.ชื่อนักเรียน'!R11="ย้าย","-",COUNTIF($BS5:$CW5,"ข")))</f>
        <v/>
      </c>
      <c r="HJ5" s="411" t="str">
        <f>IF(OR(COUNTA($CZ$4:$ED$4)=0,$A5=""),"",IF('2.ชื่อนักเรียน'!R11="ย้าย","-",COUNTIF($CZ5:$ED5,"/")))</f>
        <v/>
      </c>
      <c r="HK5" s="412" t="str">
        <f>IF(OR(COUNTA($CZ$4:$ED$4)=0,$A5=""),"",IF('2.ชื่อนักเรียน'!R11="ย้าย","-",COUNTIF($CZ5:$ED5,"ส")))</f>
        <v/>
      </c>
      <c r="HL5" s="412" t="str">
        <f>IF(OR(COUNTA($CZ$4:$ED$4)=0,$A5=""),"",IF('2.ชื่อนักเรียน'!R11="ย้าย","-",COUNTIF($CZ5:$ED5,"ป")))</f>
        <v/>
      </c>
      <c r="HM5" s="412" t="str">
        <f>IF(OR(COUNTA($CZ$4:$ED$4)=0,A5=""),"",IF('2.ชื่อนักเรียน'!R11="ย้าย","-",COUNTIF($CZ5:$ED5,"ล")))</f>
        <v/>
      </c>
      <c r="HN5" s="415" t="str">
        <f>IF(OR(COUNTA($CZ$4:$ED$4)=0,A5=""),"",IF('2.ชื่อนักเรียน'!R11="ย้าย","-",COUNTIF($CZ5:$ED5,"ข")))</f>
        <v/>
      </c>
      <c r="HO5" s="411" t="str">
        <f>IF(OR(COUNTA($EG$4:$FK$4)=0,$A5=""),"",IF('2.ชื่อนักเรียน'!R11="ย้าย","-",COUNTIF($EG5:$FK5,"/")))</f>
        <v/>
      </c>
      <c r="HP5" s="414" t="str">
        <f>IF(OR(COUNTA($EG$4:$FK$4)=0,$A5=""),"",IF('2.ชื่อนักเรียน'!R11="ย้าย","-",COUNTIF($EG5:$FK5,"ส")))</f>
        <v/>
      </c>
      <c r="HQ5" s="412" t="str">
        <f>IF(OR(COUNTA($EG$4:$FK$4)=0,$A5=""),"",IF('2.ชื่อนักเรียน'!R11="ย้าย","-",COUNTIF($EG5:$FK5,"ป")))</f>
        <v/>
      </c>
      <c r="HR5" s="412" t="str">
        <f>IF(OR(COUNTA($EG$4:$FK$4)=0,A5=""),"",IF('2.ชื่อนักเรียน'!R11="ย้าย","-",COUNTIF($EG5:$FK5,"ล")))</f>
        <v/>
      </c>
      <c r="HS5" s="415" t="str">
        <f>IF(OR(COUNTA($EG$4:$FK$4)=0,A5=""),"",IF('2.ชื่อนักเรียน'!R11="ย้าย","-",COUNTIF($EG5:$FK5,"ข")))</f>
        <v/>
      </c>
      <c r="HT5" s="407">
        <v>1</v>
      </c>
      <c r="HU5" s="411" t="str">
        <f>IF(OR(COUNTA($FN$4:$GR$4)=0,$A5=""),"",IF('2.ชื่อนักเรียน'!R11="ย้าย","-",COUNTIF($FN5:$GR5,"/")))</f>
        <v/>
      </c>
      <c r="HV5" s="414" t="str">
        <f>IF(OR(COUNTA($FN$4:$GR$4)=0,$A5=""),"",IF('2.ชื่อนักเรียน'!R11="ย้าย","-",COUNTIF($FN5:$GR5,"ส")))</f>
        <v/>
      </c>
      <c r="HW5" s="412" t="str">
        <f>IF(OR(COUNTA($FN$4:$GR$4)=0,$A5=""),"",IF('2.ชื่อนักเรียน'!R11="ย้าย","-",COUNTIF($FN5:$GR5,"ป")))</f>
        <v/>
      </c>
      <c r="HX5" s="412" t="str">
        <f>IF(OR(COUNTA($FN$4:$GR$4)=0,A5=""),"",IF('2.ชื่อนักเรียน'!R11="ย้าย","-",COUNTIF($FN5:$GR5,"ล")))</f>
        <v/>
      </c>
      <c r="HY5" s="412" t="str">
        <f>IF(OR(COUNTA($FN$4:$GR$4)=0,A5=""),"",IF('2.ชื่อนักเรียน'!R11="ย้าย","-",COUNTIF($FN5:$GR5,"ข")))</f>
        <v/>
      </c>
      <c r="HZ5" s="411" t="str">
        <f>IF(OR(COUNTA($GU$3:$HS$3,$HU$3)=0,$A5=""),"",IF('2.ชื่อนักเรียน'!R11="ย้าย","-",SUM(GU5,GZ5,HE5,HJ5,HO5,HU5)))</f>
        <v/>
      </c>
      <c r="IA5" s="412" t="str">
        <f>IF(OR(COUNTA($GU$3:$HS$3,$HU$3)=0,$A5=""),"",IF('2.ชื่อนักเรียน'!R11="ย้าย","-",SUM(GV5,HA5,HF5,HK5,HP5,HV5)))</f>
        <v/>
      </c>
      <c r="IB5" s="412" t="str">
        <f>IF(OR(COUNTA($GU$3:$HS$3,$HU$3)=0,$A5=""),"",IF('2.ชื่อนักเรียน'!R11="ย้าย","-",SUM(GW5,HB5,HG5,HL5,HQ5,HW5)))</f>
        <v/>
      </c>
      <c r="IC5" s="412" t="str">
        <f>IF(OR(COUNTA($GU$3:$HS$3,$HU$3)=0,$A5=""),"",IF('2.ชื่อนักเรียน'!R11="ย้าย","-",SUM(GX5,HC5,HH5,HM5,HR5,HX5)))</f>
        <v/>
      </c>
      <c r="ID5" s="413" t="str">
        <f>IF(OR(COUNTA($GU$3:$HS$3,$HU$3)=0,$A5=""),"",IF('2.ชื่อนักเรียน'!R11="ย้าย","-",SUM(GY5,HD5,HI5,HN5,HS5,HY5)))</f>
        <v/>
      </c>
      <c r="IE5" s="407" t="str">
        <f>IF(HZ5="","",HZ5)</f>
        <v/>
      </c>
      <c r="IF5" s="437" t="str">
        <f>IF(IE5="","",IF('2.ชื่อนักเรียน'!R11="ย้าย","ย้าย",(IE5*100)/COUNTA($E$4:$AI$4,$AL$4:$BP$4,$BS$4:$CW$4,$CZ$4:$ED$4,$EG$4:$FK$4,$FN$4:$GR$4)))</f>
        <v/>
      </c>
      <c r="IG5" s="447"/>
      <c r="IH5" s="612"/>
      <c r="II5" s="612"/>
      <c r="IJ5" s="612"/>
      <c r="IK5" s="612"/>
      <c r="IL5" s="612"/>
      <c r="IM5" s="612"/>
      <c r="IN5" s="612"/>
      <c r="IO5" s="612"/>
      <c r="IP5" s="612"/>
      <c r="IQ5" s="612"/>
      <c r="IR5" s="448"/>
      <c r="IT5" s="615" t="s">
        <v>575</v>
      </c>
      <c r="IU5" s="615"/>
      <c r="IV5" s="615" t="s">
        <v>576</v>
      </c>
      <c r="IW5" s="615"/>
    </row>
    <row r="6" spans="1:259" ht="21" customHeight="1" x14ac:dyDescent="0.4">
      <c r="A6" s="416" t="str">
        <f>IF(Name2="","",Name2)</f>
        <v/>
      </c>
      <c r="B6" s="417" t="str">
        <f>IF(Surname2="","",Surname2)</f>
        <v/>
      </c>
      <c r="C6" s="442" t="str">
        <f>IF('2.ชื่อนักเรียน'!R12="","",'2.ชื่อนักเรียน'!R12)</f>
        <v/>
      </c>
      <c r="D6" s="418">
        <v>2</v>
      </c>
      <c r="E6" s="419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1"/>
      <c r="AJ6" s="418" t="str">
        <f>IF(COUNTA($E$4:AI$4)=0,"",IF('2.ชื่อนักเรียน'!R12="ย้าย","ย้าย",GU6))</f>
        <v/>
      </c>
      <c r="AK6" s="418">
        <v>2</v>
      </c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18" t="str">
        <f>IF(COUNTA($AL$4:$BP$4)=0,"",IF('2.ชื่อนักเรียน'!R12="ย้าย","ย้าย",GZ6))</f>
        <v/>
      </c>
      <c r="BR6" s="418">
        <v>2</v>
      </c>
      <c r="BS6" s="419"/>
      <c r="BT6" s="420"/>
      <c r="BU6" s="420"/>
      <c r="BV6" s="420"/>
      <c r="BW6" s="420"/>
      <c r="BX6" s="420"/>
      <c r="BY6" s="420"/>
      <c r="BZ6" s="420"/>
      <c r="CA6" s="420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1"/>
      <c r="CW6" s="420"/>
      <c r="CX6" s="418" t="str">
        <f>IF(COUNTA($BS$4:$CW$4)=0,"",IF('2.ชื่อนักเรียน'!R12="ย้าย","ย้าย",HE6))</f>
        <v/>
      </c>
      <c r="CY6" s="418">
        <v>2</v>
      </c>
      <c r="CZ6" s="420"/>
      <c r="DA6" s="420"/>
      <c r="DB6" s="420"/>
      <c r="DC6" s="420"/>
      <c r="DD6" s="420"/>
      <c r="DE6" s="420"/>
      <c r="DF6" s="420"/>
      <c r="DG6" s="420"/>
      <c r="DH6" s="420"/>
      <c r="DI6" s="420"/>
      <c r="DJ6" s="420"/>
      <c r="DK6" s="420"/>
      <c r="DL6" s="420"/>
      <c r="DM6" s="420"/>
      <c r="DN6" s="420"/>
      <c r="DO6" s="420"/>
      <c r="DP6" s="420"/>
      <c r="DQ6" s="420"/>
      <c r="DR6" s="420"/>
      <c r="DS6" s="420"/>
      <c r="DT6" s="420"/>
      <c r="DU6" s="420"/>
      <c r="DV6" s="420"/>
      <c r="DW6" s="420"/>
      <c r="DX6" s="420"/>
      <c r="DY6" s="420"/>
      <c r="DZ6" s="420"/>
      <c r="EA6" s="420"/>
      <c r="EB6" s="420"/>
      <c r="EC6" s="421"/>
      <c r="ED6" s="421"/>
      <c r="EE6" s="418" t="str">
        <f>IF(COUNTA($CZ$4:$ED$4)=0,"",IF('2.ชื่อนักเรียน'!R12="ย้าย","ย้าย",HJ6))</f>
        <v/>
      </c>
      <c r="EF6" s="418">
        <v>2</v>
      </c>
      <c r="EG6" s="420"/>
      <c r="EH6" s="446"/>
      <c r="EI6" s="420"/>
      <c r="EJ6" s="420"/>
      <c r="EK6" s="420"/>
      <c r="EL6" s="420"/>
      <c r="EM6" s="420"/>
      <c r="EN6" s="420"/>
      <c r="EO6" s="420"/>
      <c r="EP6" s="420"/>
      <c r="EQ6" s="420"/>
      <c r="ER6" s="420"/>
      <c r="ES6" s="420"/>
      <c r="ET6" s="420"/>
      <c r="EU6" s="420"/>
      <c r="EV6" s="420"/>
      <c r="EW6" s="420"/>
      <c r="EX6" s="420"/>
      <c r="EY6" s="420"/>
      <c r="EZ6" s="420"/>
      <c r="FA6" s="420"/>
      <c r="FB6" s="420"/>
      <c r="FC6" s="420"/>
      <c r="FD6" s="420"/>
      <c r="FE6" s="420"/>
      <c r="FF6" s="420"/>
      <c r="FG6" s="420"/>
      <c r="FH6" s="420"/>
      <c r="FI6" s="420"/>
      <c r="FJ6" s="420"/>
      <c r="FK6" s="420"/>
      <c r="FL6" s="418" t="str">
        <f>IF(COUNTA($EG$4:$FK$4)=0,"",IF('2.ชื่อนักเรียน'!R12="ย้าย","ย้าย",HO6))</f>
        <v/>
      </c>
      <c r="FM6" s="418">
        <v>2</v>
      </c>
      <c r="FN6" s="419"/>
      <c r="FO6" s="420"/>
      <c r="FP6" s="420"/>
      <c r="FQ6" s="420"/>
      <c r="FR6" s="420"/>
      <c r="FS6" s="420"/>
      <c r="FT6" s="420"/>
      <c r="FU6" s="420"/>
      <c r="FV6" s="420"/>
      <c r="FW6" s="420"/>
      <c r="FX6" s="420"/>
      <c r="FY6" s="420"/>
      <c r="FZ6" s="420"/>
      <c r="GA6" s="420"/>
      <c r="GB6" s="420"/>
      <c r="GC6" s="420"/>
      <c r="GD6" s="420"/>
      <c r="GE6" s="420"/>
      <c r="GF6" s="420"/>
      <c r="GG6" s="420"/>
      <c r="GH6" s="420"/>
      <c r="GI6" s="420"/>
      <c r="GJ6" s="420"/>
      <c r="GK6" s="420"/>
      <c r="GL6" s="420"/>
      <c r="GM6" s="420"/>
      <c r="GN6" s="420"/>
      <c r="GO6" s="420"/>
      <c r="GP6" s="420"/>
      <c r="GQ6" s="421"/>
      <c r="GR6" s="421"/>
      <c r="GS6" s="418" t="str">
        <f>IF(COUNTA($FN$4:$GR$4)=0,"",IF('2.ชื่อนักเรียน'!R12="ย้าย","ย้าย",HU6))</f>
        <v/>
      </c>
      <c r="GT6" s="418">
        <v>2</v>
      </c>
      <c r="GU6" s="422" t="str">
        <f>IF(OR(COUNTA($E$4:$AI$4)=0,$A6=""),"",IF('2.ชื่อนักเรียน'!R12="ย้าย","-",COUNTIF($E6:$AI6,"/")))</f>
        <v/>
      </c>
      <c r="GV6" s="425" t="str">
        <f>IF(OR(COUNTA($E$4:$AI$4)=0,$A6=""),"",IF('2.ชื่อนักเรียน'!R12="ย้าย","-",COUNTIF($E6:$AI6,"ส")))</f>
        <v/>
      </c>
      <c r="GW6" s="423" t="str">
        <f>IF(OR(COUNTA($E$4:$AI$4)=0,$A6=""),"",IF('2.ชื่อนักเรียน'!R12="ย้าย","-",COUNTIF($E6:$AI6,"ป")))</f>
        <v/>
      </c>
      <c r="GX6" s="423" t="str">
        <f>IF(OR(COUNTA($E$4:$AI$4)=0,$A6=""),"",IF('2.ชื่อนักเรียน'!R12="ย้าย","-",COUNTIF($E6:$AI6,"ล")))</f>
        <v/>
      </c>
      <c r="GY6" s="426" t="str">
        <f>IF(OR(COUNTA($E$4:$AI$4)=0,$A6=""),"",IF('2.ชื่อนักเรียน'!R12="ย้าย","-",COUNTIF($E6:$AI6,"ข")))</f>
        <v/>
      </c>
      <c r="GZ6" s="422" t="str">
        <f>IF(OR(COUNTA($AL$4:$BP$4)=0,$A6=""),"",IF('2.ชื่อนักเรียน'!R12="ย้าย","-",COUNTIF($AL6:$BP6,"/")))</f>
        <v/>
      </c>
      <c r="HA6" s="425" t="str">
        <f>IF(OR(COUNTA($AL$4:$BP$4)=0,$A6=""),"",IF('2.ชื่อนักเรียน'!R12="ย้าย","-",COUNTIF($AL6:$BP6,"ส")))</f>
        <v/>
      </c>
      <c r="HB6" s="423" t="str">
        <f>IF(OR(COUNTA($AL$4:$BP$4)=0,$A6=""),"",IF('2.ชื่อนักเรียน'!R12="ย้าย","-",COUNTIF($AL6:$BP6,"ป")))</f>
        <v/>
      </c>
      <c r="HC6" s="423" t="str">
        <f>IF(OR(COUNTA($AL$4:$BP$4)=0,$A6=""),"",IF('2.ชื่อนักเรียน'!R12="ย้าย","-",COUNTIF($AL6:$BP6,"ล")))</f>
        <v/>
      </c>
      <c r="HD6" s="426" t="str">
        <f>IF(OR(COUNTA($AL$4:$BP$4)=0,$A6=""),"",IF('2.ชื่อนักเรียน'!R12="ย้าย","-",COUNTIF($AL6:$BP6,"ข")))</f>
        <v/>
      </c>
      <c r="HE6" s="422" t="str">
        <f>IF(OR(COUNTA($BS$4:$CW$4)=0,$A6=""),"",IF('2.ชื่อนักเรียน'!R12="ย้าย","-",COUNTIF($BS6:$CW6,"/")))</f>
        <v/>
      </c>
      <c r="HF6" s="425" t="str">
        <f>IF(OR(COUNTA($BS$4:$CW$4)=0,$A6=""),"",IF('2.ชื่อนักเรียน'!R12="ย้าย","-",COUNTIF($BS6:$CW6,"ส")))</f>
        <v/>
      </c>
      <c r="HG6" s="423" t="str">
        <f>IF(OR(COUNTA($BS$4:$CW$4)=0,$A6=""),"",IF('2.ชื่อนักเรียน'!R12="ย้าย","-",COUNTIF($BS6:$CW6,"ป")))</f>
        <v/>
      </c>
      <c r="HH6" s="423" t="str">
        <f>IF(OR(COUNTA($BS$4:$CW$4)=0,$A6=""),"",IF('2.ชื่อนักเรียน'!R12="ย้าย","-",COUNTIF($BS6:$CW6,"ล")))</f>
        <v/>
      </c>
      <c r="HI6" s="426" t="str">
        <f>IF(OR(COUNTA($BS$4:$CW$4)=0,$A6=""),"",IF('2.ชื่อนักเรียน'!R12="ย้าย","-",COUNTIF($BS6:$CW6,"ข")))</f>
        <v/>
      </c>
      <c r="HJ6" s="422" t="str">
        <f>IF(OR(COUNTA($CZ$4:$ED$4)=0,$A6=""),"",IF('2.ชื่อนักเรียน'!R12="ย้าย","-",COUNTIF($CZ6:$ED6,"/")))</f>
        <v/>
      </c>
      <c r="HK6" s="425" t="str">
        <f>IF(OR(COUNTA($CZ$4:$ED$4)=0,$A6=""),"",IF('2.ชื่อนักเรียน'!R12="ย้าย","-",COUNTIF($CZ6:$ED6,"ส")))</f>
        <v/>
      </c>
      <c r="HL6" s="423" t="str">
        <f>IF(OR(COUNTA($CZ$4:$ED$4)=0,$A6=""),"",IF('2.ชื่อนักเรียน'!R12="ย้าย","-",COUNTIF($CZ6:$ED6,"ป")))</f>
        <v/>
      </c>
      <c r="HM6" s="423" t="str">
        <f>IF(OR(COUNTA($CZ$4:$ED$4)=0,A6=""),"",IF('2.ชื่อนักเรียน'!R12="ย้าย","-",COUNTIF($CZ6:$ED6,"ล")))</f>
        <v/>
      </c>
      <c r="HN6" s="426" t="str">
        <f>IF(OR(COUNTA($CZ$4:$ED$4)=0,A6=""),"",IF('2.ชื่อนักเรียน'!R12="ย้าย","-",COUNTIF($CZ6:$ED6,"ข")))</f>
        <v/>
      </c>
      <c r="HO6" s="422" t="str">
        <f>IF(OR(COUNTA($EG$4:$FK$4)=0,$A6=""),"",IF('2.ชื่อนักเรียน'!R12="ย้าย","-",COUNTIF($EG6:$FK6,"/")))</f>
        <v/>
      </c>
      <c r="HP6" s="425" t="str">
        <f>IF(OR(COUNTA($EG$4:$FK$4)=0,$A6=""),"",IF('2.ชื่อนักเรียน'!R12="ย้าย","-",COUNTIF($EG6:$FK6,"ส")))</f>
        <v/>
      </c>
      <c r="HQ6" s="423" t="str">
        <f>IF(OR(COUNTA($EG$4:$FK$4)=0,$A6=""),"",IF('2.ชื่อนักเรียน'!R12="ย้าย","-",COUNTIF($EG6:$FK6,"ป")))</f>
        <v/>
      </c>
      <c r="HR6" s="423" t="str">
        <f>IF(OR(COUNTA($EG$4:$FK$4)=0,A6=""),"",IF('2.ชื่อนักเรียน'!R12="ย้าย","-",COUNTIF($EG6:$FK6,"ล")))</f>
        <v/>
      </c>
      <c r="HS6" s="426" t="str">
        <f>IF(OR(COUNTA($EG$4:$FK$4)=0,A6=""),"",IF('2.ชื่อนักเรียน'!R12="ย้าย","-",COUNTIF($EG6:$FK6,"ข")))</f>
        <v/>
      </c>
      <c r="HT6" s="418">
        <v>2</v>
      </c>
      <c r="HU6" s="422" t="str">
        <f>IF(OR(COUNTA($FN$4:$GR$4)=0,$A6=""),"",IF('2.ชื่อนักเรียน'!R12="ย้าย","-",COUNTIF($FN6:$GR6,"/")))</f>
        <v/>
      </c>
      <c r="HV6" s="425" t="str">
        <f>IF(OR(COUNTA($FN$4:$GR$4)=0,$A6=""),"",IF('2.ชื่อนักเรียน'!R12="ย้าย","-",COUNTIF($FN6:$GR6,"ส")))</f>
        <v/>
      </c>
      <c r="HW6" s="423" t="str">
        <f>IF(OR(COUNTA($FN$4:$GR$4)=0,$A6=""),"",IF('2.ชื่อนักเรียน'!R12="ย้าย","-",COUNTIF($FN6:$GR6,"ป")))</f>
        <v/>
      </c>
      <c r="HX6" s="423" t="str">
        <f>IF(OR(COUNTA($FN$4:$GR$4)=0,A6=""),"",IF('2.ชื่อนักเรียน'!R12="ย้าย","-",COUNTIF($FN6:$GR6,"ล")))</f>
        <v/>
      </c>
      <c r="HY6" s="423" t="str">
        <f>IF(OR(COUNTA($FN$4:$GR$4)=0,A6=""),"",IF('2.ชื่อนักเรียน'!R12="ย้าย","-",COUNTIF($FN6:$GR6,"ข")))</f>
        <v/>
      </c>
      <c r="HZ6" s="422" t="str">
        <f>IF(OR(COUNTA($GU$3:$HS$3,$HU$3)=0,$A6=""),"",IF('2.ชื่อนักเรียน'!R12="ย้าย","-",SUM(GU6,GZ6,HE6,HJ6,HO6,HU6)))</f>
        <v/>
      </c>
      <c r="IA6" s="425" t="str">
        <f>IF(OR(COUNTA($GU$3:$HS$3,$HU$3)=0,$A6=""),"",IF('2.ชื่อนักเรียน'!R12="ย้าย","-",SUM(GV6,HA6,HF6,HK6,HP6,HV6)))</f>
        <v/>
      </c>
      <c r="IB6" s="423" t="str">
        <f>IF(OR(COUNTA($GU$3:$HS$3,$HU$3)=0,$A6=""),"",IF('2.ชื่อนักเรียน'!R12="ย้าย","-",SUM(GW6,HB6,HG6,HL6,HQ6,HW6)))</f>
        <v/>
      </c>
      <c r="IC6" s="423" t="str">
        <f>IF(OR(COUNTA($GU$3:$HS$3,$HU$3)=0,$A6=""),"",IF('2.ชื่อนักเรียน'!R12="ย้าย","-",SUM(GX6,HC6,HH6,HM6,HR6,HX6)))</f>
        <v/>
      </c>
      <c r="ID6" s="424" t="str">
        <f>IF(OR(COUNTA($GU$3:$HS$3,$HU$3)=0,$A6=""),"",IF('2.ชื่อนักเรียน'!R12="ย้าย","-",SUM(GY6,HD6,HI6,HN6,HS6,HY6)))</f>
        <v/>
      </c>
      <c r="IE6" s="418" t="str">
        <f t="shared" ref="IE6:IE49" si="0">IF(HZ6="","",HZ6)</f>
        <v/>
      </c>
      <c r="IF6" s="438" t="str">
        <f>IF(IE6="","",IF('2.ชื่อนักเรียน'!R12="ย้าย","ย้าย",(IE6*100)/COUNTA($E$4:$AI$4,$AL$4:$BP$4,$BS$4:$CW$4,$CZ$4:$ED$4,$EG$4:$FK$4,$FN$4:$GR$4)))</f>
        <v/>
      </c>
      <c r="IG6" s="449"/>
      <c r="IH6" s="611"/>
      <c r="II6" s="611"/>
      <c r="IJ6" s="611"/>
      <c r="IK6" s="611"/>
      <c r="IL6" s="611"/>
      <c r="IM6" s="611"/>
      <c r="IN6" s="611"/>
      <c r="IO6" s="611"/>
      <c r="IP6" s="611"/>
      <c r="IQ6" s="611"/>
      <c r="IR6" s="450"/>
      <c r="IT6" s="446" t="s">
        <v>699</v>
      </c>
      <c r="IU6" s="446"/>
      <c r="IV6" s="446"/>
      <c r="IW6" s="446" t="s">
        <v>640</v>
      </c>
    </row>
    <row r="7" spans="1:259" ht="21" customHeight="1" x14ac:dyDescent="0.4">
      <c r="A7" s="416" t="str">
        <f>IF(Name3="","",Name3)</f>
        <v/>
      </c>
      <c r="B7" s="417" t="str">
        <f>IF(Surname3="","",Surname3)</f>
        <v/>
      </c>
      <c r="C7" s="442" t="str">
        <f>IF('2.ชื่อนักเรียน'!R13="","",'2.ชื่อนักเรียน'!R13)</f>
        <v/>
      </c>
      <c r="D7" s="418">
        <v>3</v>
      </c>
      <c r="E7" s="419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1"/>
      <c r="AJ7" s="418" t="str">
        <f>IF(COUNTA($E$4:AI$4)=0,"",IF('2.ชื่อนักเรียน'!R13="ย้าย","ย้าย",GU7))</f>
        <v/>
      </c>
      <c r="AK7" s="418">
        <v>3</v>
      </c>
      <c r="AL7" s="420"/>
      <c r="AM7" s="420"/>
      <c r="AN7" s="420"/>
      <c r="AO7" s="420"/>
      <c r="AP7" s="420"/>
      <c r="AQ7" s="420"/>
      <c r="AR7" s="420"/>
      <c r="AS7" s="420"/>
      <c r="AT7" s="420"/>
      <c r="AU7" s="420"/>
      <c r="AV7" s="420"/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0"/>
      <c r="BL7" s="420"/>
      <c r="BM7" s="420"/>
      <c r="BN7" s="420"/>
      <c r="BO7" s="420"/>
      <c r="BP7" s="420"/>
      <c r="BQ7" s="418" t="str">
        <f>IF(COUNTA($AL$4:$BP$4)=0,"",IF('2.ชื่อนักเรียน'!R13="ย้าย","ย้าย",GZ7))</f>
        <v/>
      </c>
      <c r="BR7" s="418">
        <v>3</v>
      </c>
      <c r="BS7" s="419"/>
      <c r="BT7" s="420"/>
      <c r="BU7" s="420"/>
      <c r="BV7" s="420"/>
      <c r="BW7" s="420"/>
      <c r="BX7" s="420"/>
      <c r="BY7" s="420"/>
      <c r="BZ7" s="420"/>
      <c r="CA7" s="420"/>
      <c r="CB7" s="420"/>
      <c r="CC7" s="420"/>
      <c r="CD7" s="420"/>
      <c r="CE7" s="420"/>
      <c r="CF7" s="420"/>
      <c r="CG7" s="420"/>
      <c r="CH7" s="420"/>
      <c r="CI7" s="420"/>
      <c r="CJ7" s="420"/>
      <c r="CK7" s="420"/>
      <c r="CL7" s="420"/>
      <c r="CM7" s="420"/>
      <c r="CN7" s="420"/>
      <c r="CO7" s="420"/>
      <c r="CP7" s="420"/>
      <c r="CQ7" s="420"/>
      <c r="CR7" s="420"/>
      <c r="CS7" s="420"/>
      <c r="CT7" s="420"/>
      <c r="CU7" s="420"/>
      <c r="CV7" s="421"/>
      <c r="CW7" s="420"/>
      <c r="CX7" s="418" t="str">
        <f>IF(COUNTA($BS$4:$CW$4)=0,"",IF('2.ชื่อนักเรียน'!R13="ย้าย","ย้าย",HE7))</f>
        <v/>
      </c>
      <c r="CY7" s="418">
        <v>3</v>
      </c>
      <c r="CZ7" s="420"/>
      <c r="DA7" s="420"/>
      <c r="DB7" s="420"/>
      <c r="DC7" s="420"/>
      <c r="DD7" s="420"/>
      <c r="DE7" s="420"/>
      <c r="DF7" s="420"/>
      <c r="DG7" s="420"/>
      <c r="DH7" s="420"/>
      <c r="DI7" s="420"/>
      <c r="DJ7" s="420"/>
      <c r="DK7" s="420"/>
      <c r="DL7" s="420"/>
      <c r="DM7" s="420"/>
      <c r="DN7" s="420"/>
      <c r="DO7" s="420"/>
      <c r="DP7" s="420"/>
      <c r="DQ7" s="420"/>
      <c r="DR7" s="420"/>
      <c r="DS7" s="420"/>
      <c r="DT7" s="420"/>
      <c r="DU7" s="420"/>
      <c r="DV7" s="420"/>
      <c r="DW7" s="420"/>
      <c r="DX7" s="420"/>
      <c r="DY7" s="420"/>
      <c r="DZ7" s="420"/>
      <c r="EA7" s="420"/>
      <c r="EB7" s="420"/>
      <c r="EC7" s="421"/>
      <c r="ED7" s="421"/>
      <c r="EE7" s="418" t="str">
        <f>IF(COUNTA($CZ$4:$ED$4)=0,"",IF('2.ชื่อนักเรียน'!R13="ย้าย","ย้าย",HJ7))</f>
        <v/>
      </c>
      <c r="EF7" s="418">
        <v>3</v>
      </c>
      <c r="EG7" s="420"/>
      <c r="EH7" s="420"/>
      <c r="EI7" s="420"/>
      <c r="EJ7" s="420"/>
      <c r="EK7" s="420"/>
      <c r="EL7" s="420"/>
      <c r="EM7" s="420"/>
      <c r="EN7" s="420"/>
      <c r="EO7" s="420"/>
      <c r="EP7" s="420"/>
      <c r="EQ7" s="420"/>
      <c r="ER7" s="420"/>
      <c r="ES7" s="420"/>
      <c r="ET7" s="420"/>
      <c r="EU7" s="420"/>
      <c r="EV7" s="420"/>
      <c r="EW7" s="420"/>
      <c r="EX7" s="420"/>
      <c r="EY7" s="420"/>
      <c r="EZ7" s="420"/>
      <c r="FA7" s="420"/>
      <c r="FB7" s="420"/>
      <c r="FC7" s="420"/>
      <c r="FD7" s="420"/>
      <c r="FE7" s="420"/>
      <c r="FF7" s="420"/>
      <c r="FG7" s="420"/>
      <c r="FH7" s="420"/>
      <c r="FI7" s="420"/>
      <c r="FJ7" s="420"/>
      <c r="FK7" s="420"/>
      <c r="FL7" s="418" t="str">
        <f>IF(COUNTA($EG$4:$FK$4)=0,"",IF('2.ชื่อนักเรียน'!R13="ย้าย","ย้าย",HO7))</f>
        <v/>
      </c>
      <c r="FM7" s="418">
        <v>3</v>
      </c>
      <c r="FN7" s="419"/>
      <c r="FO7" s="420"/>
      <c r="FP7" s="420"/>
      <c r="FQ7" s="420"/>
      <c r="FR7" s="420"/>
      <c r="FS7" s="420"/>
      <c r="FT7" s="420"/>
      <c r="FU7" s="420"/>
      <c r="FV7" s="420"/>
      <c r="FW7" s="420"/>
      <c r="FX7" s="420"/>
      <c r="FY7" s="420"/>
      <c r="FZ7" s="420"/>
      <c r="GA7" s="420"/>
      <c r="GB7" s="420"/>
      <c r="GC7" s="420"/>
      <c r="GD7" s="420"/>
      <c r="GE7" s="420"/>
      <c r="GF7" s="420"/>
      <c r="GG7" s="420"/>
      <c r="GH7" s="420"/>
      <c r="GI7" s="420"/>
      <c r="GJ7" s="420"/>
      <c r="GK7" s="420"/>
      <c r="GL7" s="420"/>
      <c r="GM7" s="420"/>
      <c r="GN7" s="420"/>
      <c r="GO7" s="420"/>
      <c r="GP7" s="420"/>
      <c r="GQ7" s="421"/>
      <c r="GR7" s="421"/>
      <c r="GS7" s="418" t="str">
        <f>IF(COUNTA($FN$4:$GR$4)=0,"",IF('2.ชื่อนักเรียน'!R13="ย้าย","ย้าย",HU7))</f>
        <v/>
      </c>
      <c r="GT7" s="418">
        <v>3</v>
      </c>
      <c r="GU7" s="422" t="str">
        <f>IF(OR(COUNTA($E$4:$AI$4)=0,$A7=""),"",IF('2.ชื่อนักเรียน'!R13="ย้าย","-",COUNTIF($E7:$AI7,"/")))</f>
        <v/>
      </c>
      <c r="GV7" s="425" t="str">
        <f>IF(OR(COUNTA($E$4:$AI$4)=0,$A7=""),"",IF('2.ชื่อนักเรียน'!R13="ย้าย","-",COUNTIF($E7:$AI7,"ส")))</f>
        <v/>
      </c>
      <c r="GW7" s="423" t="str">
        <f>IF(OR(COUNTA($E$4:$AI$4)=0,$A7=""),"",IF('2.ชื่อนักเรียน'!R13="ย้าย","-",COUNTIF($E7:$AI7,"ป")))</f>
        <v/>
      </c>
      <c r="GX7" s="423" t="str">
        <f>IF(OR(COUNTA($E$4:$AI$4)=0,$A7=""),"",IF('2.ชื่อนักเรียน'!R13="ย้าย","-",COUNTIF($E7:$AI7,"ล")))</f>
        <v/>
      </c>
      <c r="GY7" s="426" t="str">
        <f>IF(OR(COUNTA($E$4:$AI$4)=0,$A7=""),"",IF('2.ชื่อนักเรียน'!R13="ย้าย","-",COUNTIF($E7:$AI7,"ข")))</f>
        <v/>
      </c>
      <c r="GZ7" s="422" t="str">
        <f>IF(OR(COUNTA($AL$4:$BP$4)=0,$A7=""),"",IF('2.ชื่อนักเรียน'!R13="ย้าย","-",COUNTIF($AL7:$BP7,"/")))</f>
        <v/>
      </c>
      <c r="HA7" s="425" t="str">
        <f>IF(OR(COUNTA($AL$4:$BP$4)=0,$A7=""),"",IF('2.ชื่อนักเรียน'!R13="ย้าย","-",COUNTIF($AL7:$BP7,"ส")))</f>
        <v/>
      </c>
      <c r="HB7" s="423" t="str">
        <f>IF(OR(COUNTA($AL$4:$BP$4)=0,$A7=""),"",IF('2.ชื่อนักเรียน'!R13="ย้าย","-",COUNTIF($AL7:$BP7,"ป")))</f>
        <v/>
      </c>
      <c r="HC7" s="423" t="str">
        <f>IF(OR(COUNTA($AL$4:$BP$4)=0,$A7=""),"",IF('2.ชื่อนักเรียน'!R13="ย้าย","-",COUNTIF($AL7:$BP7,"ล")))</f>
        <v/>
      </c>
      <c r="HD7" s="426" t="str">
        <f>IF(OR(COUNTA($AL$4:$BP$4)=0,$A7=""),"",IF('2.ชื่อนักเรียน'!R13="ย้าย","-",COUNTIF($AL7:$BP7,"ข")))</f>
        <v/>
      </c>
      <c r="HE7" s="422" t="str">
        <f>IF(OR(COUNTA($BS$4:$CW$4)=0,$A7=""),"",IF('2.ชื่อนักเรียน'!R13="ย้าย","-",COUNTIF($BS7:$CW7,"/")))</f>
        <v/>
      </c>
      <c r="HF7" s="425" t="str">
        <f>IF(OR(COUNTA($BS$4:$CW$4)=0,$A7=""),"",IF('2.ชื่อนักเรียน'!R13="ย้าย","-",COUNTIF($BS7:$CW7,"ส")))</f>
        <v/>
      </c>
      <c r="HG7" s="423" t="str">
        <f>IF(OR(COUNTA($BS$4:$CW$4)=0,$A7=""),"",IF('2.ชื่อนักเรียน'!R13="ย้าย","-",COUNTIF($BS7:$CW7,"ป")))</f>
        <v/>
      </c>
      <c r="HH7" s="423" t="str">
        <f>IF(OR(COUNTA($BS$4:$CW$4)=0,$A7=""),"",IF('2.ชื่อนักเรียน'!R13="ย้าย","-",COUNTIF($BS7:$CW7,"ล")))</f>
        <v/>
      </c>
      <c r="HI7" s="426" t="str">
        <f>IF(OR(COUNTA($BS$4:$CW$4)=0,$A7=""),"",IF('2.ชื่อนักเรียน'!R13="ย้าย","-",COUNTIF($BS7:$CW7,"ข")))</f>
        <v/>
      </c>
      <c r="HJ7" s="422" t="str">
        <f>IF(OR(COUNTA($CZ$4:$ED$4)=0,$A7=""),"",IF('2.ชื่อนักเรียน'!R13="ย้าย","-",COUNTIF($CZ7:$ED7,"/")))</f>
        <v/>
      </c>
      <c r="HK7" s="425" t="str">
        <f>IF(OR(COUNTA($CZ$4:$ED$4)=0,$A7=""),"",IF('2.ชื่อนักเรียน'!R13="ย้าย","-",COUNTIF($CZ7:$ED7,"ส")))</f>
        <v/>
      </c>
      <c r="HL7" s="423" t="str">
        <f>IF(OR(COUNTA($CZ$4:$ED$4)=0,$A7=""),"",IF('2.ชื่อนักเรียน'!R13="ย้าย","-",COUNTIF($CZ7:$ED7,"ป")))</f>
        <v/>
      </c>
      <c r="HM7" s="423" t="str">
        <f>IF(OR(COUNTA($CZ$4:$ED$4)=0,A7=""),"",IF('2.ชื่อนักเรียน'!R13="ย้าย","-",COUNTIF($CZ7:$ED7,"ล")))</f>
        <v/>
      </c>
      <c r="HN7" s="426" t="str">
        <f>IF(OR(COUNTA($CZ$4:$ED$4)=0,A7=""),"",IF('2.ชื่อนักเรียน'!R13="ย้าย","-",COUNTIF($CZ7:$ED7,"ข")))</f>
        <v/>
      </c>
      <c r="HO7" s="422" t="str">
        <f>IF(OR(COUNTA($EG$4:$FK$4)=0,$A7=""),"",IF('2.ชื่อนักเรียน'!R13="ย้าย","-",COUNTIF($EG7:$FK7,"/")))</f>
        <v/>
      </c>
      <c r="HP7" s="425" t="str">
        <f>IF(OR(COUNTA($EG$4:$FK$4)=0,$A7=""),"",IF('2.ชื่อนักเรียน'!R13="ย้าย","-",COUNTIF($EG7:$FK7,"ส")))</f>
        <v/>
      </c>
      <c r="HQ7" s="423" t="str">
        <f>IF(OR(COUNTA($EG$4:$FK$4)=0,$A7=""),"",IF('2.ชื่อนักเรียน'!R13="ย้าย","-",COUNTIF($EG7:$FK7,"ป")))</f>
        <v/>
      </c>
      <c r="HR7" s="423" t="str">
        <f>IF(OR(COUNTA($EG$4:$FK$4)=0,A7=""),"",IF('2.ชื่อนักเรียน'!R13="ย้าย","-",COUNTIF($EG7:$FK7,"ล")))</f>
        <v/>
      </c>
      <c r="HS7" s="426" t="str">
        <f>IF(OR(COUNTA($EG$4:$FK$4)=0,A7=""),"",IF('2.ชื่อนักเรียน'!R13="ย้าย","-",COUNTIF($EG7:$FK7,"ข")))</f>
        <v/>
      </c>
      <c r="HT7" s="418">
        <v>3</v>
      </c>
      <c r="HU7" s="422" t="str">
        <f>IF(OR(COUNTA($FN$4:$GR$4)=0,$A7=""),"",IF('2.ชื่อนักเรียน'!R13="ย้าย","-",COUNTIF($FN7:$GR7,"/")))</f>
        <v/>
      </c>
      <c r="HV7" s="425" t="str">
        <f>IF(OR(COUNTA($FN$4:$GR$4)=0,$A7=""),"",IF('2.ชื่อนักเรียน'!R13="ย้าย","-",COUNTIF($FN7:$GR7,"ส")))</f>
        <v/>
      </c>
      <c r="HW7" s="423" t="str">
        <f>IF(OR(COUNTA($FN$4:$GR$4)=0,$A7=""),"",IF('2.ชื่อนักเรียน'!R13="ย้าย","-",COUNTIF($FN7:$GR7,"ป")))</f>
        <v/>
      </c>
      <c r="HX7" s="423" t="str">
        <f>IF(OR(COUNTA($FN$4:$GR$4)=0,A7=""),"",IF('2.ชื่อนักเรียน'!R13="ย้าย","-",COUNTIF($FN7:$GR7,"ล")))</f>
        <v/>
      </c>
      <c r="HY7" s="423" t="str">
        <f>IF(OR(COUNTA($FN$4:$GR$4)=0,A7=""),"",IF('2.ชื่อนักเรียน'!R13="ย้าย","-",COUNTIF($FN7:$GR7,"ข")))</f>
        <v/>
      </c>
      <c r="HZ7" s="422" t="str">
        <f>IF(OR(COUNTA($GU$3:$HS$3,$HU$3)=0,$A7=""),"",IF('2.ชื่อนักเรียน'!R13="ย้าย","-",SUM(GU7,GZ7,HE7,HJ7,HO7,HU7)))</f>
        <v/>
      </c>
      <c r="IA7" s="425" t="str">
        <f>IF(OR(COUNTA($GU$3:$HS$3,$HU$3)=0,$A7=""),"",IF('2.ชื่อนักเรียน'!R13="ย้าย","-",SUM(GV7,HA7,HF7,HK7,HP7,HV7)))</f>
        <v/>
      </c>
      <c r="IB7" s="423" t="str">
        <f>IF(OR(COUNTA($GU$3:$HS$3,$HU$3)=0,$A7=""),"",IF('2.ชื่อนักเรียน'!R13="ย้าย","-",SUM(GW7,HB7,HG7,HL7,HQ7,HW7)))</f>
        <v/>
      </c>
      <c r="IC7" s="423" t="str">
        <f>IF(OR(COUNTA($GU$3:$HS$3,$HU$3)=0,$A7=""),"",IF('2.ชื่อนักเรียน'!R13="ย้าย","-",SUM(GX7,HC7,HH7,HM7,HR7,HX7)))</f>
        <v/>
      </c>
      <c r="ID7" s="424" t="str">
        <f>IF(OR(COUNTA($GU$3:$HS$3,$HU$3)=0,$A7=""),"",IF('2.ชื่อนักเรียน'!R13="ย้าย","-",SUM(GY7,HD7,HI7,HN7,HS7,HY7)))</f>
        <v/>
      </c>
      <c r="IE7" s="418" t="str">
        <f t="shared" si="0"/>
        <v/>
      </c>
      <c r="IF7" s="438" t="str">
        <f>IF(IE7="","",IF('2.ชื่อนักเรียน'!R13="ย้าย","ย้าย",(IE7*100)/COUNTA($E$4:$AI$4,$AL$4:$BP$4,$BS$4:$CW$4,$CZ$4:$ED$4,$EG$4:$FK$4,$FN$4:$GR$4)))</f>
        <v/>
      </c>
      <c r="IG7" s="449"/>
      <c r="IH7" s="611"/>
      <c r="II7" s="611"/>
      <c r="IJ7" s="611"/>
      <c r="IK7" s="611"/>
      <c r="IL7" s="611"/>
      <c r="IM7" s="611"/>
      <c r="IN7" s="611"/>
      <c r="IO7" s="611"/>
      <c r="IP7" s="611"/>
      <c r="IQ7" s="611"/>
      <c r="IR7" s="450"/>
      <c r="IT7" s="446" t="s">
        <v>690</v>
      </c>
      <c r="IU7" s="446"/>
      <c r="IV7" s="446"/>
      <c r="IW7" s="446" t="s">
        <v>629</v>
      </c>
    </row>
    <row r="8" spans="1:259" ht="21" customHeight="1" x14ac:dyDescent="0.4">
      <c r="A8" s="416" t="str">
        <f>IF(Name4="","",Name4)</f>
        <v/>
      </c>
      <c r="B8" s="417" t="str">
        <f>IF(Surname4="","",Surname4)</f>
        <v/>
      </c>
      <c r="C8" s="442" t="str">
        <f>IF('2.ชื่อนักเรียน'!R14="","",'2.ชื่อนักเรียน'!R14)</f>
        <v/>
      </c>
      <c r="D8" s="418">
        <v>4</v>
      </c>
      <c r="E8" s="419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1"/>
      <c r="AJ8" s="418" t="str">
        <f>IF(COUNTA($E$4:AI$4)=0,"",IF('2.ชื่อนักเรียน'!R14="ย้าย","ย้าย",GU8))</f>
        <v/>
      </c>
      <c r="AK8" s="418">
        <v>4</v>
      </c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18" t="str">
        <f>IF(COUNTA($AL$4:$BP$4)=0,"",IF('2.ชื่อนักเรียน'!R14="ย้าย","ย้าย",GZ8))</f>
        <v/>
      </c>
      <c r="BR8" s="418">
        <v>4</v>
      </c>
      <c r="BS8" s="419"/>
      <c r="BT8" s="420"/>
      <c r="BU8" s="420"/>
      <c r="BV8" s="420"/>
      <c r="BW8" s="420"/>
      <c r="BX8" s="420"/>
      <c r="BY8" s="420"/>
      <c r="BZ8" s="420"/>
      <c r="CA8" s="420"/>
      <c r="CB8" s="420"/>
      <c r="CC8" s="420"/>
      <c r="CD8" s="420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  <c r="CR8" s="420"/>
      <c r="CS8" s="420"/>
      <c r="CT8" s="420"/>
      <c r="CU8" s="420"/>
      <c r="CV8" s="421"/>
      <c r="CW8" s="420"/>
      <c r="CX8" s="418" t="str">
        <f>IF(COUNTA($BS$4:$CW$4)=0,"",IF('2.ชื่อนักเรียน'!R14="ย้าย","ย้าย",HE8))</f>
        <v/>
      </c>
      <c r="CY8" s="418">
        <v>4</v>
      </c>
      <c r="CZ8" s="420"/>
      <c r="DA8" s="420"/>
      <c r="DB8" s="420"/>
      <c r="DC8" s="420"/>
      <c r="DD8" s="420"/>
      <c r="DE8" s="420"/>
      <c r="DF8" s="420"/>
      <c r="DG8" s="420"/>
      <c r="DH8" s="420"/>
      <c r="DI8" s="420"/>
      <c r="DJ8" s="420"/>
      <c r="DK8" s="420"/>
      <c r="DL8" s="420"/>
      <c r="DM8" s="420"/>
      <c r="DN8" s="420"/>
      <c r="DO8" s="420"/>
      <c r="DP8" s="420"/>
      <c r="DQ8" s="420"/>
      <c r="DR8" s="420"/>
      <c r="DS8" s="420"/>
      <c r="DT8" s="420"/>
      <c r="DU8" s="420"/>
      <c r="DV8" s="420"/>
      <c r="DW8" s="420"/>
      <c r="DX8" s="420"/>
      <c r="DY8" s="420"/>
      <c r="DZ8" s="420"/>
      <c r="EA8" s="420"/>
      <c r="EB8" s="420"/>
      <c r="EC8" s="421"/>
      <c r="ED8" s="421"/>
      <c r="EE8" s="418" t="str">
        <f>IF(COUNTA($CZ$4:$ED$4)=0,"",IF('2.ชื่อนักเรียน'!R14="ย้าย","ย้าย",HJ8))</f>
        <v/>
      </c>
      <c r="EF8" s="418">
        <v>4</v>
      </c>
      <c r="EG8" s="420"/>
      <c r="EH8" s="420"/>
      <c r="EI8" s="420"/>
      <c r="EJ8" s="420"/>
      <c r="EK8" s="420"/>
      <c r="EL8" s="420"/>
      <c r="EM8" s="420"/>
      <c r="EN8" s="420"/>
      <c r="EO8" s="420"/>
      <c r="EP8" s="420"/>
      <c r="EQ8" s="420"/>
      <c r="ER8" s="420"/>
      <c r="ES8" s="420"/>
      <c r="ET8" s="420"/>
      <c r="EU8" s="420"/>
      <c r="EV8" s="420"/>
      <c r="EW8" s="420"/>
      <c r="EX8" s="420"/>
      <c r="EY8" s="420"/>
      <c r="EZ8" s="420"/>
      <c r="FA8" s="420"/>
      <c r="FB8" s="420"/>
      <c r="FC8" s="420"/>
      <c r="FD8" s="420"/>
      <c r="FE8" s="420"/>
      <c r="FF8" s="420"/>
      <c r="FG8" s="420"/>
      <c r="FH8" s="420"/>
      <c r="FI8" s="420"/>
      <c r="FJ8" s="420"/>
      <c r="FK8" s="420"/>
      <c r="FL8" s="418" t="str">
        <f>IF(COUNTA($EG$4:$FK$4)=0,"",IF('2.ชื่อนักเรียน'!R14="ย้าย","ย้าย",HO8))</f>
        <v/>
      </c>
      <c r="FM8" s="418">
        <v>4</v>
      </c>
      <c r="FN8" s="419"/>
      <c r="FO8" s="420"/>
      <c r="FP8" s="420"/>
      <c r="FQ8" s="420"/>
      <c r="FR8" s="420"/>
      <c r="FS8" s="420"/>
      <c r="FT8" s="420"/>
      <c r="FU8" s="420"/>
      <c r="FV8" s="420"/>
      <c r="FW8" s="420"/>
      <c r="FX8" s="420"/>
      <c r="FY8" s="420"/>
      <c r="FZ8" s="420"/>
      <c r="GA8" s="420"/>
      <c r="GB8" s="420"/>
      <c r="GC8" s="420"/>
      <c r="GD8" s="420"/>
      <c r="GE8" s="420"/>
      <c r="GF8" s="420"/>
      <c r="GG8" s="420"/>
      <c r="GH8" s="420"/>
      <c r="GI8" s="420"/>
      <c r="GJ8" s="420"/>
      <c r="GK8" s="420"/>
      <c r="GL8" s="420"/>
      <c r="GM8" s="420"/>
      <c r="GN8" s="420"/>
      <c r="GO8" s="420"/>
      <c r="GP8" s="420"/>
      <c r="GQ8" s="421"/>
      <c r="GR8" s="421"/>
      <c r="GS8" s="418" t="str">
        <f>IF(COUNTA($FN$4:$GR$4)=0,"",IF('2.ชื่อนักเรียน'!R14="ย้าย","ย้าย",HU8))</f>
        <v/>
      </c>
      <c r="GT8" s="418">
        <v>4</v>
      </c>
      <c r="GU8" s="422" t="str">
        <f>IF(OR(COUNTA($E$4:$AI$4)=0,$A8=""),"",IF('2.ชื่อนักเรียน'!R14="ย้าย","-",COUNTIF($E8:$AI8,"/")))</f>
        <v/>
      </c>
      <c r="GV8" s="425" t="str">
        <f>IF(OR(COUNTA($E$4:$AI$4)=0,$A8=""),"",IF('2.ชื่อนักเรียน'!R14="ย้าย","-",COUNTIF($E8:$AI8,"ส")))</f>
        <v/>
      </c>
      <c r="GW8" s="423" t="str">
        <f>IF(OR(COUNTA($E$4:$AI$4)=0,$A8=""),"",IF('2.ชื่อนักเรียน'!R14="ย้าย","-",COUNTIF($E8:$AI8,"ป")))</f>
        <v/>
      </c>
      <c r="GX8" s="423" t="str">
        <f>IF(OR(COUNTA($E$4:$AI$4)=0,$A8=""),"",IF('2.ชื่อนักเรียน'!R14="ย้าย","-",COUNTIF($E8:$AI8,"ล")))</f>
        <v/>
      </c>
      <c r="GY8" s="426" t="str">
        <f>IF(OR(COUNTA($E$4:$AI$4)=0,$A8=""),"",IF('2.ชื่อนักเรียน'!R14="ย้าย","-",COUNTIF($E8:$AI8,"ข")))</f>
        <v/>
      </c>
      <c r="GZ8" s="422" t="str">
        <f>IF(OR(COUNTA($AL$4:$BP$4)=0,$A8=""),"",IF('2.ชื่อนักเรียน'!R14="ย้าย","-",COUNTIF($AL8:$BP8,"/")))</f>
        <v/>
      </c>
      <c r="HA8" s="425" t="str">
        <f>IF(OR(COUNTA($AL$4:$BP$4)=0,$A8=""),"",IF('2.ชื่อนักเรียน'!R14="ย้าย","-",COUNTIF($AL8:$BP8,"ส")))</f>
        <v/>
      </c>
      <c r="HB8" s="423" t="str">
        <f>IF(OR(COUNTA($AL$4:$BP$4)=0,$A8=""),"",IF('2.ชื่อนักเรียน'!R14="ย้าย","-",COUNTIF($AL8:$BP8,"ป")))</f>
        <v/>
      </c>
      <c r="HC8" s="423" t="str">
        <f>IF(OR(COUNTA($AL$4:$BP$4)=0,$A8=""),"",IF('2.ชื่อนักเรียน'!R14="ย้าย","-",COUNTIF($AL8:$BP8,"ล")))</f>
        <v/>
      </c>
      <c r="HD8" s="426" t="str">
        <f>IF(OR(COUNTA($AL$4:$BP$4)=0,$A8=""),"",IF('2.ชื่อนักเรียน'!R14="ย้าย","-",COUNTIF($AL8:$BP8,"ข")))</f>
        <v/>
      </c>
      <c r="HE8" s="422" t="str">
        <f>IF(OR(COUNTA($BS$4:$CW$4)=0,$A8=""),"",IF('2.ชื่อนักเรียน'!R14="ย้าย","-",COUNTIF($BS8:$CW8,"/")))</f>
        <v/>
      </c>
      <c r="HF8" s="425" t="str">
        <f>IF(OR(COUNTA($BS$4:$CW$4)=0,$A8=""),"",IF('2.ชื่อนักเรียน'!R14="ย้าย","-",COUNTIF($BS8:$CW8,"ส")))</f>
        <v/>
      </c>
      <c r="HG8" s="423" t="str">
        <f>IF(OR(COUNTA($BS$4:$CW$4)=0,$A8=""),"",IF('2.ชื่อนักเรียน'!R14="ย้าย","-",COUNTIF($BS8:$CW8,"ป")))</f>
        <v/>
      </c>
      <c r="HH8" s="423" t="str">
        <f>IF(OR(COUNTA($BS$4:$CW$4)=0,$A8=""),"",IF('2.ชื่อนักเรียน'!R14="ย้าย","-",COUNTIF($BS8:$CW8,"ล")))</f>
        <v/>
      </c>
      <c r="HI8" s="426" t="str">
        <f>IF(OR(COUNTA($BS$4:$CW$4)=0,$A8=""),"",IF('2.ชื่อนักเรียน'!R14="ย้าย","-",COUNTIF($BS8:$CW8,"ข")))</f>
        <v/>
      </c>
      <c r="HJ8" s="422" t="str">
        <f>IF(OR(COUNTA($CZ$4:$ED$4)=0,$A8=""),"",IF('2.ชื่อนักเรียน'!R14="ย้าย","-",COUNTIF($CZ8:$ED8,"/")))</f>
        <v/>
      </c>
      <c r="HK8" s="425" t="str">
        <f>IF(OR(COUNTA($CZ$4:$ED$4)=0,$A8=""),"",IF('2.ชื่อนักเรียน'!R14="ย้าย","-",COUNTIF($CZ8:$ED8,"ส")))</f>
        <v/>
      </c>
      <c r="HL8" s="423" t="str">
        <f>IF(OR(COUNTA($CZ$4:$ED$4)=0,$A8=""),"",IF('2.ชื่อนักเรียน'!R14="ย้าย","-",COUNTIF($CZ8:$ED8,"ป")))</f>
        <v/>
      </c>
      <c r="HM8" s="423" t="str">
        <f>IF(OR(COUNTA($CZ$4:$ED$4)=0,A8=""),"",IF('2.ชื่อนักเรียน'!R14="ย้าย","-",COUNTIF($CZ8:$ED8,"ล")))</f>
        <v/>
      </c>
      <c r="HN8" s="426" t="str">
        <f>IF(OR(COUNTA($CZ$4:$ED$4)=0,A8=""),"",IF('2.ชื่อนักเรียน'!R14="ย้าย","-",COUNTIF($CZ8:$ED8,"ข")))</f>
        <v/>
      </c>
      <c r="HO8" s="422" t="str">
        <f>IF(OR(COUNTA($EG$4:$FK$4)=0,$A8=""),"",IF('2.ชื่อนักเรียน'!R14="ย้าย","-",COUNTIF($EG8:$FK8,"/")))</f>
        <v/>
      </c>
      <c r="HP8" s="425" t="str">
        <f>IF(OR(COUNTA($EG$4:$FK$4)=0,$A8=""),"",IF('2.ชื่อนักเรียน'!R14="ย้าย","-",COUNTIF($EG8:$FK8,"ส")))</f>
        <v/>
      </c>
      <c r="HQ8" s="423" t="str">
        <f>IF(OR(COUNTA($EG$4:$FK$4)=0,$A8=""),"",IF('2.ชื่อนักเรียน'!R14="ย้าย","-",COUNTIF($EG8:$FK8,"ป")))</f>
        <v/>
      </c>
      <c r="HR8" s="423" t="str">
        <f>IF(OR(COUNTA($EG$4:$FK$4)=0,A8=""),"",IF('2.ชื่อนักเรียน'!R14="ย้าย","-",COUNTIF($EG8:$FK8,"ล")))</f>
        <v/>
      </c>
      <c r="HS8" s="426" t="str">
        <f>IF(OR(COUNTA($EG$4:$FK$4)=0,A8=""),"",IF('2.ชื่อนักเรียน'!R14="ย้าย","-",COUNTIF($EG8:$FK8,"ข")))</f>
        <v/>
      </c>
      <c r="HT8" s="418">
        <v>4</v>
      </c>
      <c r="HU8" s="422" t="str">
        <f>IF(OR(COUNTA($FN$4:$GR$4)=0,$A8=""),"",IF('2.ชื่อนักเรียน'!R14="ย้าย","-",COUNTIF($FN8:$GR8,"/")))</f>
        <v/>
      </c>
      <c r="HV8" s="425" t="str">
        <f>IF(OR(COUNTA($FN$4:$GR$4)=0,$A8=""),"",IF('2.ชื่อนักเรียน'!R14="ย้าย","-",COUNTIF($FN8:$GR8,"ส")))</f>
        <v/>
      </c>
      <c r="HW8" s="423" t="str">
        <f>IF(OR(COUNTA($FN$4:$GR$4)=0,$A8=""),"",IF('2.ชื่อนักเรียน'!R14="ย้าย","-",COUNTIF($FN8:$GR8,"ป")))</f>
        <v/>
      </c>
      <c r="HX8" s="423" t="str">
        <f>IF(OR(COUNTA($FN$4:$GR$4)=0,A8=""),"",IF('2.ชื่อนักเรียน'!R14="ย้าย","-",COUNTIF($FN8:$GR8,"ล")))</f>
        <v/>
      </c>
      <c r="HY8" s="423" t="str">
        <f>IF(OR(COUNTA($FN$4:$GR$4)=0,A8=""),"",IF('2.ชื่อนักเรียน'!R14="ย้าย","-",COUNTIF($FN8:$GR8,"ข")))</f>
        <v/>
      </c>
      <c r="HZ8" s="422" t="str">
        <f>IF(OR(COUNTA($GU$3:$HS$3,$HU$3)=0,$A8=""),"",IF('2.ชื่อนักเรียน'!R14="ย้าย","-",SUM(GU8,GZ8,HE8,HJ8,HO8,HU8)))</f>
        <v/>
      </c>
      <c r="IA8" s="425" t="str">
        <f>IF(OR(COUNTA($GU$3:$HS$3,$HU$3)=0,$A8=""),"",IF('2.ชื่อนักเรียน'!R14="ย้าย","-",SUM(GV8,HA8,HF8,HK8,HP8,HV8)))</f>
        <v/>
      </c>
      <c r="IB8" s="423" t="str">
        <f>IF(OR(COUNTA($GU$3:$HS$3,$HU$3)=0,$A8=""),"",IF('2.ชื่อนักเรียน'!R14="ย้าย","-",SUM(GW8,HB8,HG8,HL8,HQ8,HW8)))</f>
        <v/>
      </c>
      <c r="IC8" s="423" t="str">
        <f>IF(OR(COUNTA($GU$3:$HS$3,$HU$3)=0,$A8=""),"",IF('2.ชื่อนักเรียน'!R14="ย้าย","-",SUM(GX8,HC8,HH8,HM8,HR8,HX8)))</f>
        <v/>
      </c>
      <c r="ID8" s="424" t="str">
        <f>IF(OR(COUNTA($GU$3:$HS$3,$HU$3)=0,$A8=""),"",IF('2.ชื่อนักเรียน'!R14="ย้าย","-",SUM(GY8,HD8,HI8,HN8,HS8,HY8)))</f>
        <v/>
      </c>
      <c r="IE8" s="418" t="str">
        <f t="shared" si="0"/>
        <v/>
      </c>
      <c r="IF8" s="438" t="str">
        <f>IF(IE8="","",IF('2.ชื่อนักเรียน'!R14="ย้าย","ย้าย",(IE8*100)/COUNTA($E$4:$AI$4,$AL$4:$BP$4,$BS$4:$CW$4,$CZ$4:$ED$4,$EG$4:$FK$4,$FN$4:$GR$4)))</f>
        <v/>
      </c>
      <c r="IG8" s="449"/>
      <c r="IH8" s="611"/>
      <c r="II8" s="611"/>
      <c r="IJ8" s="611"/>
      <c r="IK8" s="611"/>
      <c r="IL8" s="611"/>
      <c r="IM8" s="611"/>
      <c r="IN8" s="611"/>
      <c r="IO8" s="611"/>
      <c r="IP8" s="611"/>
      <c r="IQ8" s="611"/>
      <c r="IR8" s="450"/>
      <c r="IT8" s="446" t="s">
        <v>637</v>
      </c>
      <c r="IU8" s="446"/>
      <c r="IV8" s="446"/>
      <c r="IW8" s="446" t="s">
        <v>641</v>
      </c>
    </row>
    <row r="9" spans="1:259" ht="21" customHeight="1" x14ac:dyDescent="0.4">
      <c r="A9" s="416" t="str">
        <f>IF(Name5="","",Name5)</f>
        <v/>
      </c>
      <c r="B9" s="417" t="str">
        <f>IF(Surname5="","",Surname5)</f>
        <v/>
      </c>
      <c r="C9" s="442" t="str">
        <f>IF('2.ชื่อนักเรียน'!R15="","",'2.ชื่อนักเรียน'!R15)</f>
        <v/>
      </c>
      <c r="D9" s="418">
        <v>5</v>
      </c>
      <c r="E9" s="419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1"/>
      <c r="AJ9" s="418" t="str">
        <f>IF(COUNTA($E$4:AI$4)=0,"",IF('2.ชื่อนักเรียน'!R15="ย้าย","ย้าย",GU9))</f>
        <v/>
      </c>
      <c r="AK9" s="418">
        <v>5</v>
      </c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18" t="str">
        <f>IF(COUNTA($AL$4:$BP$4)=0,"",IF('2.ชื่อนักเรียน'!R15="ย้าย","ย้าย",GZ9))</f>
        <v/>
      </c>
      <c r="BR9" s="418">
        <v>5</v>
      </c>
      <c r="BS9" s="419"/>
      <c r="BT9" s="420"/>
      <c r="BU9" s="420"/>
      <c r="BV9" s="420"/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1"/>
      <c r="CW9" s="420"/>
      <c r="CX9" s="418" t="str">
        <f>IF(COUNTA($BS$4:$CW$4)=0,"",IF('2.ชื่อนักเรียน'!R15="ย้าย","ย้าย",HE9))</f>
        <v/>
      </c>
      <c r="CY9" s="418">
        <v>5</v>
      </c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420"/>
      <c r="DL9" s="420"/>
      <c r="DM9" s="420"/>
      <c r="DN9" s="420"/>
      <c r="DO9" s="420"/>
      <c r="DP9" s="420"/>
      <c r="DQ9" s="420"/>
      <c r="DR9" s="420"/>
      <c r="DS9" s="420"/>
      <c r="DT9" s="420"/>
      <c r="DU9" s="420"/>
      <c r="DV9" s="420"/>
      <c r="DW9" s="420"/>
      <c r="DX9" s="420"/>
      <c r="DY9" s="420"/>
      <c r="DZ9" s="420"/>
      <c r="EA9" s="420"/>
      <c r="EB9" s="420"/>
      <c r="EC9" s="421"/>
      <c r="ED9" s="421"/>
      <c r="EE9" s="418" t="str">
        <f>IF(COUNTA($CZ$4:$ED$4)=0,"",IF('2.ชื่อนักเรียน'!R15="ย้าย","ย้าย",HJ9))</f>
        <v/>
      </c>
      <c r="EF9" s="418">
        <v>5</v>
      </c>
      <c r="EG9" s="420"/>
      <c r="EH9" s="420"/>
      <c r="EI9" s="420"/>
      <c r="EJ9" s="420"/>
      <c r="EK9" s="420"/>
      <c r="EL9" s="420"/>
      <c r="EM9" s="420"/>
      <c r="EN9" s="420"/>
      <c r="EO9" s="420"/>
      <c r="EP9" s="420"/>
      <c r="EQ9" s="420"/>
      <c r="ER9" s="420"/>
      <c r="ES9" s="420"/>
      <c r="ET9" s="420"/>
      <c r="EU9" s="420"/>
      <c r="EV9" s="420"/>
      <c r="EW9" s="420"/>
      <c r="EX9" s="420"/>
      <c r="EY9" s="420"/>
      <c r="EZ9" s="420"/>
      <c r="FA9" s="420"/>
      <c r="FB9" s="420"/>
      <c r="FC9" s="420"/>
      <c r="FD9" s="420"/>
      <c r="FE9" s="420"/>
      <c r="FF9" s="420"/>
      <c r="FG9" s="420"/>
      <c r="FH9" s="420"/>
      <c r="FI9" s="420"/>
      <c r="FJ9" s="420"/>
      <c r="FK9" s="420"/>
      <c r="FL9" s="418" t="str">
        <f>IF(COUNTA($EG$4:$FK$4)=0,"",IF('2.ชื่อนักเรียน'!R15="ย้าย","ย้าย",HO9))</f>
        <v/>
      </c>
      <c r="FM9" s="418">
        <v>5</v>
      </c>
      <c r="FN9" s="419"/>
      <c r="FO9" s="420"/>
      <c r="FP9" s="420"/>
      <c r="FQ9" s="420"/>
      <c r="FR9" s="420"/>
      <c r="FS9" s="420"/>
      <c r="FT9" s="420"/>
      <c r="FU9" s="420"/>
      <c r="FV9" s="420"/>
      <c r="FW9" s="420"/>
      <c r="FX9" s="420"/>
      <c r="FY9" s="420"/>
      <c r="FZ9" s="420"/>
      <c r="GA9" s="420"/>
      <c r="GB9" s="420"/>
      <c r="GC9" s="420"/>
      <c r="GD9" s="420"/>
      <c r="GE9" s="420"/>
      <c r="GF9" s="420"/>
      <c r="GG9" s="420"/>
      <c r="GH9" s="420"/>
      <c r="GI9" s="420"/>
      <c r="GJ9" s="420"/>
      <c r="GK9" s="420"/>
      <c r="GL9" s="420"/>
      <c r="GM9" s="420"/>
      <c r="GN9" s="420"/>
      <c r="GO9" s="420"/>
      <c r="GP9" s="420"/>
      <c r="GQ9" s="421"/>
      <c r="GR9" s="421"/>
      <c r="GS9" s="418" t="str">
        <f>IF(COUNTA($FN$4:$GR$4)=0,"",IF('2.ชื่อนักเรียน'!R15="ย้าย","ย้าย",HU9))</f>
        <v/>
      </c>
      <c r="GT9" s="418">
        <v>5</v>
      </c>
      <c r="GU9" s="422" t="str">
        <f>IF(OR(COUNTA($E$4:$AI$4)=0,$A9=""),"",IF('2.ชื่อนักเรียน'!R15="ย้าย","-",COUNTIF($E9:$AI9,"/")))</f>
        <v/>
      </c>
      <c r="GV9" s="425" t="str">
        <f>IF(OR(COUNTA($E$4:$AI$4)=0,$A9=""),"",IF('2.ชื่อนักเรียน'!R15="ย้าย","-",COUNTIF($E9:$AI9,"ส")))</f>
        <v/>
      </c>
      <c r="GW9" s="423" t="str">
        <f>IF(OR(COUNTA($E$4:$AI$4)=0,$A9=""),"",IF('2.ชื่อนักเรียน'!R15="ย้าย","-",COUNTIF($E9:$AI9,"ป")))</f>
        <v/>
      </c>
      <c r="GX9" s="423" t="str">
        <f>IF(OR(COUNTA($E$4:$AI$4)=0,$A9=""),"",IF('2.ชื่อนักเรียน'!R15="ย้าย","-",COUNTIF($E9:$AI9,"ล")))</f>
        <v/>
      </c>
      <c r="GY9" s="426" t="str">
        <f>IF(OR(COUNTA($E$4:$AI$4)=0,$A9=""),"",IF('2.ชื่อนักเรียน'!R15="ย้าย","-",COUNTIF($E9:$AI9,"ข")))</f>
        <v/>
      </c>
      <c r="GZ9" s="422" t="str">
        <f>IF(OR(COUNTA($AL$4:$BP$4)=0,$A9=""),"",IF('2.ชื่อนักเรียน'!R15="ย้าย","-",COUNTIF($AL9:$BP9,"/")))</f>
        <v/>
      </c>
      <c r="HA9" s="425" t="str">
        <f>IF(OR(COUNTA($AL$4:$BP$4)=0,$A9=""),"",IF('2.ชื่อนักเรียน'!R15="ย้าย","-",COUNTIF($AL9:$BP9,"ส")))</f>
        <v/>
      </c>
      <c r="HB9" s="423" t="str">
        <f>IF(OR(COUNTA($AL$4:$BP$4)=0,$A9=""),"",IF('2.ชื่อนักเรียน'!R15="ย้าย","-",COUNTIF($AL9:$BP9,"ป")))</f>
        <v/>
      </c>
      <c r="HC9" s="423" t="str">
        <f>IF(OR(COUNTA($AL$4:$BP$4)=0,$A9=""),"",IF('2.ชื่อนักเรียน'!R15="ย้าย","-",COUNTIF($AL9:$BP9,"ล")))</f>
        <v/>
      </c>
      <c r="HD9" s="426" t="str">
        <f>IF(OR(COUNTA($AL$4:$BP$4)=0,$A9=""),"",IF('2.ชื่อนักเรียน'!R15="ย้าย","-",COUNTIF($AL9:$BP9,"ข")))</f>
        <v/>
      </c>
      <c r="HE9" s="422" t="str">
        <f>IF(OR(COUNTA($BS$4:$CW$4)=0,$A9=""),"",IF('2.ชื่อนักเรียน'!R15="ย้าย","-",COUNTIF($BS9:$CW9,"/")))</f>
        <v/>
      </c>
      <c r="HF9" s="425" t="str">
        <f>IF(OR(COUNTA($BS$4:$CW$4)=0,$A9=""),"",IF('2.ชื่อนักเรียน'!R15="ย้าย","-",COUNTIF($BS9:$CW9,"ส")))</f>
        <v/>
      </c>
      <c r="HG9" s="423" t="str">
        <f>IF(OR(COUNTA($BS$4:$CW$4)=0,$A9=""),"",IF('2.ชื่อนักเรียน'!R15="ย้าย","-",COUNTIF($BS9:$CW9,"ป")))</f>
        <v/>
      </c>
      <c r="HH9" s="423" t="str">
        <f>IF(OR(COUNTA($BS$4:$CW$4)=0,$A9=""),"",IF('2.ชื่อนักเรียน'!R15="ย้าย","-",COUNTIF($BS9:$CW9,"ล")))</f>
        <v/>
      </c>
      <c r="HI9" s="426" t="str">
        <f>IF(OR(COUNTA($BS$4:$CW$4)=0,$A9=""),"",IF('2.ชื่อนักเรียน'!R15="ย้าย","-",COUNTIF($BS9:$CW9,"ข")))</f>
        <v/>
      </c>
      <c r="HJ9" s="422" t="str">
        <f>IF(OR(COUNTA($CZ$4:$ED$4)=0,$A9=""),"",IF('2.ชื่อนักเรียน'!R15="ย้าย","-",COUNTIF($CZ9:$ED9,"/")))</f>
        <v/>
      </c>
      <c r="HK9" s="425" t="str">
        <f>IF(OR(COUNTA($CZ$4:$ED$4)=0,$A9=""),"",IF('2.ชื่อนักเรียน'!R15="ย้าย","-",COUNTIF($CZ9:$ED9,"ส")))</f>
        <v/>
      </c>
      <c r="HL9" s="423" t="str">
        <f>IF(OR(COUNTA($CZ$4:$ED$4)=0,$A9=""),"",IF('2.ชื่อนักเรียน'!R15="ย้าย","-",COUNTIF($CZ9:$ED9,"ป")))</f>
        <v/>
      </c>
      <c r="HM9" s="423" t="str">
        <f>IF(OR(COUNTA($CZ$4:$ED$4)=0,A9=""),"",IF('2.ชื่อนักเรียน'!R15="ย้าย","-",COUNTIF($CZ9:$ED9,"ล")))</f>
        <v/>
      </c>
      <c r="HN9" s="426" t="str">
        <f>IF(OR(COUNTA($CZ$4:$ED$4)=0,A9=""),"",IF('2.ชื่อนักเรียน'!R15="ย้าย","-",COUNTIF($CZ9:$ED9,"ข")))</f>
        <v/>
      </c>
      <c r="HO9" s="422" t="str">
        <f>IF(OR(COUNTA($EG$4:$FK$4)=0,$A9=""),"",IF('2.ชื่อนักเรียน'!R15="ย้าย","-",COUNTIF($EG9:$FK9,"/")))</f>
        <v/>
      </c>
      <c r="HP9" s="425" t="str">
        <f>IF(OR(COUNTA($EG$4:$FK$4)=0,$A9=""),"",IF('2.ชื่อนักเรียน'!R15="ย้าย","-",COUNTIF($EG9:$FK9,"ส")))</f>
        <v/>
      </c>
      <c r="HQ9" s="423" t="str">
        <f>IF(OR(COUNTA($EG$4:$FK$4)=0,$A9=""),"",IF('2.ชื่อนักเรียน'!R15="ย้าย","-",COUNTIF($EG9:$FK9,"ป")))</f>
        <v/>
      </c>
      <c r="HR9" s="423" t="str">
        <f>IF(OR(COUNTA($EG$4:$FK$4)=0,A9=""),"",IF('2.ชื่อนักเรียน'!R15="ย้าย","-",COUNTIF($EG9:$FK9,"ล")))</f>
        <v/>
      </c>
      <c r="HS9" s="426" t="str">
        <f>IF(OR(COUNTA($EG$4:$FK$4)=0,A9=""),"",IF('2.ชื่อนักเรียน'!R15="ย้าย","-",COUNTIF($EG9:$FK9,"ข")))</f>
        <v/>
      </c>
      <c r="HT9" s="418">
        <v>5</v>
      </c>
      <c r="HU9" s="422" t="str">
        <f>IF(OR(COUNTA($FN$4:$GR$4)=0,$A9=""),"",IF('2.ชื่อนักเรียน'!R15="ย้าย","-",COUNTIF($FN9:$GR9,"/")))</f>
        <v/>
      </c>
      <c r="HV9" s="425" t="str">
        <f>IF(OR(COUNTA($FN$4:$GR$4)=0,$A9=""),"",IF('2.ชื่อนักเรียน'!R15="ย้าย","-",COUNTIF($FN9:$GR9,"ส")))</f>
        <v/>
      </c>
      <c r="HW9" s="423" t="str">
        <f>IF(OR(COUNTA($FN$4:$GR$4)=0,$A9=""),"",IF('2.ชื่อนักเรียน'!R15="ย้าย","-",COUNTIF($FN9:$GR9,"ป")))</f>
        <v/>
      </c>
      <c r="HX9" s="423" t="str">
        <f>IF(OR(COUNTA($FN$4:$GR$4)=0,A9=""),"",IF('2.ชื่อนักเรียน'!R15="ย้าย","-",COUNTIF($FN9:$GR9,"ล")))</f>
        <v/>
      </c>
      <c r="HY9" s="423" t="str">
        <f>IF(OR(COUNTA($FN$4:$GR$4)=0,A9=""),"",IF('2.ชื่อนักเรียน'!R15="ย้าย","-",COUNTIF($FN9:$GR9,"ข")))</f>
        <v/>
      </c>
      <c r="HZ9" s="422" t="str">
        <f>IF(OR(COUNTA($GU$3:$HS$3,$HU$3)=0,$A9=""),"",IF('2.ชื่อนักเรียน'!R15="ย้าย","-",SUM(GU9,GZ9,HE9,HJ9,HO9,HU9)))</f>
        <v/>
      </c>
      <c r="IA9" s="425" t="str">
        <f>IF(OR(COUNTA($GU$3:$HS$3,$HU$3)=0,$A9=""),"",IF('2.ชื่อนักเรียน'!R15="ย้าย","-",SUM(GV9,HA9,HF9,HK9,HP9,HV9)))</f>
        <v/>
      </c>
      <c r="IB9" s="423" t="str">
        <f>IF(OR(COUNTA($GU$3:$HS$3,$HU$3)=0,$A9=""),"",IF('2.ชื่อนักเรียน'!R15="ย้าย","-",SUM(GW9,HB9,HG9,HL9,HQ9,HW9)))</f>
        <v/>
      </c>
      <c r="IC9" s="423" t="str">
        <f>IF(OR(COUNTA($GU$3:$HS$3,$HU$3)=0,$A9=""),"",IF('2.ชื่อนักเรียน'!R15="ย้าย","-",SUM(GX9,HC9,HH9,HM9,HR9,HX9)))</f>
        <v/>
      </c>
      <c r="ID9" s="424" t="str">
        <f>IF(OR(COUNTA($GU$3:$HS$3,$HU$3)=0,$A9=""),"",IF('2.ชื่อนักเรียน'!R15="ย้าย","-",SUM(GY9,HD9,HI9,HN9,HS9,HY9)))</f>
        <v/>
      </c>
      <c r="IE9" s="418" t="str">
        <f t="shared" si="0"/>
        <v/>
      </c>
      <c r="IF9" s="438" t="str">
        <f>IF(IE9="","",IF('2.ชื่อนักเรียน'!R15="ย้าย","ย้าย",(IE9*100)/COUNTA($E$4:$AI$4,$AL$4:$BP$4,$BS$4:$CW$4,$CZ$4:$ED$4,$EG$4:$FK$4,$FN$4:$GR$4)))</f>
        <v/>
      </c>
      <c r="IG9" s="449"/>
      <c r="IH9" s="611"/>
      <c r="II9" s="611"/>
      <c r="IJ9" s="611"/>
      <c r="IK9" s="611"/>
      <c r="IL9" s="611"/>
      <c r="IM9" s="611"/>
      <c r="IN9" s="611"/>
      <c r="IO9" s="611"/>
      <c r="IP9" s="611"/>
      <c r="IQ9" s="611"/>
      <c r="IR9" s="450"/>
      <c r="IT9" s="446" t="s">
        <v>638</v>
      </c>
      <c r="IU9" s="446"/>
      <c r="IV9" s="446"/>
      <c r="IW9" s="446" t="s">
        <v>642</v>
      </c>
    </row>
    <row r="10" spans="1:259" ht="21" customHeight="1" x14ac:dyDescent="0.4">
      <c r="A10" s="416" t="str">
        <f>IF(Name6="","",Name6)</f>
        <v/>
      </c>
      <c r="B10" s="417" t="str">
        <f>IF(Surname6="","",Surname6)</f>
        <v/>
      </c>
      <c r="C10" s="442" t="str">
        <f>IF('2.ชื่อนักเรียน'!R16="","",'2.ชื่อนักเรียน'!R16)</f>
        <v/>
      </c>
      <c r="D10" s="418">
        <v>6</v>
      </c>
      <c r="E10" s="419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1"/>
      <c r="AJ10" s="418" t="str">
        <f>IF(COUNTA($E$4:AI$4)=0,"",IF('2.ชื่อนักเรียน'!R16="ย้าย","ย้าย",GU10))</f>
        <v/>
      </c>
      <c r="AK10" s="418">
        <v>6</v>
      </c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18" t="str">
        <f>IF(COUNTA($AL$4:$BP$4)=0,"",IF('2.ชื่อนักเรียน'!R16="ย้าย","ย้าย",GZ10))</f>
        <v/>
      </c>
      <c r="BR10" s="418">
        <v>6</v>
      </c>
      <c r="BS10" s="419"/>
      <c r="BT10" s="420"/>
      <c r="BU10" s="420"/>
      <c r="BV10" s="420"/>
      <c r="BW10" s="420"/>
      <c r="BX10" s="420"/>
      <c r="BY10" s="420"/>
      <c r="BZ10" s="420"/>
      <c r="CA10" s="420"/>
      <c r="CB10" s="420"/>
      <c r="CC10" s="420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1"/>
      <c r="CW10" s="420"/>
      <c r="CX10" s="418" t="str">
        <f>IF(COUNTA($BS$4:$CW$4)=0,"",IF('2.ชื่อนักเรียน'!R16="ย้าย","ย้าย",HE10))</f>
        <v/>
      </c>
      <c r="CY10" s="418">
        <v>6</v>
      </c>
      <c r="CZ10" s="420"/>
      <c r="DA10" s="420"/>
      <c r="DB10" s="420"/>
      <c r="DC10" s="420"/>
      <c r="DD10" s="420"/>
      <c r="DE10" s="420"/>
      <c r="DF10" s="420"/>
      <c r="DG10" s="420"/>
      <c r="DH10" s="420"/>
      <c r="DI10" s="420"/>
      <c r="DJ10" s="420"/>
      <c r="DK10" s="420"/>
      <c r="DL10" s="420"/>
      <c r="DM10" s="420"/>
      <c r="DN10" s="420"/>
      <c r="DO10" s="420"/>
      <c r="DP10" s="420"/>
      <c r="DQ10" s="420"/>
      <c r="DR10" s="420"/>
      <c r="DS10" s="420"/>
      <c r="DT10" s="420"/>
      <c r="DU10" s="420"/>
      <c r="DV10" s="420"/>
      <c r="DW10" s="420"/>
      <c r="DX10" s="420"/>
      <c r="DY10" s="420"/>
      <c r="DZ10" s="420"/>
      <c r="EA10" s="420"/>
      <c r="EB10" s="420"/>
      <c r="EC10" s="421"/>
      <c r="ED10" s="421"/>
      <c r="EE10" s="418" t="str">
        <f>IF(COUNTA($CZ$4:$ED$4)=0,"",IF('2.ชื่อนักเรียน'!R16="ย้าย","ย้าย",HJ10))</f>
        <v/>
      </c>
      <c r="EF10" s="418">
        <v>6</v>
      </c>
      <c r="EG10" s="420"/>
      <c r="EH10" s="420"/>
      <c r="EI10" s="420"/>
      <c r="EJ10" s="420"/>
      <c r="EK10" s="420"/>
      <c r="EL10" s="420"/>
      <c r="EM10" s="420"/>
      <c r="EN10" s="420"/>
      <c r="EO10" s="420"/>
      <c r="EP10" s="420"/>
      <c r="EQ10" s="420"/>
      <c r="ER10" s="420"/>
      <c r="ES10" s="420"/>
      <c r="ET10" s="420"/>
      <c r="EU10" s="420"/>
      <c r="EV10" s="420"/>
      <c r="EW10" s="420"/>
      <c r="EX10" s="420"/>
      <c r="EY10" s="420"/>
      <c r="EZ10" s="420"/>
      <c r="FA10" s="420"/>
      <c r="FB10" s="420"/>
      <c r="FC10" s="420"/>
      <c r="FD10" s="420"/>
      <c r="FE10" s="420"/>
      <c r="FF10" s="420"/>
      <c r="FG10" s="420"/>
      <c r="FH10" s="420"/>
      <c r="FI10" s="420"/>
      <c r="FJ10" s="420"/>
      <c r="FK10" s="420"/>
      <c r="FL10" s="418" t="str">
        <f>IF(COUNTA($EG$4:$FK$4)=0,"",IF('2.ชื่อนักเรียน'!R16="ย้าย","ย้าย",HO10))</f>
        <v/>
      </c>
      <c r="FM10" s="418">
        <v>6</v>
      </c>
      <c r="FN10" s="419"/>
      <c r="FO10" s="420"/>
      <c r="FP10" s="420"/>
      <c r="FQ10" s="420"/>
      <c r="FR10" s="420"/>
      <c r="FS10" s="420"/>
      <c r="FT10" s="420"/>
      <c r="FU10" s="420"/>
      <c r="FV10" s="420"/>
      <c r="FW10" s="420"/>
      <c r="FX10" s="420"/>
      <c r="FY10" s="420"/>
      <c r="FZ10" s="420"/>
      <c r="GA10" s="420"/>
      <c r="GB10" s="420"/>
      <c r="GC10" s="420"/>
      <c r="GD10" s="420"/>
      <c r="GE10" s="420"/>
      <c r="GF10" s="420"/>
      <c r="GG10" s="420"/>
      <c r="GH10" s="420"/>
      <c r="GI10" s="420"/>
      <c r="GJ10" s="420"/>
      <c r="GK10" s="420"/>
      <c r="GL10" s="420"/>
      <c r="GM10" s="420"/>
      <c r="GN10" s="420"/>
      <c r="GO10" s="420"/>
      <c r="GP10" s="420"/>
      <c r="GQ10" s="421"/>
      <c r="GR10" s="421"/>
      <c r="GS10" s="418" t="str">
        <f>IF(COUNTA($FN$4:$GR$4)=0,"",IF('2.ชื่อนักเรียน'!R16="ย้าย","ย้าย",HU10))</f>
        <v/>
      </c>
      <c r="GT10" s="418">
        <v>6</v>
      </c>
      <c r="GU10" s="422" t="str">
        <f>IF(OR(COUNTA($E$4:$AI$4)=0,$A10=""),"",IF('2.ชื่อนักเรียน'!R16="ย้าย","-",COUNTIF($E10:$AI10,"/")))</f>
        <v/>
      </c>
      <c r="GV10" s="425" t="str">
        <f>IF(OR(COUNTA($E$4:$AI$4)=0,$A10=""),"",IF('2.ชื่อนักเรียน'!R16="ย้าย","-",COUNTIF($E10:$AI10,"ส")))</f>
        <v/>
      </c>
      <c r="GW10" s="423" t="str">
        <f>IF(OR(COUNTA($E$4:$AI$4)=0,$A10=""),"",IF('2.ชื่อนักเรียน'!R16="ย้าย","-",COUNTIF($E10:$AI10,"ป")))</f>
        <v/>
      </c>
      <c r="GX10" s="423" t="str">
        <f>IF(OR(COUNTA($E$4:$AI$4)=0,$A10=""),"",IF('2.ชื่อนักเรียน'!R16="ย้าย","-",COUNTIF($E10:$AI10,"ล")))</f>
        <v/>
      </c>
      <c r="GY10" s="426" t="str">
        <f>IF(OR(COUNTA($E$4:$AI$4)=0,$A10=""),"",IF('2.ชื่อนักเรียน'!R16="ย้าย","-",COUNTIF($E10:$AI10,"ข")))</f>
        <v/>
      </c>
      <c r="GZ10" s="422" t="str">
        <f>IF(OR(COUNTA($AL$4:$BP$4)=0,$A10=""),"",IF('2.ชื่อนักเรียน'!R16="ย้าย","-",COUNTIF($AL10:$BP10,"/")))</f>
        <v/>
      </c>
      <c r="HA10" s="425" t="str">
        <f>IF(OR(COUNTA($AL$4:$BP$4)=0,$A10=""),"",IF('2.ชื่อนักเรียน'!R16="ย้าย","-",COUNTIF($AL10:$BP10,"ส")))</f>
        <v/>
      </c>
      <c r="HB10" s="423" t="str">
        <f>IF(OR(COUNTA($AL$4:$BP$4)=0,$A10=""),"",IF('2.ชื่อนักเรียน'!R16="ย้าย","-",COUNTIF($AL10:$BP10,"ป")))</f>
        <v/>
      </c>
      <c r="HC10" s="423" t="str">
        <f>IF(OR(COUNTA($AL$4:$BP$4)=0,$A10=""),"",IF('2.ชื่อนักเรียน'!R16="ย้าย","-",COUNTIF($AL10:$BP10,"ล")))</f>
        <v/>
      </c>
      <c r="HD10" s="426" t="str">
        <f>IF(OR(COUNTA($AL$4:$BP$4)=0,$A10=""),"",IF('2.ชื่อนักเรียน'!R16="ย้าย","-",COUNTIF($AL10:$BP10,"ข")))</f>
        <v/>
      </c>
      <c r="HE10" s="422" t="str">
        <f>IF(OR(COUNTA($BS$4:$CW$4)=0,$A10=""),"",IF('2.ชื่อนักเรียน'!R16="ย้าย","-",COUNTIF($BS10:$CW10,"/")))</f>
        <v/>
      </c>
      <c r="HF10" s="425" t="str">
        <f>IF(OR(COUNTA($BS$4:$CW$4)=0,$A10=""),"",IF('2.ชื่อนักเรียน'!R16="ย้าย","-",COUNTIF($BS10:$CW10,"ส")))</f>
        <v/>
      </c>
      <c r="HG10" s="423" t="str">
        <f>IF(OR(COUNTA($BS$4:$CW$4)=0,$A10=""),"",IF('2.ชื่อนักเรียน'!R16="ย้าย","-",COUNTIF($BS10:$CW10,"ป")))</f>
        <v/>
      </c>
      <c r="HH10" s="423" t="str">
        <f>IF(OR(COUNTA($BS$4:$CW$4)=0,$A10=""),"",IF('2.ชื่อนักเรียน'!R16="ย้าย","-",COUNTIF($BS10:$CW10,"ล")))</f>
        <v/>
      </c>
      <c r="HI10" s="426" t="str">
        <f>IF(OR(COUNTA($BS$4:$CW$4)=0,$A10=""),"",IF('2.ชื่อนักเรียน'!R16="ย้าย","-",COUNTIF($BS10:$CW10,"ข")))</f>
        <v/>
      </c>
      <c r="HJ10" s="422" t="str">
        <f>IF(OR(COUNTA($CZ$4:$ED$4)=0,$A10=""),"",IF('2.ชื่อนักเรียน'!R16="ย้าย","-",COUNTIF($CZ10:$ED10,"/")))</f>
        <v/>
      </c>
      <c r="HK10" s="425" t="str">
        <f>IF(OR(COUNTA($CZ$4:$ED$4)=0,$A10=""),"",IF('2.ชื่อนักเรียน'!R16="ย้าย","-",COUNTIF($CZ10:$ED10,"ส")))</f>
        <v/>
      </c>
      <c r="HL10" s="423" t="str">
        <f>IF(OR(COUNTA($CZ$4:$ED$4)=0,$A10=""),"",IF('2.ชื่อนักเรียน'!R16="ย้าย","-",COUNTIF($CZ10:$ED10,"ป")))</f>
        <v/>
      </c>
      <c r="HM10" s="423" t="str">
        <f>IF(OR(COUNTA($CZ$4:$ED$4)=0,A10=""),"",IF('2.ชื่อนักเรียน'!R16="ย้าย","-",COUNTIF($CZ10:$ED10,"ล")))</f>
        <v/>
      </c>
      <c r="HN10" s="426" t="str">
        <f>IF(OR(COUNTA($CZ$4:$ED$4)=0,A10=""),"",IF('2.ชื่อนักเรียน'!R16="ย้าย","-",COUNTIF($CZ10:$ED10,"ข")))</f>
        <v/>
      </c>
      <c r="HO10" s="422" t="str">
        <f>IF(OR(COUNTA($EG$4:$FK$4)=0,$A10=""),"",IF('2.ชื่อนักเรียน'!R16="ย้าย","-",COUNTIF($EG10:$FK10,"/")))</f>
        <v/>
      </c>
      <c r="HP10" s="425" t="str">
        <f>IF(OR(COUNTA($EG$4:$FK$4)=0,$A10=""),"",IF('2.ชื่อนักเรียน'!R16="ย้าย","-",COUNTIF($EG10:$FK10,"ส")))</f>
        <v/>
      </c>
      <c r="HQ10" s="423" t="str">
        <f>IF(OR(COUNTA($EG$4:$FK$4)=0,$A10=""),"",IF('2.ชื่อนักเรียน'!R16="ย้าย","-",COUNTIF($EG10:$FK10,"ป")))</f>
        <v/>
      </c>
      <c r="HR10" s="423" t="str">
        <f>IF(OR(COUNTA($EG$4:$FK$4)=0,A10=""),"",IF('2.ชื่อนักเรียน'!R16="ย้าย","-",COUNTIF($EG10:$FK10,"ล")))</f>
        <v/>
      </c>
      <c r="HS10" s="426" t="str">
        <f>IF(OR(COUNTA($EG$4:$FK$4)=0,A10=""),"",IF('2.ชื่อนักเรียน'!R16="ย้าย","-",COUNTIF($EG10:$FK10,"ข")))</f>
        <v/>
      </c>
      <c r="HT10" s="418">
        <v>6</v>
      </c>
      <c r="HU10" s="422" t="str">
        <f>IF(OR(COUNTA($FN$4:$GR$4)=0,$A10=""),"",IF('2.ชื่อนักเรียน'!R16="ย้าย","-",COUNTIF($FN10:$GR10,"/")))</f>
        <v/>
      </c>
      <c r="HV10" s="425" t="str">
        <f>IF(OR(COUNTA($FN$4:$GR$4)=0,$A10=""),"",IF('2.ชื่อนักเรียน'!R16="ย้าย","-",COUNTIF($FN10:$GR10,"ส")))</f>
        <v/>
      </c>
      <c r="HW10" s="423" t="str">
        <f>IF(OR(COUNTA($FN$4:$GR$4)=0,$A10=""),"",IF('2.ชื่อนักเรียน'!R16="ย้าย","-",COUNTIF($FN10:$GR10,"ป")))</f>
        <v/>
      </c>
      <c r="HX10" s="423" t="str">
        <f>IF(OR(COUNTA($FN$4:$GR$4)=0,A10=""),"",IF('2.ชื่อนักเรียน'!R16="ย้าย","-",COUNTIF($FN10:$GR10,"ล")))</f>
        <v/>
      </c>
      <c r="HY10" s="423" t="str">
        <f>IF(OR(COUNTA($FN$4:$GR$4)=0,A10=""),"",IF('2.ชื่อนักเรียน'!R16="ย้าย","-",COUNTIF($FN10:$GR10,"ข")))</f>
        <v/>
      </c>
      <c r="HZ10" s="422" t="str">
        <f>IF(OR(COUNTA($GU$3:$HS$3,$HU$3)=0,$A10=""),"",IF('2.ชื่อนักเรียน'!R16="ย้าย","-",SUM(GU10,GZ10,HE10,HJ10,HO10,HU10)))</f>
        <v/>
      </c>
      <c r="IA10" s="425" t="str">
        <f>IF(OR(COUNTA($GU$3:$HS$3,$HU$3)=0,$A10=""),"",IF('2.ชื่อนักเรียน'!R16="ย้าย","-",SUM(GV10,HA10,HF10,HK10,HP10,HV10)))</f>
        <v/>
      </c>
      <c r="IB10" s="423" t="str">
        <f>IF(OR(COUNTA($GU$3:$HS$3,$HU$3)=0,$A10=""),"",IF('2.ชื่อนักเรียน'!R16="ย้าย","-",SUM(GW10,HB10,HG10,HL10,HQ10,HW10)))</f>
        <v/>
      </c>
      <c r="IC10" s="423" t="str">
        <f>IF(OR(COUNTA($GU$3:$HS$3,$HU$3)=0,$A10=""),"",IF('2.ชื่อนักเรียน'!R16="ย้าย","-",SUM(GX10,HC10,HH10,HM10,HR10,HX10)))</f>
        <v/>
      </c>
      <c r="ID10" s="424" t="str">
        <f>IF(OR(COUNTA($GU$3:$HS$3,$HU$3)=0,$A10=""),"",IF('2.ชื่อนักเรียน'!R16="ย้าย","-",SUM(GY10,HD10,HI10,HN10,HS10,HY10)))</f>
        <v/>
      </c>
      <c r="IE10" s="418" t="str">
        <f t="shared" si="0"/>
        <v/>
      </c>
      <c r="IF10" s="438" t="str">
        <f>IF(IE10="","",IF('2.ชื่อนักเรียน'!R16="ย้าย","ย้าย",(IE10*100)/COUNTA($E$4:$AI$4,$AL$4:$BP$4,$BS$4:$CW$4,$CZ$4:$ED$4,$EG$4:$FK$4,$FN$4:$GR$4)))</f>
        <v/>
      </c>
      <c r="IG10" s="449"/>
      <c r="IH10" s="611"/>
      <c r="II10" s="611"/>
      <c r="IJ10" s="611"/>
      <c r="IK10" s="611"/>
      <c r="IL10" s="611"/>
      <c r="IM10" s="611"/>
      <c r="IN10" s="611"/>
      <c r="IO10" s="611"/>
      <c r="IP10" s="611"/>
      <c r="IQ10" s="611"/>
      <c r="IR10" s="450"/>
      <c r="IT10" s="446" t="s">
        <v>639</v>
      </c>
      <c r="IU10" s="446"/>
      <c r="IV10" s="446"/>
      <c r="IW10" s="446" t="s">
        <v>643</v>
      </c>
    </row>
    <row r="11" spans="1:259" ht="21" customHeight="1" x14ac:dyDescent="0.4">
      <c r="A11" s="416" t="str">
        <f>IF(Name7="","",Name7)</f>
        <v/>
      </c>
      <c r="B11" s="417" t="str">
        <f>IF(Surname7="","",Surname7)</f>
        <v/>
      </c>
      <c r="C11" s="442" t="str">
        <f>IF('2.ชื่อนักเรียน'!R17="","",'2.ชื่อนักเรียน'!R17)</f>
        <v/>
      </c>
      <c r="D11" s="418">
        <v>7</v>
      </c>
      <c r="E11" s="419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1"/>
      <c r="AJ11" s="418" t="str">
        <f>IF(COUNTA($E$4:AI$4)=0,"",IF('2.ชื่อนักเรียน'!R17="ย้าย","ย้าย",GU11))</f>
        <v/>
      </c>
      <c r="AK11" s="418">
        <v>7</v>
      </c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18" t="str">
        <f>IF(COUNTA($AL$4:$BP$4)=0,"",IF('2.ชื่อนักเรียน'!R17="ย้าย","ย้าย",GZ11))</f>
        <v/>
      </c>
      <c r="BR11" s="418">
        <v>7</v>
      </c>
      <c r="BS11" s="419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1"/>
      <c r="CW11" s="420"/>
      <c r="CX11" s="418" t="str">
        <f>IF(COUNTA($BS$4:$CW$4)=0,"",IF('2.ชื่อนักเรียน'!R17="ย้าย","ย้าย",HE11))</f>
        <v/>
      </c>
      <c r="CY11" s="418">
        <v>7</v>
      </c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420"/>
      <c r="DL11" s="420"/>
      <c r="DM11" s="420"/>
      <c r="DN11" s="420"/>
      <c r="DO11" s="420"/>
      <c r="DP11" s="420"/>
      <c r="DQ11" s="420"/>
      <c r="DR11" s="420"/>
      <c r="DS11" s="420"/>
      <c r="DT11" s="420"/>
      <c r="DU11" s="420"/>
      <c r="DV11" s="420"/>
      <c r="DW11" s="420"/>
      <c r="DX11" s="420"/>
      <c r="DY11" s="420"/>
      <c r="DZ11" s="420"/>
      <c r="EA11" s="420"/>
      <c r="EB11" s="420"/>
      <c r="EC11" s="421"/>
      <c r="ED11" s="421"/>
      <c r="EE11" s="418" t="str">
        <f>IF(COUNTA($CZ$4:$ED$4)=0,"",IF('2.ชื่อนักเรียน'!R17="ย้าย","ย้าย",HJ11))</f>
        <v/>
      </c>
      <c r="EF11" s="418">
        <v>7</v>
      </c>
      <c r="EG11" s="420"/>
      <c r="EH11" s="420"/>
      <c r="EI11" s="420"/>
      <c r="EJ11" s="420"/>
      <c r="EK11" s="420"/>
      <c r="EL11" s="420"/>
      <c r="EM11" s="420"/>
      <c r="EN11" s="420"/>
      <c r="EO11" s="420"/>
      <c r="EP11" s="420"/>
      <c r="EQ11" s="420"/>
      <c r="ER11" s="420"/>
      <c r="ES11" s="420"/>
      <c r="ET11" s="420"/>
      <c r="EU11" s="420"/>
      <c r="EV11" s="420"/>
      <c r="EW11" s="420"/>
      <c r="EX11" s="420"/>
      <c r="EY11" s="420"/>
      <c r="EZ11" s="420"/>
      <c r="FA11" s="420"/>
      <c r="FB11" s="420"/>
      <c r="FC11" s="420"/>
      <c r="FD11" s="420"/>
      <c r="FE11" s="420"/>
      <c r="FF11" s="420"/>
      <c r="FG11" s="420"/>
      <c r="FH11" s="420"/>
      <c r="FI11" s="420"/>
      <c r="FJ11" s="420"/>
      <c r="FK11" s="420"/>
      <c r="FL11" s="418" t="str">
        <f>IF(COUNTA($EG$4:$FK$4)=0,"",IF('2.ชื่อนักเรียน'!R17="ย้าย","ย้าย",HO11))</f>
        <v/>
      </c>
      <c r="FM11" s="418">
        <v>7</v>
      </c>
      <c r="FN11" s="419"/>
      <c r="FO11" s="420"/>
      <c r="FP11" s="420"/>
      <c r="FQ11" s="420"/>
      <c r="FR11" s="420"/>
      <c r="FS11" s="420"/>
      <c r="FT11" s="420"/>
      <c r="FU11" s="420"/>
      <c r="FV11" s="420"/>
      <c r="FW11" s="420"/>
      <c r="FX11" s="420"/>
      <c r="FY11" s="420"/>
      <c r="FZ11" s="420"/>
      <c r="GA11" s="420"/>
      <c r="GB11" s="420"/>
      <c r="GC11" s="420"/>
      <c r="GD11" s="420"/>
      <c r="GE11" s="420"/>
      <c r="GF11" s="420"/>
      <c r="GG11" s="420"/>
      <c r="GH11" s="420"/>
      <c r="GI11" s="420"/>
      <c r="GJ11" s="420"/>
      <c r="GK11" s="420"/>
      <c r="GL11" s="420"/>
      <c r="GM11" s="420"/>
      <c r="GN11" s="420"/>
      <c r="GO11" s="420"/>
      <c r="GP11" s="420"/>
      <c r="GQ11" s="421"/>
      <c r="GR11" s="421"/>
      <c r="GS11" s="418" t="str">
        <f>IF(COUNTA($FN$4:$GR$4)=0,"",IF('2.ชื่อนักเรียน'!R17="ย้าย","ย้าย",HU11))</f>
        <v/>
      </c>
      <c r="GT11" s="418">
        <v>7</v>
      </c>
      <c r="GU11" s="422" t="str">
        <f>IF(OR(COUNTA($E$4:$AI$4)=0,$A11=""),"",IF('2.ชื่อนักเรียน'!R17="ย้าย","-",COUNTIF($E11:$AI11,"/")))</f>
        <v/>
      </c>
      <c r="GV11" s="425" t="str">
        <f>IF(OR(COUNTA($E$4:$AI$4)=0,$A11=""),"",IF('2.ชื่อนักเรียน'!R17="ย้าย","-",COUNTIF($E11:$AI11,"ส")))</f>
        <v/>
      </c>
      <c r="GW11" s="423" t="str">
        <f>IF(OR(COUNTA($E$4:$AI$4)=0,$A11=""),"",IF('2.ชื่อนักเรียน'!R17="ย้าย","-",COUNTIF($E11:$AI11,"ป")))</f>
        <v/>
      </c>
      <c r="GX11" s="423" t="str">
        <f>IF(OR(COUNTA($E$4:$AI$4)=0,$A11=""),"",IF('2.ชื่อนักเรียน'!R17="ย้าย","-",COUNTIF($E11:$AI11,"ล")))</f>
        <v/>
      </c>
      <c r="GY11" s="426" t="str">
        <f>IF(OR(COUNTA($E$4:$AI$4)=0,$A11=""),"",IF('2.ชื่อนักเรียน'!R17="ย้าย","-",COUNTIF($E11:$AI11,"ข")))</f>
        <v/>
      </c>
      <c r="GZ11" s="422" t="str">
        <f>IF(OR(COUNTA($AL$4:$BP$4)=0,$A11=""),"",IF('2.ชื่อนักเรียน'!R17="ย้าย","-",COUNTIF($AL11:$BP11,"/")))</f>
        <v/>
      </c>
      <c r="HA11" s="425" t="str">
        <f>IF(OR(COUNTA($AL$4:$BP$4)=0,$A11=""),"",IF('2.ชื่อนักเรียน'!R17="ย้าย","-",COUNTIF($AL11:$BP11,"ส")))</f>
        <v/>
      </c>
      <c r="HB11" s="423" t="str">
        <f>IF(OR(COUNTA($AL$4:$BP$4)=0,$A11=""),"",IF('2.ชื่อนักเรียน'!R17="ย้าย","-",COUNTIF($AL11:$BP11,"ป")))</f>
        <v/>
      </c>
      <c r="HC11" s="423" t="str">
        <f>IF(OR(COUNTA($AL$4:$BP$4)=0,$A11=""),"",IF('2.ชื่อนักเรียน'!R17="ย้าย","-",COUNTIF($AL11:$BP11,"ล")))</f>
        <v/>
      </c>
      <c r="HD11" s="426" t="str">
        <f>IF(OR(COUNTA($AL$4:$BP$4)=0,$A11=""),"",IF('2.ชื่อนักเรียน'!R17="ย้าย","-",COUNTIF($AL11:$BP11,"ข")))</f>
        <v/>
      </c>
      <c r="HE11" s="422" t="str">
        <f>IF(OR(COUNTA($BS$4:$CW$4)=0,$A11=""),"",IF('2.ชื่อนักเรียน'!R17="ย้าย","-",COUNTIF($BS11:$CW11,"/")))</f>
        <v/>
      </c>
      <c r="HF11" s="425" t="str">
        <f>IF(OR(COUNTA($BS$4:$CW$4)=0,$A11=""),"",IF('2.ชื่อนักเรียน'!R17="ย้าย","-",COUNTIF($BS11:$CW11,"ส")))</f>
        <v/>
      </c>
      <c r="HG11" s="423" t="str">
        <f>IF(OR(COUNTA($BS$4:$CW$4)=0,$A11=""),"",IF('2.ชื่อนักเรียน'!R17="ย้าย","-",COUNTIF($BS11:$CW11,"ป")))</f>
        <v/>
      </c>
      <c r="HH11" s="423" t="str">
        <f>IF(OR(COUNTA($BS$4:$CW$4)=0,$A11=""),"",IF('2.ชื่อนักเรียน'!R17="ย้าย","-",COUNTIF($BS11:$CW11,"ล")))</f>
        <v/>
      </c>
      <c r="HI11" s="426" t="str">
        <f>IF(OR(COUNTA($BS$4:$CW$4)=0,$A11=""),"",IF('2.ชื่อนักเรียน'!R17="ย้าย","-",COUNTIF($BS11:$CW11,"ข")))</f>
        <v/>
      </c>
      <c r="HJ11" s="422" t="str">
        <f>IF(OR(COUNTA($CZ$4:$ED$4)=0,$A11=""),"",IF('2.ชื่อนักเรียน'!R17="ย้าย","-",COUNTIF($CZ11:$ED11,"/")))</f>
        <v/>
      </c>
      <c r="HK11" s="425" t="str">
        <f>IF(OR(COUNTA($CZ$4:$ED$4)=0,$A11=""),"",IF('2.ชื่อนักเรียน'!R17="ย้าย","-",COUNTIF($CZ11:$ED11,"ส")))</f>
        <v/>
      </c>
      <c r="HL11" s="423" t="str">
        <f>IF(OR(COUNTA($CZ$4:$ED$4)=0,$A11=""),"",IF('2.ชื่อนักเรียน'!R17="ย้าย","-",COUNTIF($CZ11:$ED11,"ป")))</f>
        <v/>
      </c>
      <c r="HM11" s="423" t="str">
        <f>IF(OR(COUNTA($CZ$4:$ED$4)=0,A11=""),"",IF('2.ชื่อนักเรียน'!R17="ย้าย","-",COUNTIF($CZ11:$ED11,"ล")))</f>
        <v/>
      </c>
      <c r="HN11" s="426" t="str">
        <f>IF(OR(COUNTA($CZ$4:$ED$4)=0,A11=""),"",IF('2.ชื่อนักเรียน'!R17="ย้าย","-",COUNTIF($CZ11:$ED11,"ข")))</f>
        <v/>
      </c>
      <c r="HO11" s="422" t="str">
        <f>IF(OR(COUNTA($EG$4:$FK$4)=0,$A11=""),"",IF('2.ชื่อนักเรียน'!R17="ย้าย","-",COUNTIF($EG11:$FK11,"/")))</f>
        <v/>
      </c>
      <c r="HP11" s="425" t="str">
        <f>IF(OR(COUNTA($EG$4:$FK$4)=0,$A11=""),"",IF('2.ชื่อนักเรียน'!R17="ย้าย","-",COUNTIF($EG11:$FK11,"ส")))</f>
        <v/>
      </c>
      <c r="HQ11" s="423" t="str">
        <f>IF(OR(COUNTA($EG$4:$FK$4)=0,$A11=""),"",IF('2.ชื่อนักเรียน'!R17="ย้าย","-",COUNTIF($EG11:$FK11,"ป")))</f>
        <v/>
      </c>
      <c r="HR11" s="423" t="str">
        <f>IF(OR(COUNTA($EG$4:$FK$4)=0,A11=""),"",IF('2.ชื่อนักเรียน'!R17="ย้าย","-",COUNTIF($EG11:$FK11,"ล")))</f>
        <v/>
      </c>
      <c r="HS11" s="426" t="str">
        <f>IF(OR(COUNTA($EG$4:$FK$4)=0,A11=""),"",IF('2.ชื่อนักเรียน'!R17="ย้าย","-",COUNTIF($EG11:$FK11,"ข")))</f>
        <v/>
      </c>
      <c r="HT11" s="418">
        <v>7</v>
      </c>
      <c r="HU11" s="422" t="str">
        <f>IF(OR(COUNTA($FN$4:$GR$4)=0,$A11=""),"",IF('2.ชื่อนักเรียน'!R17="ย้าย","-",COUNTIF($FN11:$GR11,"/")))</f>
        <v/>
      </c>
      <c r="HV11" s="425" t="str">
        <f>IF(OR(COUNTA($FN$4:$GR$4)=0,$A11=""),"",IF('2.ชื่อนักเรียน'!R17="ย้าย","-",COUNTIF($FN11:$GR11,"ส")))</f>
        <v/>
      </c>
      <c r="HW11" s="423" t="str">
        <f>IF(OR(COUNTA($FN$4:$GR$4)=0,$A11=""),"",IF('2.ชื่อนักเรียน'!R17="ย้าย","-",COUNTIF($FN11:$GR11,"ป")))</f>
        <v/>
      </c>
      <c r="HX11" s="423" t="str">
        <f>IF(OR(COUNTA($FN$4:$GR$4)=0,A11=""),"",IF('2.ชื่อนักเรียน'!R17="ย้าย","-",COUNTIF($FN11:$GR11,"ล")))</f>
        <v/>
      </c>
      <c r="HY11" s="423" t="str">
        <f>IF(OR(COUNTA($FN$4:$GR$4)=0,A11=""),"",IF('2.ชื่อนักเรียน'!R17="ย้าย","-",COUNTIF($FN11:$GR11,"ข")))</f>
        <v/>
      </c>
      <c r="HZ11" s="422" t="str">
        <f>IF(OR(COUNTA($GU$3:$HS$3,$HU$3)=0,$A11=""),"",IF('2.ชื่อนักเรียน'!R17="ย้าย","-",SUM(GU11,GZ11,HE11,HJ11,HO11,HU11)))</f>
        <v/>
      </c>
      <c r="IA11" s="425" t="str">
        <f>IF(OR(COUNTA($GU$3:$HS$3,$HU$3)=0,$A11=""),"",IF('2.ชื่อนักเรียน'!R17="ย้าย","-",SUM(GV11,HA11,HF11,HK11,HP11,HV11)))</f>
        <v/>
      </c>
      <c r="IB11" s="423" t="str">
        <f>IF(OR(COUNTA($GU$3:$HS$3,$HU$3)=0,$A11=""),"",IF('2.ชื่อนักเรียน'!R17="ย้าย","-",SUM(GW11,HB11,HG11,HL11,HQ11,HW11)))</f>
        <v/>
      </c>
      <c r="IC11" s="423" t="str">
        <f>IF(OR(COUNTA($GU$3:$HS$3,$HU$3)=0,$A11=""),"",IF('2.ชื่อนักเรียน'!R17="ย้าย","-",SUM(GX11,HC11,HH11,HM11,HR11,HX11)))</f>
        <v/>
      </c>
      <c r="ID11" s="424" t="str">
        <f>IF(OR(COUNTA($GU$3:$HS$3,$HU$3)=0,$A11=""),"",IF('2.ชื่อนักเรียน'!R17="ย้าย","-",SUM(GY11,HD11,HI11,HN11,HS11,HY11)))</f>
        <v/>
      </c>
      <c r="IE11" s="418" t="str">
        <f t="shared" si="0"/>
        <v/>
      </c>
      <c r="IF11" s="438" t="str">
        <f>IF(IE11="","",IF('2.ชื่อนักเรียน'!R17="ย้าย","ย้าย",(IE11*100)/COUNTA($E$4:$AI$4,$AL$4:$BP$4,$BS$4:$CW$4,$CZ$4:$ED$4,$EG$4:$FK$4,$FN$4:$GR$4)))</f>
        <v/>
      </c>
      <c r="IG11" s="449"/>
      <c r="IH11" s="611"/>
      <c r="II11" s="611"/>
      <c r="IJ11" s="611"/>
      <c r="IK11" s="611"/>
      <c r="IL11" s="611"/>
      <c r="IM11" s="611"/>
      <c r="IN11" s="611"/>
      <c r="IO11" s="611"/>
      <c r="IP11" s="611"/>
      <c r="IQ11" s="611"/>
      <c r="IR11" s="450"/>
      <c r="IT11" s="446" t="s">
        <v>640</v>
      </c>
      <c r="IU11" s="446"/>
      <c r="IV11" s="446"/>
      <c r="IW11" s="446" t="s">
        <v>644</v>
      </c>
    </row>
    <row r="12" spans="1:259" ht="21" customHeight="1" x14ac:dyDescent="0.4">
      <c r="A12" s="416" t="str">
        <f>IF(Name8="","",Name8)</f>
        <v/>
      </c>
      <c r="B12" s="417" t="str">
        <f>IF(Surname8="","",Surname8)</f>
        <v/>
      </c>
      <c r="C12" s="442" t="str">
        <f>IF('2.ชื่อนักเรียน'!R18="","",'2.ชื่อนักเรียน'!R18)</f>
        <v/>
      </c>
      <c r="D12" s="418">
        <v>8</v>
      </c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1"/>
      <c r="AJ12" s="418" t="str">
        <f>IF(COUNTA($E$4:AI$4)=0,"",IF('2.ชื่อนักเรียน'!R18="ย้าย","ย้าย",GU12))</f>
        <v/>
      </c>
      <c r="AK12" s="418">
        <v>8</v>
      </c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18" t="str">
        <f>IF(COUNTA($AL$4:$BP$4)=0,"",IF('2.ชื่อนักเรียน'!R18="ย้าย","ย้าย",GZ12))</f>
        <v/>
      </c>
      <c r="BR12" s="418">
        <v>8</v>
      </c>
      <c r="BS12" s="419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1"/>
      <c r="CW12" s="420"/>
      <c r="CX12" s="418" t="str">
        <f>IF(COUNTA($BS$4:$CW$4)=0,"",IF('2.ชื่อนักเรียน'!R18="ย้าย","ย้าย",HE12))</f>
        <v/>
      </c>
      <c r="CY12" s="418">
        <v>8</v>
      </c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1"/>
      <c r="ED12" s="421"/>
      <c r="EE12" s="418" t="str">
        <f>IF(COUNTA($CZ$4:$ED$4)=0,"",IF('2.ชื่อนักเรียน'!R18="ย้าย","ย้าย",HJ12))</f>
        <v/>
      </c>
      <c r="EF12" s="418">
        <v>8</v>
      </c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  <c r="FF12" s="420"/>
      <c r="FG12" s="420"/>
      <c r="FH12" s="420"/>
      <c r="FI12" s="420"/>
      <c r="FJ12" s="420"/>
      <c r="FK12" s="420"/>
      <c r="FL12" s="418" t="str">
        <f>IF(COUNTA($EG$4:$FK$4)=0,"",IF('2.ชื่อนักเรียน'!R18="ย้าย","ย้าย",HO12))</f>
        <v/>
      </c>
      <c r="FM12" s="418">
        <v>8</v>
      </c>
      <c r="FN12" s="419"/>
      <c r="FO12" s="420"/>
      <c r="FP12" s="420"/>
      <c r="FQ12" s="420"/>
      <c r="FR12" s="420"/>
      <c r="FS12" s="420"/>
      <c r="FT12" s="420"/>
      <c r="FU12" s="420"/>
      <c r="FV12" s="420"/>
      <c r="FW12" s="420"/>
      <c r="FX12" s="420"/>
      <c r="FY12" s="420"/>
      <c r="FZ12" s="420"/>
      <c r="GA12" s="420"/>
      <c r="GB12" s="420"/>
      <c r="GC12" s="420"/>
      <c r="GD12" s="420"/>
      <c r="GE12" s="420"/>
      <c r="GF12" s="420"/>
      <c r="GG12" s="420"/>
      <c r="GH12" s="420"/>
      <c r="GI12" s="420"/>
      <c r="GJ12" s="420"/>
      <c r="GK12" s="420"/>
      <c r="GL12" s="420"/>
      <c r="GM12" s="420"/>
      <c r="GN12" s="420"/>
      <c r="GO12" s="420"/>
      <c r="GP12" s="420"/>
      <c r="GQ12" s="421"/>
      <c r="GR12" s="421"/>
      <c r="GS12" s="418" t="str">
        <f>IF(COUNTA($FN$4:$GR$4)=0,"",IF('2.ชื่อนักเรียน'!R18="ย้าย","ย้าย",HU12))</f>
        <v/>
      </c>
      <c r="GT12" s="418">
        <v>8</v>
      </c>
      <c r="GU12" s="422" t="str">
        <f>IF(OR(COUNTA($E$4:$AI$4)=0,$A12=""),"",IF('2.ชื่อนักเรียน'!R18="ย้าย","-",COUNTIF($E12:$AI12,"/")))</f>
        <v/>
      </c>
      <c r="GV12" s="425" t="str">
        <f>IF(OR(COUNTA($E$4:$AI$4)=0,$A12=""),"",IF('2.ชื่อนักเรียน'!R18="ย้าย","-",COUNTIF($E12:$AI12,"ส")))</f>
        <v/>
      </c>
      <c r="GW12" s="423" t="str">
        <f>IF(OR(COUNTA($E$4:$AI$4)=0,$A12=""),"",IF('2.ชื่อนักเรียน'!R18="ย้าย","-",COUNTIF($E12:$AI12,"ป")))</f>
        <v/>
      </c>
      <c r="GX12" s="423" t="str">
        <f>IF(OR(COUNTA($E$4:$AI$4)=0,$A12=""),"",IF('2.ชื่อนักเรียน'!R18="ย้าย","-",COUNTIF($E12:$AI12,"ล")))</f>
        <v/>
      </c>
      <c r="GY12" s="426" t="str">
        <f>IF(OR(COUNTA($E$4:$AI$4)=0,$A12=""),"",IF('2.ชื่อนักเรียน'!R18="ย้าย","-",COUNTIF($E12:$AI12,"ข")))</f>
        <v/>
      </c>
      <c r="GZ12" s="422" t="str">
        <f>IF(OR(COUNTA($AL$4:$BP$4)=0,$A12=""),"",IF('2.ชื่อนักเรียน'!R18="ย้าย","-",COUNTIF($AL12:$BP12,"/")))</f>
        <v/>
      </c>
      <c r="HA12" s="425" t="str">
        <f>IF(OR(COUNTA($AL$4:$BP$4)=0,$A12=""),"",IF('2.ชื่อนักเรียน'!R18="ย้าย","-",COUNTIF($AL12:$BP12,"ส")))</f>
        <v/>
      </c>
      <c r="HB12" s="423" t="str">
        <f>IF(OR(COUNTA($AL$4:$BP$4)=0,$A12=""),"",IF('2.ชื่อนักเรียน'!R18="ย้าย","-",COUNTIF($AL12:$BP12,"ป")))</f>
        <v/>
      </c>
      <c r="HC12" s="423" t="str">
        <f>IF(OR(COUNTA($AL$4:$BP$4)=0,$A12=""),"",IF('2.ชื่อนักเรียน'!R18="ย้าย","-",COUNTIF($AL12:$BP12,"ล")))</f>
        <v/>
      </c>
      <c r="HD12" s="426" t="str">
        <f>IF(OR(COUNTA($AL$4:$BP$4)=0,$A12=""),"",IF('2.ชื่อนักเรียน'!R18="ย้าย","-",COUNTIF($AL12:$BP12,"ข")))</f>
        <v/>
      </c>
      <c r="HE12" s="422" t="str">
        <f>IF(OR(COUNTA($BS$4:$CW$4)=0,$A12=""),"",IF('2.ชื่อนักเรียน'!R18="ย้าย","-",COUNTIF($BS12:$CW12,"/")))</f>
        <v/>
      </c>
      <c r="HF12" s="425" t="str">
        <f>IF(OR(COUNTA($BS$4:$CW$4)=0,$A12=""),"",IF('2.ชื่อนักเรียน'!R18="ย้าย","-",COUNTIF($BS12:$CW12,"ส")))</f>
        <v/>
      </c>
      <c r="HG12" s="423" t="str">
        <f>IF(OR(COUNTA($BS$4:$CW$4)=0,$A12=""),"",IF('2.ชื่อนักเรียน'!R18="ย้าย","-",COUNTIF($BS12:$CW12,"ป")))</f>
        <v/>
      </c>
      <c r="HH12" s="423" t="str">
        <f>IF(OR(COUNTA($BS$4:$CW$4)=0,$A12=""),"",IF('2.ชื่อนักเรียน'!R18="ย้าย","-",COUNTIF($BS12:$CW12,"ล")))</f>
        <v/>
      </c>
      <c r="HI12" s="426" t="str">
        <f>IF(OR(COUNTA($BS$4:$CW$4)=0,$A12=""),"",IF('2.ชื่อนักเรียน'!R18="ย้าย","-",COUNTIF($BS12:$CW12,"ข")))</f>
        <v/>
      </c>
      <c r="HJ12" s="422" t="str">
        <f>IF(OR(COUNTA($CZ$4:$ED$4)=0,$A12=""),"",IF('2.ชื่อนักเรียน'!R18="ย้าย","-",COUNTIF($CZ12:$ED12,"/")))</f>
        <v/>
      </c>
      <c r="HK12" s="425" t="str">
        <f>IF(OR(COUNTA($CZ$4:$ED$4)=0,$A12=""),"",IF('2.ชื่อนักเรียน'!R18="ย้าย","-",COUNTIF($CZ12:$ED12,"ส")))</f>
        <v/>
      </c>
      <c r="HL12" s="423" t="str">
        <f>IF(OR(COUNTA($CZ$4:$ED$4)=0,$A12=""),"",IF('2.ชื่อนักเรียน'!R18="ย้าย","-",COUNTIF($CZ12:$ED12,"ป")))</f>
        <v/>
      </c>
      <c r="HM12" s="423" t="str">
        <f>IF(OR(COUNTA($CZ$4:$ED$4)=0,A12=""),"",IF('2.ชื่อนักเรียน'!R18="ย้าย","-",COUNTIF($CZ12:$ED12,"ล")))</f>
        <v/>
      </c>
      <c r="HN12" s="426" t="str">
        <f>IF(OR(COUNTA($CZ$4:$ED$4)=0,A12=""),"",IF('2.ชื่อนักเรียน'!R18="ย้าย","-",COUNTIF($CZ12:$ED12,"ข")))</f>
        <v/>
      </c>
      <c r="HO12" s="422" t="str">
        <f>IF(OR(COUNTA($EG$4:$FK$4)=0,$A12=""),"",IF('2.ชื่อนักเรียน'!R18="ย้าย","-",COUNTIF($EG12:$FK12,"/")))</f>
        <v/>
      </c>
      <c r="HP12" s="425" t="str">
        <f>IF(OR(COUNTA($EG$4:$FK$4)=0,$A12=""),"",IF('2.ชื่อนักเรียน'!R18="ย้าย","-",COUNTIF($EG12:$FK12,"ส")))</f>
        <v/>
      </c>
      <c r="HQ12" s="423" t="str">
        <f>IF(OR(COUNTA($EG$4:$FK$4)=0,$A12=""),"",IF('2.ชื่อนักเรียน'!R18="ย้าย","-",COUNTIF($EG12:$FK12,"ป")))</f>
        <v/>
      </c>
      <c r="HR12" s="423" t="str">
        <f>IF(OR(COUNTA($EG$4:$FK$4)=0,A12=""),"",IF('2.ชื่อนักเรียน'!R18="ย้าย","-",COUNTIF($EG12:$FK12,"ล")))</f>
        <v/>
      </c>
      <c r="HS12" s="426" t="str">
        <f>IF(OR(COUNTA($EG$4:$FK$4)=0,A12=""),"",IF('2.ชื่อนักเรียน'!R18="ย้าย","-",COUNTIF($EG12:$FK12,"ข")))</f>
        <v/>
      </c>
      <c r="HT12" s="418">
        <v>8</v>
      </c>
      <c r="HU12" s="422" t="str">
        <f>IF(OR(COUNTA($FN$4:$GR$4)=0,$A12=""),"",IF('2.ชื่อนักเรียน'!R18="ย้าย","-",COUNTIF($FN12:$GR12,"/")))</f>
        <v/>
      </c>
      <c r="HV12" s="425" t="str">
        <f>IF(OR(COUNTA($FN$4:$GR$4)=0,$A12=""),"",IF('2.ชื่อนักเรียน'!R18="ย้าย","-",COUNTIF($FN12:$GR12,"ส")))</f>
        <v/>
      </c>
      <c r="HW12" s="423" t="str">
        <f>IF(OR(COUNTA($FN$4:$GR$4)=0,$A12=""),"",IF('2.ชื่อนักเรียน'!R18="ย้าย","-",COUNTIF($FN12:$GR12,"ป")))</f>
        <v/>
      </c>
      <c r="HX12" s="423" t="str">
        <f>IF(OR(COUNTA($FN$4:$GR$4)=0,A12=""),"",IF('2.ชื่อนักเรียน'!R18="ย้าย","-",COUNTIF($FN12:$GR12,"ล")))</f>
        <v/>
      </c>
      <c r="HY12" s="423" t="str">
        <f>IF(OR(COUNTA($FN$4:$GR$4)=0,A12=""),"",IF('2.ชื่อนักเรียน'!R18="ย้าย","-",COUNTIF($FN12:$GR12,"ข")))</f>
        <v/>
      </c>
      <c r="HZ12" s="422" t="str">
        <f>IF(OR(COUNTA($GU$3:$HS$3,$HU$3)=0,$A12=""),"",IF('2.ชื่อนักเรียน'!R18="ย้าย","-",SUM(GU12,GZ12,HE12,HJ12,HO12,HU12)))</f>
        <v/>
      </c>
      <c r="IA12" s="425" t="str">
        <f>IF(OR(COUNTA($GU$3:$HS$3,$HU$3)=0,$A12=""),"",IF('2.ชื่อนักเรียน'!R18="ย้าย","-",SUM(GV12,HA12,HF12,HK12,HP12,HV12)))</f>
        <v/>
      </c>
      <c r="IB12" s="423" t="str">
        <f>IF(OR(COUNTA($GU$3:$HS$3,$HU$3)=0,$A12=""),"",IF('2.ชื่อนักเรียน'!R18="ย้าย","-",SUM(GW12,HB12,HG12,HL12,HQ12,HW12)))</f>
        <v/>
      </c>
      <c r="IC12" s="423" t="str">
        <f>IF(OR(COUNTA($GU$3:$HS$3,$HU$3)=0,$A12=""),"",IF('2.ชื่อนักเรียน'!R18="ย้าย","-",SUM(GX12,HC12,HH12,HM12,HR12,HX12)))</f>
        <v/>
      </c>
      <c r="ID12" s="424" t="str">
        <f>IF(OR(COUNTA($GU$3:$HS$3,$HU$3)=0,$A12=""),"",IF('2.ชื่อนักเรียน'!R18="ย้าย","-",SUM(GY12,HD12,HI12,HN12,HS12,HY12)))</f>
        <v/>
      </c>
      <c r="IE12" s="418" t="str">
        <f t="shared" si="0"/>
        <v/>
      </c>
      <c r="IF12" s="438" t="str">
        <f>IF(IE12="","",IF('2.ชื่อนักเรียน'!R18="ย้าย","ย้าย",(IE12*100)/COUNTA($E$4:$AI$4,$AL$4:$BP$4,$BS$4:$CW$4,$CZ$4:$ED$4,$EG$4:$FK$4,$FN$4:$GR$4)))</f>
        <v/>
      </c>
      <c r="IG12" s="449"/>
      <c r="IH12" s="611"/>
      <c r="II12" s="611"/>
      <c r="IJ12" s="611"/>
      <c r="IK12" s="611"/>
      <c r="IL12" s="611"/>
      <c r="IM12" s="611"/>
      <c r="IN12" s="611"/>
      <c r="IO12" s="611"/>
      <c r="IP12" s="611"/>
      <c r="IQ12" s="611"/>
      <c r="IR12" s="450"/>
      <c r="IT12" s="446"/>
      <c r="IW12" s="446" t="s">
        <v>634</v>
      </c>
    </row>
    <row r="13" spans="1:259" ht="21" customHeight="1" x14ac:dyDescent="0.4">
      <c r="A13" s="416" t="str">
        <f>IF(Name9="","",Name9)</f>
        <v/>
      </c>
      <c r="B13" s="417" t="str">
        <f>IF(Surname9="","",Surname9)</f>
        <v/>
      </c>
      <c r="C13" s="442" t="str">
        <f>IF('2.ชื่อนักเรียน'!R19="","",'2.ชื่อนักเรียน'!R19)</f>
        <v/>
      </c>
      <c r="D13" s="418">
        <v>9</v>
      </c>
      <c r="E13" s="419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1"/>
      <c r="AJ13" s="418" t="str">
        <f>IF(COUNTA($E$4:AI$4)=0,"",IF('2.ชื่อนักเรียน'!R19="ย้าย","ย้าย",GU13))</f>
        <v/>
      </c>
      <c r="AK13" s="418">
        <v>9</v>
      </c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18" t="str">
        <f>IF(COUNTA($AL$4:$BP$4)=0,"",IF('2.ชื่อนักเรียน'!R19="ย้าย","ย้าย",GZ13))</f>
        <v/>
      </c>
      <c r="BR13" s="418">
        <v>9</v>
      </c>
      <c r="BS13" s="419"/>
      <c r="BT13" s="420"/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1"/>
      <c r="CW13" s="420"/>
      <c r="CX13" s="418" t="str">
        <f>IF(COUNTA($BS$4:$CW$4)=0,"",IF('2.ชื่อนักเรียน'!R19="ย้าย","ย้าย",HE13))</f>
        <v/>
      </c>
      <c r="CY13" s="418">
        <v>9</v>
      </c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420"/>
      <c r="DV13" s="420"/>
      <c r="DW13" s="420"/>
      <c r="DX13" s="420"/>
      <c r="DY13" s="420"/>
      <c r="DZ13" s="420"/>
      <c r="EA13" s="420"/>
      <c r="EB13" s="420"/>
      <c r="EC13" s="421"/>
      <c r="ED13" s="421"/>
      <c r="EE13" s="418" t="str">
        <f>IF(COUNTA($CZ$4:$ED$4)=0,"",IF('2.ชื่อนักเรียน'!R19="ย้าย","ย้าย",HJ13))</f>
        <v/>
      </c>
      <c r="EF13" s="418">
        <v>9</v>
      </c>
      <c r="EG13" s="420"/>
      <c r="EH13" s="420"/>
      <c r="EI13" s="420"/>
      <c r="EJ13" s="420"/>
      <c r="EK13" s="420"/>
      <c r="EL13" s="420"/>
      <c r="EM13" s="420"/>
      <c r="EN13" s="420"/>
      <c r="EO13" s="420"/>
      <c r="EP13" s="420"/>
      <c r="EQ13" s="420"/>
      <c r="ER13" s="420"/>
      <c r="ES13" s="420"/>
      <c r="ET13" s="420"/>
      <c r="EU13" s="420"/>
      <c r="EV13" s="420"/>
      <c r="EW13" s="420"/>
      <c r="EX13" s="420"/>
      <c r="EY13" s="420"/>
      <c r="EZ13" s="420"/>
      <c r="FA13" s="420"/>
      <c r="FB13" s="420"/>
      <c r="FC13" s="420"/>
      <c r="FD13" s="420"/>
      <c r="FE13" s="420"/>
      <c r="FF13" s="420"/>
      <c r="FG13" s="420"/>
      <c r="FH13" s="420"/>
      <c r="FI13" s="420"/>
      <c r="FJ13" s="420"/>
      <c r="FK13" s="420"/>
      <c r="FL13" s="418" t="str">
        <f>IF(COUNTA($EG$4:$FK$4)=0,"",IF('2.ชื่อนักเรียน'!R19="ย้าย","ย้าย",HO13))</f>
        <v/>
      </c>
      <c r="FM13" s="418">
        <v>9</v>
      </c>
      <c r="FN13" s="419"/>
      <c r="FO13" s="420"/>
      <c r="FP13" s="420"/>
      <c r="FQ13" s="420"/>
      <c r="FR13" s="420"/>
      <c r="FS13" s="420"/>
      <c r="FT13" s="420"/>
      <c r="FU13" s="420"/>
      <c r="FV13" s="420"/>
      <c r="FW13" s="420"/>
      <c r="FX13" s="420"/>
      <c r="FY13" s="420"/>
      <c r="FZ13" s="420"/>
      <c r="GA13" s="420"/>
      <c r="GB13" s="420"/>
      <c r="GC13" s="420"/>
      <c r="GD13" s="420"/>
      <c r="GE13" s="420"/>
      <c r="GF13" s="420"/>
      <c r="GG13" s="420"/>
      <c r="GH13" s="420"/>
      <c r="GI13" s="420"/>
      <c r="GJ13" s="420"/>
      <c r="GK13" s="420"/>
      <c r="GL13" s="420"/>
      <c r="GM13" s="420"/>
      <c r="GN13" s="420"/>
      <c r="GO13" s="420"/>
      <c r="GP13" s="420"/>
      <c r="GQ13" s="421"/>
      <c r="GR13" s="421"/>
      <c r="GS13" s="418" t="str">
        <f>IF(COUNTA($FN$4:$GR$4)=0,"",IF('2.ชื่อนักเรียน'!R19="ย้าย","ย้าย",HU13))</f>
        <v/>
      </c>
      <c r="GT13" s="418">
        <v>9</v>
      </c>
      <c r="GU13" s="422" t="str">
        <f>IF(OR(COUNTA($E$4:$AI$4)=0,$A13=""),"",IF('2.ชื่อนักเรียน'!R19="ย้าย","-",COUNTIF($E13:$AI13,"/")))</f>
        <v/>
      </c>
      <c r="GV13" s="425" t="str">
        <f>IF(OR(COUNTA($E$4:$AI$4)=0,$A13=""),"",IF('2.ชื่อนักเรียน'!R19="ย้าย","-",COUNTIF($E13:$AI13,"ส")))</f>
        <v/>
      </c>
      <c r="GW13" s="423" t="str">
        <f>IF(OR(COUNTA($E$4:$AI$4)=0,$A13=""),"",IF('2.ชื่อนักเรียน'!R19="ย้าย","-",COUNTIF($E13:$AI13,"ป")))</f>
        <v/>
      </c>
      <c r="GX13" s="423" t="str">
        <f>IF(OR(COUNTA($E$4:$AI$4)=0,$A13=""),"",IF('2.ชื่อนักเรียน'!R19="ย้าย","-",COUNTIF($E13:$AI13,"ล")))</f>
        <v/>
      </c>
      <c r="GY13" s="426" t="str">
        <f>IF(OR(COUNTA($E$4:$AI$4)=0,$A13=""),"",IF('2.ชื่อนักเรียน'!R19="ย้าย","-",COUNTIF($E13:$AI13,"ข")))</f>
        <v/>
      </c>
      <c r="GZ13" s="422" t="str">
        <f>IF(OR(COUNTA($AL$4:$BP$4)=0,$A13=""),"",IF('2.ชื่อนักเรียน'!R19="ย้าย","-",COUNTIF($AL13:$BP13,"/")))</f>
        <v/>
      </c>
      <c r="HA13" s="425" t="str">
        <f>IF(OR(COUNTA($AL$4:$BP$4)=0,$A13=""),"",IF('2.ชื่อนักเรียน'!R19="ย้าย","-",COUNTIF($AL13:$BP13,"ส")))</f>
        <v/>
      </c>
      <c r="HB13" s="423" t="str">
        <f>IF(OR(COUNTA($AL$4:$BP$4)=0,$A13=""),"",IF('2.ชื่อนักเรียน'!R19="ย้าย","-",COUNTIF($AL13:$BP13,"ป")))</f>
        <v/>
      </c>
      <c r="HC13" s="423" t="str">
        <f>IF(OR(COUNTA($AL$4:$BP$4)=0,$A13=""),"",IF('2.ชื่อนักเรียน'!R19="ย้าย","-",COUNTIF($AL13:$BP13,"ล")))</f>
        <v/>
      </c>
      <c r="HD13" s="426" t="str">
        <f>IF(OR(COUNTA($AL$4:$BP$4)=0,$A13=""),"",IF('2.ชื่อนักเรียน'!R19="ย้าย","-",COUNTIF($AL13:$BP13,"ข")))</f>
        <v/>
      </c>
      <c r="HE13" s="422" t="str">
        <f>IF(OR(COUNTA($BS$4:$CW$4)=0,$A13=""),"",IF('2.ชื่อนักเรียน'!R19="ย้าย","-",COUNTIF($BS13:$CW13,"/")))</f>
        <v/>
      </c>
      <c r="HF13" s="425" t="str">
        <f>IF(OR(COUNTA($BS$4:$CW$4)=0,$A13=""),"",IF('2.ชื่อนักเรียน'!R19="ย้าย","-",COUNTIF($BS13:$CW13,"ส")))</f>
        <v/>
      </c>
      <c r="HG13" s="423" t="str">
        <f>IF(OR(COUNTA($BS$4:$CW$4)=0,$A13=""),"",IF('2.ชื่อนักเรียน'!R19="ย้าย","-",COUNTIF($BS13:$CW13,"ป")))</f>
        <v/>
      </c>
      <c r="HH13" s="423" t="str">
        <f>IF(OR(COUNTA($BS$4:$CW$4)=0,$A13=""),"",IF('2.ชื่อนักเรียน'!R19="ย้าย","-",COUNTIF($BS13:$CW13,"ล")))</f>
        <v/>
      </c>
      <c r="HI13" s="426" t="str">
        <f>IF(OR(COUNTA($BS$4:$CW$4)=0,$A13=""),"",IF('2.ชื่อนักเรียน'!R19="ย้าย","-",COUNTIF($BS13:$CW13,"ข")))</f>
        <v/>
      </c>
      <c r="HJ13" s="422" t="str">
        <f>IF(OR(COUNTA($CZ$4:$ED$4)=0,$A13=""),"",IF('2.ชื่อนักเรียน'!R19="ย้าย","-",COUNTIF($CZ13:$ED13,"/")))</f>
        <v/>
      </c>
      <c r="HK13" s="425" t="str">
        <f>IF(OR(COUNTA($CZ$4:$ED$4)=0,$A13=""),"",IF('2.ชื่อนักเรียน'!R19="ย้าย","-",COUNTIF($CZ13:$ED13,"ส")))</f>
        <v/>
      </c>
      <c r="HL13" s="423" t="str">
        <f>IF(OR(COUNTA($CZ$4:$ED$4)=0,$A13=""),"",IF('2.ชื่อนักเรียน'!R19="ย้าย","-",COUNTIF($CZ13:$ED13,"ป")))</f>
        <v/>
      </c>
      <c r="HM13" s="423" t="str">
        <f>IF(OR(COUNTA($CZ$4:$ED$4)=0,A13=""),"",IF('2.ชื่อนักเรียน'!R19="ย้าย","-",COUNTIF($CZ13:$ED13,"ล")))</f>
        <v/>
      </c>
      <c r="HN13" s="426" t="str">
        <f>IF(OR(COUNTA($CZ$4:$ED$4)=0,A13=""),"",IF('2.ชื่อนักเรียน'!R19="ย้าย","-",COUNTIF($CZ13:$ED13,"ข")))</f>
        <v/>
      </c>
      <c r="HO13" s="422" t="str">
        <f>IF(OR(COUNTA($EG$4:$FK$4)=0,$A13=""),"",IF('2.ชื่อนักเรียน'!R19="ย้าย","-",COUNTIF($EG13:$FK13,"/")))</f>
        <v/>
      </c>
      <c r="HP13" s="425" t="str">
        <f>IF(OR(COUNTA($EG$4:$FK$4)=0,$A13=""),"",IF('2.ชื่อนักเรียน'!R19="ย้าย","-",COUNTIF($EG13:$FK13,"ส")))</f>
        <v/>
      </c>
      <c r="HQ13" s="423" t="str">
        <f>IF(OR(COUNTA($EG$4:$FK$4)=0,$A13=""),"",IF('2.ชื่อนักเรียน'!R19="ย้าย","-",COUNTIF($EG13:$FK13,"ป")))</f>
        <v/>
      </c>
      <c r="HR13" s="423" t="str">
        <f>IF(OR(COUNTA($EG$4:$FK$4)=0,A13=""),"",IF('2.ชื่อนักเรียน'!R19="ย้าย","-",COUNTIF($EG13:$FK13,"ล")))</f>
        <v/>
      </c>
      <c r="HS13" s="426" t="str">
        <f>IF(OR(COUNTA($EG$4:$FK$4)=0,A13=""),"",IF('2.ชื่อนักเรียน'!R19="ย้าย","-",COUNTIF($EG13:$FK13,"ข")))</f>
        <v/>
      </c>
      <c r="HT13" s="418">
        <v>9</v>
      </c>
      <c r="HU13" s="422" t="str">
        <f>IF(OR(COUNTA($FN$4:$GR$4)=0,$A13=""),"",IF('2.ชื่อนักเรียน'!R19="ย้าย","-",COUNTIF($FN13:$GR13,"/")))</f>
        <v/>
      </c>
      <c r="HV13" s="425" t="str">
        <f>IF(OR(COUNTA($FN$4:$GR$4)=0,$A13=""),"",IF('2.ชื่อนักเรียน'!R19="ย้าย","-",COUNTIF($FN13:$GR13,"ส")))</f>
        <v/>
      </c>
      <c r="HW13" s="423" t="str">
        <f>IF(OR(COUNTA($FN$4:$GR$4)=0,$A13=""),"",IF('2.ชื่อนักเรียน'!R19="ย้าย","-",COUNTIF($FN13:$GR13,"ป")))</f>
        <v/>
      </c>
      <c r="HX13" s="423" t="str">
        <f>IF(OR(COUNTA($FN$4:$GR$4)=0,A13=""),"",IF('2.ชื่อนักเรียน'!R19="ย้าย","-",COUNTIF($FN13:$GR13,"ล")))</f>
        <v/>
      </c>
      <c r="HY13" s="423" t="str">
        <f>IF(OR(COUNTA($FN$4:$GR$4)=0,A13=""),"",IF('2.ชื่อนักเรียน'!R19="ย้าย","-",COUNTIF($FN13:$GR13,"ข")))</f>
        <v/>
      </c>
      <c r="HZ13" s="422" t="str">
        <f>IF(OR(COUNTA($GU$3:$HS$3,$HU$3)=0,$A13=""),"",IF('2.ชื่อนักเรียน'!R19="ย้าย","-",SUM(GU13,GZ13,HE13,HJ13,HO13,HU13)))</f>
        <v/>
      </c>
      <c r="IA13" s="425" t="str">
        <f>IF(OR(COUNTA($GU$3:$HS$3,$HU$3)=0,$A13=""),"",IF('2.ชื่อนักเรียน'!R19="ย้าย","-",SUM(GV13,HA13,HF13,HK13,HP13,HV13)))</f>
        <v/>
      </c>
      <c r="IB13" s="423" t="str">
        <f>IF(OR(COUNTA($GU$3:$HS$3,$HU$3)=0,$A13=""),"",IF('2.ชื่อนักเรียน'!R19="ย้าย","-",SUM(GW13,HB13,HG13,HL13,HQ13,HW13)))</f>
        <v/>
      </c>
      <c r="IC13" s="423" t="str">
        <f>IF(OR(COUNTA($GU$3:$HS$3,$HU$3)=0,$A13=""),"",IF('2.ชื่อนักเรียน'!R19="ย้าย","-",SUM(GX13,HC13,HH13,HM13,HR13,HX13)))</f>
        <v/>
      </c>
      <c r="ID13" s="424" t="str">
        <f>IF(OR(COUNTA($GU$3:$HS$3,$HU$3)=0,$A13=""),"",IF('2.ชื่อนักเรียน'!R19="ย้าย","-",SUM(GY13,HD13,HI13,HN13,HS13,HY13)))</f>
        <v/>
      </c>
      <c r="IE13" s="418" t="str">
        <f t="shared" si="0"/>
        <v/>
      </c>
      <c r="IF13" s="438" t="str">
        <f>IF(IE13="","",IF('2.ชื่อนักเรียน'!R19="ย้าย","ย้าย",(IE13*100)/COUNTA($E$4:$AI$4,$AL$4:$BP$4,$BS$4:$CW$4,$CZ$4:$ED$4,$EG$4:$FK$4,$FN$4:$GR$4)))</f>
        <v/>
      </c>
      <c r="IG13" s="449"/>
      <c r="IH13" s="611"/>
      <c r="II13" s="611"/>
      <c r="IJ13" s="611"/>
      <c r="IK13" s="611"/>
      <c r="IL13" s="611"/>
      <c r="IM13" s="611"/>
      <c r="IN13" s="611"/>
      <c r="IO13" s="611"/>
      <c r="IP13" s="611"/>
      <c r="IQ13" s="611"/>
      <c r="IR13" s="450"/>
    </row>
    <row r="14" spans="1:259" ht="21" customHeight="1" x14ac:dyDescent="0.4">
      <c r="A14" s="416" t="str">
        <f>IF(Name10="","",Name10)</f>
        <v/>
      </c>
      <c r="B14" s="417" t="str">
        <f>IF(Surname10="","",Surname10)</f>
        <v/>
      </c>
      <c r="C14" s="442" t="str">
        <f>IF('2.ชื่อนักเรียน'!R20="","",'2.ชื่อนักเรียน'!R20)</f>
        <v/>
      </c>
      <c r="D14" s="418">
        <v>10</v>
      </c>
      <c r="E14" s="419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1"/>
      <c r="AJ14" s="418" t="str">
        <f>IF(COUNTA($E$4:AI$4)=0,"",IF('2.ชื่อนักเรียน'!R20="ย้าย","ย้าย",GU14))</f>
        <v/>
      </c>
      <c r="AK14" s="418">
        <v>10</v>
      </c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18" t="str">
        <f>IF(COUNTA($AL$4:$BP$4)=0,"",IF('2.ชื่อนักเรียน'!R20="ย้าย","ย้าย",GZ14))</f>
        <v/>
      </c>
      <c r="BR14" s="418">
        <v>10</v>
      </c>
      <c r="BS14" s="419"/>
      <c r="BT14" s="420"/>
      <c r="BU14" s="420"/>
      <c r="BV14" s="420"/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1"/>
      <c r="CW14" s="420"/>
      <c r="CX14" s="418" t="str">
        <f>IF(COUNTA($BS$4:$CW$4)=0,"",IF('2.ชื่อนักเรียน'!R20="ย้าย","ย้าย",HE14))</f>
        <v/>
      </c>
      <c r="CY14" s="418">
        <v>10</v>
      </c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420"/>
      <c r="DV14" s="420"/>
      <c r="DW14" s="420"/>
      <c r="DX14" s="420"/>
      <c r="DY14" s="420"/>
      <c r="DZ14" s="420"/>
      <c r="EA14" s="420"/>
      <c r="EB14" s="420"/>
      <c r="EC14" s="421"/>
      <c r="ED14" s="421"/>
      <c r="EE14" s="418" t="str">
        <f>IF(COUNTA($CZ$4:$ED$4)=0,"",IF('2.ชื่อนักเรียน'!R20="ย้าย","ย้าย",HJ14))</f>
        <v/>
      </c>
      <c r="EF14" s="418">
        <v>10</v>
      </c>
      <c r="EG14" s="420"/>
      <c r="EH14" s="420"/>
      <c r="EI14" s="420"/>
      <c r="EJ14" s="420"/>
      <c r="EK14" s="420"/>
      <c r="EL14" s="420"/>
      <c r="EM14" s="420"/>
      <c r="EN14" s="420"/>
      <c r="EO14" s="420"/>
      <c r="EP14" s="420"/>
      <c r="EQ14" s="420"/>
      <c r="ER14" s="420"/>
      <c r="ES14" s="420"/>
      <c r="ET14" s="420"/>
      <c r="EU14" s="420"/>
      <c r="EV14" s="420"/>
      <c r="EW14" s="420"/>
      <c r="EX14" s="420"/>
      <c r="EY14" s="420"/>
      <c r="EZ14" s="420"/>
      <c r="FA14" s="420"/>
      <c r="FB14" s="420"/>
      <c r="FC14" s="420"/>
      <c r="FD14" s="420"/>
      <c r="FE14" s="420"/>
      <c r="FF14" s="420"/>
      <c r="FG14" s="420"/>
      <c r="FH14" s="420"/>
      <c r="FI14" s="420"/>
      <c r="FJ14" s="420"/>
      <c r="FK14" s="420"/>
      <c r="FL14" s="418" t="str">
        <f>IF(COUNTA($EG$4:$FK$4)=0,"",IF('2.ชื่อนักเรียน'!R20="ย้าย","ย้าย",HO14))</f>
        <v/>
      </c>
      <c r="FM14" s="418">
        <v>10</v>
      </c>
      <c r="FN14" s="419"/>
      <c r="FO14" s="420"/>
      <c r="FP14" s="420"/>
      <c r="FQ14" s="420"/>
      <c r="FR14" s="420"/>
      <c r="FS14" s="420"/>
      <c r="FT14" s="420"/>
      <c r="FU14" s="420"/>
      <c r="FV14" s="420"/>
      <c r="FW14" s="420"/>
      <c r="FX14" s="420"/>
      <c r="FY14" s="420"/>
      <c r="FZ14" s="420"/>
      <c r="GA14" s="420"/>
      <c r="GB14" s="420"/>
      <c r="GC14" s="420"/>
      <c r="GD14" s="420"/>
      <c r="GE14" s="420"/>
      <c r="GF14" s="420"/>
      <c r="GG14" s="420"/>
      <c r="GH14" s="420"/>
      <c r="GI14" s="420"/>
      <c r="GJ14" s="420"/>
      <c r="GK14" s="420"/>
      <c r="GL14" s="420"/>
      <c r="GM14" s="420"/>
      <c r="GN14" s="420"/>
      <c r="GO14" s="420"/>
      <c r="GP14" s="420"/>
      <c r="GQ14" s="421"/>
      <c r="GR14" s="421"/>
      <c r="GS14" s="418" t="str">
        <f>IF(COUNTA($FN$4:$GR$4)=0,"",IF('2.ชื่อนักเรียน'!R20="ย้าย","ย้าย",HU14))</f>
        <v/>
      </c>
      <c r="GT14" s="418">
        <v>10</v>
      </c>
      <c r="GU14" s="422" t="str">
        <f>IF(OR(COUNTA($E$4:$AI$4)=0,$A14=""),"",IF('2.ชื่อนักเรียน'!R20="ย้าย","-",COUNTIF($E14:$AI14,"/")))</f>
        <v/>
      </c>
      <c r="GV14" s="425" t="str">
        <f>IF(OR(COUNTA($E$4:$AI$4)=0,$A14=""),"",IF('2.ชื่อนักเรียน'!R20="ย้าย","-",COUNTIF($E14:$AI14,"ส")))</f>
        <v/>
      </c>
      <c r="GW14" s="423" t="str">
        <f>IF(OR(COUNTA($E$4:$AI$4)=0,$A14=""),"",IF('2.ชื่อนักเรียน'!R20="ย้าย","-",COUNTIF($E14:$AI14,"ป")))</f>
        <v/>
      </c>
      <c r="GX14" s="423" t="str">
        <f>IF(OR(COUNTA($E$4:$AI$4)=0,$A14=""),"",IF('2.ชื่อนักเรียน'!R20="ย้าย","-",COUNTIF($E14:$AI14,"ล")))</f>
        <v/>
      </c>
      <c r="GY14" s="426" t="str">
        <f>IF(OR(COUNTA($E$4:$AI$4)=0,$A14=""),"",IF('2.ชื่อนักเรียน'!R20="ย้าย","-",COUNTIF($E14:$AI14,"ข")))</f>
        <v/>
      </c>
      <c r="GZ14" s="422" t="str">
        <f>IF(OR(COUNTA($AL$4:$BP$4)=0,$A14=""),"",IF('2.ชื่อนักเรียน'!R20="ย้าย","-",COUNTIF($AL14:$BP14,"/")))</f>
        <v/>
      </c>
      <c r="HA14" s="425" t="str">
        <f>IF(OR(COUNTA($AL$4:$BP$4)=0,$A14=""),"",IF('2.ชื่อนักเรียน'!R20="ย้าย","-",COUNTIF($AL14:$BP14,"ส")))</f>
        <v/>
      </c>
      <c r="HB14" s="423" t="str">
        <f>IF(OR(COUNTA($AL$4:$BP$4)=0,$A14=""),"",IF('2.ชื่อนักเรียน'!R20="ย้าย","-",COUNTIF($AL14:$BP14,"ป")))</f>
        <v/>
      </c>
      <c r="HC14" s="423" t="str">
        <f>IF(OR(COUNTA($AL$4:$BP$4)=0,$A14=""),"",IF('2.ชื่อนักเรียน'!R20="ย้าย","-",COUNTIF($AL14:$BP14,"ล")))</f>
        <v/>
      </c>
      <c r="HD14" s="426" t="str">
        <f>IF(OR(COUNTA($AL$4:$BP$4)=0,$A14=""),"",IF('2.ชื่อนักเรียน'!R20="ย้าย","-",COUNTIF($AL14:$BP14,"ข")))</f>
        <v/>
      </c>
      <c r="HE14" s="422" t="str">
        <f>IF(OR(COUNTA($BS$4:$CW$4)=0,$A14=""),"",IF('2.ชื่อนักเรียน'!R20="ย้าย","-",COUNTIF($BS14:$CW14,"/")))</f>
        <v/>
      </c>
      <c r="HF14" s="425" t="str">
        <f>IF(OR(COUNTA($BS$4:$CW$4)=0,$A14=""),"",IF('2.ชื่อนักเรียน'!R20="ย้าย","-",COUNTIF($BS14:$CW14,"ส")))</f>
        <v/>
      </c>
      <c r="HG14" s="423" t="str">
        <f>IF(OR(COUNTA($BS$4:$CW$4)=0,$A14=""),"",IF('2.ชื่อนักเรียน'!R20="ย้าย","-",COUNTIF($BS14:$CW14,"ป")))</f>
        <v/>
      </c>
      <c r="HH14" s="423" t="str">
        <f>IF(OR(COUNTA($BS$4:$CW$4)=0,$A14=""),"",IF('2.ชื่อนักเรียน'!R20="ย้าย","-",COUNTIF($BS14:$CW14,"ล")))</f>
        <v/>
      </c>
      <c r="HI14" s="426" t="str">
        <f>IF(OR(COUNTA($BS$4:$CW$4)=0,$A14=""),"",IF('2.ชื่อนักเรียน'!R20="ย้าย","-",COUNTIF($BS14:$CW14,"ข")))</f>
        <v/>
      </c>
      <c r="HJ14" s="422" t="str">
        <f>IF(OR(COUNTA($CZ$4:$ED$4)=0,$A14=""),"",IF('2.ชื่อนักเรียน'!R20="ย้าย","-",COUNTIF($CZ14:$ED14,"/")))</f>
        <v/>
      </c>
      <c r="HK14" s="425" t="str">
        <f>IF(OR(COUNTA($CZ$4:$ED$4)=0,$A14=""),"",IF('2.ชื่อนักเรียน'!R20="ย้าย","-",COUNTIF($CZ14:$ED14,"ส")))</f>
        <v/>
      </c>
      <c r="HL14" s="423" t="str">
        <f>IF(OR(COUNTA($CZ$4:$ED$4)=0,$A14=""),"",IF('2.ชื่อนักเรียน'!R20="ย้าย","-",COUNTIF($CZ14:$ED14,"ป")))</f>
        <v/>
      </c>
      <c r="HM14" s="423" t="str">
        <f>IF(OR(COUNTA($CZ$4:$ED$4)=0,A14=""),"",IF('2.ชื่อนักเรียน'!R20="ย้าย","-",COUNTIF($CZ14:$ED14,"ล")))</f>
        <v/>
      </c>
      <c r="HN14" s="426" t="str">
        <f>IF(OR(COUNTA($CZ$4:$ED$4)=0,A14=""),"",IF('2.ชื่อนักเรียน'!R20="ย้าย","-",COUNTIF($CZ14:$ED14,"ข")))</f>
        <v/>
      </c>
      <c r="HO14" s="422" t="str">
        <f>IF(OR(COUNTA($EG$4:$FK$4)=0,$A14=""),"",IF('2.ชื่อนักเรียน'!R20="ย้าย","-",COUNTIF($EG14:$FK14,"/")))</f>
        <v/>
      </c>
      <c r="HP14" s="425" t="str">
        <f>IF(OR(COUNTA($EG$4:$FK$4)=0,$A14=""),"",IF('2.ชื่อนักเรียน'!R20="ย้าย","-",COUNTIF($EG14:$FK14,"ส")))</f>
        <v/>
      </c>
      <c r="HQ14" s="423" t="str">
        <f>IF(OR(COUNTA($EG$4:$FK$4)=0,$A14=""),"",IF('2.ชื่อนักเรียน'!R20="ย้าย","-",COUNTIF($EG14:$FK14,"ป")))</f>
        <v/>
      </c>
      <c r="HR14" s="423" t="str">
        <f>IF(OR(COUNTA($EG$4:$FK$4)=0,A14=""),"",IF('2.ชื่อนักเรียน'!R20="ย้าย","-",COUNTIF($EG14:$FK14,"ล")))</f>
        <v/>
      </c>
      <c r="HS14" s="426" t="str">
        <f>IF(OR(COUNTA($EG$4:$FK$4)=0,A14=""),"",IF('2.ชื่อนักเรียน'!R20="ย้าย","-",COUNTIF($EG14:$FK14,"ข")))</f>
        <v/>
      </c>
      <c r="HT14" s="418">
        <v>10</v>
      </c>
      <c r="HU14" s="422" t="str">
        <f>IF(OR(COUNTA($FN$4:$GR$4)=0,$A14=""),"",IF('2.ชื่อนักเรียน'!R20="ย้าย","-",COUNTIF($FN14:$GR14,"/")))</f>
        <v/>
      </c>
      <c r="HV14" s="425" t="str">
        <f>IF(OR(COUNTA($FN$4:$GR$4)=0,$A14=""),"",IF('2.ชื่อนักเรียน'!R20="ย้าย","-",COUNTIF($FN14:$GR14,"ส")))</f>
        <v/>
      </c>
      <c r="HW14" s="423" t="str">
        <f>IF(OR(COUNTA($FN$4:$GR$4)=0,$A14=""),"",IF('2.ชื่อนักเรียน'!R20="ย้าย","-",COUNTIF($FN14:$GR14,"ป")))</f>
        <v/>
      </c>
      <c r="HX14" s="423" t="str">
        <f>IF(OR(COUNTA($FN$4:$GR$4)=0,A14=""),"",IF('2.ชื่อนักเรียน'!R20="ย้าย","-",COUNTIF($FN14:$GR14,"ล")))</f>
        <v/>
      </c>
      <c r="HY14" s="423" t="str">
        <f>IF(OR(COUNTA($FN$4:$GR$4)=0,A14=""),"",IF('2.ชื่อนักเรียน'!R20="ย้าย","-",COUNTIF($FN14:$GR14,"ข")))</f>
        <v/>
      </c>
      <c r="HZ14" s="422" t="str">
        <f>IF(OR(COUNTA($GU$3:$HS$3,$HU$3)=0,$A14=""),"",IF('2.ชื่อนักเรียน'!R20="ย้าย","-",SUM(GU14,GZ14,HE14,HJ14,HO14,HU14)))</f>
        <v/>
      </c>
      <c r="IA14" s="425" t="str">
        <f>IF(OR(COUNTA($GU$3:$HS$3,$HU$3)=0,$A14=""),"",IF('2.ชื่อนักเรียน'!R20="ย้าย","-",SUM(GV14,HA14,HF14,HK14,HP14,HV14)))</f>
        <v/>
      </c>
      <c r="IB14" s="423" t="str">
        <f>IF(OR(COUNTA($GU$3:$HS$3,$HU$3)=0,$A14=""),"",IF('2.ชื่อนักเรียน'!R20="ย้าย","-",SUM(GW14,HB14,HG14,HL14,HQ14,HW14)))</f>
        <v/>
      </c>
      <c r="IC14" s="423" t="str">
        <f>IF(OR(COUNTA($GU$3:$HS$3,$HU$3)=0,$A14=""),"",IF('2.ชื่อนักเรียน'!R20="ย้าย","-",SUM(GX14,HC14,HH14,HM14,HR14,HX14)))</f>
        <v/>
      </c>
      <c r="ID14" s="424" t="str">
        <f>IF(OR(COUNTA($GU$3:$HS$3,$HU$3)=0,$A14=""),"",IF('2.ชื่อนักเรียน'!R20="ย้าย","-",SUM(GY14,HD14,HI14,HN14,HS14,HY14)))</f>
        <v/>
      </c>
      <c r="IE14" s="418" t="str">
        <f t="shared" si="0"/>
        <v/>
      </c>
      <c r="IF14" s="438" t="str">
        <f>IF(IE14="","",IF('2.ชื่อนักเรียน'!R20="ย้าย","ย้าย",(IE14*100)/COUNTA($E$4:$AI$4,$AL$4:$BP$4,$BS$4:$CW$4,$CZ$4:$ED$4,$EG$4:$FK$4,$FN$4:$GR$4)))</f>
        <v/>
      </c>
      <c r="IG14" s="449"/>
      <c r="IH14" s="611"/>
      <c r="II14" s="611"/>
      <c r="IJ14" s="611"/>
      <c r="IK14" s="611"/>
      <c r="IL14" s="611"/>
      <c r="IM14" s="611"/>
      <c r="IN14" s="611"/>
      <c r="IO14" s="611"/>
      <c r="IP14" s="611"/>
      <c r="IQ14" s="611"/>
      <c r="IR14" s="450"/>
    </row>
    <row r="15" spans="1:259" ht="21" customHeight="1" x14ac:dyDescent="0.4">
      <c r="A15" s="416" t="str">
        <f>IF(Name11="","",Name11)</f>
        <v/>
      </c>
      <c r="B15" s="417" t="str">
        <f>IF(Surname11="","",Surname11)</f>
        <v/>
      </c>
      <c r="C15" s="442" t="str">
        <f>IF('2.ชื่อนักเรียน'!R21="","",'2.ชื่อนักเรียน'!R21)</f>
        <v/>
      </c>
      <c r="D15" s="418">
        <v>11</v>
      </c>
      <c r="E15" s="419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1"/>
      <c r="AJ15" s="418" t="str">
        <f>IF(COUNTA($E$4:AI$4)=0,"",IF('2.ชื่อนักเรียน'!R21="ย้าย","ย้าย",GU15))</f>
        <v/>
      </c>
      <c r="AK15" s="418">
        <v>11</v>
      </c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18" t="str">
        <f>IF(COUNTA($AL$4:$BP$4)=0,"",IF('2.ชื่อนักเรียน'!R21="ย้าย","ย้าย",GZ15))</f>
        <v/>
      </c>
      <c r="BR15" s="418">
        <v>11</v>
      </c>
      <c r="BS15" s="419"/>
      <c r="BT15" s="420"/>
      <c r="BU15" s="420"/>
      <c r="BV15" s="420"/>
      <c r="BW15" s="420"/>
      <c r="BX15" s="420"/>
      <c r="BY15" s="420"/>
      <c r="BZ15" s="42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1"/>
      <c r="CW15" s="420"/>
      <c r="CX15" s="418" t="str">
        <f>IF(COUNTA($BS$4:$CW$4)=0,"",IF('2.ชื่อนักเรียน'!R21="ย้าย","ย้าย",HE15))</f>
        <v/>
      </c>
      <c r="CY15" s="418">
        <v>11</v>
      </c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/>
      <c r="DL15" s="420"/>
      <c r="DM15" s="420"/>
      <c r="DN15" s="420"/>
      <c r="DO15" s="420"/>
      <c r="DP15" s="420"/>
      <c r="DQ15" s="420"/>
      <c r="DR15" s="420"/>
      <c r="DS15" s="420"/>
      <c r="DT15" s="420"/>
      <c r="DU15" s="420"/>
      <c r="DV15" s="420"/>
      <c r="DW15" s="420"/>
      <c r="DX15" s="420"/>
      <c r="DY15" s="420"/>
      <c r="DZ15" s="420"/>
      <c r="EA15" s="420"/>
      <c r="EB15" s="420"/>
      <c r="EC15" s="421"/>
      <c r="ED15" s="421"/>
      <c r="EE15" s="418" t="str">
        <f>IF(COUNTA($CZ$4:$ED$4)=0,"",IF('2.ชื่อนักเรียน'!R21="ย้าย","ย้าย",HJ15))</f>
        <v/>
      </c>
      <c r="EF15" s="418">
        <v>11</v>
      </c>
      <c r="EG15" s="420"/>
      <c r="EH15" s="420"/>
      <c r="EI15" s="420"/>
      <c r="EJ15" s="420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0"/>
      <c r="EV15" s="420"/>
      <c r="EW15" s="420"/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0"/>
      <c r="FL15" s="418" t="str">
        <f>IF(COUNTA($EG$4:$FK$4)=0,"",IF('2.ชื่อนักเรียน'!R21="ย้าย","ย้าย",HO15))</f>
        <v/>
      </c>
      <c r="FM15" s="418">
        <v>11</v>
      </c>
      <c r="FN15" s="419"/>
      <c r="FO15" s="420"/>
      <c r="FP15" s="420"/>
      <c r="FQ15" s="420"/>
      <c r="FR15" s="420"/>
      <c r="FS15" s="420"/>
      <c r="FT15" s="420"/>
      <c r="FU15" s="420"/>
      <c r="FV15" s="420"/>
      <c r="FW15" s="420"/>
      <c r="FX15" s="420"/>
      <c r="FY15" s="420"/>
      <c r="FZ15" s="420"/>
      <c r="GA15" s="420"/>
      <c r="GB15" s="420"/>
      <c r="GC15" s="420"/>
      <c r="GD15" s="420"/>
      <c r="GE15" s="420"/>
      <c r="GF15" s="420"/>
      <c r="GG15" s="420"/>
      <c r="GH15" s="420"/>
      <c r="GI15" s="420"/>
      <c r="GJ15" s="420"/>
      <c r="GK15" s="420"/>
      <c r="GL15" s="420"/>
      <c r="GM15" s="420"/>
      <c r="GN15" s="420"/>
      <c r="GO15" s="420"/>
      <c r="GP15" s="420"/>
      <c r="GQ15" s="421"/>
      <c r="GR15" s="421"/>
      <c r="GS15" s="418" t="str">
        <f>IF(COUNTA($FN$4:$GR$4)=0,"",IF('2.ชื่อนักเรียน'!R21="ย้าย","ย้าย",HU15))</f>
        <v/>
      </c>
      <c r="GT15" s="418">
        <v>11</v>
      </c>
      <c r="GU15" s="422" t="str">
        <f>IF(OR(COUNTA($E$4:$AI$4)=0,$A15=""),"",IF('2.ชื่อนักเรียน'!R21="ย้าย","-",COUNTIF($E15:$AI15,"/")))</f>
        <v/>
      </c>
      <c r="GV15" s="425" t="str">
        <f>IF(OR(COUNTA($E$4:$AI$4)=0,$A15=""),"",IF('2.ชื่อนักเรียน'!R21="ย้าย","-",COUNTIF($E15:$AI15,"ส")))</f>
        <v/>
      </c>
      <c r="GW15" s="423" t="str">
        <f>IF(OR(COUNTA($E$4:$AI$4)=0,$A15=""),"",IF('2.ชื่อนักเรียน'!R21="ย้าย","-",COUNTIF($E15:$AI15,"ป")))</f>
        <v/>
      </c>
      <c r="GX15" s="423" t="str">
        <f>IF(OR(COUNTA($E$4:$AI$4)=0,$A15=""),"",IF('2.ชื่อนักเรียน'!R21="ย้าย","-",COUNTIF($E15:$AI15,"ล")))</f>
        <v/>
      </c>
      <c r="GY15" s="426" t="str">
        <f>IF(OR(COUNTA($E$4:$AI$4)=0,$A15=""),"",IF('2.ชื่อนักเรียน'!R21="ย้าย","-",COUNTIF($E15:$AI15,"ข")))</f>
        <v/>
      </c>
      <c r="GZ15" s="422" t="str">
        <f>IF(OR(COUNTA($AL$4:$BP$4)=0,$A15=""),"",IF('2.ชื่อนักเรียน'!R21="ย้าย","-",COUNTIF($AL15:$BP15,"/")))</f>
        <v/>
      </c>
      <c r="HA15" s="425" t="str">
        <f>IF(OR(COUNTA($AL$4:$BP$4)=0,$A15=""),"",IF('2.ชื่อนักเรียน'!R21="ย้าย","-",COUNTIF($AL15:$BP15,"ส")))</f>
        <v/>
      </c>
      <c r="HB15" s="423" t="str">
        <f>IF(OR(COUNTA($AL$4:$BP$4)=0,$A15=""),"",IF('2.ชื่อนักเรียน'!R21="ย้าย","-",COUNTIF($AL15:$BP15,"ป")))</f>
        <v/>
      </c>
      <c r="HC15" s="423" t="str">
        <f>IF(OR(COUNTA($AL$4:$BP$4)=0,$A15=""),"",IF('2.ชื่อนักเรียน'!R21="ย้าย","-",COUNTIF($AL15:$BP15,"ล")))</f>
        <v/>
      </c>
      <c r="HD15" s="426" t="str">
        <f>IF(OR(COUNTA($AL$4:$BP$4)=0,$A15=""),"",IF('2.ชื่อนักเรียน'!R21="ย้าย","-",COUNTIF($AL15:$BP15,"ข")))</f>
        <v/>
      </c>
      <c r="HE15" s="422" t="str">
        <f>IF(OR(COUNTA($BS$4:$CW$4)=0,$A15=""),"",IF('2.ชื่อนักเรียน'!R21="ย้าย","-",COUNTIF($BS15:$CW15,"/")))</f>
        <v/>
      </c>
      <c r="HF15" s="425" t="str">
        <f>IF(OR(COUNTA($BS$4:$CW$4)=0,$A15=""),"",IF('2.ชื่อนักเรียน'!R21="ย้าย","-",COUNTIF($BS15:$CW15,"ส")))</f>
        <v/>
      </c>
      <c r="HG15" s="423" t="str">
        <f>IF(OR(COUNTA($BS$4:$CW$4)=0,$A15=""),"",IF('2.ชื่อนักเรียน'!R21="ย้าย","-",COUNTIF($BS15:$CW15,"ป")))</f>
        <v/>
      </c>
      <c r="HH15" s="423" t="str">
        <f>IF(OR(COUNTA($BS$4:$CW$4)=0,$A15=""),"",IF('2.ชื่อนักเรียน'!R21="ย้าย","-",COUNTIF($BS15:$CW15,"ล")))</f>
        <v/>
      </c>
      <c r="HI15" s="426" t="str">
        <f>IF(OR(COUNTA($BS$4:$CW$4)=0,$A15=""),"",IF('2.ชื่อนักเรียน'!R21="ย้าย","-",COUNTIF($BS15:$CW15,"ข")))</f>
        <v/>
      </c>
      <c r="HJ15" s="422" t="str">
        <f>IF(OR(COUNTA($CZ$4:$ED$4)=0,$A15=""),"",IF('2.ชื่อนักเรียน'!R21="ย้าย","-",COUNTIF($CZ15:$ED15,"/")))</f>
        <v/>
      </c>
      <c r="HK15" s="425" t="str">
        <f>IF(OR(COUNTA($CZ$4:$ED$4)=0,$A15=""),"",IF('2.ชื่อนักเรียน'!R21="ย้าย","-",COUNTIF($CZ15:$ED15,"ส")))</f>
        <v/>
      </c>
      <c r="HL15" s="423" t="str">
        <f>IF(OR(COUNTA($CZ$4:$ED$4)=0,$A15=""),"",IF('2.ชื่อนักเรียน'!R21="ย้าย","-",COUNTIF($CZ15:$ED15,"ป")))</f>
        <v/>
      </c>
      <c r="HM15" s="423" t="str">
        <f>IF(OR(COUNTA($CZ$4:$ED$4)=0,A15=""),"",IF('2.ชื่อนักเรียน'!R21="ย้าย","-",COUNTIF($CZ15:$ED15,"ล")))</f>
        <v/>
      </c>
      <c r="HN15" s="426" t="str">
        <f>IF(OR(COUNTA($CZ$4:$ED$4)=0,A15=""),"",IF('2.ชื่อนักเรียน'!R21="ย้าย","-",COUNTIF($CZ15:$ED15,"ข")))</f>
        <v/>
      </c>
      <c r="HO15" s="422" t="str">
        <f>IF(OR(COUNTA($EG$4:$FK$4)=0,$A15=""),"",IF('2.ชื่อนักเรียน'!R21="ย้าย","-",COUNTIF($EG15:$FK15,"/")))</f>
        <v/>
      </c>
      <c r="HP15" s="425" t="str">
        <f>IF(OR(COUNTA($EG$4:$FK$4)=0,$A15=""),"",IF('2.ชื่อนักเรียน'!R21="ย้าย","-",COUNTIF($EG15:$FK15,"ส")))</f>
        <v/>
      </c>
      <c r="HQ15" s="423" t="str">
        <f>IF(OR(COUNTA($EG$4:$FK$4)=0,$A15=""),"",IF('2.ชื่อนักเรียน'!R21="ย้าย","-",COUNTIF($EG15:$FK15,"ป")))</f>
        <v/>
      </c>
      <c r="HR15" s="423" t="str">
        <f>IF(OR(COUNTA($EG$4:$FK$4)=0,A15=""),"",IF('2.ชื่อนักเรียน'!R21="ย้าย","-",COUNTIF($EG15:$FK15,"ล")))</f>
        <v/>
      </c>
      <c r="HS15" s="426" t="str">
        <f>IF(OR(COUNTA($EG$4:$FK$4)=0,A15=""),"",IF('2.ชื่อนักเรียน'!R21="ย้าย","-",COUNTIF($EG15:$FK15,"ข")))</f>
        <v/>
      </c>
      <c r="HT15" s="418">
        <v>11</v>
      </c>
      <c r="HU15" s="422" t="str">
        <f>IF(OR(COUNTA($FN$4:$GR$4)=0,$A15=""),"",IF('2.ชื่อนักเรียน'!R21="ย้าย","-",COUNTIF($FN15:$GR15,"/")))</f>
        <v/>
      </c>
      <c r="HV15" s="425" t="str">
        <f>IF(OR(COUNTA($FN$4:$GR$4)=0,$A15=""),"",IF('2.ชื่อนักเรียน'!R21="ย้าย","-",COUNTIF($FN15:$GR15,"ส")))</f>
        <v/>
      </c>
      <c r="HW15" s="423" t="str">
        <f>IF(OR(COUNTA($FN$4:$GR$4)=0,$A15=""),"",IF('2.ชื่อนักเรียน'!R21="ย้าย","-",COUNTIF($FN15:$GR15,"ป")))</f>
        <v/>
      </c>
      <c r="HX15" s="423" t="str">
        <f>IF(OR(COUNTA($FN$4:$GR$4)=0,A15=""),"",IF('2.ชื่อนักเรียน'!R21="ย้าย","-",COUNTIF($FN15:$GR15,"ล")))</f>
        <v/>
      </c>
      <c r="HY15" s="423" t="str">
        <f>IF(OR(COUNTA($FN$4:$GR$4)=0,A15=""),"",IF('2.ชื่อนักเรียน'!R21="ย้าย","-",COUNTIF($FN15:$GR15,"ข")))</f>
        <v/>
      </c>
      <c r="HZ15" s="422" t="str">
        <f>IF(OR(COUNTA($GU$3:$HS$3,$HU$3)=0,$A15=""),"",IF('2.ชื่อนักเรียน'!R21="ย้าย","-",SUM(GU15,GZ15,HE15,HJ15,HO15,HU15)))</f>
        <v/>
      </c>
      <c r="IA15" s="425" t="str">
        <f>IF(OR(COUNTA($GU$3:$HS$3,$HU$3)=0,$A15=""),"",IF('2.ชื่อนักเรียน'!R21="ย้าย","-",SUM(GV15,HA15,HF15,HK15,HP15,HV15)))</f>
        <v/>
      </c>
      <c r="IB15" s="423" t="str">
        <f>IF(OR(COUNTA($GU$3:$HS$3,$HU$3)=0,$A15=""),"",IF('2.ชื่อนักเรียน'!R21="ย้าย","-",SUM(GW15,HB15,HG15,HL15,HQ15,HW15)))</f>
        <v/>
      </c>
      <c r="IC15" s="423" t="str">
        <f>IF(OR(COUNTA($GU$3:$HS$3,$HU$3)=0,$A15=""),"",IF('2.ชื่อนักเรียน'!R21="ย้าย","-",SUM(GX15,HC15,HH15,HM15,HR15,HX15)))</f>
        <v/>
      </c>
      <c r="ID15" s="424" t="str">
        <f>IF(OR(COUNTA($GU$3:$HS$3,$HU$3)=0,$A15=""),"",IF('2.ชื่อนักเรียน'!R21="ย้าย","-",SUM(GY15,HD15,HI15,HN15,HS15,HY15)))</f>
        <v/>
      </c>
      <c r="IE15" s="418" t="str">
        <f t="shared" si="0"/>
        <v/>
      </c>
      <c r="IF15" s="438" t="str">
        <f>IF(IE15="","",IF('2.ชื่อนักเรียน'!R21="ย้าย","ย้าย",(IE15*100)/COUNTA($E$4:$AI$4,$AL$4:$BP$4,$BS$4:$CW$4,$CZ$4:$ED$4,$EG$4:$FK$4,$FN$4:$GR$4)))</f>
        <v/>
      </c>
      <c r="IG15" s="449"/>
      <c r="IH15" s="611"/>
      <c r="II15" s="611"/>
      <c r="IJ15" s="611"/>
      <c r="IK15" s="611"/>
      <c r="IL15" s="611"/>
      <c r="IM15" s="611"/>
      <c r="IN15" s="611"/>
      <c r="IO15" s="611"/>
      <c r="IP15" s="611"/>
      <c r="IQ15" s="611"/>
      <c r="IR15" s="450"/>
    </row>
    <row r="16" spans="1:259" ht="21" customHeight="1" x14ac:dyDescent="0.4">
      <c r="A16" s="416" t="str">
        <f>IF(Name12="","",Name12)</f>
        <v/>
      </c>
      <c r="B16" s="417" t="str">
        <f>IF(Surname12="","",Surname12)</f>
        <v/>
      </c>
      <c r="C16" s="442" t="str">
        <f>IF('2.ชื่อนักเรียน'!R22="","",'2.ชื่อนักเรียน'!R22)</f>
        <v/>
      </c>
      <c r="D16" s="418">
        <v>12</v>
      </c>
      <c r="E16" s="419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1"/>
      <c r="AJ16" s="418" t="str">
        <f>IF(COUNTA($E$4:AI$4)=0,"",IF('2.ชื่อนักเรียน'!R22="ย้าย","ย้าย",GU16))</f>
        <v/>
      </c>
      <c r="AK16" s="418">
        <v>12</v>
      </c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18" t="str">
        <f>IF(COUNTA($AL$4:$BP$4)=0,"",IF('2.ชื่อนักเรียน'!R22="ย้าย","ย้าย",GZ16))</f>
        <v/>
      </c>
      <c r="BR16" s="418">
        <v>12</v>
      </c>
      <c r="BS16" s="419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1"/>
      <c r="CW16" s="420"/>
      <c r="CX16" s="418" t="str">
        <f>IF(COUNTA($BS$4:$CW$4)=0,"",IF('2.ชื่อนักเรียน'!R22="ย้าย","ย้าย",HE16))</f>
        <v/>
      </c>
      <c r="CY16" s="418">
        <v>12</v>
      </c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420"/>
      <c r="DU16" s="420"/>
      <c r="DV16" s="420"/>
      <c r="DW16" s="420"/>
      <c r="DX16" s="420"/>
      <c r="DY16" s="420"/>
      <c r="DZ16" s="420"/>
      <c r="EA16" s="420"/>
      <c r="EB16" s="420"/>
      <c r="EC16" s="421"/>
      <c r="ED16" s="421"/>
      <c r="EE16" s="418" t="str">
        <f>IF(COUNTA($CZ$4:$ED$4)=0,"",IF('2.ชื่อนักเรียน'!R22="ย้าย","ย้าย",HJ16))</f>
        <v/>
      </c>
      <c r="EF16" s="418">
        <v>12</v>
      </c>
      <c r="EG16" s="420"/>
      <c r="EH16" s="420"/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  <c r="FL16" s="418" t="str">
        <f>IF(COUNTA($EG$4:$FK$4)=0,"",IF('2.ชื่อนักเรียน'!R22="ย้าย","ย้าย",HO16))</f>
        <v/>
      </c>
      <c r="FM16" s="418">
        <v>12</v>
      </c>
      <c r="FN16" s="419"/>
      <c r="FO16" s="420"/>
      <c r="FP16" s="420"/>
      <c r="FQ16" s="420"/>
      <c r="FR16" s="420"/>
      <c r="FS16" s="420"/>
      <c r="FT16" s="420"/>
      <c r="FU16" s="420"/>
      <c r="FV16" s="420"/>
      <c r="FW16" s="420"/>
      <c r="FX16" s="420"/>
      <c r="FY16" s="420"/>
      <c r="FZ16" s="420"/>
      <c r="GA16" s="420"/>
      <c r="GB16" s="420"/>
      <c r="GC16" s="420"/>
      <c r="GD16" s="420"/>
      <c r="GE16" s="420"/>
      <c r="GF16" s="420"/>
      <c r="GG16" s="420"/>
      <c r="GH16" s="420"/>
      <c r="GI16" s="420"/>
      <c r="GJ16" s="420"/>
      <c r="GK16" s="420"/>
      <c r="GL16" s="420"/>
      <c r="GM16" s="420"/>
      <c r="GN16" s="420"/>
      <c r="GO16" s="420"/>
      <c r="GP16" s="420"/>
      <c r="GQ16" s="421"/>
      <c r="GR16" s="421"/>
      <c r="GS16" s="418" t="str">
        <f>IF(COUNTA($FN$4:$GR$4)=0,"",IF('2.ชื่อนักเรียน'!R22="ย้าย","ย้าย",HU16))</f>
        <v/>
      </c>
      <c r="GT16" s="418">
        <v>12</v>
      </c>
      <c r="GU16" s="422" t="str">
        <f>IF(OR(COUNTA($E$4:$AI$4)=0,$A16=""),"",IF('2.ชื่อนักเรียน'!R22="ย้าย","-",COUNTIF($E16:$AI16,"/")))</f>
        <v/>
      </c>
      <c r="GV16" s="425" t="str">
        <f>IF(OR(COUNTA($E$4:$AI$4)=0,$A16=""),"",IF('2.ชื่อนักเรียน'!R22="ย้าย","-",COUNTIF($E16:$AI16,"ส")))</f>
        <v/>
      </c>
      <c r="GW16" s="423" t="str">
        <f>IF(OR(COUNTA($E$4:$AI$4)=0,$A16=""),"",IF('2.ชื่อนักเรียน'!R22="ย้าย","-",COUNTIF($E16:$AI16,"ป")))</f>
        <v/>
      </c>
      <c r="GX16" s="423" t="str">
        <f>IF(OR(COUNTA($E$4:$AI$4)=0,$A16=""),"",IF('2.ชื่อนักเรียน'!R22="ย้าย","-",COUNTIF($E16:$AI16,"ล")))</f>
        <v/>
      </c>
      <c r="GY16" s="426" t="str">
        <f>IF(OR(COUNTA($E$4:$AI$4)=0,$A16=""),"",IF('2.ชื่อนักเรียน'!R22="ย้าย","-",COUNTIF($E16:$AI16,"ข")))</f>
        <v/>
      </c>
      <c r="GZ16" s="422" t="str">
        <f>IF(OR(COUNTA($AL$4:$BP$4)=0,$A16=""),"",IF('2.ชื่อนักเรียน'!R22="ย้าย","-",COUNTIF($AL16:$BP16,"/")))</f>
        <v/>
      </c>
      <c r="HA16" s="425" t="str">
        <f>IF(OR(COUNTA($AL$4:$BP$4)=0,$A16=""),"",IF('2.ชื่อนักเรียน'!R22="ย้าย","-",COUNTIF($AL16:$BP16,"ส")))</f>
        <v/>
      </c>
      <c r="HB16" s="423" t="str">
        <f>IF(OR(COUNTA($AL$4:$BP$4)=0,$A16=""),"",IF('2.ชื่อนักเรียน'!R22="ย้าย","-",COUNTIF($AL16:$BP16,"ป")))</f>
        <v/>
      </c>
      <c r="HC16" s="423" t="str">
        <f>IF(OR(COUNTA($AL$4:$BP$4)=0,$A16=""),"",IF('2.ชื่อนักเรียน'!R22="ย้าย","-",COUNTIF($AL16:$BP16,"ล")))</f>
        <v/>
      </c>
      <c r="HD16" s="426" t="str">
        <f>IF(OR(COUNTA($AL$4:$BP$4)=0,$A16=""),"",IF('2.ชื่อนักเรียน'!R22="ย้าย","-",COUNTIF($AL16:$BP16,"ข")))</f>
        <v/>
      </c>
      <c r="HE16" s="422" t="str">
        <f>IF(OR(COUNTA($BS$4:$CW$4)=0,$A16=""),"",IF('2.ชื่อนักเรียน'!R22="ย้าย","-",COUNTIF($BS16:$CW16,"/")))</f>
        <v/>
      </c>
      <c r="HF16" s="425" t="str">
        <f>IF(OR(COUNTA($BS$4:$CW$4)=0,$A16=""),"",IF('2.ชื่อนักเรียน'!R22="ย้าย","-",COUNTIF($BS16:$CW16,"ส")))</f>
        <v/>
      </c>
      <c r="HG16" s="423" t="str">
        <f>IF(OR(COUNTA($BS$4:$CW$4)=0,$A16=""),"",IF('2.ชื่อนักเรียน'!R22="ย้าย","-",COUNTIF($BS16:$CW16,"ป")))</f>
        <v/>
      </c>
      <c r="HH16" s="423" t="str">
        <f>IF(OR(COUNTA($BS$4:$CW$4)=0,$A16=""),"",IF('2.ชื่อนักเรียน'!R22="ย้าย","-",COUNTIF($BS16:$CW16,"ล")))</f>
        <v/>
      </c>
      <c r="HI16" s="426" t="str">
        <f>IF(OR(COUNTA($BS$4:$CW$4)=0,$A16=""),"",IF('2.ชื่อนักเรียน'!R22="ย้าย","-",COUNTIF($BS16:$CW16,"ข")))</f>
        <v/>
      </c>
      <c r="HJ16" s="422" t="str">
        <f>IF(OR(COUNTA($CZ$4:$ED$4)=0,$A16=""),"",IF('2.ชื่อนักเรียน'!R22="ย้าย","-",COUNTIF($CZ16:$ED16,"/")))</f>
        <v/>
      </c>
      <c r="HK16" s="425" t="str">
        <f>IF(OR(COUNTA($CZ$4:$ED$4)=0,$A16=""),"",IF('2.ชื่อนักเรียน'!R22="ย้าย","-",COUNTIF($CZ16:$ED16,"ส")))</f>
        <v/>
      </c>
      <c r="HL16" s="423" t="str">
        <f>IF(OR(COUNTA($CZ$4:$ED$4)=0,$A16=""),"",IF('2.ชื่อนักเรียน'!R22="ย้าย","-",COUNTIF($CZ16:$ED16,"ป")))</f>
        <v/>
      </c>
      <c r="HM16" s="423" t="str">
        <f>IF(OR(COUNTA($CZ$4:$ED$4)=0,A16=""),"",IF('2.ชื่อนักเรียน'!R22="ย้าย","-",COUNTIF($CZ16:$ED16,"ล")))</f>
        <v/>
      </c>
      <c r="HN16" s="426" t="str">
        <f>IF(OR(COUNTA($CZ$4:$ED$4)=0,A16=""),"",IF('2.ชื่อนักเรียน'!R22="ย้าย","-",COUNTIF($CZ16:$ED16,"ข")))</f>
        <v/>
      </c>
      <c r="HO16" s="422" t="str">
        <f>IF(OR(COUNTA($EG$4:$FK$4)=0,$A16=""),"",IF('2.ชื่อนักเรียน'!R22="ย้าย","-",COUNTIF($EG16:$FK16,"/")))</f>
        <v/>
      </c>
      <c r="HP16" s="425" t="str">
        <f>IF(OR(COUNTA($EG$4:$FK$4)=0,$A16=""),"",IF('2.ชื่อนักเรียน'!R22="ย้าย","-",COUNTIF($EG16:$FK16,"ส")))</f>
        <v/>
      </c>
      <c r="HQ16" s="423" t="str">
        <f>IF(OR(COUNTA($EG$4:$FK$4)=0,$A16=""),"",IF('2.ชื่อนักเรียน'!R22="ย้าย","-",COUNTIF($EG16:$FK16,"ป")))</f>
        <v/>
      </c>
      <c r="HR16" s="423" t="str">
        <f>IF(OR(COUNTA($EG$4:$FK$4)=0,A16=""),"",IF('2.ชื่อนักเรียน'!R22="ย้าย","-",COUNTIF($EG16:$FK16,"ล")))</f>
        <v/>
      </c>
      <c r="HS16" s="426" t="str">
        <f>IF(OR(COUNTA($EG$4:$FK$4)=0,A16=""),"",IF('2.ชื่อนักเรียน'!R22="ย้าย","-",COUNTIF($EG16:$FK16,"ข")))</f>
        <v/>
      </c>
      <c r="HT16" s="418">
        <v>12</v>
      </c>
      <c r="HU16" s="422" t="str">
        <f>IF(OR(COUNTA($FN$4:$GR$4)=0,$A16=""),"",IF('2.ชื่อนักเรียน'!R22="ย้าย","-",COUNTIF($FN16:$GR16,"/")))</f>
        <v/>
      </c>
      <c r="HV16" s="425" t="str">
        <f>IF(OR(COUNTA($FN$4:$GR$4)=0,$A16=""),"",IF('2.ชื่อนักเรียน'!R22="ย้าย","-",COUNTIF($FN16:$GR16,"ส")))</f>
        <v/>
      </c>
      <c r="HW16" s="423" t="str">
        <f>IF(OR(COUNTA($FN$4:$GR$4)=0,$A16=""),"",IF('2.ชื่อนักเรียน'!R22="ย้าย","-",COUNTIF($FN16:$GR16,"ป")))</f>
        <v/>
      </c>
      <c r="HX16" s="423" t="str">
        <f>IF(OR(COUNTA($FN$4:$GR$4)=0,A16=""),"",IF('2.ชื่อนักเรียน'!R22="ย้าย","-",COUNTIF($FN16:$GR16,"ล")))</f>
        <v/>
      </c>
      <c r="HY16" s="423" t="str">
        <f>IF(OR(COUNTA($FN$4:$GR$4)=0,A16=""),"",IF('2.ชื่อนักเรียน'!R22="ย้าย","-",COUNTIF($FN16:$GR16,"ข")))</f>
        <v/>
      </c>
      <c r="HZ16" s="422" t="str">
        <f>IF(OR(COUNTA($GU$3:$HS$3,$HU$3)=0,$A16=""),"",IF('2.ชื่อนักเรียน'!R22="ย้าย","-",SUM(GU16,GZ16,HE16,HJ16,HO16,HU16)))</f>
        <v/>
      </c>
      <c r="IA16" s="425" t="str">
        <f>IF(OR(COUNTA($GU$3:$HS$3,$HU$3)=0,$A16=""),"",IF('2.ชื่อนักเรียน'!R22="ย้าย","-",SUM(GV16,HA16,HF16,HK16,HP16,HV16)))</f>
        <v/>
      </c>
      <c r="IB16" s="423" t="str">
        <f>IF(OR(COUNTA($GU$3:$HS$3,$HU$3)=0,$A16=""),"",IF('2.ชื่อนักเรียน'!R22="ย้าย","-",SUM(GW16,HB16,HG16,HL16,HQ16,HW16)))</f>
        <v/>
      </c>
      <c r="IC16" s="423" t="str">
        <f>IF(OR(COUNTA($GU$3:$HS$3,$HU$3)=0,$A16=""),"",IF('2.ชื่อนักเรียน'!R22="ย้าย","-",SUM(GX16,HC16,HH16,HM16,HR16,HX16)))</f>
        <v/>
      </c>
      <c r="ID16" s="424" t="str">
        <f>IF(OR(COUNTA($GU$3:$HS$3,$HU$3)=0,$A16=""),"",IF('2.ชื่อนักเรียน'!R22="ย้าย","-",SUM(GY16,HD16,HI16,HN16,HS16,HY16)))</f>
        <v/>
      </c>
      <c r="IE16" s="418" t="str">
        <f t="shared" si="0"/>
        <v/>
      </c>
      <c r="IF16" s="438" t="str">
        <f>IF(IE16="","",IF('2.ชื่อนักเรียน'!R22="ย้าย","ย้าย",(IE16*100)/COUNTA($E$4:$AI$4,$AL$4:$BP$4,$BS$4:$CW$4,$CZ$4:$ED$4,$EG$4:$FK$4,$FN$4:$GR$4)))</f>
        <v/>
      </c>
      <c r="IG16" s="449"/>
      <c r="IH16" s="611"/>
      <c r="II16" s="611"/>
      <c r="IJ16" s="611"/>
      <c r="IK16" s="611"/>
      <c r="IL16" s="611"/>
      <c r="IM16" s="611"/>
      <c r="IN16" s="611"/>
      <c r="IO16" s="611"/>
      <c r="IP16" s="611"/>
      <c r="IQ16" s="611"/>
      <c r="IR16" s="450"/>
    </row>
    <row r="17" spans="1:252" ht="21" customHeight="1" x14ac:dyDescent="0.4">
      <c r="A17" s="416" t="str">
        <f>IF(Name13="","",Name13)</f>
        <v/>
      </c>
      <c r="B17" s="417" t="str">
        <f>IF(Surname13="","",Surname13)</f>
        <v/>
      </c>
      <c r="C17" s="442" t="str">
        <f>IF('2.ชื่อนักเรียน'!R23="","",'2.ชื่อนักเรียน'!R23)</f>
        <v/>
      </c>
      <c r="D17" s="418">
        <v>13</v>
      </c>
      <c r="E17" s="419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1"/>
      <c r="AJ17" s="418" t="str">
        <f>IF(COUNTA($E$4:AI$4)=0,"",IF('2.ชื่อนักเรียน'!R23="ย้าย","ย้าย",GU17))</f>
        <v/>
      </c>
      <c r="AK17" s="418">
        <v>13</v>
      </c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18" t="str">
        <f>IF(COUNTA($AL$4:$BP$4)=0,"",IF('2.ชื่อนักเรียน'!R23="ย้าย","ย้าย",GZ17))</f>
        <v/>
      </c>
      <c r="BR17" s="418">
        <v>13</v>
      </c>
      <c r="BS17" s="419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1"/>
      <c r="CW17" s="420"/>
      <c r="CX17" s="418" t="str">
        <f>IF(COUNTA($BS$4:$CW$4)=0,"",IF('2.ชื่อนักเรียน'!R23="ย้าย","ย้าย",HE17))</f>
        <v/>
      </c>
      <c r="CY17" s="418">
        <v>13</v>
      </c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1"/>
      <c r="ED17" s="421"/>
      <c r="EE17" s="418" t="str">
        <f>IF(COUNTA($CZ$4:$ED$4)=0,"",IF('2.ชื่อนักเรียน'!R23="ย้าย","ย้าย",HJ17))</f>
        <v/>
      </c>
      <c r="EF17" s="418">
        <v>13</v>
      </c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18" t="str">
        <f>IF(COUNTA($EG$4:$FK$4)=0,"",IF('2.ชื่อนักเรียน'!R23="ย้าย","ย้าย",HO17))</f>
        <v/>
      </c>
      <c r="FM17" s="418">
        <v>13</v>
      </c>
      <c r="FN17" s="419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1"/>
      <c r="GR17" s="421"/>
      <c r="GS17" s="418" t="str">
        <f>IF(COUNTA($FN$4:$GR$4)=0,"",IF('2.ชื่อนักเรียน'!R23="ย้าย","ย้าย",HU17))</f>
        <v/>
      </c>
      <c r="GT17" s="418">
        <v>13</v>
      </c>
      <c r="GU17" s="422" t="str">
        <f>IF(OR(COUNTA($E$4:$AI$4)=0,$A17=""),"",IF('2.ชื่อนักเรียน'!R23="ย้าย","-",COUNTIF($E17:$AI17,"/")))</f>
        <v/>
      </c>
      <c r="GV17" s="425" t="str">
        <f>IF(OR(COUNTA($E$4:$AI$4)=0,$A17=""),"",IF('2.ชื่อนักเรียน'!R23="ย้าย","-",COUNTIF($E17:$AI17,"ส")))</f>
        <v/>
      </c>
      <c r="GW17" s="423" t="str">
        <f>IF(OR(COUNTA($E$4:$AI$4)=0,$A17=""),"",IF('2.ชื่อนักเรียน'!R23="ย้าย","-",COUNTIF($E17:$AI17,"ป")))</f>
        <v/>
      </c>
      <c r="GX17" s="423" t="str">
        <f>IF(OR(COUNTA($E$4:$AI$4)=0,$A17=""),"",IF('2.ชื่อนักเรียน'!R23="ย้าย","-",COUNTIF($E17:$AI17,"ล")))</f>
        <v/>
      </c>
      <c r="GY17" s="426" t="str">
        <f>IF(OR(COUNTA($E$4:$AI$4)=0,$A17=""),"",IF('2.ชื่อนักเรียน'!R23="ย้าย","-",COUNTIF($E17:$AI17,"ข")))</f>
        <v/>
      </c>
      <c r="GZ17" s="422" t="str">
        <f>IF(OR(COUNTA($AL$4:$BP$4)=0,$A17=""),"",IF('2.ชื่อนักเรียน'!R23="ย้าย","-",COUNTIF($AL17:$BP17,"/")))</f>
        <v/>
      </c>
      <c r="HA17" s="425" t="str">
        <f>IF(OR(COUNTA($AL$4:$BP$4)=0,$A17=""),"",IF('2.ชื่อนักเรียน'!R23="ย้าย","-",COUNTIF($AL17:$BP17,"ส")))</f>
        <v/>
      </c>
      <c r="HB17" s="423" t="str">
        <f>IF(OR(COUNTA($AL$4:$BP$4)=0,$A17=""),"",IF('2.ชื่อนักเรียน'!R23="ย้าย","-",COUNTIF($AL17:$BP17,"ป")))</f>
        <v/>
      </c>
      <c r="HC17" s="423" t="str">
        <f>IF(OR(COUNTA($AL$4:$BP$4)=0,$A17=""),"",IF('2.ชื่อนักเรียน'!R23="ย้าย","-",COUNTIF($AL17:$BP17,"ล")))</f>
        <v/>
      </c>
      <c r="HD17" s="426" t="str">
        <f>IF(OR(COUNTA($AL$4:$BP$4)=0,$A17=""),"",IF('2.ชื่อนักเรียน'!R23="ย้าย","-",COUNTIF($AL17:$BP17,"ข")))</f>
        <v/>
      </c>
      <c r="HE17" s="422" t="str">
        <f>IF(OR(COUNTA($BS$4:$CW$4)=0,$A17=""),"",IF('2.ชื่อนักเรียน'!R23="ย้าย","-",COUNTIF($BS17:$CW17,"/")))</f>
        <v/>
      </c>
      <c r="HF17" s="425" t="str">
        <f>IF(OR(COUNTA($BS$4:$CW$4)=0,$A17=""),"",IF('2.ชื่อนักเรียน'!R23="ย้าย","-",COUNTIF($BS17:$CW17,"ส")))</f>
        <v/>
      </c>
      <c r="HG17" s="423" t="str">
        <f>IF(OR(COUNTA($BS$4:$CW$4)=0,$A17=""),"",IF('2.ชื่อนักเรียน'!R23="ย้าย","-",COUNTIF($BS17:$CW17,"ป")))</f>
        <v/>
      </c>
      <c r="HH17" s="423" t="str">
        <f>IF(OR(COUNTA($BS$4:$CW$4)=0,$A17=""),"",IF('2.ชื่อนักเรียน'!R23="ย้าย","-",COUNTIF($BS17:$CW17,"ล")))</f>
        <v/>
      </c>
      <c r="HI17" s="426" t="str">
        <f>IF(OR(COUNTA($BS$4:$CW$4)=0,$A17=""),"",IF('2.ชื่อนักเรียน'!R23="ย้าย","-",COUNTIF($BS17:$CW17,"ข")))</f>
        <v/>
      </c>
      <c r="HJ17" s="422" t="str">
        <f>IF(OR(COUNTA($CZ$4:$ED$4)=0,$A17=""),"",IF('2.ชื่อนักเรียน'!R23="ย้าย","-",COUNTIF($CZ17:$ED17,"/")))</f>
        <v/>
      </c>
      <c r="HK17" s="425" t="str">
        <f>IF(OR(COUNTA($CZ$4:$ED$4)=0,$A17=""),"",IF('2.ชื่อนักเรียน'!R23="ย้าย","-",COUNTIF($CZ17:$ED17,"ส")))</f>
        <v/>
      </c>
      <c r="HL17" s="423" t="str">
        <f>IF(OR(COUNTA($CZ$4:$ED$4)=0,$A17=""),"",IF('2.ชื่อนักเรียน'!R23="ย้าย","-",COUNTIF($CZ17:$ED17,"ป")))</f>
        <v/>
      </c>
      <c r="HM17" s="423" t="str">
        <f>IF(OR(COUNTA($CZ$4:$ED$4)=0,A17=""),"",IF('2.ชื่อนักเรียน'!R23="ย้าย","-",COUNTIF($CZ17:$ED17,"ล")))</f>
        <v/>
      </c>
      <c r="HN17" s="426" t="str">
        <f>IF(OR(COUNTA($CZ$4:$ED$4)=0,A17=""),"",IF('2.ชื่อนักเรียน'!R23="ย้าย","-",COUNTIF($CZ17:$ED17,"ข")))</f>
        <v/>
      </c>
      <c r="HO17" s="422" t="str">
        <f>IF(OR(COUNTA($EG$4:$FK$4)=0,$A17=""),"",IF('2.ชื่อนักเรียน'!R23="ย้าย","-",COUNTIF($EG17:$FK17,"/")))</f>
        <v/>
      </c>
      <c r="HP17" s="425" t="str">
        <f>IF(OR(COUNTA($EG$4:$FK$4)=0,$A17=""),"",IF('2.ชื่อนักเรียน'!R23="ย้าย","-",COUNTIF($EG17:$FK17,"ส")))</f>
        <v/>
      </c>
      <c r="HQ17" s="423" t="str">
        <f>IF(OR(COUNTA($EG$4:$FK$4)=0,$A17=""),"",IF('2.ชื่อนักเรียน'!R23="ย้าย","-",COUNTIF($EG17:$FK17,"ป")))</f>
        <v/>
      </c>
      <c r="HR17" s="423" t="str">
        <f>IF(OR(COUNTA($EG$4:$FK$4)=0,A17=""),"",IF('2.ชื่อนักเรียน'!R23="ย้าย","-",COUNTIF($EG17:$FK17,"ล")))</f>
        <v/>
      </c>
      <c r="HS17" s="426" t="str">
        <f>IF(OR(COUNTA($EG$4:$FK$4)=0,A17=""),"",IF('2.ชื่อนักเรียน'!R23="ย้าย","-",COUNTIF($EG17:$FK17,"ข")))</f>
        <v/>
      </c>
      <c r="HT17" s="418">
        <v>13</v>
      </c>
      <c r="HU17" s="422" t="str">
        <f>IF(OR(COUNTA($FN$4:$GR$4)=0,$A17=""),"",IF('2.ชื่อนักเรียน'!R23="ย้าย","-",COUNTIF($FN17:$GR17,"/")))</f>
        <v/>
      </c>
      <c r="HV17" s="425" t="str">
        <f>IF(OR(COUNTA($FN$4:$GR$4)=0,$A17=""),"",IF('2.ชื่อนักเรียน'!R23="ย้าย","-",COUNTIF($FN17:$GR17,"ส")))</f>
        <v/>
      </c>
      <c r="HW17" s="423" t="str">
        <f>IF(OR(COUNTA($FN$4:$GR$4)=0,$A17=""),"",IF('2.ชื่อนักเรียน'!R23="ย้าย","-",COUNTIF($FN17:$GR17,"ป")))</f>
        <v/>
      </c>
      <c r="HX17" s="423" t="str">
        <f>IF(OR(COUNTA($FN$4:$GR$4)=0,A17=""),"",IF('2.ชื่อนักเรียน'!R23="ย้าย","-",COUNTIF($FN17:$GR17,"ล")))</f>
        <v/>
      </c>
      <c r="HY17" s="423" t="str">
        <f>IF(OR(COUNTA($FN$4:$GR$4)=0,A17=""),"",IF('2.ชื่อนักเรียน'!R23="ย้าย","-",COUNTIF($FN17:$GR17,"ข")))</f>
        <v/>
      </c>
      <c r="HZ17" s="422" t="str">
        <f>IF(OR(COUNTA($GU$3:$HS$3,$HU$3)=0,$A17=""),"",IF('2.ชื่อนักเรียน'!R23="ย้าย","-",SUM(GU17,GZ17,HE17,HJ17,HO17,HU17)))</f>
        <v/>
      </c>
      <c r="IA17" s="425" t="str">
        <f>IF(OR(COUNTA($GU$3:$HS$3,$HU$3)=0,$A17=""),"",IF('2.ชื่อนักเรียน'!R23="ย้าย","-",SUM(GV17,HA17,HF17,HK17,HP17,HV17)))</f>
        <v/>
      </c>
      <c r="IB17" s="423" t="str">
        <f>IF(OR(COUNTA($GU$3:$HS$3,$HU$3)=0,$A17=""),"",IF('2.ชื่อนักเรียน'!R23="ย้าย","-",SUM(GW17,HB17,HG17,HL17,HQ17,HW17)))</f>
        <v/>
      </c>
      <c r="IC17" s="423" t="str">
        <f>IF(OR(COUNTA($GU$3:$HS$3,$HU$3)=0,$A17=""),"",IF('2.ชื่อนักเรียน'!R23="ย้าย","-",SUM(GX17,HC17,HH17,HM17,HR17,HX17)))</f>
        <v/>
      </c>
      <c r="ID17" s="424" t="str">
        <f>IF(OR(COUNTA($GU$3:$HS$3,$HU$3)=0,$A17=""),"",IF('2.ชื่อนักเรียน'!R23="ย้าย","-",SUM(GY17,HD17,HI17,HN17,HS17,HY17)))</f>
        <v/>
      </c>
      <c r="IE17" s="418" t="str">
        <f t="shared" si="0"/>
        <v/>
      </c>
      <c r="IF17" s="438" t="str">
        <f>IF(IE17="","",IF('2.ชื่อนักเรียน'!R23="ย้าย","ย้าย",(IE17*100)/COUNTA($E$4:$AI$4,$AL$4:$BP$4,$BS$4:$CW$4,$CZ$4:$ED$4,$EG$4:$FK$4,$FN$4:$GR$4)))</f>
        <v/>
      </c>
      <c r="IG17" s="449"/>
      <c r="IH17" s="611"/>
      <c r="II17" s="611"/>
      <c r="IJ17" s="611"/>
      <c r="IK17" s="611"/>
      <c r="IL17" s="611"/>
      <c r="IM17" s="611"/>
      <c r="IN17" s="611"/>
      <c r="IO17" s="611"/>
      <c r="IP17" s="611"/>
      <c r="IQ17" s="611"/>
      <c r="IR17" s="450"/>
    </row>
    <row r="18" spans="1:252" ht="21" customHeight="1" x14ac:dyDescent="0.4">
      <c r="A18" s="416" t="str">
        <f>IF(Name14="","",Name14)</f>
        <v/>
      </c>
      <c r="B18" s="417" t="str">
        <f>IF(Surname14="","",Surname14)</f>
        <v/>
      </c>
      <c r="C18" s="442" t="str">
        <f>IF('2.ชื่อนักเรียน'!R24="","",'2.ชื่อนักเรียน'!R24)</f>
        <v/>
      </c>
      <c r="D18" s="418">
        <v>14</v>
      </c>
      <c r="E18" s="419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1"/>
      <c r="AJ18" s="418" t="str">
        <f>IF(COUNTA($E$4:AI$4)=0,"",IF('2.ชื่อนักเรียน'!R24="ย้าย","ย้าย",GU18))</f>
        <v/>
      </c>
      <c r="AK18" s="418">
        <v>14</v>
      </c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18" t="str">
        <f>IF(COUNTA($AL$4:$BP$4)=0,"",IF('2.ชื่อนักเรียน'!R24="ย้าย","ย้าย",GZ18))</f>
        <v/>
      </c>
      <c r="BR18" s="418">
        <v>14</v>
      </c>
      <c r="BS18" s="419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1"/>
      <c r="CW18" s="420"/>
      <c r="CX18" s="418" t="str">
        <f>IF(COUNTA($BS$4:$CW$4)=0,"",IF('2.ชื่อนักเรียน'!R24="ย้าย","ย้าย",HE18))</f>
        <v/>
      </c>
      <c r="CY18" s="418">
        <v>14</v>
      </c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1"/>
      <c r="ED18" s="421"/>
      <c r="EE18" s="418" t="str">
        <f>IF(COUNTA($CZ$4:$ED$4)=0,"",IF('2.ชื่อนักเรียน'!R24="ย้าย","ย้าย",HJ18))</f>
        <v/>
      </c>
      <c r="EF18" s="418">
        <v>14</v>
      </c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18" t="str">
        <f>IF(COUNTA($EG$4:$FK$4)=0,"",IF('2.ชื่อนักเรียน'!R24="ย้าย","ย้าย",HO18))</f>
        <v/>
      </c>
      <c r="FM18" s="418">
        <v>14</v>
      </c>
      <c r="FN18" s="419"/>
      <c r="FO18" s="420"/>
      <c r="FP18" s="420"/>
      <c r="FQ18" s="420"/>
      <c r="FR18" s="420"/>
      <c r="FS18" s="420"/>
      <c r="FT18" s="420"/>
      <c r="FU18" s="420"/>
      <c r="FV18" s="420"/>
      <c r="FW18" s="420"/>
      <c r="FX18" s="420"/>
      <c r="FY18" s="420"/>
      <c r="FZ18" s="420"/>
      <c r="GA18" s="420"/>
      <c r="GB18" s="420"/>
      <c r="GC18" s="420"/>
      <c r="GD18" s="420"/>
      <c r="GE18" s="420"/>
      <c r="GF18" s="420"/>
      <c r="GG18" s="420"/>
      <c r="GH18" s="420"/>
      <c r="GI18" s="420"/>
      <c r="GJ18" s="420"/>
      <c r="GK18" s="420"/>
      <c r="GL18" s="420"/>
      <c r="GM18" s="420"/>
      <c r="GN18" s="420"/>
      <c r="GO18" s="420"/>
      <c r="GP18" s="420"/>
      <c r="GQ18" s="421"/>
      <c r="GR18" s="421"/>
      <c r="GS18" s="418" t="str">
        <f>IF(COUNTA($FN$4:$GR$4)=0,"",IF('2.ชื่อนักเรียน'!R24="ย้าย","ย้าย",HU18))</f>
        <v/>
      </c>
      <c r="GT18" s="418">
        <v>14</v>
      </c>
      <c r="GU18" s="422" t="str">
        <f>IF(OR(COUNTA($E$4:$AI$4)=0,$A18=""),"",IF('2.ชื่อนักเรียน'!R24="ย้าย","-",COUNTIF($E18:$AI18,"/")))</f>
        <v/>
      </c>
      <c r="GV18" s="425" t="str">
        <f>IF(OR(COUNTA($E$4:$AI$4)=0,$A18=""),"",IF('2.ชื่อนักเรียน'!R24="ย้าย","-",COUNTIF($E18:$AI18,"ส")))</f>
        <v/>
      </c>
      <c r="GW18" s="423" t="str">
        <f>IF(OR(COUNTA($E$4:$AI$4)=0,$A18=""),"",IF('2.ชื่อนักเรียน'!R24="ย้าย","-",COUNTIF($E18:$AI18,"ป")))</f>
        <v/>
      </c>
      <c r="GX18" s="423" t="str">
        <f>IF(OR(COUNTA($E$4:$AI$4)=0,$A18=""),"",IF('2.ชื่อนักเรียน'!R24="ย้าย","-",COUNTIF($E18:$AI18,"ล")))</f>
        <v/>
      </c>
      <c r="GY18" s="426" t="str">
        <f>IF(OR(COUNTA($E$4:$AI$4)=0,$A18=""),"",IF('2.ชื่อนักเรียน'!R24="ย้าย","-",COUNTIF($E18:$AI18,"ข")))</f>
        <v/>
      </c>
      <c r="GZ18" s="422" t="str">
        <f>IF(OR(COUNTA($AL$4:$BP$4)=0,$A18=""),"",IF('2.ชื่อนักเรียน'!R24="ย้าย","-",COUNTIF($AL18:$BP18,"/")))</f>
        <v/>
      </c>
      <c r="HA18" s="425" t="str">
        <f>IF(OR(COUNTA($AL$4:$BP$4)=0,$A18=""),"",IF('2.ชื่อนักเรียน'!R24="ย้าย","-",COUNTIF($AL18:$BP18,"ส")))</f>
        <v/>
      </c>
      <c r="HB18" s="423" t="str">
        <f>IF(OR(COUNTA($AL$4:$BP$4)=0,$A18=""),"",IF('2.ชื่อนักเรียน'!R24="ย้าย","-",COUNTIF($AL18:$BP18,"ป")))</f>
        <v/>
      </c>
      <c r="HC18" s="423" t="str">
        <f>IF(OR(COUNTA($AL$4:$BP$4)=0,$A18=""),"",IF('2.ชื่อนักเรียน'!R24="ย้าย","-",COUNTIF($AL18:$BP18,"ล")))</f>
        <v/>
      </c>
      <c r="HD18" s="426" t="str">
        <f>IF(OR(COUNTA($AL$4:$BP$4)=0,$A18=""),"",IF('2.ชื่อนักเรียน'!R24="ย้าย","-",COUNTIF($AL18:$BP18,"ข")))</f>
        <v/>
      </c>
      <c r="HE18" s="422" t="str">
        <f>IF(OR(COUNTA($BS$4:$CW$4)=0,$A18=""),"",IF('2.ชื่อนักเรียน'!R24="ย้าย","-",COUNTIF($BS18:$CW18,"/")))</f>
        <v/>
      </c>
      <c r="HF18" s="425" t="str">
        <f>IF(OR(COUNTA($BS$4:$CW$4)=0,$A18=""),"",IF('2.ชื่อนักเรียน'!R24="ย้าย","-",COUNTIF($BS18:$CW18,"ส")))</f>
        <v/>
      </c>
      <c r="HG18" s="423" t="str">
        <f>IF(OR(COUNTA($BS$4:$CW$4)=0,$A18=""),"",IF('2.ชื่อนักเรียน'!R24="ย้าย","-",COUNTIF($BS18:$CW18,"ป")))</f>
        <v/>
      </c>
      <c r="HH18" s="423" t="str">
        <f>IF(OR(COUNTA($BS$4:$CW$4)=0,$A18=""),"",IF('2.ชื่อนักเรียน'!R24="ย้าย","-",COUNTIF($BS18:$CW18,"ล")))</f>
        <v/>
      </c>
      <c r="HI18" s="426" t="str">
        <f>IF(OR(COUNTA($BS$4:$CW$4)=0,$A18=""),"",IF('2.ชื่อนักเรียน'!R24="ย้าย","-",COUNTIF($BS18:$CW18,"ข")))</f>
        <v/>
      </c>
      <c r="HJ18" s="422" t="str">
        <f>IF(OR(COUNTA($CZ$4:$ED$4)=0,$A18=""),"",IF('2.ชื่อนักเรียน'!R24="ย้าย","-",COUNTIF($CZ18:$ED18,"/")))</f>
        <v/>
      </c>
      <c r="HK18" s="425" t="str">
        <f>IF(OR(COUNTA($CZ$4:$ED$4)=0,$A18=""),"",IF('2.ชื่อนักเรียน'!R24="ย้าย","-",COUNTIF($CZ18:$ED18,"ส")))</f>
        <v/>
      </c>
      <c r="HL18" s="423" t="str">
        <f>IF(OR(COUNTA($CZ$4:$ED$4)=0,$A18=""),"",IF('2.ชื่อนักเรียน'!R24="ย้าย","-",COUNTIF($CZ18:$ED18,"ป")))</f>
        <v/>
      </c>
      <c r="HM18" s="423" t="str">
        <f>IF(OR(COUNTA($CZ$4:$ED$4)=0,A18=""),"",IF('2.ชื่อนักเรียน'!R24="ย้าย","-",COUNTIF($CZ18:$ED18,"ล")))</f>
        <v/>
      </c>
      <c r="HN18" s="426" t="str">
        <f>IF(OR(COUNTA($CZ$4:$ED$4)=0,A18=""),"",IF('2.ชื่อนักเรียน'!R24="ย้าย","-",COUNTIF($CZ18:$ED18,"ข")))</f>
        <v/>
      </c>
      <c r="HO18" s="422" t="str">
        <f>IF(OR(COUNTA($EG$4:$FK$4)=0,$A18=""),"",IF('2.ชื่อนักเรียน'!R24="ย้าย","-",COUNTIF($EG18:$FK18,"/")))</f>
        <v/>
      </c>
      <c r="HP18" s="425" t="str">
        <f>IF(OR(COUNTA($EG$4:$FK$4)=0,$A18=""),"",IF('2.ชื่อนักเรียน'!R24="ย้าย","-",COUNTIF($EG18:$FK18,"ส")))</f>
        <v/>
      </c>
      <c r="HQ18" s="423" t="str">
        <f>IF(OR(COUNTA($EG$4:$FK$4)=0,$A18=""),"",IF('2.ชื่อนักเรียน'!R24="ย้าย","-",COUNTIF($EG18:$FK18,"ป")))</f>
        <v/>
      </c>
      <c r="HR18" s="423" t="str">
        <f>IF(OR(COUNTA($EG$4:$FK$4)=0,A18=""),"",IF('2.ชื่อนักเรียน'!R24="ย้าย","-",COUNTIF($EG18:$FK18,"ล")))</f>
        <v/>
      </c>
      <c r="HS18" s="426" t="str">
        <f>IF(OR(COUNTA($EG$4:$FK$4)=0,A18=""),"",IF('2.ชื่อนักเรียน'!R24="ย้าย","-",COUNTIF($EG18:$FK18,"ข")))</f>
        <v/>
      </c>
      <c r="HT18" s="418">
        <v>14</v>
      </c>
      <c r="HU18" s="422" t="str">
        <f>IF(OR(COUNTA($FN$4:$GR$4)=0,$A18=""),"",IF('2.ชื่อนักเรียน'!R24="ย้าย","-",COUNTIF($FN18:$GR18,"/")))</f>
        <v/>
      </c>
      <c r="HV18" s="425" t="str">
        <f>IF(OR(COUNTA($FN$4:$GR$4)=0,$A18=""),"",IF('2.ชื่อนักเรียน'!R24="ย้าย","-",COUNTIF($FN18:$GR18,"ส")))</f>
        <v/>
      </c>
      <c r="HW18" s="423" t="str">
        <f>IF(OR(COUNTA($FN$4:$GR$4)=0,$A18=""),"",IF('2.ชื่อนักเรียน'!R24="ย้าย","-",COUNTIF($FN18:$GR18,"ป")))</f>
        <v/>
      </c>
      <c r="HX18" s="423" t="str">
        <f>IF(OR(COUNTA($FN$4:$GR$4)=0,A18=""),"",IF('2.ชื่อนักเรียน'!R24="ย้าย","-",COUNTIF($FN18:$GR18,"ล")))</f>
        <v/>
      </c>
      <c r="HY18" s="423" t="str">
        <f>IF(OR(COUNTA($FN$4:$GR$4)=0,A18=""),"",IF('2.ชื่อนักเรียน'!R24="ย้าย","-",COUNTIF($FN18:$GR18,"ข")))</f>
        <v/>
      </c>
      <c r="HZ18" s="422" t="str">
        <f>IF(OR(COUNTA($GU$3:$HS$3,$HU$3)=0,$A18=""),"",IF('2.ชื่อนักเรียน'!R24="ย้าย","-",SUM(GU18,GZ18,HE18,HJ18,HO18,HU18)))</f>
        <v/>
      </c>
      <c r="IA18" s="425" t="str">
        <f>IF(OR(COUNTA($GU$3:$HS$3,$HU$3)=0,$A18=""),"",IF('2.ชื่อนักเรียน'!R24="ย้าย","-",SUM(GV18,HA18,HF18,HK18,HP18,HV18)))</f>
        <v/>
      </c>
      <c r="IB18" s="423" t="str">
        <f>IF(OR(COUNTA($GU$3:$HS$3,$HU$3)=0,$A18=""),"",IF('2.ชื่อนักเรียน'!R24="ย้าย","-",SUM(GW18,HB18,HG18,HL18,HQ18,HW18)))</f>
        <v/>
      </c>
      <c r="IC18" s="423" t="str">
        <f>IF(OR(COUNTA($GU$3:$HS$3,$HU$3)=0,$A18=""),"",IF('2.ชื่อนักเรียน'!R24="ย้าย","-",SUM(GX18,HC18,HH18,HM18,HR18,HX18)))</f>
        <v/>
      </c>
      <c r="ID18" s="424" t="str">
        <f>IF(OR(COUNTA($GU$3:$HS$3,$HU$3)=0,$A18=""),"",IF('2.ชื่อนักเรียน'!R24="ย้าย","-",SUM(GY18,HD18,HI18,HN18,HS18,HY18)))</f>
        <v/>
      </c>
      <c r="IE18" s="418" t="str">
        <f t="shared" si="0"/>
        <v/>
      </c>
      <c r="IF18" s="438" t="str">
        <f>IF(IE18="","",IF('2.ชื่อนักเรียน'!R24="ย้าย","ย้าย",(IE18*100)/COUNTA($E$4:$AI$4,$AL$4:$BP$4,$BS$4:$CW$4,$CZ$4:$ED$4,$EG$4:$FK$4,$FN$4:$GR$4)))</f>
        <v/>
      </c>
      <c r="IG18" s="449"/>
      <c r="IH18" s="611"/>
      <c r="II18" s="611"/>
      <c r="IJ18" s="611"/>
      <c r="IK18" s="611"/>
      <c r="IL18" s="611"/>
      <c r="IM18" s="611"/>
      <c r="IN18" s="611"/>
      <c r="IO18" s="611"/>
      <c r="IP18" s="611"/>
      <c r="IQ18" s="611"/>
      <c r="IR18" s="450"/>
    </row>
    <row r="19" spans="1:252" ht="21" customHeight="1" x14ac:dyDescent="0.4">
      <c r="A19" s="416" t="str">
        <f>IF(Name15="","",Name15)</f>
        <v/>
      </c>
      <c r="B19" s="417" t="str">
        <f>IF(Surname15="","",Surname15)</f>
        <v/>
      </c>
      <c r="C19" s="442" t="str">
        <f>IF('2.ชื่อนักเรียน'!R25="","",'2.ชื่อนักเรียน'!R25)</f>
        <v/>
      </c>
      <c r="D19" s="418">
        <v>15</v>
      </c>
      <c r="E19" s="419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1"/>
      <c r="AJ19" s="418" t="str">
        <f>IF(COUNTA($E$4:AI$4)=0,"",IF('2.ชื่อนักเรียน'!R25="ย้าย","ย้าย",GU19))</f>
        <v/>
      </c>
      <c r="AK19" s="418">
        <v>15</v>
      </c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18" t="str">
        <f>IF(COUNTA($AL$4:$BP$4)=0,"",IF('2.ชื่อนักเรียน'!R25="ย้าย","ย้าย",GZ19))</f>
        <v/>
      </c>
      <c r="BR19" s="418">
        <v>15</v>
      </c>
      <c r="BS19" s="419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1"/>
      <c r="CW19" s="420"/>
      <c r="CX19" s="418" t="str">
        <f>IF(COUNTA($BS$4:$CW$4)=0,"",IF('2.ชื่อนักเรียน'!R25="ย้าย","ย้าย",HE19))</f>
        <v/>
      </c>
      <c r="CY19" s="418">
        <v>15</v>
      </c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1"/>
      <c r="ED19" s="421"/>
      <c r="EE19" s="418" t="str">
        <f>IF(COUNTA($CZ$4:$ED$4)=0,"",IF('2.ชื่อนักเรียน'!R25="ย้าย","ย้าย",HJ19))</f>
        <v/>
      </c>
      <c r="EF19" s="418">
        <v>15</v>
      </c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18" t="str">
        <f>IF(COUNTA($EG$4:$FK$4)=0,"",IF('2.ชื่อนักเรียน'!R25="ย้าย","ย้าย",HO19))</f>
        <v/>
      </c>
      <c r="FM19" s="418">
        <v>15</v>
      </c>
      <c r="FN19" s="419"/>
      <c r="FO19" s="420"/>
      <c r="FP19" s="420"/>
      <c r="FQ19" s="420"/>
      <c r="FR19" s="420"/>
      <c r="FS19" s="420"/>
      <c r="FT19" s="420"/>
      <c r="FU19" s="420"/>
      <c r="FV19" s="420"/>
      <c r="FW19" s="420"/>
      <c r="FX19" s="420"/>
      <c r="FY19" s="420"/>
      <c r="FZ19" s="420"/>
      <c r="GA19" s="420"/>
      <c r="GB19" s="420"/>
      <c r="GC19" s="420"/>
      <c r="GD19" s="420"/>
      <c r="GE19" s="420"/>
      <c r="GF19" s="420"/>
      <c r="GG19" s="420"/>
      <c r="GH19" s="420"/>
      <c r="GI19" s="420"/>
      <c r="GJ19" s="420"/>
      <c r="GK19" s="420"/>
      <c r="GL19" s="420"/>
      <c r="GM19" s="420"/>
      <c r="GN19" s="420"/>
      <c r="GO19" s="420"/>
      <c r="GP19" s="420"/>
      <c r="GQ19" s="421"/>
      <c r="GR19" s="421"/>
      <c r="GS19" s="418" t="str">
        <f>IF(COUNTA($FN$4:$GR$4)=0,"",IF('2.ชื่อนักเรียน'!R25="ย้าย","ย้าย",HU19))</f>
        <v/>
      </c>
      <c r="GT19" s="418">
        <v>15</v>
      </c>
      <c r="GU19" s="422" t="str">
        <f>IF(OR(COUNTA($E$4:$AI$4)=0,$A19=""),"",IF('2.ชื่อนักเรียน'!R25="ย้าย","-",COUNTIF($E19:$AI19,"/")))</f>
        <v/>
      </c>
      <c r="GV19" s="425" t="str">
        <f>IF(OR(COUNTA($E$4:$AI$4)=0,$A19=""),"",IF('2.ชื่อนักเรียน'!R25="ย้าย","-",COUNTIF($E19:$AI19,"ส")))</f>
        <v/>
      </c>
      <c r="GW19" s="423" t="str">
        <f>IF(OR(COUNTA($E$4:$AI$4)=0,$A19=""),"",IF('2.ชื่อนักเรียน'!R25="ย้าย","-",COUNTIF($E19:$AI19,"ป")))</f>
        <v/>
      </c>
      <c r="GX19" s="423" t="str">
        <f>IF(OR(COUNTA($E$4:$AI$4)=0,$A19=""),"",IF('2.ชื่อนักเรียน'!R25="ย้าย","-",COUNTIF($E19:$AI19,"ล")))</f>
        <v/>
      </c>
      <c r="GY19" s="426" t="str">
        <f>IF(OR(COUNTA($E$4:$AI$4)=0,$A19=""),"",IF('2.ชื่อนักเรียน'!R25="ย้าย","-",COUNTIF($E19:$AI19,"ข")))</f>
        <v/>
      </c>
      <c r="GZ19" s="422" t="str">
        <f>IF(OR(COUNTA($AL$4:$BP$4)=0,$A19=""),"",IF('2.ชื่อนักเรียน'!R25="ย้าย","-",COUNTIF($AL19:$BP19,"/")))</f>
        <v/>
      </c>
      <c r="HA19" s="425" t="str">
        <f>IF(OR(COUNTA($AL$4:$BP$4)=0,$A19=""),"",IF('2.ชื่อนักเรียน'!R25="ย้าย","-",COUNTIF($AL19:$BP19,"ส")))</f>
        <v/>
      </c>
      <c r="HB19" s="423" t="str">
        <f>IF(OR(COUNTA($AL$4:$BP$4)=0,$A19=""),"",IF('2.ชื่อนักเรียน'!R25="ย้าย","-",COUNTIF($AL19:$BP19,"ป")))</f>
        <v/>
      </c>
      <c r="HC19" s="423" t="str">
        <f>IF(OR(COUNTA($AL$4:$BP$4)=0,$A19=""),"",IF('2.ชื่อนักเรียน'!R25="ย้าย","-",COUNTIF($AL19:$BP19,"ล")))</f>
        <v/>
      </c>
      <c r="HD19" s="426" t="str">
        <f>IF(OR(COUNTA($AL$4:$BP$4)=0,$A19=""),"",IF('2.ชื่อนักเรียน'!R25="ย้าย","-",COUNTIF($AL19:$BP19,"ข")))</f>
        <v/>
      </c>
      <c r="HE19" s="422" t="str">
        <f>IF(OR(COUNTA($BS$4:$CW$4)=0,$A19=""),"",IF('2.ชื่อนักเรียน'!R25="ย้าย","-",COUNTIF($BS19:$CW19,"/")))</f>
        <v/>
      </c>
      <c r="HF19" s="425" t="str">
        <f>IF(OR(COUNTA($BS$4:$CW$4)=0,$A19=""),"",IF('2.ชื่อนักเรียน'!R25="ย้าย","-",COUNTIF($BS19:$CW19,"ส")))</f>
        <v/>
      </c>
      <c r="HG19" s="423" t="str">
        <f>IF(OR(COUNTA($BS$4:$CW$4)=0,$A19=""),"",IF('2.ชื่อนักเรียน'!R25="ย้าย","-",COUNTIF($BS19:$CW19,"ป")))</f>
        <v/>
      </c>
      <c r="HH19" s="423" t="str">
        <f>IF(OR(COUNTA($BS$4:$CW$4)=0,$A19=""),"",IF('2.ชื่อนักเรียน'!R25="ย้าย","-",COUNTIF($BS19:$CW19,"ล")))</f>
        <v/>
      </c>
      <c r="HI19" s="426" t="str">
        <f>IF(OR(COUNTA($BS$4:$CW$4)=0,$A19=""),"",IF('2.ชื่อนักเรียน'!R25="ย้าย","-",COUNTIF($BS19:$CW19,"ข")))</f>
        <v/>
      </c>
      <c r="HJ19" s="422" t="str">
        <f>IF(OR(COUNTA($CZ$4:$ED$4)=0,$A19=""),"",IF('2.ชื่อนักเรียน'!R25="ย้าย","-",COUNTIF($CZ19:$ED19,"/")))</f>
        <v/>
      </c>
      <c r="HK19" s="425" t="str">
        <f>IF(OR(COUNTA($CZ$4:$ED$4)=0,$A19=""),"",IF('2.ชื่อนักเรียน'!R25="ย้าย","-",COUNTIF($CZ19:$ED19,"ส")))</f>
        <v/>
      </c>
      <c r="HL19" s="423" t="str">
        <f>IF(OR(COUNTA($CZ$4:$ED$4)=0,$A19=""),"",IF('2.ชื่อนักเรียน'!R25="ย้าย","-",COUNTIF($CZ19:$ED19,"ป")))</f>
        <v/>
      </c>
      <c r="HM19" s="423" t="str">
        <f>IF(OR(COUNTA($CZ$4:$ED$4)=0,A19=""),"",IF('2.ชื่อนักเรียน'!R25="ย้าย","-",COUNTIF($CZ19:$ED19,"ล")))</f>
        <v/>
      </c>
      <c r="HN19" s="426" t="str">
        <f>IF(OR(COUNTA($CZ$4:$ED$4)=0,A19=""),"",IF('2.ชื่อนักเรียน'!R25="ย้าย","-",COUNTIF($CZ19:$ED19,"ข")))</f>
        <v/>
      </c>
      <c r="HO19" s="422" t="str">
        <f>IF(OR(COUNTA($EG$4:$FK$4)=0,$A19=""),"",IF('2.ชื่อนักเรียน'!R25="ย้าย","-",COUNTIF($EG19:$FK19,"/")))</f>
        <v/>
      </c>
      <c r="HP19" s="425" t="str">
        <f>IF(OR(COUNTA($EG$4:$FK$4)=0,$A19=""),"",IF('2.ชื่อนักเรียน'!R25="ย้าย","-",COUNTIF($EG19:$FK19,"ส")))</f>
        <v/>
      </c>
      <c r="HQ19" s="423" t="str">
        <f>IF(OR(COUNTA($EG$4:$FK$4)=0,$A19=""),"",IF('2.ชื่อนักเรียน'!R25="ย้าย","-",COUNTIF($EG19:$FK19,"ป")))</f>
        <v/>
      </c>
      <c r="HR19" s="423" t="str">
        <f>IF(OR(COUNTA($EG$4:$FK$4)=0,A19=""),"",IF('2.ชื่อนักเรียน'!R25="ย้าย","-",COUNTIF($EG19:$FK19,"ล")))</f>
        <v/>
      </c>
      <c r="HS19" s="426" t="str">
        <f>IF(OR(COUNTA($EG$4:$FK$4)=0,A19=""),"",IF('2.ชื่อนักเรียน'!R25="ย้าย","-",COUNTIF($EG19:$FK19,"ข")))</f>
        <v/>
      </c>
      <c r="HT19" s="418">
        <v>15</v>
      </c>
      <c r="HU19" s="422" t="str">
        <f>IF(OR(COUNTA($FN$4:$GR$4)=0,$A19=""),"",IF('2.ชื่อนักเรียน'!R25="ย้าย","-",COUNTIF($FN19:$GR19,"/")))</f>
        <v/>
      </c>
      <c r="HV19" s="425" t="str">
        <f>IF(OR(COUNTA($FN$4:$GR$4)=0,$A19=""),"",IF('2.ชื่อนักเรียน'!R25="ย้าย","-",COUNTIF($FN19:$GR19,"ส")))</f>
        <v/>
      </c>
      <c r="HW19" s="423" t="str">
        <f>IF(OR(COUNTA($FN$4:$GR$4)=0,$A19=""),"",IF('2.ชื่อนักเรียน'!R25="ย้าย","-",COUNTIF($FN19:$GR19,"ป")))</f>
        <v/>
      </c>
      <c r="HX19" s="423" t="str">
        <f>IF(OR(COUNTA($FN$4:$GR$4)=0,A19=""),"",IF('2.ชื่อนักเรียน'!R25="ย้าย","-",COUNTIF($FN19:$GR19,"ล")))</f>
        <v/>
      </c>
      <c r="HY19" s="423" t="str">
        <f>IF(OR(COUNTA($FN$4:$GR$4)=0,A19=""),"",IF('2.ชื่อนักเรียน'!R25="ย้าย","-",COUNTIF($FN19:$GR19,"ข")))</f>
        <v/>
      </c>
      <c r="HZ19" s="422" t="str">
        <f>IF(OR(COUNTA($GU$3:$HS$3,$HU$3)=0,$A19=""),"",IF('2.ชื่อนักเรียน'!R25="ย้าย","-",SUM(GU19,GZ19,HE19,HJ19,HO19,HU19)))</f>
        <v/>
      </c>
      <c r="IA19" s="425" t="str">
        <f>IF(OR(COUNTA($GU$3:$HS$3,$HU$3)=0,$A19=""),"",IF('2.ชื่อนักเรียน'!R25="ย้าย","-",SUM(GV19,HA19,HF19,HK19,HP19,HV19)))</f>
        <v/>
      </c>
      <c r="IB19" s="423" t="str">
        <f>IF(OR(COUNTA($GU$3:$HS$3,$HU$3)=0,$A19=""),"",IF('2.ชื่อนักเรียน'!R25="ย้าย","-",SUM(GW19,HB19,HG19,HL19,HQ19,HW19)))</f>
        <v/>
      </c>
      <c r="IC19" s="423" t="str">
        <f>IF(OR(COUNTA($GU$3:$HS$3,$HU$3)=0,$A19=""),"",IF('2.ชื่อนักเรียน'!R25="ย้าย","-",SUM(GX19,HC19,HH19,HM19,HR19,HX19)))</f>
        <v/>
      </c>
      <c r="ID19" s="424" t="str">
        <f>IF(OR(COUNTA($GU$3:$HS$3,$HU$3)=0,$A19=""),"",IF('2.ชื่อนักเรียน'!R25="ย้าย","-",SUM(GY19,HD19,HI19,HN19,HS19,HY19)))</f>
        <v/>
      </c>
      <c r="IE19" s="418" t="str">
        <f t="shared" si="0"/>
        <v/>
      </c>
      <c r="IF19" s="438" t="str">
        <f>IF(IE19="","",IF('2.ชื่อนักเรียน'!R25="ย้าย","ย้าย",(IE19*100)/COUNTA($E$4:$AI$4,$AL$4:$BP$4,$BS$4:$CW$4,$CZ$4:$ED$4,$EG$4:$FK$4,$FN$4:$GR$4)))</f>
        <v/>
      </c>
      <c r="IG19" s="449"/>
      <c r="IH19" s="611"/>
      <c r="II19" s="611"/>
      <c r="IJ19" s="611"/>
      <c r="IK19" s="611"/>
      <c r="IL19" s="611"/>
      <c r="IM19" s="611"/>
      <c r="IN19" s="611"/>
      <c r="IO19" s="611"/>
      <c r="IP19" s="611"/>
      <c r="IQ19" s="611"/>
      <c r="IR19" s="450"/>
    </row>
    <row r="20" spans="1:252" ht="21" customHeight="1" x14ac:dyDescent="0.4">
      <c r="A20" s="416" t="str">
        <f>IF(Name16="","",Name16)</f>
        <v/>
      </c>
      <c r="B20" s="417" t="str">
        <f>IF(Surname16="","",Surname16)</f>
        <v/>
      </c>
      <c r="C20" s="442" t="str">
        <f>IF('2.ชื่อนักเรียน'!R26="","",'2.ชื่อนักเรียน'!R26)</f>
        <v/>
      </c>
      <c r="D20" s="418">
        <v>16</v>
      </c>
      <c r="E20" s="419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1"/>
      <c r="AJ20" s="418" t="str">
        <f>IF(COUNTA($E$4:AI$4)=0,"",IF('2.ชื่อนักเรียน'!R26="ย้าย","ย้าย",GU20))</f>
        <v/>
      </c>
      <c r="AK20" s="418">
        <v>16</v>
      </c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18" t="str">
        <f>IF(COUNTA($AL$4:$BP$4)=0,"",IF('2.ชื่อนักเรียน'!R26="ย้าย","ย้าย",GZ20))</f>
        <v/>
      </c>
      <c r="BR20" s="418">
        <v>16</v>
      </c>
      <c r="BS20" s="419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1"/>
      <c r="CW20" s="420"/>
      <c r="CX20" s="418" t="str">
        <f>IF(COUNTA($BS$4:$CW$4)=0,"",IF('2.ชื่อนักเรียน'!R26="ย้าย","ย้าย",HE20))</f>
        <v/>
      </c>
      <c r="CY20" s="418">
        <v>16</v>
      </c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1"/>
      <c r="ED20" s="421"/>
      <c r="EE20" s="418" t="str">
        <f>IF(COUNTA($CZ$4:$ED$4)=0,"",IF('2.ชื่อนักเรียน'!R26="ย้าย","ย้าย",HJ20))</f>
        <v/>
      </c>
      <c r="EF20" s="418">
        <v>16</v>
      </c>
      <c r="EG20" s="420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18" t="str">
        <f>IF(COUNTA($EG$4:$FK$4)=0,"",IF('2.ชื่อนักเรียน'!R26="ย้าย","ย้าย",HO20))</f>
        <v/>
      </c>
      <c r="FM20" s="418">
        <v>16</v>
      </c>
      <c r="FN20" s="419"/>
      <c r="FO20" s="420"/>
      <c r="FP20" s="420"/>
      <c r="FQ20" s="420"/>
      <c r="FR20" s="420"/>
      <c r="FS20" s="420"/>
      <c r="FT20" s="420"/>
      <c r="FU20" s="420"/>
      <c r="FV20" s="420"/>
      <c r="FW20" s="420"/>
      <c r="FX20" s="420"/>
      <c r="FY20" s="420"/>
      <c r="FZ20" s="420"/>
      <c r="GA20" s="420"/>
      <c r="GB20" s="420"/>
      <c r="GC20" s="420"/>
      <c r="GD20" s="420"/>
      <c r="GE20" s="420"/>
      <c r="GF20" s="420"/>
      <c r="GG20" s="420"/>
      <c r="GH20" s="420"/>
      <c r="GI20" s="420"/>
      <c r="GJ20" s="420"/>
      <c r="GK20" s="420"/>
      <c r="GL20" s="420"/>
      <c r="GM20" s="420"/>
      <c r="GN20" s="420"/>
      <c r="GO20" s="420"/>
      <c r="GP20" s="420"/>
      <c r="GQ20" s="421"/>
      <c r="GR20" s="421"/>
      <c r="GS20" s="418" t="str">
        <f>IF(COUNTA($FN$4:$GR$4)=0,"",IF('2.ชื่อนักเรียน'!R26="ย้าย","ย้าย",HU20))</f>
        <v/>
      </c>
      <c r="GT20" s="418">
        <v>16</v>
      </c>
      <c r="GU20" s="422" t="str">
        <f>IF(OR(COUNTA($E$4:$AI$4)=0,$A20=""),"",IF('2.ชื่อนักเรียน'!R26="ย้าย","-",COUNTIF($E20:$AI20,"/")))</f>
        <v/>
      </c>
      <c r="GV20" s="425" t="str">
        <f>IF(OR(COUNTA($E$4:$AI$4)=0,$A20=""),"",IF('2.ชื่อนักเรียน'!R26="ย้าย","-",COUNTIF($E20:$AI20,"ส")))</f>
        <v/>
      </c>
      <c r="GW20" s="423" t="str">
        <f>IF(OR(COUNTA($E$4:$AI$4)=0,$A20=""),"",IF('2.ชื่อนักเรียน'!R26="ย้าย","-",COUNTIF($E20:$AI20,"ป")))</f>
        <v/>
      </c>
      <c r="GX20" s="423" t="str">
        <f>IF(OR(COUNTA($E$4:$AI$4)=0,$A20=""),"",IF('2.ชื่อนักเรียน'!R26="ย้าย","-",COUNTIF($E20:$AI20,"ล")))</f>
        <v/>
      </c>
      <c r="GY20" s="426" t="str">
        <f>IF(OR(COUNTA($E$4:$AI$4)=0,$A20=""),"",IF('2.ชื่อนักเรียน'!R26="ย้าย","-",COUNTIF($E20:$AI20,"ข")))</f>
        <v/>
      </c>
      <c r="GZ20" s="422" t="str">
        <f>IF(OR(COUNTA($AL$4:$BP$4)=0,$A20=""),"",IF('2.ชื่อนักเรียน'!R26="ย้าย","-",COUNTIF($AL20:$BP20,"/")))</f>
        <v/>
      </c>
      <c r="HA20" s="425" t="str">
        <f>IF(OR(COUNTA($AL$4:$BP$4)=0,$A20=""),"",IF('2.ชื่อนักเรียน'!R26="ย้าย","-",COUNTIF($AL20:$BP20,"ส")))</f>
        <v/>
      </c>
      <c r="HB20" s="423" t="str">
        <f>IF(OR(COUNTA($AL$4:$BP$4)=0,$A20=""),"",IF('2.ชื่อนักเรียน'!R26="ย้าย","-",COUNTIF($AL20:$BP20,"ป")))</f>
        <v/>
      </c>
      <c r="HC20" s="423" t="str">
        <f>IF(OR(COUNTA($AL$4:$BP$4)=0,$A20=""),"",IF('2.ชื่อนักเรียน'!R26="ย้าย","-",COUNTIF($AL20:$BP20,"ล")))</f>
        <v/>
      </c>
      <c r="HD20" s="426" t="str">
        <f>IF(OR(COUNTA($AL$4:$BP$4)=0,$A20=""),"",IF('2.ชื่อนักเรียน'!R26="ย้าย","-",COUNTIF($AL20:$BP20,"ข")))</f>
        <v/>
      </c>
      <c r="HE20" s="422" t="str">
        <f>IF(OR(COUNTA($BS$4:$CW$4)=0,$A20=""),"",IF('2.ชื่อนักเรียน'!R26="ย้าย","-",COUNTIF($BS20:$CW20,"/")))</f>
        <v/>
      </c>
      <c r="HF20" s="425" t="str">
        <f>IF(OR(COUNTA($BS$4:$CW$4)=0,$A20=""),"",IF('2.ชื่อนักเรียน'!R26="ย้าย","-",COUNTIF($BS20:$CW20,"ส")))</f>
        <v/>
      </c>
      <c r="HG20" s="423" t="str">
        <f>IF(OR(COUNTA($BS$4:$CW$4)=0,$A20=""),"",IF('2.ชื่อนักเรียน'!R26="ย้าย","-",COUNTIF($BS20:$CW20,"ป")))</f>
        <v/>
      </c>
      <c r="HH20" s="423" t="str">
        <f>IF(OR(COUNTA($BS$4:$CW$4)=0,$A20=""),"",IF('2.ชื่อนักเรียน'!R26="ย้าย","-",COUNTIF($BS20:$CW20,"ล")))</f>
        <v/>
      </c>
      <c r="HI20" s="426" t="str">
        <f>IF(OR(COUNTA($BS$4:$CW$4)=0,$A20=""),"",IF('2.ชื่อนักเรียน'!R26="ย้าย","-",COUNTIF($BS20:$CW20,"ข")))</f>
        <v/>
      </c>
      <c r="HJ20" s="422" t="str">
        <f>IF(OR(COUNTA($CZ$4:$ED$4)=0,$A20=""),"",IF('2.ชื่อนักเรียน'!R26="ย้าย","-",COUNTIF($CZ20:$ED20,"/")))</f>
        <v/>
      </c>
      <c r="HK20" s="425" t="str">
        <f>IF(OR(COUNTA($CZ$4:$ED$4)=0,$A20=""),"",IF('2.ชื่อนักเรียน'!R26="ย้าย","-",COUNTIF($CZ20:$ED20,"ส")))</f>
        <v/>
      </c>
      <c r="HL20" s="423" t="str">
        <f>IF(OR(COUNTA($CZ$4:$ED$4)=0,$A20=""),"",IF('2.ชื่อนักเรียน'!R26="ย้าย","-",COUNTIF($CZ20:$ED20,"ป")))</f>
        <v/>
      </c>
      <c r="HM20" s="423" t="str">
        <f>IF(OR(COUNTA($CZ$4:$ED$4)=0,A20=""),"",IF('2.ชื่อนักเรียน'!R26="ย้าย","-",COUNTIF($CZ20:$ED20,"ล")))</f>
        <v/>
      </c>
      <c r="HN20" s="426" t="str">
        <f>IF(OR(COUNTA($CZ$4:$ED$4)=0,A20=""),"",IF('2.ชื่อนักเรียน'!R26="ย้าย","-",COUNTIF($CZ20:$ED20,"ข")))</f>
        <v/>
      </c>
      <c r="HO20" s="422" t="str">
        <f>IF(OR(COUNTA($EG$4:$FK$4)=0,$A20=""),"",IF('2.ชื่อนักเรียน'!R26="ย้าย","-",COUNTIF($EG20:$FK20,"/")))</f>
        <v/>
      </c>
      <c r="HP20" s="425" t="str">
        <f>IF(OR(COUNTA($EG$4:$FK$4)=0,$A20=""),"",IF('2.ชื่อนักเรียน'!R26="ย้าย","-",COUNTIF($EG20:$FK20,"ส")))</f>
        <v/>
      </c>
      <c r="HQ20" s="423" t="str">
        <f>IF(OR(COUNTA($EG$4:$FK$4)=0,$A20=""),"",IF('2.ชื่อนักเรียน'!R26="ย้าย","-",COUNTIF($EG20:$FK20,"ป")))</f>
        <v/>
      </c>
      <c r="HR20" s="423" t="str">
        <f>IF(OR(COUNTA($EG$4:$FK$4)=0,A20=""),"",IF('2.ชื่อนักเรียน'!R26="ย้าย","-",COUNTIF($EG20:$FK20,"ล")))</f>
        <v/>
      </c>
      <c r="HS20" s="426" t="str">
        <f>IF(OR(COUNTA($EG$4:$FK$4)=0,A20=""),"",IF('2.ชื่อนักเรียน'!R26="ย้าย","-",COUNTIF($EG20:$FK20,"ข")))</f>
        <v/>
      </c>
      <c r="HT20" s="418">
        <v>16</v>
      </c>
      <c r="HU20" s="422" t="str">
        <f>IF(OR(COUNTA($FN$4:$GR$4)=0,$A20=""),"",IF('2.ชื่อนักเรียน'!R26="ย้าย","-",COUNTIF($FN20:$GR20,"/")))</f>
        <v/>
      </c>
      <c r="HV20" s="425" t="str">
        <f>IF(OR(COUNTA($FN$4:$GR$4)=0,$A20=""),"",IF('2.ชื่อนักเรียน'!R26="ย้าย","-",COUNTIF($FN20:$GR20,"ส")))</f>
        <v/>
      </c>
      <c r="HW20" s="423" t="str">
        <f>IF(OR(COUNTA($FN$4:$GR$4)=0,$A20=""),"",IF('2.ชื่อนักเรียน'!R26="ย้าย","-",COUNTIF($FN20:$GR20,"ป")))</f>
        <v/>
      </c>
      <c r="HX20" s="423" t="str">
        <f>IF(OR(COUNTA($FN$4:$GR$4)=0,A20=""),"",IF('2.ชื่อนักเรียน'!R26="ย้าย","-",COUNTIF($FN20:$GR20,"ล")))</f>
        <v/>
      </c>
      <c r="HY20" s="423" t="str">
        <f>IF(OR(COUNTA($FN$4:$GR$4)=0,A20=""),"",IF('2.ชื่อนักเรียน'!R26="ย้าย","-",COUNTIF($FN20:$GR20,"ข")))</f>
        <v/>
      </c>
      <c r="HZ20" s="422" t="str">
        <f>IF(OR(COUNTA($GU$3:$HS$3,$HU$3)=0,$A20=""),"",IF('2.ชื่อนักเรียน'!R26="ย้าย","-",SUM(GU20,GZ20,HE20,HJ20,HO20,HU20)))</f>
        <v/>
      </c>
      <c r="IA20" s="425" t="str">
        <f>IF(OR(COUNTA($GU$3:$HS$3,$HU$3)=0,$A20=""),"",IF('2.ชื่อนักเรียน'!R26="ย้าย","-",SUM(GV20,HA20,HF20,HK20,HP20,HV20)))</f>
        <v/>
      </c>
      <c r="IB20" s="423" t="str">
        <f>IF(OR(COUNTA($GU$3:$HS$3,$HU$3)=0,$A20=""),"",IF('2.ชื่อนักเรียน'!R26="ย้าย","-",SUM(GW20,HB20,HG20,HL20,HQ20,HW20)))</f>
        <v/>
      </c>
      <c r="IC20" s="423" t="str">
        <f>IF(OR(COUNTA($GU$3:$HS$3,$HU$3)=0,$A20=""),"",IF('2.ชื่อนักเรียน'!R26="ย้าย","-",SUM(GX20,HC20,HH20,HM20,HR20,HX20)))</f>
        <v/>
      </c>
      <c r="ID20" s="424" t="str">
        <f>IF(OR(COUNTA($GU$3:$HS$3,$HU$3)=0,$A20=""),"",IF('2.ชื่อนักเรียน'!R26="ย้าย","-",SUM(GY20,HD20,HI20,HN20,HS20,HY20)))</f>
        <v/>
      </c>
      <c r="IE20" s="418" t="str">
        <f t="shared" si="0"/>
        <v/>
      </c>
      <c r="IF20" s="438" t="str">
        <f>IF(IE20="","",IF('2.ชื่อนักเรียน'!R26="ย้าย","ย้าย",(IE20*100)/COUNTA($E$4:$AI$4,$AL$4:$BP$4,$BS$4:$CW$4,$CZ$4:$ED$4,$EG$4:$FK$4,$FN$4:$GR$4)))</f>
        <v/>
      </c>
      <c r="IG20" s="449"/>
      <c r="IH20" s="611"/>
      <c r="II20" s="611"/>
      <c r="IJ20" s="611"/>
      <c r="IK20" s="611"/>
      <c r="IL20" s="611"/>
      <c r="IM20" s="611"/>
      <c r="IN20" s="611"/>
      <c r="IO20" s="611"/>
      <c r="IP20" s="611"/>
      <c r="IQ20" s="611"/>
      <c r="IR20" s="450"/>
    </row>
    <row r="21" spans="1:252" ht="21" customHeight="1" x14ac:dyDescent="0.4">
      <c r="A21" s="416" t="str">
        <f>IF(Name17="","",Name17)</f>
        <v/>
      </c>
      <c r="B21" s="417" t="str">
        <f>IF(Surname17="","",Surname17)</f>
        <v/>
      </c>
      <c r="C21" s="442" t="str">
        <f>IF('2.ชื่อนักเรียน'!R27="","",'2.ชื่อนักเรียน'!R27)</f>
        <v/>
      </c>
      <c r="D21" s="418">
        <v>17</v>
      </c>
      <c r="E21" s="419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1"/>
      <c r="AJ21" s="418" t="str">
        <f>IF(COUNTA($E$4:AI$4)=0,"",IF('2.ชื่อนักเรียน'!R27="ย้าย","ย้าย",GU21))</f>
        <v/>
      </c>
      <c r="AK21" s="418">
        <v>17</v>
      </c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18" t="str">
        <f>IF(COUNTA($AL$4:$BP$4)=0,"",IF('2.ชื่อนักเรียน'!R27="ย้าย","ย้าย",GZ21))</f>
        <v/>
      </c>
      <c r="BR21" s="418">
        <v>17</v>
      </c>
      <c r="BS21" s="419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1"/>
      <c r="CW21" s="420"/>
      <c r="CX21" s="418" t="str">
        <f>IF(COUNTA($BS$4:$CW$4)=0,"",IF('2.ชื่อนักเรียน'!R27="ย้าย","ย้าย",HE21))</f>
        <v/>
      </c>
      <c r="CY21" s="418">
        <v>17</v>
      </c>
      <c r="CZ21" s="420"/>
      <c r="DA21" s="420"/>
      <c r="DB21" s="420"/>
      <c r="DC21" s="420"/>
      <c r="DD21" s="420"/>
      <c r="DE21" s="420"/>
      <c r="DF21" s="420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420"/>
      <c r="DW21" s="420"/>
      <c r="DX21" s="420"/>
      <c r="DY21" s="420"/>
      <c r="DZ21" s="420"/>
      <c r="EA21" s="420"/>
      <c r="EB21" s="420"/>
      <c r="EC21" s="421"/>
      <c r="ED21" s="421"/>
      <c r="EE21" s="418" t="str">
        <f>IF(COUNTA($CZ$4:$ED$4)=0,"",IF('2.ชื่อนักเรียน'!R27="ย้าย","ย้าย",HJ21))</f>
        <v/>
      </c>
      <c r="EF21" s="418">
        <v>17</v>
      </c>
      <c r="EG21" s="420"/>
      <c r="EH21" s="420"/>
      <c r="EI21" s="420"/>
      <c r="EJ21" s="420"/>
      <c r="EK21" s="420"/>
      <c r="EL21" s="420"/>
      <c r="EM21" s="420"/>
      <c r="EN21" s="420"/>
      <c r="EO21" s="420"/>
      <c r="EP21" s="420"/>
      <c r="EQ21" s="420"/>
      <c r="ER21" s="420"/>
      <c r="ES21" s="420"/>
      <c r="ET21" s="420"/>
      <c r="EU21" s="420"/>
      <c r="EV21" s="420"/>
      <c r="EW21" s="420"/>
      <c r="EX21" s="420"/>
      <c r="EY21" s="420"/>
      <c r="EZ21" s="420"/>
      <c r="FA21" s="420"/>
      <c r="FB21" s="420"/>
      <c r="FC21" s="420"/>
      <c r="FD21" s="420"/>
      <c r="FE21" s="420"/>
      <c r="FF21" s="420"/>
      <c r="FG21" s="420"/>
      <c r="FH21" s="420"/>
      <c r="FI21" s="420"/>
      <c r="FJ21" s="420"/>
      <c r="FK21" s="420"/>
      <c r="FL21" s="418" t="str">
        <f>IF(COUNTA($EG$4:$FK$4)=0,"",IF('2.ชื่อนักเรียน'!R27="ย้าย","ย้าย",HO21))</f>
        <v/>
      </c>
      <c r="FM21" s="418">
        <v>17</v>
      </c>
      <c r="FN21" s="419"/>
      <c r="FO21" s="420"/>
      <c r="FP21" s="420"/>
      <c r="FQ21" s="420"/>
      <c r="FR21" s="420"/>
      <c r="FS21" s="420"/>
      <c r="FT21" s="420"/>
      <c r="FU21" s="420"/>
      <c r="FV21" s="420"/>
      <c r="FW21" s="420"/>
      <c r="FX21" s="420"/>
      <c r="FY21" s="420"/>
      <c r="FZ21" s="420"/>
      <c r="GA21" s="420"/>
      <c r="GB21" s="420"/>
      <c r="GC21" s="420"/>
      <c r="GD21" s="420"/>
      <c r="GE21" s="420"/>
      <c r="GF21" s="420"/>
      <c r="GG21" s="420"/>
      <c r="GH21" s="420"/>
      <c r="GI21" s="420"/>
      <c r="GJ21" s="420"/>
      <c r="GK21" s="420"/>
      <c r="GL21" s="420"/>
      <c r="GM21" s="420"/>
      <c r="GN21" s="420"/>
      <c r="GO21" s="420"/>
      <c r="GP21" s="420"/>
      <c r="GQ21" s="421"/>
      <c r="GR21" s="421"/>
      <c r="GS21" s="418" t="str">
        <f>IF(COUNTA($FN$4:$GR$4)=0,"",IF('2.ชื่อนักเรียน'!R27="ย้าย","ย้าย",HU21))</f>
        <v/>
      </c>
      <c r="GT21" s="418">
        <v>17</v>
      </c>
      <c r="GU21" s="422" t="str">
        <f>IF(OR(COUNTA($E$4:$AI$4)=0,$A21=""),"",IF('2.ชื่อนักเรียน'!R27="ย้าย","-",COUNTIF($E21:$AI21,"/")))</f>
        <v/>
      </c>
      <c r="GV21" s="425" t="str">
        <f>IF(OR(COUNTA($E$4:$AI$4)=0,$A21=""),"",IF('2.ชื่อนักเรียน'!R27="ย้าย","-",COUNTIF($E21:$AI21,"ส")))</f>
        <v/>
      </c>
      <c r="GW21" s="423" t="str">
        <f>IF(OR(COUNTA($E$4:$AI$4)=0,$A21=""),"",IF('2.ชื่อนักเรียน'!R27="ย้าย","-",COUNTIF($E21:$AI21,"ป")))</f>
        <v/>
      </c>
      <c r="GX21" s="423" t="str">
        <f>IF(OR(COUNTA($E$4:$AI$4)=0,$A21=""),"",IF('2.ชื่อนักเรียน'!R27="ย้าย","-",COUNTIF($E21:$AI21,"ล")))</f>
        <v/>
      </c>
      <c r="GY21" s="426" t="str">
        <f>IF(OR(COUNTA($E$4:$AI$4)=0,$A21=""),"",IF('2.ชื่อนักเรียน'!R27="ย้าย","-",COUNTIF($E21:$AI21,"ข")))</f>
        <v/>
      </c>
      <c r="GZ21" s="422" t="str">
        <f>IF(OR(COUNTA($AL$4:$BP$4)=0,$A21=""),"",IF('2.ชื่อนักเรียน'!R27="ย้าย","-",COUNTIF($AL21:$BP21,"/")))</f>
        <v/>
      </c>
      <c r="HA21" s="425" t="str">
        <f>IF(OR(COUNTA($AL$4:$BP$4)=0,$A21=""),"",IF('2.ชื่อนักเรียน'!R27="ย้าย","-",COUNTIF($AL21:$BP21,"ส")))</f>
        <v/>
      </c>
      <c r="HB21" s="423" t="str">
        <f>IF(OR(COUNTA($AL$4:$BP$4)=0,$A21=""),"",IF('2.ชื่อนักเรียน'!R27="ย้าย","-",COUNTIF($AL21:$BP21,"ป")))</f>
        <v/>
      </c>
      <c r="HC21" s="423" t="str">
        <f>IF(OR(COUNTA($AL$4:$BP$4)=0,$A21=""),"",IF('2.ชื่อนักเรียน'!R27="ย้าย","-",COUNTIF($AL21:$BP21,"ล")))</f>
        <v/>
      </c>
      <c r="HD21" s="426" t="str">
        <f>IF(OR(COUNTA($AL$4:$BP$4)=0,$A21=""),"",IF('2.ชื่อนักเรียน'!R27="ย้าย","-",COUNTIF($AL21:$BP21,"ข")))</f>
        <v/>
      </c>
      <c r="HE21" s="422" t="str">
        <f>IF(OR(COUNTA($BS$4:$CW$4)=0,$A21=""),"",IF('2.ชื่อนักเรียน'!R27="ย้าย","-",COUNTIF($BS21:$CW21,"/")))</f>
        <v/>
      </c>
      <c r="HF21" s="425" t="str">
        <f>IF(OR(COUNTA($BS$4:$CW$4)=0,$A21=""),"",IF('2.ชื่อนักเรียน'!R27="ย้าย","-",COUNTIF($BS21:$CW21,"ส")))</f>
        <v/>
      </c>
      <c r="HG21" s="423" t="str">
        <f>IF(OR(COUNTA($BS$4:$CW$4)=0,$A21=""),"",IF('2.ชื่อนักเรียน'!R27="ย้าย","-",COUNTIF($BS21:$CW21,"ป")))</f>
        <v/>
      </c>
      <c r="HH21" s="423" t="str">
        <f>IF(OR(COUNTA($BS$4:$CW$4)=0,$A21=""),"",IF('2.ชื่อนักเรียน'!R27="ย้าย","-",COUNTIF($BS21:$CW21,"ล")))</f>
        <v/>
      </c>
      <c r="HI21" s="426" t="str">
        <f>IF(OR(COUNTA($BS$4:$CW$4)=0,$A21=""),"",IF('2.ชื่อนักเรียน'!R27="ย้าย","-",COUNTIF($BS21:$CW21,"ข")))</f>
        <v/>
      </c>
      <c r="HJ21" s="422" t="str">
        <f>IF(OR(COUNTA($CZ$4:$ED$4)=0,$A21=""),"",IF('2.ชื่อนักเรียน'!R27="ย้าย","-",COUNTIF($CZ21:$ED21,"/")))</f>
        <v/>
      </c>
      <c r="HK21" s="425" t="str">
        <f>IF(OR(COUNTA($CZ$4:$ED$4)=0,$A21=""),"",IF('2.ชื่อนักเรียน'!R27="ย้าย","-",COUNTIF($CZ21:$ED21,"ส")))</f>
        <v/>
      </c>
      <c r="HL21" s="423" t="str">
        <f>IF(OR(COUNTA($CZ$4:$ED$4)=0,$A21=""),"",IF('2.ชื่อนักเรียน'!R27="ย้าย","-",COUNTIF($CZ21:$ED21,"ป")))</f>
        <v/>
      </c>
      <c r="HM21" s="423" t="str">
        <f>IF(OR(COUNTA($CZ$4:$ED$4)=0,A21=""),"",IF('2.ชื่อนักเรียน'!R27="ย้าย","-",COUNTIF($CZ21:$ED21,"ล")))</f>
        <v/>
      </c>
      <c r="HN21" s="426" t="str">
        <f>IF(OR(COUNTA($CZ$4:$ED$4)=0,A21=""),"",IF('2.ชื่อนักเรียน'!R27="ย้าย","-",COUNTIF($CZ21:$ED21,"ข")))</f>
        <v/>
      </c>
      <c r="HO21" s="422" t="str">
        <f>IF(OR(COUNTA($EG$4:$FK$4)=0,$A21=""),"",IF('2.ชื่อนักเรียน'!R27="ย้าย","-",COUNTIF($EG21:$FK21,"/")))</f>
        <v/>
      </c>
      <c r="HP21" s="425" t="str">
        <f>IF(OR(COUNTA($EG$4:$FK$4)=0,$A21=""),"",IF('2.ชื่อนักเรียน'!R27="ย้าย","-",COUNTIF($EG21:$FK21,"ส")))</f>
        <v/>
      </c>
      <c r="HQ21" s="423" t="str">
        <f>IF(OR(COUNTA($EG$4:$FK$4)=0,$A21=""),"",IF('2.ชื่อนักเรียน'!R27="ย้าย","-",COUNTIF($EG21:$FK21,"ป")))</f>
        <v/>
      </c>
      <c r="HR21" s="423" t="str">
        <f>IF(OR(COUNTA($EG$4:$FK$4)=0,A21=""),"",IF('2.ชื่อนักเรียน'!R27="ย้าย","-",COUNTIF($EG21:$FK21,"ล")))</f>
        <v/>
      </c>
      <c r="HS21" s="426" t="str">
        <f>IF(OR(COUNTA($EG$4:$FK$4)=0,A21=""),"",IF('2.ชื่อนักเรียน'!R27="ย้าย","-",COUNTIF($EG21:$FK21,"ข")))</f>
        <v/>
      </c>
      <c r="HT21" s="418">
        <v>17</v>
      </c>
      <c r="HU21" s="422" t="str">
        <f>IF(OR(COUNTA($FN$4:$GR$4)=0,$A21=""),"",IF('2.ชื่อนักเรียน'!R27="ย้าย","-",COUNTIF($FN21:$GR21,"/")))</f>
        <v/>
      </c>
      <c r="HV21" s="425" t="str">
        <f>IF(OR(COUNTA($FN$4:$GR$4)=0,$A21=""),"",IF('2.ชื่อนักเรียน'!R27="ย้าย","-",COUNTIF($FN21:$GR21,"ส")))</f>
        <v/>
      </c>
      <c r="HW21" s="423" t="str">
        <f>IF(OR(COUNTA($FN$4:$GR$4)=0,$A21=""),"",IF('2.ชื่อนักเรียน'!R27="ย้าย","-",COUNTIF($FN21:$GR21,"ป")))</f>
        <v/>
      </c>
      <c r="HX21" s="423" t="str">
        <f>IF(OR(COUNTA($FN$4:$GR$4)=0,A21=""),"",IF('2.ชื่อนักเรียน'!R27="ย้าย","-",COUNTIF($FN21:$GR21,"ล")))</f>
        <v/>
      </c>
      <c r="HY21" s="423" t="str">
        <f>IF(OR(COUNTA($FN$4:$GR$4)=0,A21=""),"",IF('2.ชื่อนักเรียน'!R27="ย้าย","-",COUNTIF($FN21:$GR21,"ข")))</f>
        <v/>
      </c>
      <c r="HZ21" s="422" t="str">
        <f>IF(OR(COUNTA($GU$3:$HS$3,$HU$3)=0,$A21=""),"",IF('2.ชื่อนักเรียน'!R27="ย้าย","-",SUM(GU21,GZ21,HE21,HJ21,HO21,HU21)))</f>
        <v/>
      </c>
      <c r="IA21" s="425" t="str">
        <f>IF(OR(COUNTA($GU$3:$HS$3,$HU$3)=0,$A21=""),"",IF('2.ชื่อนักเรียน'!R27="ย้าย","-",SUM(GV21,HA21,HF21,HK21,HP21,HV21)))</f>
        <v/>
      </c>
      <c r="IB21" s="423" t="str">
        <f>IF(OR(COUNTA($GU$3:$HS$3,$HU$3)=0,$A21=""),"",IF('2.ชื่อนักเรียน'!R27="ย้าย","-",SUM(GW21,HB21,HG21,HL21,HQ21,HW21)))</f>
        <v/>
      </c>
      <c r="IC21" s="423" t="str">
        <f>IF(OR(COUNTA($GU$3:$HS$3,$HU$3)=0,$A21=""),"",IF('2.ชื่อนักเรียน'!R27="ย้าย","-",SUM(GX21,HC21,HH21,HM21,HR21,HX21)))</f>
        <v/>
      </c>
      <c r="ID21" s="424" t="str">
        <f>IF(OR(COUNTA($GU$3:$HS$3,$HU$3)=0,$A21=""),"",IF('2.ชื่อนักเรียน'!R27="ย้าย","-",SUM(GY21,HD21,HI21,HN21,HS21,HY21)))</f>
        <v/>
      </c>
      <c r="IE21" s="418" t="str">
        <f t="shared" si="0"/>
        <v/>
      </c>
      <c r="IF21" s="438" t="str">
        <f>IF(IE21="","",IF('2.ชื่อนักเรียน'!R27="ย้าย","ย้าย",(IE21*100)/COUNTA($E$4:$AI$4,$AL$4:$BP$4,$BS$4:$CW$4,$CZ$4:$ED$4,$EG$4:$FK$4,$FN$4:$GR$4)))</f>
        <v/>
      </c>
      <c r="IG21" s="449"/>
      <c r="IH21" s="611"/>
      <c r="II21" s="611"/>
      <c r="IJ21" s="611"/>
      <c r="IK21" s="611"/>
      <c r="IL21" s="611"/>
      <c r="IM21" s="611"/>
      <c r="IN21" s="611"/>
      <c r="IO21" s="611"/>
      <c r="IP21" s="611"/>
      <c r="IQ21" s="611"/>
      <c r="IR21" s="450"/>
    </row>
    <row r="22" spans="1:252" ht="21" customHeight="1" x14ac:dyDescent="0.4">
      <c r="A22" s="416" t="str">
        <f>IF(Name18="","",Name18)</f>
        <v/>
      </c>
      <c r="B22" s="417" t="str">
        <f>IF(Surname18="","",Surname18)</f>
        <v/>
      </c>
      <c r="C22" s="442" t="str">
        <f>IF('2.ชื่อนักเรียน'!R28="","",'2.ชื่อนักเรียน'!R28)</f>
        <v/>
      </c>
      <c r="D22" s="418">
        <v>18</v>
      </c>
      <c r="E22" s="419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1"/>
      <c r="AJ22" s="418" t="str">
        <f>IF(COUNTA($E$4:AI$4)=0,"",IF('2.ชื่อนักเรียน'!R28="ย้าย","ย้าย",GU22))</f>
        <v/>
      </c>
      <c r="AK22" s="418">
        <v>18</v>
      </c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18" t="str">
        <f>IF(COUNTA($AL$4:$BP$4)=0,"",IF('2.ชื่อนักเรียน'!R28="ย้าย","ย้าย",GZ22))</f>
        <v/>
      </c>
      <c r="BR22" s="418">
        <v>18</v>
      </c>
      <c r="BS22" s="419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1"/>
      <c r="CW22" s="420"/>
      <c r="CX22" s="418" t="str">
        <f>IF(COUNTA($BS$4:$CW$4)=0,"",IF('2.ชื่อนักเรียน'!R28="ย้าย","ย้าย",HE22))</f>
        <v/>
      </c>
      <c r="CY22" s="418">
        <v>18</v>
      </c>
      <c r="CZ22" s="420"/>
      <c r="DA22" s="420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420"/>
      <c r="DW22" s="420"/>
      <c r="DX22" s="420"/>
      <c r="DY22" s="420"/>
      <c r="DZ22" s="420"/>
      <c r="EA22" s="420"/>
      <c r="EB22" s="420"/>
      <c r="EC22" s="421"/>
      <c r="ED22" s="421"/>
      <c r="EE22" s="418" t="str">
        <f>IF(COUNTA($CZ$4:$ED$4)=0,"",IF('2.ชื่อนักเรียน'!R28="ย้าย","ย้าย",HJ22))</f>
        <v/>
      </c>
      <c r="EF22" s="418">
        <v>18</v>
      </c>
      <c r="EG22" s="420"/>
      <c r="EH22" s="420"/>
      <c r="EI22" s="420"/>
      <c r="EJ22" s="420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0"/>
      <c r="EV22" s="420"/>
      <c r="EW22" s="420"/>
      <c r="EX22" s="420"/>
      <c r="EY22" s="420"/>
      <c r="EZ22" s="420"/>
      <c r="FA22" s="420"/>
      <c r="FB22" s="420"/>
      <c r="FC22" s="420"/>
      <c r="FD22" s="420"/>
      <c r="FE22" s="420"/>
      <c r="FF22" s="420"/>
      <c r="FG22" s="420"/>
      <c r="FH22" s="420"/>
      <c r="FI22" s="420"/>
      <c r="FJ22" s="420"/>
      <c r="FK22" s="420"/>
      <c r="FL22" s="418" t="str">
        <f>IF(COUNTA($EG$4:$FK$4)=0,"",IF('2.ชื่อนักเรียน'!R28="ย้าย","ย้าย",HO22))</f>
        <v/>
      </c>
      <c r="FM22" s="418">
        <v>18</v>
      </c>
      <c r="FN22" s="419"/>
      <c r="FO22" s="420"/>
      <c r="FP22" s="420"/>
      <c r="FQ22" s="420"/>
      <c r="FR22" s="420"/>
      <c r="FS22" s="420"/>
      <c r="FT22" s="420"/>
      <c r="FU22" s="420"/>
      <c r="FV22" s="420"/>
      <c r="FW22" s="420"/>
      <c r="FX22" s="420"/>
      <c r="FY22" s="420"/>
      <c r="FZ22" s="420"/>
      <c r="GA22" s="420"/>
      <c r="GB22" s="420"/>
      <c r="GC22" s="420"/>
      <c r="GD22" s="420"/>
      <c r="GE22" s="420"/>
      <c r="GF22" s="420"/>
      <c r="GG22" s="420"/>
      <c r="GH22" s="420"/>
      <c r="GI22" s="420"/>
      <c r="GJ22" s="420"/>
      <c r="GK22" s="420"/>
      <c r="GL22" s="420"/>
      <c r="GM22" s="420"/>
      <c r="GN22" s="420"/>
      <c r="GO22" s="420"/>
      <c r="GP22" s="420"/>
      <c r="GQ22" s="421"/>
      <c r="GR22" s="421"/>
      <c r="GS22" s="418" t="str">
        <f>IF(COUNTA($FN$4:$GR$4)=0,"",IF('2.ชื่อนักเรียน'!R28="ย้าย","ย้าย",HU22))</f>
        <v/>
      </c>
      <c r="GT22" s="418">
        <v>18</v>
      </c>
      <c r="GU22" s="422" t="str">
        <f>IF(OR(COUNTA($E$4:$AI$4)=0,$A22=""),"",IF('2.ชื่อนักเรียน'!R28="ย้าย","-",COUNTIF($E22:$AI22,"/")))</f>
        <v/>
      </c>
      <c r="GV22" s="425" t="str">
        <f>IF(OR(COUNTA($E$4:$AI$4)=0,$A22=""),"",IF('2.ชื่อนักเรียน'!R28="ย้าย","-",COUNTIF($E22:$AI22,"ส")))</f>
        <v/>
      </c>
      <c r="GW22" s="423" t="str">
        <f>IF(OR(COUNTA($E$4:$AI$4)=0,$A22=""),"",IF('2.ชื่อนักเรียน'!R28="ย้าย","-",COUNTIF($E22:$AI22,"ป")))</f>
        <v/>
      </c>
      <c r="GX22" s="423" t="str">
        <f>IF(OR(COUNTA($E$4:$AI$4)=0,$A22=""),"",IF('2.ชื่อนักเรียน'!R28="ย้าย","-",COUNTIF($E22:$AI22,"ล")))</f>
        <v/>
      </c>
      <c r="GY22" s="426" t="str">
        <f>IF(OR(COUNTA($E$4:$AI$4)=0,$A22=""),"",IF('2.ชื่อนักเรียน'!R28="ย้าย","-",COUNTIF($E22:$AI22,"ข")))</f>
        <v/>
      </c>
      <c r="GZ22" s="422" t="str">
        <f>IF(OR(COUNTA($AL$4:$BP$4)=0,$A22=""),"",IF('2.ชื่อนักเรียน'!R28="ย้าย","-",COUNTIF($AL22:$BP22,"/")))</f>
        <v/>
      </c>
      <c r="HA22" s="425" t="str">
        <f>IF(OR(COUNTA($AL$4:$BP$4)=0,$A22=""),"",IF('2.ชื่อนักเรียน'!R28="ย้าย","-",COUNTIF($AL22:$BP22,"ส")))</f>
        <v/>
      </c>
      <c r="HB22" s="423" t="str">
        <f>IF(OR(COUNTA($AL$4:$BP$4)=0,$A22=""),"",IF('2.ชื่อนักเรียน'!R28="ย้าย","-",COUNTIF($AL22:$BP22,"ป")))</f>
        <v/>
      </c>
      <c r="HC22" s="423" t="str">
        <f>IF(OR(COUNTA($AL$4:$BP$4)=0,$A22=""),"",IF('2.ชื่อนักเรียน'!R28="ย้าย","-",COUNTIF($AL22:$BP22,"ล")))</f>
        <v/>
      </c>
      <c r="HD22" s="426" t="str">
        <f>IF(OR(COUNTA($AL$4:$BP$4)=0,$A22=""),"",IF('2.ชื่อนักเรียน'!R28="ย้าย","-",COUNTIF($AL22:$BP22,"ข")))</f>
        <v/>
      </c>
      <c r="HE22" s="422" t="str">
        <f>IF(OR(COUNTA($BS$4:$CW$4)=0,$A22=""),"",IF('2.ชื่อนักเรียน'!R28="ย้าย","-",COUNTIF($BS22:$CW22,"/")))</f>
        <v/>
      </c>
      <c r="HF22" s="425" t="str">
        <f>IF(OR(COUNTA($BS$4:$CW$4)=0,$A22=""),"",IF('2.ชื่อนักเรียน'!R28="ย้าย","-",COUNTIF($BS22:$CW22,"ส")))</f>
        <v/>
      </c>
      <c r="HG22" s="423" t="str">
        <f>IF(OR(COUNTA($BS$4:$CW$4)=0,$A22=""),"",IF('2.ชื่อนักเรียน'!R28="ย้าย","-",COUNTIF($BS22:$CW22,"ป")))</f>
        <v/>
      </c>
      <c r="HH22" s="423" t="str">
        <f>IF(OR(COUNTA($BS$4:$CW$4)=0,$A22=""),"",IF('2.ชื่อนักเรียน'!R28="ย้าย","-",COUNTIF($BS22:$CW22,"ล")))</f>
        <v/>
      </c>
      <c r="HI22" s="426" t="str">
        <f>IF(OR(COUNTA($BS$4:$CW$4)=0,$A22=""),"",IF('2.ชื่อนักเรียน'!R28="ย้าย","-",COUNTIF($BS22:$CW22,"ข")))</f>
        <v/>
      </c>
      <c r="HJ22" s="422" t="str">
        <f>IF(OR(COUNTA($CZ$4:$ED$4)=0,$A22=""),"",IF('2.ชื่อนักเรียน'!R28="ย้าย","-",COUNTIF($CZ22:$ED22,"/")))</f>
        <v/>
      </c>
      <c r="HK22" s="425" t="str">
        <f>IF(OR(COUNTA($CZ$4:$ED$4)=0,$A22=""),"",IF('2.ชื่อนักเรียน'!R28="ย้าย","-",COUNTIF($CZ22:$ED22,"ส")))</f>
        <v/>
      </c>
      <c r="HL22" s="423" t="str">
        <f>IF(OR(COUNTA($CZ$4:$ED$4)=0,$A22=""),"",IF('2.ชื่อนักเรียน'!R28="ย้าย","-",COUNTIF($CZ22:$ED22,"ป")))</f>
        <v/>
      </c>
      <c r="HM22" s="423" t="str">
        <f>IF(OR(COUNTA($CZ$4:$ED$4)=0,A22=""),"",IF('2.ชื่อนักเรียน'!R28="ย้าย","-",COUNTIF($CZ22:$ED22,"ล")))</f>
        <v/>
      </c>
      <c r="HN22" s="426" t="str">
        <f>IF(OR(COUNTA($CZ$4:$ED$4)=0,A22=""),"",IF('2.ชื่อนักเรียน'!R28="ย้าย","-",COUNTIF($CZ22:$ED22,"ข")))</f>
        <v/>
      </c>
      <c r="HO22" s="422" t="str">
        <f>IF(OR(COUNTA($EG$4:$FK$4)=0,$A22=""),"",IF('2.ชื่อนักเรียน'!R28="ย้าย","-",COUNTIF($EG22:$FK22,"/")))</f>
        <v/>
      </c>
      <c r="HP22" s="425" t="str">
        <f>IF(OR(COUNTA($EG$4:$FK$4)=0,$A22=""),"",IF('2.ชื่อนักเรียน'!R28="ย้าย","-",COUNTIF($EG22:$FK22,"ส")))</f>
        <v/>
      </c>
      <c r="HQ22" s="423" t="str">
        <f>IF(OR(COUNTA($EG$4:$FK$4)=0,$A22=""),"",IF('2.ชื่อนักเรียน'!R28="ย้าย","-",COUNTIF($EG22:$FK22,"ป")))</f>
        <v/>
      </c>
      <c r="HR22" s="423" t="str">
        <f>IF(OR(COUNTA($EG$4:$FK$4)=0,A22=""),"",IF('2.ชื่อนักเรียน'!R28="ย้าย","-",COUNTIF($EG22:$FK22,"ล")))</f>
        <v/>
      </c>
      <c r="HS22" s="426" t="str">
        <f>IF(OR(COUNTA($EG$4:$FK$4)=0,A22=""),"",IF('2.ชื่อนักเรียน'!R28="ย้าย","-",COUNTIF($EG22:$FK22,"ข")))</f>
        <v/>
      </c>
      <c r="HT22" s="418">
        <v>18</v>
      </c>
      <c r="HU22" s="422" t="str">
        <f>IF(OR(COUNTA($FN$4:$GR$4)=0,$A22=""),"",IF('2.ชื่อนักเรียน'!R28="ย้าย","-",COUNTIF($FN22:$GR22,"/")))</f>
        <v/>
      </c>
      <c r="HV22" s="425" t="str">
        <f>IF(OR(COUNTA($FN$4:$GR$4)=0,$A22=""),"",IF('2.ชื่อนักเรียน'!R28="ย้าย","-",COUNTIF($FN22:$GR22,"ส")))</f>
        <v/>
      </c>
      <c r="HW22" s="423" t="str">
        <f>IF(OR(COUNTA($FN$4:$GR$4)=0,$A22=""),"",IF('2.ชื่อนักเรียน'!R28="ย้าย","-",COUNTIF($FN22:$GR22,"ป")))</f>
        <v/>
      </c>
      <c r="HX22" s="423" t="str">
        <f>IF(OR(COUNTA($FN$4:$GR$4)=0,A22=""),"",IF('2.ชื่อนักเรียน'!R28="ย้าย","-",COUNTIF($FN22:$GR22,"ล")))</f>
        <v/>
      </c>
      <c r="HY22" s="423" t="str">
        <f>IF(OR(COUNTA($FN$4:$GR$4)=0,A22=""),"",IF('2.ชื่อนักเรียน'!R28="ย้าย","-",COUNTIF($FN22:$GR22,"ข")))</f>
        <v/>
      </c>
      <c r="HZ22" s="422" t="str">
        <f>IF(OR(COUNTA($GU$3:$HS$3,$HU$3)=0,$A22=""),"",IF('2.ชื่อนักเรียน'!R28="ย้าย","-",SUM(GU22,GZ22,HE22,HJ22,HO22,HU22)))</f>
        <v/>
      </c>
      <c r="IA22" s="425" t="str">
        <f>IF(OR(COUNTA($GU$3:$HS$3,$HU$3)=0,$A22=""),"",IF('2.ชื่อนักเรียน'!R28="ย้าย","-",SUM(GV22,HA22,HF22,HK22,HP22,HV22)))</f>
        <v/>
      </c>
      <c r="IB22" s="423" t="str">
        <f>IF(OR(COUNTA($GU$3:$HS$3,$HU$3)=0,$A22=""),"",IF('2.ชื่อนักเรียน'!R28="ย้าย","-",SUM(GW22,HB22,HG22,HL22,HQ22,HW22)))</f>
        <v/>
      </c>
      <c r="IC22" s="423" t="str">
        <f>IF(OR(COUNTA($GU$3:$HS$3,$HU$3)=0,$A22=""),"",IF('2.ชื่อนักเรียน'!R28="ย้าย","-",SUM(GX22,HC22,HH22,HM22,HR22,HX22)))</f>
        <v/>
      </c>
      <c r="ID22" s="424" t="str">
        <f>IF(OR(COUNTA($GU$3:$HS$3,$HU$3)=0,$A22=""),"",IF('2.ชื่อนักเรียน'!R28="ย้าย","-",SUM(GY22,HD22,HI22,HN22,HS22,HY22)))</f>
        <v/>
      </c>
      <c r="IE22" s="418" t="str">
        <f t="shared" si="0"/>
        <v/>
      </c>
      <c r="IF22" s="438" t="str">
        <f>IF(IE22="","",IF('2.ชื่อนักเรียน'!R28="ย้าย","ย้าย",(IE22*100)/COUNTA($E$4:$AI$4,$AL$4:$BP$4,$BS$4:$CW$4,$CZ$4:$ED$4,$EG$4:$FK$4,$FN$4:$GR$4)))</f>
        <v/>
      </c>
      <c r="IG22" s="449"/>
      <c r="IH22" s="611"/>
      <c r="II22" s="611"/>
      <c r="IJ22" s="611"/>
      <c r="IK22" s="611"/>
      <c r="IL22" s="611"/>
      <c r="IM22" s="611"/>
      <c r="IN22" s="611"/>
      <c r="IO22" s="611"/>
      <c r="IP22" s="611"/>
      <c r="IQ22" s="611"/>
      <c r="IR22" s="450"/>
    </row>
    <row r="23" spans="1:252" ht="21" customHeight="1" x14ac:dyDescent="0.4">
      <c r="A23" s="416" t="str">
        <f>IF(Name19="","",Name19)</f>
        <v/>
      </c>
      <c r="B23" s="417" t="str">
        <f>IF(Surname19="","",Surname19)</f>
        <v/>
      </c>
      <c r="C23" s="442" t="str">
        <f>IF('2.ชื่อนักเรียน'!R29="","",'2.ชื่อนักเรียน'!R29)</f>
        <v/>
      </c>
      <c r="D23" s="418">
        <v>19</v>
      </c>
      <c r="E23" s="419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1"/>
      <c r="AJ23" s="418" t="str">
        <f>IF(COUNTA($E$4:AI$4)=0,"",IF('2.ชื่อนักเรียน'!R29="ย้าย","ย้าย",GU23))</f>
        <v/>
      </c>
      <c r="AK23" s="418">
        <v>19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18" t="str">
        <f>IF(COUNTA($AL$4:$BP$4)=0,"",IF('2.ชื่อนักเรียน'!R29="ย้าย","ย้าย",GZ23))</f>
        <v/>
      </c>
      <c r="BR23" s="418">
        <v>19</v>
      </c>
      <c r="BS23" s="419"/>
      <c r="BT23" s="420"/>
      <c r="BU23" s="420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1"/>
      <c r="CW23" s="420"/>
      <c r="CX23" s="418" t="str">
        <f>IF(COUNTA($BS$4:$CW$4)=0,"",IF('2.ชื่อนักเรียน'!R29="ย้าย","ย้าย",HE23))</f>
        <v/>
      </c>
      <c r="CY23" s="418">
        <v>19</v>
      </c>
      <c r="CZ23" s="420"/>
      <c r="DA23" s="420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0"/>
      <c r="DX23" s="420"/>
      <c r="DY23" s="420"/>
      <c r="DZ23" s="420"/>
      <c r="EA23" s="420"/>
      <c r="EB23" s="420"/>
      <c r="EC23" s="421"/>
      <c r="ED23" s="421"/>
      <c r="EE23" s="418" t="str">
        <f>IF(COUNTA($CZ$4:$ED$4)=0,"",IF('2.ชื่อนักเรียน'!R29="ย้าย","ย้าย",HJ23))</f>
        <v/>
      </c>
      <c r="EF23" s="418">
        <v>19</v>
      </c>
      <c r="EG23" s="420"/>
      <c r="EH23" s="420"/>
      <c r="EI23" s="420"/>
      <c r="EJ23" s="420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0"/>
      <c r="EV23" s="420"/>
      <c r="EW23" s="420"/>
      <c r="EX23" s="420"/>
      <c r="EY23" s="420"/>
      <c r="EZ23" s="420"/>
      <c r="FA23" s="420"/>
      <c r="FB23" s="420"/>
      <c r="FC23" s="420"/>
      <c r="FD23" s="420"/>
      <c r="FE23" s="420"/>
      <c r="FF23" s="420"/>
      <c r="FG23" s="420"/>
      <c r="FH23" s="420"/>
      <c r="FI23" s="420"/>
      <c r="FJ23" s="420"/>
      <c r="FK23" s="420"/>
      <c r="FL23" s="418" t="str">
        <f>IF(COUNTA($EG$4:$FK$4)=0,"",IF('2.ชื่อนักเรียน'!R29="ย้าย","ย้าย",HO23))</f>
        <v/>
      </c>
      <c r="FM23" s="418">
        <v>19</v>
      </c>
      <c r="FN23" s="419"/>
      <c r="FO23" s="420"/>
      <c r="FP23" s="420"/>
      <c r="FQ23" s="420"/>
      <c r="FR23" s="420"/>
      <c r="FS23" s="420"/>
      <c r="FT23" s="420"/>
      <c r="FU23" s="420"/>
      <c r="FV23" s="420"/>
      <c r="FW23" s="420"/>
      <c r="FX23" s="420"/>
      <c r="FY23" s="420"/>
      <c r="FZ23" s="420"/>
      <c r="GA23" s="420"/>
      <c r="GB23" s="420"/>
      <c r="GC23" s="420"/>
      <c r="GD23" s="420"/>
      <c r="GE23" s="420"/>
      <c r="GF23" s="420"/>
      <c r="GG23" s="420"/>
      <c r="GH23" s="420"/>
      <c r="GI23" s="420"/>
      <c r="GJ23" s="420"/>
      <c r="GK23" s="420"/>
      <c r="GL23" s="420"/>
      <c r="GM23" s="420"/>
      <c r="GN23" s="420"/>
      <c r="GO23" s="420"/>
      <c r="GP23" s="420"/>
      <c r="GQ23" s="421"/>
      <c r="GR23" s="421"/>
      <c r="GS23" s="418" t="str">
        <f>IF(COUNTA($FN$4:$GR$4)=0,"",IF('2.ชื่อนักเรียน'!R29="ย้าย","ย้าย",HU23))</f>
        <v/>
      </c>
      <c r="GT23" s="418">
        <v>19</v>
      </c>
      <c r="GU23" s="422" t="str">
        <f>IF(OR(COUNTA($E$4:$AI$4)=0,$A23=""),"",IF('2.ชื่อนักเรียน'!R29="ย้าย","-",COUNTIF($E23:$AI23,"/")))</f>
        <v/>
      </c>
      <c r="GV23" s="425" t="str">
        <f>IF(OR(COUNTA($E$4:$AI$4)=0,$A23=""),"",IF('2.ชื่อนักเรียน'!R29="ย้าย","-",COUNTIF($E23:$AI23,"ส")))</f>
        <v/>
      </c>
      <c r="GW23" s="423" t="str">
        <f>IF(OR(COUNTA($E$4:$AI$4)=0,$A23=""),"",IF('2.ชื่อนักเรียน'!R29="ย้าย","-",COUNTIF($E23:$AI23,"ป")))</f>
        <v/>
      </c>
      <c r="GX23" s="423" t="str">
        <f>IF(OR(COUNTA($E$4:$AI$4)=0,$A23=""),"",IF('2.ชื่อนักเรียน'!R29="ย้าย","-",COUNTIF($E23:$AI23,"ล")))</f>
        <v/>
      </c>
      <c r="GY23" s="426" t="str">
        <f>IF(OR(COUNTA($E$4:$AI$4)=0,$A23=""),"",IF('2.ชื่อนักเรียน'!R29="ย้าย","-",COUNTIF($E23:$AI23,"ข")))</f>
        <v/>
      </c>
      <c r="GZ23" s="422" t="str">
        <f>IF(OR(COUNTA($AL$4:$BP$4)=0,$A23=""),"",IF('2.ชื่อนักเรียน'!R29="ย้าย","-",COUNTIF($AL23:$BP23,"/")))</f>
        <v/>
      </c>
      <c r="HA23" s="425" t="str">
        <f>IF(OR(COUNTA($AL$4:$BP$4)=0,$A23=""),"",IF('2.ชื่อนักเรียน'!R29="ย้าย","-",COUNTIF($AL23:$BP23,"ส")))</f>
        <v/>
      </c>
      <c r="HB23" s="423" t="str">
        <f>IF(OR(COUNTA($AL$4:$BP$4)=0,$A23=""),"",IF('2.ชื่อนักเรียน'!R29="ย้าย","-",COUNTIF($AL23:$BP23,"ป")))</f>
        <v/>
      </c>
      <c r="HC23" s="423" t="str">
        <f>IF(OR(COUNTA($AL$4:$BP$4)=0,$A23=""),"",IF('2.ชื่อนักเรียน'!R29="ย้าย","-",COUNTIF($AL23:$BP23,"ล")))</f>
        <v/>
      </c>
      <c r="HD23" s="426" t="str">
        <f>IF(OR(COUNTA($AL$4:$BP$4)=0,$A23=""),"",IF('2.ชื่อนักเรียน'!R29="ย้าย","-",COUNTIF($AL23:$BP23,"ข")))</f>
        <v/>
      </c>
      <c r="HE23" s="422" t="str">
        <f>IF(OR(COUNTA($BS$4:$CW$4)=0,$A23=""),"",IF('2.ชื่อนักเรียน'!R29="ย้าย","-",COUNTIF($BS23:$CW23,"/")))</f>
        <v/>
      </c>
      <c r="HF23" s="425" t="str">
        <f>IF(OR(COUNTA($BS$4:$CW$4)=0,$A23=""),"",IF('2.ชื่อนักเรียน'!R29="ย้าย","-",COUNTIF($BS23:$CW23,"ส")))</f>
        <v/>
      </c>
      <c r="HG23" s="423" t="str">
        <f>IF(OR(COUNTA($BS$4:$CW$4)=0,$A23=""),"",IF('2.ชื่อนักเรียน'!R29="ย้าย","-",COUNTIF($BS23:$CW23,"ป")))</f>
        <v/>
      </c>
      <c r="HH23" s="423" t="str">
        <f>IF(OR(COUNTA($BS$4:$CW$4)=0,$A23=""),"",IF('2.ชื่อนักเรียน'!R29="ย้าย","-",COUNTIF($BS23:$CW23,"ล")))</f>
        <v/>
      </c>
      <c r="HI23" s="426" t="str">
        <f>IF(OR(COUNTA($BS$4:$CW$4)=0,$A23=""),"",IF('2.ชื่อนักเรียน'!R29="ย้าย","-",COUNTIF($BS23:$CW23,"ข")))</f>
        <v/>
      </c>
      <c r="HJ23" s="422" t="str">
        <f>IF(OR(COUNTA($CZ$4:$ED$4)=0,$A23=""),"",IF('2.ชื่อนักเรียน'!R29="ย้าย","-",COUNTIF($CZ23:$ED23,"/")))</f>
        <v/>
      </c>
      <c r="HK23" s="425" t="str">
        <f>IF(OR(COUNTA($CZ$4:$ED$4)=0,$A23=""),"",IF('2.ชื่อนักเรียน'!R29="ย้าย","-",COUNTIF($CZ23:$ED23,"ส")))</f>
        <v/>
      </c>
      <c r="HL23" s="423" t="str">
        <f>IF(OR(COUNTA($CZ$4:$ED$4)=0,$A23=""),"",IF('2.ชื่อนักเรียน'!R29="ย้าย","-",COUNTIF($CZ23:$ED23,"ป")))</f>
        <v/>
      </c>
      <c r="HM23" s="423" t="str">
        <f>IF(OR(COUNTA($CZ$4:$ED$4)=0,A23=""),"",IF('2.ชื่อนักเรียน'!R29="ย้าย","-",COUNTIF($CZ23:$ED23,"ล")))</f>
        <v/>
      </c>
      <c r="HN23" s="426" t="str">
        <f>IF(OR(COUNTA($CZ$4:$ED$4)=0,A23=""),"",IF('2.ชื่อนักเรียน'!R29="ย้าย","-",COUNTIF($CZ23:$ED23,"ข")))</f>
        <v/>
      </c>
      <c r="HO23" s="422" t="str">
        <f>IF(OR(COUNTA($EG$4:$FK$4)=0,$A23=""),"",IF('2.ชื่อนักเรียน'!R29="ย้าย","-",COUNTIF($EG23:$FK23,"/")))</f>
        <v/>
      </c>
      <c r="HP23" s="425" t="str">
        <f>IF(OR(COUNTA($EG$4:$FK$4)=0,$A23=""),"",IF('2.ชื่อนักเรียน'!R29="ย้าย","-",COUNTIF($EG23:$FK23,"ส")))</f>
        <v/>
      </c>
      <c r="HQ23" s="423" t="str">
        <f>IF(OR(COUNTA($EG$4:$FK$4)=0,$A23=""),"",IF('2.ชื่อนักเรียน'!R29="ย้าย","-",COUNTIF($EG23:$FK23,"ป")))</f>
        <v/>
      </c>
      <c r="HR23" s="423" t="str">
        <f>IF(OR(COUNTA($EG$4:$FK$4)=0,A23=""),"",IF('2.ชื่อนักเรียน'!R29="ย้าย","-",COUNTIF($EG23:$FK23,"ล")))</f>
        <v/>
      </c>
      <c r="HS23" s="426" t="str">
        <f>IF(OR(COUNTA($EG$4:$FK$4)=0,A23=""),"",IF('2.ชื่อนักเรียน'!R29="ย้าย","-",COUNTIF($EG23:$FK23,"ข")))</f>
        <v/>
      </c>
      <c r="HT23" s="418">
        <v>19</v>
      </c>
      <c r="HU23" s="422" t="str">
        <f>IF(OR(COUNTA($FN$4:$GR$4)=0,$A23=""),"",IF('2.ชื่อนักเรียน'!R29="ย้าย","-",COUNTIF($FN23:$GR23,"/")))</f>
        <v/>
      </c>
      <c r="HV23" s="425" t="str">
        <f>IF(OR(COUNTA($FN$4:$GR$4)=0,$A23=""),"",IF('2.ชื่อนักเรียน'!R29="ย้าย","-",COUNTIF($FN23:$GR23,"ส")))</f>
        <v/>
      </c>
      <c r="HW23" s="423" t="str">
        <f>IF(OR(COUNTA($FN$4:$GR$4)=0,$A23=""),"",IF('2.ชื่อนักเรียน'!R29="ย้าย","-",COUNTIF($FN23:$GR23,"ป")))</f>
        <v/>
      </c>
      <c r="HX23" s="423" t="str">
        <f>IF(OR(COUNTA($FN$4:$GR$4)=0,A23=""),"",IF('2.ชื่อนักเรียน'!R29="ย้าย","-",COUNTIF($FN23:$GR23,"ล")))</f>
        <v/>
      </c>
      <c r="HY23" s="423" t="str">
        <f>IF(OR(COUNTA($FN$4:$GR$4)=0,A23=""),"",IF('2.ชื่อนักเรียน'!R29="ย้าย","-",COUNTIF($FN23:$GR23,"ข")))</f>
        <v/>
      </c>
      <c r="HZ23" s="422" t="str">
        <f>IF(OR(COUNTA($GU$3:$HS$3,$HU$3)=0,$A23=""),"",IF('2.ชื่อนักเรียน'!R29="ย้าย","-",SUM(GU23,GZ23,HE23,HJ23,HO23,HU23)))</f>
        <v/>
      </c>
      <c r="IA23" s="425" t="str">
        <f>IF(OR(COUNTA($GU$3:$HS$3,$HU$3)=0,$A23=""),"",IF('2.ชื่อนักเรียน'!R29="ย้าย","-",SUM(GV23,HA23,HF23,HK23,HP23,HV23)))</f>
        <v/>
      </c>
      <c r="IB23" s="423" t="str">
        <f>IF(OR(COUNTA($GU$3:$HS$3,$HU$3)=0,$A23=""),"",IF('2.ชื่อนักเรียน'!R29="ย้าย","-",SUM(GW23,HB23,HG23,HL23,HQ23,HW23)))</f>
        <v/>
      </c>
      <c r="IC23" s="423" t="str">
        <f>IF(OR(COUNTA($GU$3:$HS$3,$HU$3)=0,$A23=""),"",IF('2.ชื่อนักเรียน'!R29="ย้าย","-",SUM(GX23,HC23,HH23,HM23,HR23,HX23)))</f>
        <v/>
      </c>
      <c r="ID23" s="424" t="str">
        <f>IF(OR(COUNTA($GU$3:$HS$3,$HU$3)=0,$A23=""),"",IF('2.ชื่อนักเรียน'!R29="ย้าย","-",SUM(GY23,HD23,HI23,HN23,HS23,HY23)))</f>
        <v/>
      </c>
      <c r="IE23" s="418" t="str">
        <f t="shared" si="0"/>
        <v/>
      </c>
      <c r="IF23" s="438" t="str">
        <f>IF(IE23="","",IF('2.ชื่อนักเรียน'!R29="ย้าย","ย้าย",(IE23*100)/COUNTA($E$4:$AI$4,$AL$4:$BP$4,$BS$4:$CW$4,$CZ$4:$ED$4,$EG$4:$FK$4,$FN$4:$GR$4)))</f>
        <v/>
      </c>
      <c r="IG23" s="449"/>
      <c r="IH23" s="611"/>
      <c r="II23" s="611"/>
      <c r="IJ23" s="611"/>
      <c r="IK23" s="611"/>
      <c r="IL23" s="611"/>
      <c r="IM23" s="611"/>
      <c r="IN23" s="611"/>
      <c r="IO23" s="611"/>
      <c r="IP23" s="611"/>
      <c r="IQ23" s="611"/>
      <c r="IR23" s="450"/>
    </row>
    <row r="24" spans="1:252" ht="21" customHeight="1" x14ac:dyDescent="0.4">
      <c r="A24" s="416" t="str">
        <f>IF(Name20="","",Name20)</f>
        <v/>
      </c>
      <c r="B24" s="417" t="str">
        <f>IF(Surname20="","",Surname20)</f>
        <v/>
      </c>
      <c r="C24" s="442" t="str">
        <f>IF('2.ชื่อนักเรียน'!R30="","",'2.ชื่อนักเรียน'!R30)</f>
        <v/>
      </c>
      <c r="D24" s="418">
        <v>20</v>
      </c>
      <c r="E24" s="419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1"/>
      <c r="AJ24" s="418" t="str">
        <f>IF(COUNTA($E$4:AI$4)=0,"",IF('2.ชื่อนักเรียน'!R30="ย้าย","ย้าย",GU24))</f>
        <v/>
      </c>
      <c r="AK24" s="418">
        <v>20</v>
      </c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18" t="str">
        <f>IF(COUNTA($AL$4:$BP$4)=0,"",IF('2.ชื่อนักเรียน'!R30="ย้าย","ย้าย",GZ24))</f>
        <v/>
      </c>
      <c r="BR24" s="418">
        <v>20</v>
      </c>
      <c r="BS24" s="419"/>
      <c r="BT24" s="420"/>
      <c r="BU24" s="420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1"/>
      <c r="CW24" s="420"/>
      <c r="CX24" s="418" t="str">
        <f>IF(COUNTA($BS$4:$CW$4)=0,"",IF('2.ชื่อนักเรียน'!R30="ย้าย","ย้าย",HE24))</f>
        <v/>
      </c>
      <c r="CY24" s="418">
        <v>20</v>
      </c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1"/>
      <c r="ED24" s="421"/>
      <c r="EE24" s="418" t="str">
        <f>IF(COUNTA($CZ$4:$ED$4)=0,"",IF('2.ชื่อนักเรียน'!R30="ย้าย","ย้าย",HJ24))</f>
        <v/>
      </c>
      <c r="EF24" s="418">
        <v>20</v>
      </c>
      <c r="EG24" s="420"/>
      <c r="EH24" s="420"/>
      <c r="EI24" s="420"/>
      <c r="EJ24" s="420"/>
      <c r="EK24" s="420"/>
      <c r="EL24" s="420"/>
      <c r="EM24" s="420"/>
      <c r="EN24" s="420"/>
      <c r="EO24" s="420"/>
      <c r="EP24" s="420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420"/>
      <c r="FB24" s="420"/>
      <c r="FC24" s="420"/>
      <c r="FD24" s="420"/>
      <c r="FE24" s="420"/>
      <c r="FF24" s="420"/>
      <c r="FG24" s="420"/>
      <c r="FH24" s="420"/>
      <c r="FI24" s="420"/>
      <c r="FJ24" s="420"/>
      <c r="FK24" s="420"/>
      <c r="FL24" s="418" t="str">
        <f>IF(COUNTA($EG$4:$FK$4)=0,"",IF('2.ชื่อนักเรียน'!R30="ย้าย","ย้าย",HO24))</f>
        <v/>
      </c>
      <c r="FM24" s="418">
        <v>20</v>
      </c>
      <c r="FN24" s="419"/>
      <c r="FO24" s="420"/>
      <c r="FP24" s="420"/>
      <c r="FQ24" s="420"/>
      <c r="FR24" s="420"/>
      <c r="FS24" s="420"/>
      <c r="FT24" s="420"/>
      <c r="FU24" s="420"/>
      <c r="FV24" s="420"/>
      <c r="FW24" s="420"/>
      <c r="FX24" s="420"/>
      <c r="FY24" s="420"/>
      <c r="FZ24" s="420"/>
      <c r="GA24" s="420"/>
      <c r="GB24" s="420"/>
      <c r="GC24" s="420"/>
      <c r="GD24" s="420"/>
      <c r="GE24" s="420"/>
      <c r="GF24" s="420"/>
      <c r="GG24" s="420"/>
      <c r="GH24" s="420"/>
      <c r="GI24" s="420"/>
      <c r="GJ24" s="420"/>
      <c r="GK24" s="420"/>
      <c r="GL24" s="420"/>
      <c r="GM24" s="420"/>
      <c r="GN24" s="420"/>
      <c r="GO24" s="420"/>
      <c r="GP24" s="420"/>
      <c r="GQ24" s="421"/>
      <c r="GR24" s="421"/>
      <c r="GS24" s="418" t="str">
        <f>IF(COUNTA($FN$4:$GR$4)=0,"",IF('2.ชื่อนักเรียน'!R30="ย้าย","ย้าย",HU24))</f>
        <v/>
      </c>
      <c r="GT24" s="418">
        <v>20</v>
      </c>
      <c r="GU24" s="422" t="str">
        <f>IF(OR(COUNTA($E$4:$AI$4)=0,$A24=""),"",IF('2.ชื่อนักเรียน'!R30="ย้าย","-",COUNTIF($E24:$AI24,"/")))</f>
        <v/>
      </c>
      <c r="GV24" s="425" t="str">
        <f>IF(OR(COUNTA($E$4:$AI$4)=0,$A24=""),"",IF('2.ชื่อนักเรียน'!R30="ย้าย","-",COUNTIF($E24:$AI24,"ส")))</f>
        <v/>
      </c>
      <c r="GW24" s="423" t="str">
        <f>IF(OR(COUNTA($E$4:$AI$4)=0,$A24=""),"",IF('2.ชื่อนักเรียน'!R30="ย้าย","-",COUNTIF($E24:$AI24,"ป")))</f>
        <v/>
      </c>
      <c r="GX24" s="423" t="str">
        <f>IF(OR(COUNTA($E$4:$AI$4)=0,$A24=""),"",IF('2.ชื่อนักเรียน'!R30="ย้าย","-",COUNTIF($E24:$AI24,"ล")))</f>
        <v/>
      </c>
      <c r="GY24" s="426" t="str">
        <f>IF(OR(COUNTA($E$4:$AI$4)=0,$A24=""),"",IF('2.ชื่อนักเรียน'!R30="ย้าย","-",COUNTIF($E24:$AI24,"ข")))</f>
        <v/>
      </c>
      <c r="GZ24" s="422" t="str">
        <f>IF(OR(COUNTA($AL$4:$BP$4)=0,$A24=""),"",IF('2.ชื่อนักเรียน'!R30="ย้าย","-",COUNTIF($AL24:$BP24,"/")))</f>
        <v/>
      </c>
      <c r="HA24" s="425" t="str">
        <f>IF(OR(COUNTA($AL$4:$BP$4)=0,$A24=""),"",IF('2.ชื่อนักเรียน'!R30="ย้าย","-",COUNTIF($AL24:$BP24,"ส")))</f>
        <v/>
      </c>
      <c r="HB24" s="423" t="str">
        <f>IF(OR(COUNTA($AL$4:$BP$4)=0,$A24=""),"",IF('2.ชื่อนักเรียน'!R30="ย้าย","-",COUNTIF($AL24:$BP24,"ป")))</f>
        <v/>
      </c>
      <c r="HC24" s="423" t="str">
        <f>IF(OR(COUNTA($AL$4:$BP$4)=0,$A24=""),"",IF('2.ชื่อนักเรียน'!R30="ย้าย","-",COUNTIF($AL24:$BP24,"ล")))</f>
        <v/>
      </c>
      <c r="HD24" s="426" t="str">
        <f>IF(OR(COUNTA($AL$4:$BP$4)=0,$A24=""),"",IF('2.ชื่อนักเรียน'!R30="ย้าย","-",COUNTIF($AL24:$BP24,"ข")))</f>
        <v/>
      </c>
      <c r="HE24" s="422" t="str">
        <f>IF(OR(COUNTA($BS$4:$CW$4)=0,$A24=""),"",IF('2.ชื่อนักเรียน'!R30="ย้าย","-",COUNTIF($BS24:$CW24,"/")))</f>
        <v/>
      </c>
      <c r="HF24" s="425" t="str">
        <f>IF(OR(COUNTA($BS$4:$CW$4)=0,$A24=""),"",IF('2.ชื่อนักเรียน'!R30="ย้าย","-",COUNTIF($BS24:$CW24,"ส")))</f>
        <v/>
      </c>
      <c r="HG24" s="423" t="str">
        <f>IF(OR(COUNTA($BS$4:$CW$4)=0,$A24=""),"",IF('2.ชื่อนักเรียน'!R30="ย้าย","-",COUNTIF($BS24:$CW24,"ป")))</f>
        <v/>
      </c>
      <c r="HH24" s="423" t="str">
        <f>IF(OR(COUNTA($BS$4:$CW$4)=0,$A24=""),"",IF('2.ชื่อนักเรียน'!R30="ย้าย","-",COUNTIF($BS24:$CW24,"ล")))</f>
        <v/>
      </c>
      <c r="HI24" s="426" t="str">
        <f>IF(OR(COUNTA($BS$4:$CW$4)=0,$A24=""),"",IF('2.ชื่อนักเรียน'!R30="ย้าย","-",COUNTIF($BS24:$CW24,"ข")))</f>
        <v/>
      </c>
      <c r="HJ24" s="422" t="str">
        <f>IF(OR(COUNTA($CZ$4:$ED$4)=0,$A24=""),"",IF('2.ชื่อนักเรียน'!R30="ย้าย","-",COUNTIF($CZ24:$ED24,"/")))</f>
        <v/>
      </c>
      <c r="HK24" s="425" t="str">
        <f>IF(OR(COUNTA($CZ$4:$ED$4)=0,$A24=""),"",IF('2.ชื่อนักเรียน'!R30="ย้าย","-",COUNTIF($CZ24:$ED24,"ส")))</f>
        <v/>
      </c>
      <c r="HL24" s="423" t="str">
        <f>IF(OR(COUNTA($CZ$4:$ED$4)=0,$A24=""),"",IF('2.ชื่อนักเรียน'!R30="ย้าย","-",COUNTIF($CZ24:$ED24,"ป")))</f>
        <v/>
      </c>
      <c r="HM24" s="423" t="str">
        <f>IF(OR(COUNTA($CZ$4:$ED$4)=0,A24=""),"",IF('2.ชื่อนักเรียน'!R30="ย้าย","-",COUNTIF($CZ24:$ED24,"ล")))</f>
        <v/>
      </c>
      <c r="HN24" s="426" t="str">
        <f>IF(OR(COUNTA($CZ$4:$ED$4)=0,A24=""),"",IF('2.ชื่อนักเรียน'!R30="ย้าย","-",COUNTIF($CZ24:$ED24,"ข")))</f>
        <v/>
      </c>
      <c r="HO24" s="422" t="str">
        <f>IF(OR(COUNTA($EG$4:$FK$4)=0,$A24=""),"",IF('2.ชื่อนักเรียน'!R30="ย้าย","-",COUNTIF($EG24:$FK24,"/")))</f>
        <v/>
      </c>
      <c r="HP24" s="425" t="str">
        <f>IF(OR(COUNTA($EG$4:$FK$4)=0,$A24=""),"",IF('2.ชื่อนักเรียน'!R30="ย้าย","-",COUNTIF($EG24:$FK24,"ส")))</f>
        <v/>
      </c>
      <c r="HQ24" s="423" t="str">
        <f>IF(OR(COUNTA($EG$4:$FK$4)=0,$A24=""),"",IF('2.ชื่อนักเรียน'!R30="ย้าย","-",COUNTIF($EG24:$FK24,"ป")))</f>
        <v/>
      </c>
      <c r="HR24" s="423" t="str">
        <f>IF(OR(COUNTA($EG$4:$FK$4)=0,A24=""),"",IF('2.ชื่อนักเรียน'!R30="ย้าย","-",COUNTIF($EG24:$FK24,"ล")))</f>
        <v/>
      </c>
      <c r="HS24" s="426" t="str">
        <f>IF(OR(COUNTA($EG$4:$FK$4)=0,A24=""),"",IF('2.ชื่อนักเรียน'!R30="ย้าย","-",COUNTIF($EG24:$FK24,"ข")))</f>
        <v/>
      </c>
      <c r="HT24" s="418">
        <v>20</v>
      </c>
      <c r="HU24" s="422" t="str">
        <f>IF(OR(COUNTA($FN$4:$GR$4)=0,$A24=""),"",IF('2.ชื่อนักเรียน'!R30="ย้าย","-",COUNTIF($FN24:$GR24,"/")))</f>
        <v/>
      </c>
      <c r="HV24" s="425" t="str">
        <f>IF(OR(COUNTA($FN$4:$GR$4)=0,$A24=""),"",IF('2.ชื่อนักเรียน'!R30="ย้าย","-",COUNTIF($FN24:$GR24,"ส")))</f>
        <v/>
      </c>
      <c r="HW24" s="423" t="str">
        <f>IF(OR(COUNTA($FN$4:$GR$4)=0,$A24=""),"",IF('2.ชื่อนักเรียน'!R30="ย้าย","-",COUNTIF($FN24:$GR24,"ป")))</f>
        <v/>
      </c>
      <c r="HX24" s="423" t="str">
        <f>IF(OR(COUNTA($FN$4:$GR$4)=0,A24=""),"",IF('2.ชื่อนักเรียน'!R30="ย้าย","-",COUNTIF($FN24:$GR24,"ล")))</f>
        <v/>
      </c>
      <c r="HY24" s="423" t="str">
        <f>IF(OR(COUNTA($FN$4:$GR$4)=0,A24=""),"",IF('2.ชื่อนักเรียน'!R30="ย้าย","-",COUNTIF($FN24:$GR24,"ข")))</f>
        <v/>
      </c>
      <c r="HZ24" s="422" t="str">
        <f>IF(OR(COUNTA($GU$3:$HS$3,$HU$3)=0,$A24=""),"",IF('2.ชื่อนักเรียน'!R30="ย้าย","-",SUM(GU24,GZ24,HE24,HJ24,HO24,HU24)))</f>
        <v/>
      </c>
      <c r="IA24" s="425" t="str">
        <f>IF(OR(COUNTA($GU$3:$HS$3,$HU$3)=0,$A24=""),"",IF('2.ชื่อนักเรียน'!R30="ย้าย","-",SUM(GV24,HA24,HF24,HK24,HP24,HV24)))</f>
        <v/>
      </c>
      <c r="IB24" s="423" t="str">
        <f>IF(OR(COUNTA($GU$3:$HS$3,$HU$3)=0,$A24=""),"",IF('2.ชื่อนักเรียน'!R30="ย้าย","-",SUM(GW24,HB24,HG24,HL24,HQ24,HW24)))</f>
        <v/>
      </c>
      <c r="IC24" s="423" t="str">
        <f>IF(OR(COUNTA($GU$3:$HS$3,$HU$3)=0,$A24=""),"",IF('2.ชื่อนักเรียน'!R30="ย้าย","-",SUM(GX24,HC24,HH24,HM24,HR24,HX24)))</f>
        <v/>
      </c>
      <c r="ID24" s="424" t="str">
        <f>IF(OR(COUNTA($GU$3:$HS$3,$HU$3)=0,$A24=""),"",IF('2.ชื่อนักเรียน'!R30="ย้าย","-",SUM(GY24,HD24,HI24,HN24,HS24,HY24)))</f>
        <v/>
      </c>
      <c r="IE24" s="418" t="str">
        <f t="shared" si="0"/>
        <v/>
      </c>
      <c r="IF24" s="438" t="str">
        <f>IF(IE24="","",IF('2.ชื่อนักเรียน'!R30="ย้าย","ย้าย",(IE24*100)/COUNTA($E$4:$AI$4,$AL$4:$BP$4,$BS$4:$CW$4,$CZ$4:$ED$4,$EG$4:$FK$4,$FN$4:$GR$4)))</f>
        <v/>
      </c>
      <c r="IG24" s="449"/>
      <c r="IH24" s="611"/>
      <c r="II24" s="611"/>
      <c r="IJ24" s="611"/>
      <c r="IK24" s="611"/>
      <c r="IL24" s="611"/>
      <c r="IM24" s="611"/>
      <c r="IN24" s="611"/>
      <c r="IO24" s="611"/>
      <c r="IP24" s="611"/>
      <c r="IQ24" s="611"/>
      <c r="IR24" s="450"/>
    </row>
    <row r="25" spans="1:252" ht="21" customHeight="1" x14ac:dyDescent="0.4">
      <c r="A25" s="416" t="str">
        <f>IF(Name21="","",Name21)</f>
        <v/>
      </c>
      <c r="B25" s="417" t="str">
        <f>IF(Surname21="","",Surname21)</f>
        <v/>
      </c>
      <c r="C25" s="442" t="str">
        <f>IF('2.ชื่อนักเรียน'!R31="","",'2.ชื่อนักเรียน'!R31)</f>
        <v/>
      </c>
      <c r="D25" s="418">
        <v>21</v>
      </c>
      <c r="E25" s="419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1"/>
      <c r="AJ25" s="418" t="str">
        <f>IF(COUNTA($E$4:AI$4)=0,"",IF('2.ชื่อนักเรียน'!R31="ย้าย","ย้าย",GU25))</f>
        <v/>
      </c>
      <c r="AK25" s="418">
        <v>21</v>
      </c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18" t="str">
        <f>IF(COUNTA($AL$4:$BP$4)=0,"",IF('2.ชื่อนักเรียน'!R31="ย้าย","ย้าย",GZ25))</f>
        <v/>
      </c>
      <c r="BR25" s="418">
        <v>21</v>
      </c>
      <c r="BS25" s="419"/>
      <c r="BT25" s="420"/>
      <c r="BU25" s="420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1"/>
      <c r="CW25" s="420"/>
      <c r="CX25" s="418" t="str">
        <f>IF(COUNTA($BS$4:$CW$4)=0,"",IF('2.ชื่อนักเรียน'!R31="ย้าย","ย้าย",HE25))</f>
        <v/>
      </c>
      <c r="CY25" s="418">
        <v>21</v>
      </c>
      <c r="CZ25" s="420"/>
      <c r="DA25" s="420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20"/>
      <c r="DO25" s="420"/>
      <c r="DP25" s="420"/>
      <c r="DQ25" s="420"/>
      <c r="DR25" s="420"/>
      <c r="DS25" s="420"/>
      <c r="DT25" s="420"/>
      <c r="DU25" s="420"/>
      <c r="DV25" s="420"/>
      <c r="DW25" s="420"/>
      <c r="DX25" s="420"/>
      <c r="DY25" s="420"/>
      <c r="DZ25" s="420"/>
      <c r="EA25" s="420"/>
      <c r="EB25" s="420"/>
      <c r="EC25" s="421"/>
      <c r="ED25" s="421"/>
      <c r="EE25" s="418" t="str">
        <f>IF(COUNTA($CZ$4:$ED$4)=0,"",IF('2.ชื่อนักเรียน'!R31="ย้าย","ย้าย",HJ25))</f>
        <v/>
      </c>
      <c r="EF25" s="418">
        <v>21</v>
      </c>
      <c r="EG25" s="420"/>
      <c r="EH25" s="420"/>
      <c r="EI25" s="420"/>
      <c r="EJ25" s="420"/>
      <c r="EK25" s="420"/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420"/>
      <c r="FB25" s="420"/>
      <c r="FC25" s="420"/>
      <c r="FD25" s="420"/>
      <c r="FE25" s="420"/>
      <c r="FF25" s="420"/>
      <c r="FG25" s="420"/>
      <c r="FH25" s="420"/>
      <c r="FI25" s="420"/>
      <c r="FJ25" s="420"/>
      <c r="FK25" s="420"/>
      <c r="FL25" s="418" t="str">
        <f>IF(COUNTA($EG$4:$FK$4)=0,"",IF('2.ชื่อนักเรียน'!R31="ย้าย","ย้าย",HO25))</f>
        <v/>
      </c>
      <c r="FM25" s="418">
        <v>21</v>
      </c>
      <c r="FN25" s="419"/>
      <c r="FO25" s="420"/>
      <c r="FP25" s="420"/>
      <c r="FQ25" s="420"/>
      <c r="FR25" s="420"/>
      <c r="FS25" s="420"/>
      <c r="FT25" s="420"/>
      <c r="FU25" s="420"/>
      <c r="FV25" s="420"/>
      <c r="FW25" s="420"/>
      <c r="FX25" s="420"/>
      <c r="FY25" s="420"/>
      <c r="FZ25" s="420"/>
      <c r="GA25" s="420"/>
      <c r="GB25" s="420"/>
      <c r="GC25" s="420"/>
      <c r="GD25" s="420"/>
      <c r="GE25" s="420"/>
      <c r="GF25" s="420"/>
      <c r="GG25" s="420"/>
      <c r="GH25" s="420"/>
      <c r="GI25" s="420"/>
      <c r="GJ25" s="420"/>
      <c r="GK25" s="420"/>
      <c r="GL25" s="420"/>
      <c r="GM25" s="420"/>
      <c r="GN25" s="420"/>
      <c r="GO25" s="420"/>
      <c r="GP25" s="420"/>
      <c r="GQ25" s="421"/>
      <c r="GR25" s="421"/>
      <c r="GS25" s="418" t="str">
        <f>IF(COUNTA($FN$4:$GR$4)=0,"",IF('2.ชื่อนักเรียน'!R31="ย้าย","ย้าย",HU25))</f>
        <v/>
      </c>
      <c r="GT25" s="418">
        <v>21</v>
      </c>
      <c r="GU25" s="422" t="str">
        <f>IF(OR(COUNTA($E$4:$AI$4)=0,$A25=""),"",IF('2.ชื่อนักเรียน'!R31="ย้าย","-",COUNTIF($E25:$AI25,"/")))</f>
        <v/>
      </c>
      <c r="GV25" s="425" t="str">
        <f>IF(OR(COUNTA($E$4:$AI$4)=0,$A25=""),"",IF('2.ชื่อนักเรียน'!R31="ย้าย","-",COUNTIF($E25:$AI25,"ส")))</f>
        <v/>
      </c>
      <c r="GW25" s="423" t="str">
        <f>IF(OR(COUNTA($E$4:$AI$4)=0,$A25=""),"",IF('2.ชื่อนักเรียน'!R31="ย้าย","-",COUNTIF($E25:$AI25,"ป")))</f>
        <v/>
      </c>
      <c r="GX25" s="423" t="str">
        <f>IF(OR(COUNTA($E$4:$AI$4)=0,$A25=""),"",IF('2.ชื่อนักเรียน'!R31="ย้าย","-",COUNTIF($E25:$AI25,"ล")))</f>
        <v/>
      </c>
      <c r="GY25" s="426" t="str">
        <f>IF(OR(COUNTA($E$4:$AI$4)=0,$A25=""),"",IF('2.ชื่อนักเรียน'!R31="ย้าย","-",COUNTIF($E25:$AI25,"ข")))</f>
        <v/>
      </c>
      <c r="GZ25" s="422" t="str">
        <f>IF(OR(COUNTA($AL$4:$BP$4)=0,$A25=""),"",IF('2.ชื่อนักเรียน'!R31="ย้าย","-",COUNTIF($AL25:$BP25,"/")))</f>
        <v/>
      </c>
      <c r="HA25" s="425" t="str">
        <f>IF(OR(COUNTA($AL$4:$BP$4)=0,$A25=""),"",IF('2.ชื่อนักเรียน'!R31="ย้าย","-",COUNTIF($AL25:$BP25,"ส")))</f>
        <v/>
      </c>
      <c r="HB25" s="423" t="str">
        <f>IF(OR(COUNTA($AL$4:$BP$4)=0,$A25=""),"",IF('2.ชื่อนักเรียน'!R31="ย้าย","-",COUNTIF($AL25:$BP25,"ป")))</f>
        <v/>
      </c>
      <c r="HC25" s="423" t="str">
        <f>IF(OR(COUNTA($AL$4:$BP$4)=0,$A25=""),"",IF('2.ชื่อนักเรียน'!R31="ย้าย","-",COUNTIF($AL25:$BP25,"ล")))</f>
        <v/>
      </c>
      <c r="HD25" s="426" t="str">
        <f>IF(OR(COUNTA($AL$4:$BP$4)=0,$A25=""),"",IF('2.ชื่อนักเรียน'!R31="ย้าย","-",COUNTIF($AL25:$BP25,"ข")))</f>
        <v/>
      </c>
      <c r="HE25" s="422" t="str">
        <f>IF(OR(COUNTA($BS$4:$CW$4)=0,$A25=""),"",IF('2.ชื่อนักเรียน'!R31="ย้าย","-",COUNTIF($BS25:$CW25,"/")))</f>
        <v/>
      </c>
      <c r="HF25" s="425" t="str">
        <f>IF(OR(COUNTA($BS$4:$CW$4)=0,$A25=""),"",IF('2.ชื่อนักเรียน'!R31="ย้าย","-",COUNTIF($BS25:$CW25,"ส")))</f>
        <v/>
      </c>
      <c r="HG25" s="423" t="str">
        <f>IF(OR(COUNTA($BS$4:$CW$4)=0,$A25=""),"",IF('2.ชื่อนักเรียน'!R31="ย้าย","-",COUNTIF($BS25:$CW25,"ป")))</f>
        <v/>
      </c>
      <c r="HH25" s="423" t="str">
        <f>IF(OR(COUNTA($BS$4:$CW$4)=0,$A25=""),"",IF('2.ชื่อนักเรียน'!R31="ย้าย","-",COUNTIF($BS25:$CW25,"ล")))</f>
        <v/>
      </c>
      <c r="HI25" s="426" t="str">
        <f>IF(OR(COUNTA($BS$4:$CW$4)=0,$A25=""),"",IF('2.ชื่อนักเรียน'!R31="ย้าย","-",COUNTIF($BS25:$CW25,"ข")))</f>
        <v/>
      </c>
      <c r="HJ25" s="422" t="str">
        <f>IF(OR(COUNTA($CZ$4:$ED$4)=0,$A25=""),"",IF('2.ชื่อนักเรียน'!R31="ย้าย","-",COUNTIF($CZ25:$ED25,"/")))</f>
        <v/>
      </c>
      <c r="HK25" s="425" t="str">
        <f>IF(OR(COUNTA($CZ$4:$ED$4)=0,$A25=""),"",IF('2.ชื่อนักเรียน'!R31="ย้าย","-",COUNTIF($CZ25:$ED25,"ส")))</f>
        <v/>
      </c>
      <c r="HL25" s="423" t="str">
        <f>IF(OR(COUNTA($CZ$4:$ED$4)=0,$A25=""),"",IF('2.ชื่อนักเรียน'!R31="ย้าย","-",COUNTIF($CZ25:$ED25,"ป")))</f>
        <v/>
      </c>
      <c r="HM25" s="423" t="str">
        <f>IF(OR(COUNTA($CZ$4:$ED$4)=0,A25=""),"",IF('2.ชื่อนักเรียน'!R31="ย้าย","-",COUNTIF($CZ25:$ED25,"ล")))</f>
        <v/>
      </c>
      <c r="HN25" s="426" t="str">
        <f>IF(OR(COUNTA($CZ$4:$ED$4)=0,A25=""),"",IF('2.ชื่อนักเรียน'!R31="ย้าย","-",COUNTIF($CZ25:$ED25,"ข")))</f>
        <v/>
      </c>
      <c r="HO25" s="422" t="str">
        <f>IF(OR(COUNTA($EG$4:$FK$4)=0,$A25=""),"",IF('2.ชื่อนักเรียน'!R31="ย้าย","-",COUNTIF($EG25:$FK25,"/")))</f>
        <v/>
      </c>
      <c r="HP25" s="425" t="str">
        <f>IF(OR(COUNTA($EG$4:$FK$4)=0,$A25=""),"",IF('2.ชื่อนักเรียน'!R31="ย้าย","-",COUNTIF($EG25:$FK25,"ส")))</f>
        <v/>
      </c>
      <c r="HQ25" s="423" t="str">
        <f>IF(OR(COUNTA($EG$4:$FK$4)=0,$A25=""),"",IF('2.ชื่อนักเรียน'!R31="ย้าย","-",COUNTIF($EG25:$FK25,"ป")))</f>
        <v/>
      </c>
      <c r="HR25" s="423" t="str">
        <f>IF(OR(COUNTA($EG$4:$FK$4)=0,A25=""),"",IF('2.ชื่อนักเรียน'!R31="ย้าย","-",COUNTIF($EG25:$FK25,"ล")))</f>
        <v/>
      </c>
      <c r="HS25" s="426" t="str">
        <f>IF(OR(COUNTA($EG$4:$FK$4)=0,A25=""),"",IF('2.ชื่อนักเรียน'!R31="ย้าย","-",COUNTIF($EG25:$FK25,"ข")))</f>
        <v/>
      </c>
      <c r="HT25" s="418">
        <v>21</v>
      </c>
      <c r="HU25" s="422" t="str">
        <f>IF(OR(COUNTA($FN$4:$GR$4)=0,$A25=""),"",IF('2.ชื่อนักเรียน'!R31="ย้าย","-",COUNTIF($FN25:$GR25,"/")))</f>
        <v/>
      </c>
      <c r="HV25" s="425" t="str">
        <f>IF(OR(COUNTA($FN$4:$GR$4)=0,$A25=""),"",IF('2.ชื่อนักเรียน'!R31="ย้าย","-",COUNTIF($FN25:$GR25,"ส")))</f>
        <v/>
      </c>
      <c r="HW25" s="423" t="str">
        <f>IF(OR(COUNTA($FN$4:$GR$4)=0,$A25=""),"",IF('2.ชื่อนักเรียน'!R31="ย้าย","-",COUNTIF($FN25:$GR25,"ป")))</f>
        <v/>
      </c>
      <c r="HX25" s="423" t="str">
        <f>IF(OR(COUNTA($FN$4:$GR$4)=0,A25=""),"",IF('2.ชื่อนักเรียน'!R31="ย้าย","-",COUNTIF($FN25:$GR25,"ล")))</f>
        <v/>
      </c>
      <c r="HY25" s="423" t="str">
        <f>IF(OR(COUNTA($FN$4:$GR$4)=0,A25=""),"",IF('2.ชื่อนักเรียน'!R31="ย้าย","-",COUNTIF($FN25:$GR25,"ข")))</f>
        <v/>
      </c>
      <c r="HZ25" s="422" t="str">
        <f>IF(OR(COUNTA($GU$3:$HS$3,$HU$3)=0,$A25=""),"",IF('2.ชื่อนักเรียน'!R31="ย้าย","-",SUM(GU25,GZ25,HE25,HJ25,HO25,HU25)))</f>
        <v/>
      </c>
      <c r="IA25" s="425" t="str">
        <f>IF(OR(COUNTA($GU$3:$HS$3,$HU$3)=0,$A25=""),"",IF('2.ชื่อนักเรียน'!R31="ย้าย","-",SUM(GV25,HA25,HF25,HK25,HP25,HV25)))</f>
        <v/>
      </c>
      <c r="IB25" s="423" t="str">
        <f>IF(OR(COUNTA($GU$3:$HS$3,$HU$3)=0,$A25=""),"",IF('2.ชื่อนักเรียน'!R31="ย้าย","-",SUM(GW25,HB25,HG25,HL25,HQ25,HW25)))</f>
        <v/>
      </c>
      <c r="IC25" s="423" t="str">
        <f>IF(OR(COUNTA($GU$3:$HS$3,$HU$3)=0,$A25=""),"",IF('2.ชื่อนักเรียน'!R31="ย้าย","-",SUM(GX25,HC25,HH25,HM25,HR25,HX25)))</f>
        <v/>
      </c>
      <c r="ID25" s="424" t="str">
        <f>IF(OR(COUNTA($GU$3:$HS$3,$HU$3)=0,$A25=""),"",IF('2.ชื่อนักเรียน'!R31="ย้าย","-",SUM(GY25,HD25,HI25,HN25,HS25,HY25)))</f>
        <v/>
      </c>
      <c r="IE25" s="418" t="str">
        <f t="shared" si="0"/>
        <v/>
      </c>
      <c r="IF25" s="438" t="str">
        <f>IF(IE25="","",IF('2.ชื่อนักเรียน'!R31="ย้าย","ย้าย",(IE25*100)/COUNTA($E$4:$AI$4,$AL$4:$BP$4,$BS$4:$CW$4,$CZ$4:$ED$4,$EG$4:$FK$4,$FN$4:$GR$4)))</f>
        <v/>
      </c>
      <c r="IG25" s="449"/>
      <c r="IH25" s="611"/>
      <c r="II25" s="611"/>
      <c r="IJ25" s="611"/>
      <c r="IK25" s="611"/>
      <c r="IL25" s="611"/>
      <c r="IM25" s="611"/>
      <c r="IN25" s="611"/>
      <c r="IO25" s="611"/>
      <c r="IP25" s="611"/>
      <c r="IQ25" s="611"/>
      <c r="IR25" s="450"/>
    </row>
    <row r="26" spans="1:252" ht="21" customHeight="1" x14ac:dyDescent="0.4">
      <c r="A26" s="416" t="str">
        <f>IF(Name22="","",Name22)</f>
        <v/>
      </c>
      <c r="B26" s="417" t="str">
        <f>IF(Surname22="","",Surname22)</f>
        <v/>
      </c>
      <c r="C26" s="442" t="str">
        <f>IF('2.ชื่อนักเรียน'!R32="","",'2.ชื่อนักเรียน'!R32)</f>
        <v/>
      </c>
      <c r="D26" s="418">
        <v>22</v>
      </c>
      <c r="E26" s="419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1"/>
      <c r="AJ26" s="418" t="str">
        <f>IF(COUNTA($E$4:AI$4)=0,"",IF('2.ชื่อนักเรียน'!R32="ย้าย","ย้าย",GU26))</f>
        <v/>
      </c>
      <c r="AK26" s="418">
        <v>22</v>
      </c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18" t="str">
        <f>IF(COUNTA($AL$4:$BP$4)=0,"",IF('2.ชื่อนักเรียน'!R32="ย้าย","ย้าย",GZ26))</f>
        <v/>
      </c>
      <c r="BR26" s="418">
        <v>22</v>
      </c>
      <c r="BS26" s="419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1"/>
      <c r="CW26" s="420"/>
      <c r="CX26" s="418" t="str">
        <f>IF(COUNTA($BS$4:$CW$4)=0,"",IF('2.ชื่อนักเรียน'!R32="ย้าย","ย้าย",HE26))</f>
        <v/>
      </c>
      <c r="CY26" s="418">
        <v>22</v>
      </c>
      <c r="CZ26" s="420"/>
      <c r="DA26" s="420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0"/>
      <c r="DX26" s="420"/>
      <c r="DY26" s="420"/>
      <c r="DZ26" s="420"/>
      <c r="EA26" s="420"/>
      <c r="EB26" s="420"/>
      <c r="EC26" s="421"/>
      <c r="ED26" s="421"/>
      <c r="EE26" s="418" t="str">
        <f>IF(COUNTA($CZ$4:$ED$4)=0,"",IF('2.ชื่อนักเรียน'!R32="ย้าย","ย้าย",HJ26))</f>
        <v/>
      </c>
      <c r="EF26" s="418">
        <v>22</v>
      </c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  <c r="FL26" s="418" t="str">
        <f>IF(COUNTA($EG$4:$FK$4)=0,"",IF('2.ชื่อนักเรียน'!R32="ย้าย","ย้าย",HO26))</f>
        <v/>
      </c>
      <c r="FM26" s="418">
        <v>22</v>
      </c>
      <c r="FN26" s="419"/>
      <c r="FO26" s="420"/>
      <c r="FP26" s="420"/>
      <c r="FQ26" s="420"/>
      <c r="FR26" s="420"/>
      <c r="FS26" s="420"/>
      <c r="FT26" s="420"/>
      <c r="FU26" s="420"/>
      <c r="FV26" s="420"/>
      <c r="FW26" s="420"/>
      <c r="FX26" s="420"/>
      <c r="FY26" s="420"/>
      <c r="FZ26" s="420"/>
      <c r="GA26" s="420"/>
      <c r="GB26" s="420"/>
      <c r="GC26" s="420"/>
      <c r="GD26" s="420"/>
      <c r="GE26" s="420"/>
      <c r="GF26" s="420"/>
      <c r="GG26" s="420"/>
      <c r="GH26" s="420"/>
      <c r="GI26" s="420"/>
      <c r="GJ26" s="420"/>
      <c r="GK26" s="420"/>
      <c r="GL26" s="420"/>
      <c r="GM26" s="420"/>
      <c r="GN26" s="420"/>
      <c r="GO26" s="420"/>
      <c r="GP26" s="420"/>
      <c r="GQ26" s="421"/>
      <c r="GR26" s="421"/>
      <c r="GS26" s="418" t="str">
        <f>IF(COUNTA($FN$4:$GR$4)=0,"",IF('2.ชื่อนักเรียน'!R32="ย้าย","ย้าย",HU26))</f>
        <v/>
      </c>
      <c r="GT26" s="418">
        <v>22</v>
      </c>
      <c r="GU26" s="422" t="str">
        <f>IF(OR(COUNTA($E$4:$AI$4)=0,$A26=""),"",IF('2.ชื่อนักเรียน'!R32="ย้าย","-",COUNTIF($E26:$AI26,"/")))</f>
        <v/>
      </c>
      <c r="GV26" s="425" t="str">
        <f>IF(OR(COUNTA($E$4:$AI$4)=0,$A26=""),"",IF('2.ชื่อนักเรียน'!R32="ย้าย","-",COUNTIF($E26:$AI26,"ส")))</f>
        <v/>
      </c>
      <c r="GW26" s="423" t="str">
        <f>IF(OR(COUNTA($E$4:$AI$4)=0,$A26=""),"",IF('2.ชื่อนักเรียน'!R32="ย้าย","-",COUNTIF($E26:$AI26,"ป")))</f>
        <v/>
      </c>
      <c r="GX26" s="423" t="str">
        <f>IF(OR(COUNTA($E$4:$AI$4)=0,$A26=""),"",IF('2.ชื่อนักเรียน'!R32="ย้าย","-",COUNTIF($E26:$AI26,"ล")))</f>
        <v/>
      </c>
      <c r="GY26" s="426" t="str">
        <f>IF(OR(COUNTA($E$4:$AI$4)=0,$A26=""),"",IF('2.ชื่อนักเรียน'!R32="ย้าย","-",COUNTIF($E26:$AI26,"ข")))</f>
        <v/>
      </c>
      <c r="GZ26" s="422" t="str">
        <f>IF(OR(COUNTA($AL$4:$BP$4)=0,$A26=""),"",IF('2.ชื่อนักเรียน'!R32="ย้าย","-",COUNTIF($AL26:$BP26,"/")))</f>
        <v/>
      </c>
      <c r="HA26" s="425" t="str">
        <f>IF(OR(COUNTA($AL$4:$BP$4)=0,$A26=""),"",IF('2.ชื่อนักเรียน'!R32="ย้าย","-",COUNTIF($AL26:$BP26,"ส")))</f>
        <v/>
      </c>
      <c r="HB26" s="423" t="str">
        <f>IF(OR(COUNTA($AL$4:$BP$4)=0,$A26=""),"",IF('2.ชื่อนักเรียน'!R32="ย้าย","-",COUNTIF($AL26:$BP26,"ป")))</f>
        <v/>
      </c>
      <c r="HC26" s="423" t="str">
        <f>IF(OR(COUNTA($AL$4:$BP$4)=0,$A26=""),"",IF('2.ชื่อนักเรียน'!R32="ย้าย","-",COUNTIF($AL26:$BP26,"ล")))</f>
        <v/>
      </c>
      <c r="HD26" s="426" t="str">
        <f>IF(OR(COUNTA($AL$4:$BP$4)=0,$A26=""),"",IF('2.ชื่อนักเรียน'!R32="ย้าย","-",COUNTIF($AL26:$BP26,"ข")))</f>
        <v/>
      </c>
      <c r="HE26" s="422" t="str">
        <f>IF(OR(COUNTA($BS$4:$CW$4)=0,$A26=""),"",IF('2.ชื่อนักเรียน'!R32="ย้าย","-",COUNTIF($BS26:$CW26,"/")))</f>
        <v/>
      </c>
      <c r="HF26" s="425" t="str">
        <f>IF(OR(COUNTA($BS$4:$CW$4)=0,$A26=""),"",IF('2.ชื่อนักเรียน'!R32="ย้าย","-",COUNTIF($BS26:$CW26,"ส")))</f>
        <v/>
      </c>
      <c r="HG26" s="423" t="str">
        <f>IF(OR(COUNTA($BS$4:$CW$4)=0,$A26=""),"",IF('2.ชื่อนักเรียน'!R32="ย้าย","-",COUNTIF($BS26:$CW26,"ป")))</f>
        <v/>
      </c>
      <c r="HH26" s="423" t="str">
        <f>IF(OR(COUNTA($BS$4:$CW$4)=0,$A26=""),"",IF('2.ชื่อนักเรียน'!R32="ย้าย","-",COUNTIF($BS26:$CW26,"ล")))</f>
        <v/>
      </c>
      <c r="HI26" s="426" t="str">
        <f>IF(OR(COUNTA($BS$4:$CW$4)=0,$A26=""),"",IF('2.ชื่อนักเรียน'!R32="ย้าย","-",COUNTIF($BS26:$CW26,"ข")))</f>
        <v/>
      </c>
      <c r="HJ26" s="422" t="str">
        <f>IF(OR(COUNTA($CZ$4:$ED$4)=0,$A26=""),"",IF('2.ชื่อนักเรียน'!R32="ย้าย","-",COUNTIF($CZ26:$ED26,"/")))</f>
        <v/>
      </c>
      <c r="HK26" s="425" t="str">
        <f>IF(OR(COUNTA($CZ$4:$ED$4)=0,$A26=""),"",IF('2.ชื่อนักเรียน'!R32="ย้าย","-",COUNTIF($CZ26:$ED26,"ส")))</f>
        <v/>
      </c>
      <c r="HL26" s="423" t="str">
        <f>IF(OR(COUNTA($CZ$4:$ED$4)=0,$A26=""),"",IF('2.ชื่อนักเรียน'!R32="ย้าย","-",COUNTIF($CZ26:$ED26,"ป")))</f>
        <v/>
      </c>
      <c r="HM26" s="423" t="str">
        <f>IF(OR(COUNTA($CZ$4:$ED$4)=0,A26=""),"",IF('2.ชื่อนักเรียน'!R32="ย้าย","-",COUNTIF($CZ26:$ED26,"ล")))</f>
        <v/>
      </c>
      <c r="HN26" s="426" t="str">
        <f>IF(OR(COUNTA($CZ$4:$ED$4)=0,A26=""),"",IF('2.ชื่อนักเรียน'!R32="ย้าย","-",COUNTIF($CZ26:$ED26,"ข")))</f>
        <v/>
      </c>
      <c r="HO26" s="422" t="str">
        <f>IF(OR(COUNTA($EG$4:$FK$4)=0,$A26=""),"",IF('2.ชื่อนักเรียน'!R32="ย้าย","-",COUNTIF($EG26:$FK26,"/")))</f>
        <v/>
      </c>
      <c r="HP26" s="425" t="str">
        <f>IF(OR(COUNTA($EG$4:$FK$4)=0,$A26=""),"",IF('2.ชื่อนักเรียน'!R32="ย้าย","-",COUNTIF($EG26:$FK26,"ส")))</f>
        <v/>
      </c>
      <c r="HQ26" s="423" t="str">
        <f>IF(OR(COUNTA($EG$4:$FK$4)=0,$A26=""),"",IF('2.ชื่อนักเรียน'!R32="ย้าย","-",COUNTIF($EG26:$FK26,"ป")))</f>
        <v/>
      </c>
      <c r="HR26" s="423" t="str">
        <f>IF(OR(COUNTA($EG$4:$FK$4)=0,A26=""),"",IF('2.ชื่อนักเรียน'!R32="ย้าย","-",COUNTIF($EG26:$FK26,"ล")))</f>
        <v/>
      </c>
      <c r="HS26" s="426" t="str">
        <f>IF(OR(COUNTA($EG$4:$FK$4)=0,A26=""),"",IF('2.ชื่อนักเรียน'!R32="ย้าย","-",COUNTIF($EG26:$FK26,"ข")))</f>
        <v/>
      </c>
      <c r="HT26" s="418">
        <v>22</v>
      </c>
      <c r="HU26" s="422" t="str">
        <f>IF(OR(COUNTA($FN$4:$GR$4)=0,$A26=""),"",IF('2.ชื่อนักเรียน'!R32="ย้าย","-",COUNTIF($FN26:$GR26,"/")))</f>
        <v/>
      </c>
      <c r="HV26" s="425" t="str">
        <f>IF(OR(COUNTA($FN$4:$GR$4)=0,$A26=""),"",IF('2.ชื่อนักเรียน'!R32="ย้าย","-",COUNTIF($FN26:$GR26,"ส")))</f>
        <v/>
      </c>
      <c r="HW26" s="423" t="str">
        <f>IF(OR(COUNTA($FN$4:$GR$4)=0,$A26=""),"",IF('2.ชื่อนักเรียน'!R32="ย้าย","-",COUNTIF($FN26:$GR26,"ป")))</f>
        <v/>
      </c>
      <c r="HX26" s="423" t="str">
        <f>IF(OR(COUNTA($FN$4:$GR$4)=0,A26=""),"",IF('2.ชื่อนักเรียน'!R32="ย้าย","-",COUNTIF($FN26:$GR26,"ล")))</f>
        <v/>
      </c>
      <c r="HY26" s="423" t="str">
        <f>IF(OR(COUNTA($FN$4:$GR$4)=0,A26=""),"",IF('2.ชื่อนักเรียน'!R32="ย้าย","-",COUNTIF($FN26:$GR26,"ข")))</f>
        <v/>
      </c>
      <c r="HZ26" s="422" t="str">
        <f>IF(OR(COUNTA($GU$3:$HS$3,$HU$3)=0,$A26=""),"",IF('2.ชื่อนักเรียน'!R32="ย้าย","-",SUM(GU26,GZ26,HE26,HJ26,HO26,HU26)))</f>
        <v/>
      </c>
      <c r="IA26" s="425" t="str">
        <f>IF(OR(COUNTA($GU$3:$HS$3,$HU$3)=0,$A26=""),"",IF('2.ชื่อนักเรียน'!R32="ย้าย","-",SUM(GV26,HA26,HF26,HK26,HP26,HV26)))</f>
        <v/>
      </c>
      <c r="IB26" s="423" t="str">
        <f>IF(OR(COUNTA($GU$3:$HS$3,$HU$3)=0,$A26=""),"",IF('2.ชื่อนักเรียน'!R32="ย้าย","-",SUM(GW26,HB26,HG26,HL26,HQ26,HW26)))</f>
        <v/>
      </c>
      <c r="IC26" s="423" t="str">
        <f>IF(OR(COUNTA($GU$3:$HS$3,$HU$3)=0,$A26=""),"",IF('2.ชื่อนักเรียน'!R32="ย้าย","-",SUM(GX26,HC26,HH26,HM26,HR26,HX26)))</f>
        <v/>
      </c>
      <c r="ID26" s="424" t="str">
        <f>IF(OR(COUNTA($GU$3:$HS$3,$HU$3)=0,$A26=""),"",IF('2.ชื่อนักเรียน'!R32="ย้าย","-",SUM(GY26,HD26,HI26,HN26,HS26,HY26)))</f>
        <v/>
      </c>
      <c r="IE26" s="418" t="str">
        <f t="shared" si="0"/>
        <v/>
      </c>
      <c r="IF26" s="438" t="str">
        <f>IF(IE26="","",IF('2.ชื่อนักเรียน'!R32="ย้าย","ย้าย",(IE26*100)/COUNTA($E$4:$AI$4,$AL$4:$BP$4,$BS$4:$CW$4,$CZ$4:$ED$4,$EG$4:$FK$4,$FN$4:$GR$4)))</f>
        <v/>
      </c>
      <c r="IG26" s="449"/>
      <c r="IH26" s="611"/>
      <c r="II26" s="611"/>
      <c r="IJ26" s="611"/>
      <c r="IK26" s="611"/>
      <c r="IL26" s="611"/>
      <c r="IM26" s="611"/>
      <c r="IN26" s="611"/>
      <c r="IO26" s="611"/>
      <c r="IP26" s="611"/>
      <c r="IQ26" s="611"/>
      <c r="IR26" s="450"/>
    </row>
    <row r="27" spans="1:252" ht="21" customHeight="1" x14ac:dyDescent="0.4">
      <c r="A27" s="416" t="str">
        <f>IF(Name23="","",Name23)</f>
        <v/>
      </c>
      <c r="B27" s="417" t="str">
        <f>IF(Surname23="","",Surname23)</f>
        <v/>
      </c>
      <c r="C27" s="442" t="str">
        <f>IF('2.ชื่อนักเรียน'!R33="","",'2.ชื่อนักเรียน'!R33)</f>
        <v/>
      </c>
      <c r="D27" s="418">
        <v>23</v>
      </c>
      <c r="E27" s="419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1"/>
      <c r="AJ27" s="418" t="str">
        <f>IF(COUNTA($E$4:AI$4)=0,"",IF('2.ชื่อนักเรียน'!R33="ย้าย","ย้าย",GU27))</f>
        <v/>
      </c>
      <c r="AK27" s="418">
        <v>23</v>
      </c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18" t="str">
        <f>IF(COUNTA($AL$4:$BP$4)=0,"",IF('2.ชื่อนักเรียน'!R33="ย้าย","ย้าย",GZ27))</f>
        <v/>
      </c>
      <c r="BR27" s="418">
        <v>23</v>
      </c>
      <c r="BS27" s="419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1"/>
      <c r="CW27" s="420"/>
      <c r="CX27" s="418" t="str">
        <f>IF(COUNTA($BS$4:$CW$4)=0,"",IF('2.ชื่อนักเรียน'!R33="ย้าย","ย้าย",HE27))</f>
        <v/>
      </c>
      <c r="CY27" s="418">
        <v>23</v>
      </c>
      <c r="CZ27" s="420"/>
      <c r="DA27" s="420"/>
      <c r="DB27" s="420"/>
      <c r="DC27" s="420"/>
      <c r="DD27" s="420"/>
      <c r="DE27" s="420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0"/>
      <c r="DX27" s="420"/>
      <c r="DY27" s="420"/>
      <c r="DZ27" s="420"/>
      <c r="EA27" s="420"/>
      <c r="EB27" s="420"/>
      <c r="EC27" s="421"/>
      <c r="ED27" s="421"/>
      <c r="EE27" s="418" t="str">
        <f>IF(COUNTA($CZ$4:$ED$4)=0,"",IF('2.ชื่อนักเรียน'!R33="ย้าย","ย้าย",HJ27))</f>
        <v/>
      </c>
      <c r="EF27" s="418">
        <v>23</v>
      </c>
      <c r="EG27" s="420"/>
      <c r="EH27" s="420"/>
      <c r="EI27" s="420"/>
      <c r="EJ27" s="420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0"/>
      <c r="EV27" s="420"/>
      <c r="EW27" s="420"/>
      <c r="EX27" s="420"/>
      <c r="EY27" s="420"/>
      <c r="EZ27" s="420"/>
      <c r="FA27" s="420"/>
      <c r="FB27" s="420"/>
      <c r="FC27" s="420"/>
      <c r="FD27" s="420"/>
      <c r="FE27" s="420"/>
      <c r="FF27" s="420"/>
      <c r="FG27" s="420"/>
      <c r="FH27" s="420"/>
      <c r="FI27" s="420"/>
      <c r="FJ27" s="420"/>
      <c r="FK27" s="420"/>
      <c r="FL27" s="418" t="str">
        <f>IF(COUNTA($EG$4:$FK$4)=0,"",IF('2.ชื่อนักเรียน'!R33="ย้าย","ย้าย",HO27))</f>
        <v/>
      </c>
      <c r="FM27" s="418">
        <v>23</v>
      </c>
      <c r="FN27" s="419"/>
      <c r="FO27" s="420"/>
      <c r="FP27" s="420"/>
      <c r="FQ27" s="420"/>
      <c r="FR27" s="420"/>
      <c r="FS27" s="420"/>
      <c r="FT27" s="420"/>
      <c r="FU27" s="420"/>
      <c r="FV27" s="420"/>
      <c r="FW27" s="420"/>
      <c r="FX27" s="420"/>
      <c r="FY27" s="420"/>
      <c r="FZ27" s="420"/>
      <c r="GA27" s="420"/>
      <c r="GB27" s="420"/>
      <c r="GC27" s="420"/>
      <c r="GD27" s="420"/>
      <c r="GE27" s="420"/>
      <c r="GF27" s="420"/>
      <c r="GG27" s="420"/>
      <c r="GH27" s="420"/>
      <c r="GI27" s="420"/>
      <c r="GJ27" s="420"/>
      <c r="GK27" s="420"/>
      <c r="GL27" s="420"/>
      <c r="GM27" s="420"/>
      <c r="GN27" s="420"/>
      <c r="GO27" s="420"/>
      <c r="GP27" s="420"/>
      <c r="GQ27" s="421"/>
      <c r="GR27" s="421"/>
      <c r="GS27" s="418" t="str">
        <f>IF(COUNTA($FN$4:$GR$4)=0,"",IF('2.ชื่อนักเรียน'!R33="ย้าย","ย้าย",HU27))</f>
        <v/>
      </c>
      <c r="GT27" s="418">
        <v>23</v>
      </c>
      <c r="GU27" s="422" t="str">
        <f>IF(OR(COUNTA($E$4:$AI$4)=0,$A27=""),"",IF('2.ชื่อนักเรียน'!R33="ย้าย","-",COUNTIF($E27:$AI27,"/")))</f>
        <v/>
      </c>
      <c r="GV27" s="425" t="str">
        <f>IF(OR(COUNTA($E$4:$AI$4)=0,$A27=""),"",IF('2.ชื่อนักเรียน'!R33="ย้าย","-",COUNTIF($E27:$AI27,"ส")))</f>
        <v/>
      </c>
      <c r="GW27" s="423" t="str">
        <f>IF(OR(COUNTA($E$4:$AI$4)=0,$A27=""),"",IF('2.ชื่อนักเรียน'!R33="ย้าย","-",COUNTIF($E27:$AI27,"ป")))</f>
        <v/>
      </c>
      <c r="GX27" s="423" t="str">
        <f>IF(OR(COUNTA($E$4:$AI$4)=0,$A27=""),"",IF('2.ชื่อนักเรียน'!R33="ย้าย","-",COUNTIF($E27:$AI27,"ล")))</f>
        <v/>
      </c>
      <c r="GY27" s="426" t="str">
        <f>IF(OR(COUNTA($E$4:$AI$4)=0,$A27=""),"",IF('2.ชื่อนักเรียน'!R33="ย้าย","-",COUNTIF($E27:$AI27,"ข")))</f>
        <v/>
      </c>
      <c r="GZ27" s="422" t="str">
        <f>IF(OR(COUNTA($AL$4:$BP$4)=0,$A27=""),"",IF('2.ชื่อนักเรียน'!R33="ย้าย","-",COUNTIF($AL27:$BP27,"/")))</f>
        <v/>
      </c>
      <c r="HA27" s="425" t="str">
        <f>IF(OR(COUNTA($AL$4:$BP$4)=0,$A27=""),"",IF('2.ชื่อนักเรียน'!R33="ย้าย","-",COUNTIF($AL27:$BP27,"ส")))</f>
        <v/>
      </c>
      <c r="HB27" s="423" t="str">
        <f>IF(OR(COUNTA($AL$4:$BP$4)=0,$A27=""),"",IF('2.ชื่อนักเรียน'!R33="ย้าย","-",COUNTIF($AL27:$BP27,"ป")))</f>
        <v/>
      </c>
      <c r="HC27" s="423" t="str">
        <f>IF(OR(COUNTA($AL$4:$BP$4)=0,$A27=""),"",IF('2.ชื่อนักเรียน'!R33="ย้าย","-",COUNTIF($AL27:$BP27,"ล")))</f>
        <v/>
      </c>
      <c r="HD27" s="426" t="str">
        <f>IF(OR(COUNTA($AL$4:$BP$4)=0,$A27=""),"",IF('2.ชื่อนักเรียน'!R33="ย้าย","-",COUNTIF($AL27:$BP27,"ข")))</f>
        <v/>
      </c>
      <c r="HE27" s="422" t="str">
        <f>IF(OR(COUNTA($BS$4:$CW$4)=0,$A27=""),"",IF('2.ชื่อนักเรียน'!R33="ย้าย","-",COUNTIF($BS27:$CW27,"/")))</f>
        <v/>
      </c>
      <c r="HF27" s="425" t="str">
        <f>IF(OR(COUNTA($BS$4:$CW$4)=0,$A27=""),"",IF('2.ชื่อนักเรียน'!R33="ย้าย","-",COUNTIF($BS27:$CW27,"ส")))</f>
        <v/>
      </c>
      <c r="HG27" s="423" t="str">
        <f>IF(OR(COUNTA($BS$4:$CW$4)=0,$A27=""),"",IF('2.ชื่อนักเรียน'!R33="ย้าย","-",COUNTIF($BS27:$CW27,"ป")))</f>
        <v/>
      </c>
      <c r="HH27" s="423" t="str">
        <f>IF(OR(COUNTA($BS$4:$CW$4)=0,$A27=""),"",IF('2.ชื่อนักเรียน'!R33="ย้าย","-",COUNTIF($BS27:$CW27,"ล")))</f>
        <v/>
      </c>
      <c r="HI27" s="426" t="str">
        <f>IF(OR(COUNTA($BS$4:$CW$4)=0,$A27=""),"",IF('2.ชื่อนักเรียน'!R33="ย้าย","-",COUNTIF($BS27:$CW27,"ข")))</f>
        <v/>
      </c>
      <c r="HJ27" s="422" t="str">
        <f>IF(OR(COUNTA($CZ$4:$ED$4)=0,$A27=""),"",IF('2.ชื่อนักเรียน'!R33="ย้าย","-",COUNTIF($CZ27:$ED27,"/")))</f>
        <v/>
      </c>
      <c r="HK27" s="425" t="str">
        <f>IF(OR(COUNTA($CZ$4:$ED$4)=0,$A27=""),"",IF('2.ชื่อนักเรียน'!R33="ย้าย","-",COUNTIF($CZ27:$ED27,"ส")))</f>
        <v/>
      </c>
      <c r="HL27" s="423" t="str">
        <f>IF(OR(COUNTA($CZ$4:$ED$4)=0,$A27=""),"",IF('2.ชื่อนักเรียน'!R33="ย้าย","-",COUNTIF($CZ27:$ED27,"ป")))</f>
        <v/>
      </c>
      <c r="HM27" s="423" t="str">
        <f>IF(OR(COUNTA($CZ$4:$ED$4)=0,A27=""),"",IF('2.ชื่อนักเรียน'!R33="ย้าย","-",COUNTIF($CZ27:$ED27,"ล")))</f>
        <v/>
      </c>
      <c r="HN27" s="426" t="str">
        <f>IF(OR(COUNTA($CZ$4:$ED$4)=0,A27=""),"",IF('2.ชื่อนักเรียน'!R33="ย้าย","-",COUNTIF($CZ27:$ED27,"ข")))</f>
        <v/>
      </c>
      <c r="HO27" s="422" t="str">
        <f>IF(OR(COUNTA($EG$4:$FK$4)=0,$A27=""),"",IF('2.ชื่อนักเรียน'!R33="ย้าย","-",COUNTIF($EG27:$FK27,"/")))</f>
        <v/>
      </c>
      <c r="HP27" s="425" t="str">
        <f>IF(OR(COUNTA($EG$4:$FK$4)=0,$A27=""),"",IF('2.ชื่อนักเรียน'!R33="ย้าย","-",COUNTIF($EG27:$FK27,"ส")))</f>
        <v/>
      </c>
      <c r="HQ27" s="423" t="str">
        <f>IF(OR(COUNTA($EG$4:$FK$4)=0,$A27=""),"",IF('2.ชื่อนักเรียน'!R33="ย้าย","-",COUNTIF($EG27:$FK27,"ป")))</f>
        <v/>
      </c>
      <c r="HR27" s="423" t="str">
        <f>IF(OR(COUNTA($EG$4:$FK$4)=0,A27=""),"",IF('2.ชื่อนักเรียน'!R33="ย้าย","-",COUNTIF($EG27:$FK27,"ล")))</f>
        <v/>
      </c>
      <c r="HS27" s="426" t="str">
        <f>IF(OR(COUNTA($EG$4:$FK$4)=0,A27=""),"",IF('2.ชื่อนักเรียน'!R33="ย้าย","-",COUNTIF($EG27:$FK27,"ข")))</f>
        <v/>
      </c>
      <c r="HT27" s="418">
        <v>23</v>
      </c>
      <c r="HU27" s="422" t="str">
        <f>IF(OR(COUNTA($FN$4:$GR$4)=0,$A27=""),"",IF('2.ชื่อนักเรียน'!R33="ย้าย","-",COUNTIF($FN27:$GR27,"/")))</f>
        <v/>
      </c>
      <c r="HV27" s="425" t="str">
        <f>IF(OR(COUNTA($FN$4:$GR$4)=0,$A27=""),"",IF('2.ชื่อนักเรียน'!R33="ย้าย","-",COUNTIF($FN27:$GR27,"ส")))</f>
        <v/>
      </c>
      <c r="HW27" s="423" t="str">
        <f>IF(OR(COUNTA($FN$4:$GR$4)=0,$A27=""),"",IF('2.ชื่อนักเรียน'!R33="ย้าย","-",COUNTIF($FN27:$GR27,"ป")))</f>
        <v/>
      </c>
      <c r="HX27" s="423" t="str">
        <f>IF(OR(COUNTA($FN$4:$GR$4)=0,A27=""),"",IF('2.ชื่อนักเรียน'!R33="ย้าย","-",COUNTIF($FN27:$GR27,"ล")))</f>
        <v/>
      </c>
      <c r="HY27" s="423" t="str">
        <f>IF(OR(COUNTA($FN$4:$GR$4)=0,A27=""),"",IF('2.ชื่อนักเรียน'!R33="ย้าย","-",COUNTIF($FN27:$GR27,"ข")))</f>
        <v/>
      </c>
      <c r="HZ27" s="422" t="str">
        <f>IF(OR(COUNTA($GU$3:$HS$3,$HU$3)=0,$A27=""),"",IF('2.ชื่อนักเรียน'!R33="ย้าย","-",SUM(GU27,GZ27,HE27,HJ27,HO27,HU27)))</f>
        <v/>
      </c>
      <c r="IA27" s="425" t="str">
        <f>IF(OR(COUNTA($GU$3:$HS$3,$HU$3)=0,$A27=""),"",IF('2.ชื่อนักเรียน'!R33="ย้าย","-",SUM(GV27,HA27,HF27,HK27,HP27,HV27)))</f>
        <v/>
      </c>
      <c r="IB27" s="423" t="str">
        <f>IF(OR(COUNTA($GU$3:$HS$3,$HU$3)=0,$A27=""),"",IF('2.ชื่อนักเรียน'!R33="ย้าย","-",SUM(GW27,HB27,HG27,HL27,HQ27,HW27)))</f>
        <v/>
      </c>
      <c r="IC27" s="423" t="str">
        <f>IF(OR(COUNTA($GU$3:$HS$3,$HU$3)=0,$A27=""),"",IF('2.ชื่อนักเรียน'!R33="ย้าย","-",SUM(GX27,HC27,HH27,HM27,HR27,HX27)))</f>
        <v/>
      </c>
      <c r="ID27" s="424" t="str">
        <f>IF(OR(COUNTA($GU$3:$HS$3,$HU$3)=0,$A27=""),"",IF('2.ชื่อนักเรียน'!R33="ย้าย","-",SUM(GY27,HD27,HI27,HN27,HS27,HY27)))</f>
        <v/>
      </c>
      <c r="IE27" s="418" t="str">
        <f t="shared" si="0"/>
        <v/>
      </c>
      <c r="IF27" s="438" t="str">
        <f>IF(IE27="","",IF('2.ชื่อนักเรียน'!R33="ย้าย","ย้าย",(IE27*100)/COUNTA($E$4:$AI$4,$AL$4:$BP$4,$BS$4:$CW$4,$CZ$4:$ED$4,$EG$4:$FK$4,$FN$4:$GR$4)))</f>
        <v/>
      </c>
      <c r="IG27" s="449"/>
      <c r="IH27" s="611"/>
      <c r="II27" s="611"/>
      <c r="IJ27" s="611"/>
      <c r="IK27" s="611"/>
      <c r="IL27" s="611"/>
      <c r="IM27" s="611"/>
      <c r="IN27" s="611"/>
      <c r="IO27" s="611"/>
      <c r="IP27" s="611"/>
      <c r="IQ27" s="611"/>
      <c r="IR27" s="450"/>
    </row>
    <row r="28" spans="1:252" ht="21" customHeight="1" x14ac:dyDescent="0.4">
      <c r="A28" s="416" t="str">
        <f>IF(Name24="","",Name24)</f>
        <v/>
      </c>
      <c r="B28" s="417" t="str">
        <f>IF(Surname24="","",Surname24)</f>
        <v/>
      </c>
      <c r="C28" s="442" t="str">
        <f>IF('2.ชื่อนักเรียน'!R34="","",'2.ชื่อนักเรียน'!R34)</f>
        <v/>
      </c>
      <c r="D28" s="418">
        <v>24</v>
      </c>
      <c r="E28" s="419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1"/>
      <c r="AJ28" s="418" t="str">
        <f>IF(COUNTA($E$4:AI$4)=0,"",IF('2.ชื่อนักเรียน'!R34="ย้าย","ย้าย",GU28))</f>
        <v/>
      </c>
      <c r="AK28" s="418">
        <v>24</v>
      </c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18" t="str">
        <f>IF(COUNTA($AL$4:$BP$4)=0,"",IF('2.ชื่อนักเรียน'!R34="ย้าย","ย้าย",GZ28))</f>
        <v/>
      </c>
      <c r="BR28" s="418">
        <v>24</v>
      </c>
      <c r="BS28" s="419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1"/>
      <c r="CW28" s="420"/>
      <c r="CX28" s="418" t="str">
        <f>IF(COUNTA($BS$4:$CW$4)=0,"",IF('2.ชื่อนักเรียน'!R34="ย้าย","ย้าย",HE28))</f>
        <v/>
      </c>
      <c r="CY28" s="418">
        <v>24</v>
      </c>
      <c r="CZ28" s="420"/>
      <c r="DA28" s="420"/>
      <c r="DB28" s="420"/>
      <c r="DC28" s="420"/>
      <c r="DD28" s="420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DU28" s="420"/>
      <c r="DV28" s="420"/>
      <c r="DW28" s="420"/>
      <c r="DX28" s="420"/>
      <c r="DY28" s="420"/>
      <c r="DZ28" s="420"/>
      <c r="EA28" s="420"/>
      <c r="EB28" s="420"/>
      <c r="EC28" s="421"/>
      <c r="ED28" s="421"/>
      <c r="EE28" s="418" t="str">
        <f>IF(COUNTA($CZ$4:$ED$4)=0,"",IF('2.ชื่อนักเรียน'!R34="ย้าย","ย้าย",HJ28))</f>
        <v/>
      </c>
      <c r="EF28" s="418">
        <v>24</v>
      </c>
      <c r="EG28" s="420"/>
      <c r="EH28" s="420"/>
      <c r="EI28" s="420"/>
      <c r="EJ28" s="420"/>
      <c r="EK28" s="420"/>
      <c r="EL28" s="420"/>
      <c r="EM28" s="420"/>
      <c r="EN28" s="420"/>
      <c r="EO28" s="420"/>
      <c r="EP28" s="420"/>
      <c r="EQ28" s="420"/>
      <c r="ER28" s="420"/>
      <c r="ES28" s="420"/>
      <c r="ET28" s="420"/>
      <c r="EU28" s="420"/>
      <c r="EV28" s="420"/>
      <c r="EW28" s="420"/>
      <c r="EX28" s="420"/>
      <c r="EY28" s="420"/>
      <c r="EZ28" s="420"/>
      <c r="FA28" s="420"/>
      <c r="FB28" s="420"/>
      <c r="FC28" s="420"/>
      <c r="FD28" s="420"/>
      <c r="FE28" s="420"/>
      <c r="FF28" s="420"/>
      <c r="FG28" s="420"/>
      <c r="FH28" s="420"/>
      <c r="FI28" s="420"/>
      <c r="FJ28" s="420"/>
      <c r="FK28" s="420"/>
      <c r="FL28" s="418" t="str">
        <f>IF(COUNTA($EG$4:$FK$4)=0,"",IF('2.ชื่อนักเรียน'!R34="ย้าย","ย้าย",HO28))</f>
        <v/>
      </c>
      <c r="FM28" s="418">
        <v>24</v>
      </c>
      <c r="FN28" s="419"/>
      <c r="FO28" s="420"/>
      <c r="FP28" s="420"/>
      <c r="FQ28" s="420"/>
      <c r="FR28" s="420"/>
      <c r="FS28" s="420"/>
      <c r="FT28" s="420"/>
      <c r="FU28" s="420"/>
      <c r="FV28" s="420"/>
      <c r="FW28" s="420"/>
      <c r="FX28" s="420"/>
      <c r="FY28" s="420"/>
      <c r="FZ28" s="420"/>
      <c r="GA28" s="420"/>
      <c r="GB28" s="420"/>
      <c r="GC28" s="420"/>
      <c r="GD28" s="420"/>
      <c r="GE28" s="420"/>
      <c r="GF28" s="420"/>
      <c r="GG28" s="420"/>
      <c r="GH28" s="420"/>
      <c r="GI28" s="420"/>
      <c r="GJ28" s="420"/>
      <c r="GK28" s="420"/>
      <c r="GL28" s="420"/>
      <c r="GM28" s="420"/>
      <c r="GN28" s="420"/>
      <c r="GO28" s="420"/>
      <c r="GP28" s="420"/>
      <c r="GQ28" s="421"/>
      <c r="GR28" s="421"/>
      <c r="GS28" s="418" t="str">
        <f>IF(COUNTA($FN$4:$GR$4)=0,"",IF('2.ชื่อนักเรียน'!R34="ย้าย","ย้าย",HU28))</f>
        <v/>
      </c>
      <c r="GT28" s="418">
        <v>24</v>
      </c>
      <c r="GU28" s="422" t="str">
        <f>IF(OR(COUNTA($E$4:$AI$4)=0,$A28=""),"",IF('2.ชื่อนักเรียน'!R34="ย้าย","-",COUNTIF($E28:$AI28,"/")))</f>
        <v/>
      </c>
      <c r="GV28" s="425" t="str">
        <f>IF(OR(COUNTA($E$4:$AI$4)=0,$A28=""),"",IF('2.ชื่อนักเรียน'!R34="ย้าย","-",COUNTIF($E28:$AI28,"ส")))</f>
        <v/>
      </c>
      <c r="GW28" s="423" t="str">
        <f>IF(OR(COUNTA($E$4:$AI$4)=0,$A28=""),"",IF('2.ชื่อนักเรียน'!R34="ย้าย","-",COUNTIF($E28:$AI28,"ป")))</f>
        <v/>
      </c>
      <c r="GX28" s="423" t="str">
        <f>IF(OR(COUNTA($E$4:$AI$4)=0,$A28=""),"",IF('2.ชื่อนักเรียน'!R34="ย้าย","-",COUNTIF($E28:$AI28,"ล")))</f>
        <v/>
      </c>
      <c r="GY28" s="426" t="str">
        <f>IF(OR(COUNTA($E$4:$AI$4)=0,$A28=""),"",IF('2.ชื่อนักเรียน'!R34="ย้าย","-",COUNTIF($E28:$AI28,"ข")))</f>
        <v/>
      </c>
      <c r="GZ28" s="422" t="str">
        <f>IF(OR(COUNTA($AL$4:$BP$4)=0,$A28=""),"",IF('2.ชื่อนักเรียน'!R34="ย้าย","-",COUNTIF($AL28:$BP28,"/")))</f>
        <v/>
      </c>
      <c r="HA28" s="425" t="str">
        <f>IF(OR(COUNTA($AL$4:$BP$4)=0,$A28=""),"",IF('2.ชื่อนักเรียน'!R34="ย้าย","-",COUNTIF($AL28:$BP28,"ส")))</f>
        <v/>
      </c>
      <c r="HB28" s="423" t="str">
        <f>IF(OR(COUNTA($AL$4:$BP$4)=0,$A28=""),"",IF('2.ชื่อนักเรียน'!R34="ย้าย","-",COUNTIF($AL28:$BP28,"ป")))</f>
        <v/>
      </c>
      <c r="HC28" s="423" t="str">
        <f>IF(OR(COUNTA($AL$4:$BP$4)=0,$A28=""),"",IF('2.ชื่อนักเรียน'!R34="ย้าย","-",COUNTIF($AL28:$BP28,"ล")))</f>
        <v/>
      </c>
      <c r="HD28" s="426" t="str">
        <f>IF(OR(COUNTA($AL$4:$BP$4)=0,$A28=""),"",IF('2.ชื่อนักเรียน'!R34="ย้าย","-",COUNTIF($AL28:$BP28,"ข")))</f>
        <v/>
      </c>
      <c r="HE28" s="422" t="str">
        <f>IF(OR(COUNTA($BS$4:$CW$4)=0,$A28=""),"",IF('2.ชื่อนักเรียน'!R34="ย้าย","-",COUNTIF($BS28:$CW28,"/")))</f>
        <v/>
      </c>
      <c r="HF28" s="425" t="str">
        <f>IF(OR(COUNTA($BS$4:$CW$4)=0,$A28=""),"",IF('2.ชื่อนักเรียน'!R34="ย้าย","-",COUNTIF($BS28:$CW28,"ส")))</f>
        <v/>
      </c>
      <c r="HG28" s="423" t="str">
        <f>IF(OR(COUNTA($BS$4:$CW$4)=0,$A28=""),"",IF('2.ชื่อนักเรียน'!R34="ย้าย","-",COUNTIF($BS28:$CW28,"ป")))</f>
        <v/>
      </c>
      <c r="HH28" s="423" t="str">
        <f>IF(OR(COUNTA($BS$4:$CW$4)=0,$A28=""),"",IF('2.ชื่อนักเรียน'!R34="ย้าย","-",COUNTIF($BS28:$CW28,"ล")))</f>
        <v/>
      </c>
      <c r="HI28" s="426" t="str">
        <f>IF(OR(COUNTA($BS$4:$CW$4)=0,$A28=""),"",IF('2.ชื่อนักเรียน'!R34="ย้าย","-",COUNTIF($BS28:$CW28,"ข")))</f>
        <v/>
      </c>
      <c r="HJ28" s="422" t="str">
        <f>IF(OR(COUNTA($CZ$4:$ED$4)=0,$A28=""),"",IF('2.ชื่อนักเรียน'!R34="ย้าย","-",COUNTIF($CZ28:$ED28,"/")))</f>
        <v/>
      </c>
      <c r="HK28" s="425" t="str">
        <f>IF(OR(COUNTA($CZ$4:$ED$4)=0,$A28=""),"",IF('2.ชื่อนักเรียน'!R34="ย้าย","-",COUNTIF($CZ28:$ED28,"ส")))</f>
        <v/>
      </c>
      <c r="HL28" s="423" t="str">
        <f>IF(OR(COUNTA($CZ$4:$ED$4)=0,$A28=""),"",IF('2.ชื่อนักเรียน'!R34="ย้าย","-",COUNTIF($CZ28:$ED28,"ป")))</f>
        <v/>
      </c>
      <c r="HM28" s="423" t="str">
        <f>IF(OR(COUNTA($CZ$4:$ED$4)=0,A28=""),"",IF('2.ชื่อนักเรียน'!R34="ย้าย","-",COUNTIF($CZ28:$ED28,"ล")))</f>
        <v/>
      </c>
      <c r="HN28" s="426" t="str">
        <f>IF(OR(COUNTA($CZ$4:$ED$4)=0,A28=""),"",IF('2.ชื่อนักเรียน'!R34="ย้าย","-",COUNTIF($CZ28:$ED28,"ข")))</f>
        <v/>
      </c>
      <c r="HO28" s="422" t="str">
        <f>IF(OR(COUNTA($EG$4:$FK$4)=0,$A28=""),"",IF('2.ชื่อนักเรียน'!R34="ย้าย","-",COUNTIF($EG28:$FK28,"/")))</f>
        <v/>
      </c>
      <c r="HP28" s="425" t="str">
        <f>IF(OR(COUNTA($EG$4:$FK$4)=0,$A28=""),"",IF('2.ชื่อนักเรียน'!R34="ย้าย","-",COUNTIF($EG28:$FK28,"ส")))</f>
        <v/>
      </c>
      <c r="HQ28" s="423" t="str">
        <f>IF(OR(COUNTA($EG$4:$FK$4)=0,$A28=""),"",IF('2.ชื่อนักเรียน'!R34="ย้าย","-",COUNTIF($EG28:$FK28,"ป")))</f>
        <v/>
      </c>
      <c r="HR28" s="423" t="str">
        <f>IF(OR(COUNTA($EG$4:$FK$4)=0,A28=""),"",IF('2.ชื่อนักเรียน'!R34="ย้าย","-",COUNTIF($EG28:$FK28,"ล")))</f>
        <v/>
      </c>
      <c r="HS28" s="426" t="str">
        <f>IF(OR(COUNTA($EG$4:$FK$4)=0,A28=""),"",IF('2.ชื่อนักเรียน'!R34="ย้าย","-",COUNTIF($EG28:$FK28,"ข")))</f>
        <v/>
      </c>
      <c r="HT28" s="418">
        <v>24</v>
      </c>
      <c r="HU28" s="422" t="str">
        <f>IF(OR(COUNTA($FN$4:$GR$4)=0,$A28=""),"",IF('2.ชื่อนักเรียน'!R34="ย้าย","-",COUNTIF($FN28:$GR28,"/")))</f>
        <v/>
      </c>
      <c r="HV28" s="425" t="str">
        <f>IF(OR(COUNTA($FN$4:$GR$4)=0,$A28=""),"",IF('2.ชื่อนักเรียน'!R34="ย้าย","-",COUNTIF($FN28:$GR28,"ส")))</f>
        <v/>
      </c>
      <c r="HW28" s="423" t="str">
        <f>IF(OR(COUNTA($FN$4:$GR$4)=0,$A28=""),"",IF('2.ชื่อนักเรียน'!R34="ย้าย","-",COUNTIF($FN28:$GR28,"ป")))</f>
        <v/>
      </c>
      <c r="HX28" s="423" t="str">
        <f>IF(OR(COUNTA($FN$4:$GR$4)=0,A28=""),"",IF('2.ชื่อนักเรียน'!R34="ย้าย","-",COUNTIF($FN28:$GR28,"ล")))</f>
        <v/>
      </c>
      <c r="HY28" s="423" t="str">
        <f>IF(OR(COUNTA($FN$4:$GR$4)=0,A28=""),"",IF('2.ชื่อนักเรียน'!R34="ย้าย","-",COUNTIF($FN28:$GR28,"ข")))</f>
        <v/>
      </c>
      <c r="HZ28" s="422" t="str">
        <f>IF(OR(COUNTA($GU$3:$HS$3,$HU$3)=0,$A28=""),"",IF('2.ชื่อนักเรียน'!R34="ย้าย","-",SUM(GU28,GZ28,HE28,HJ28,HO28,HU28)))</f>
        <v/>
      </c>
      <c r="IA28" s="425" t="str">
        <f>IF(OR(COUNTA($GU$3:$HS$3,$HU$3)=0,$A28=""),"",IF('2.ชื่อนักเรียน'!R34="ย้าย","-",SUM(GV28,HA28,HF28,HK28,HP28,HV28)))</f>
        <v/>
      </c>
      <c r="IB28" s="423" t="str">
        <f>IF(OR(COUNTA($GU$3:$HS$3,$HU$3)=0,$A28=""),"",IF('2.ชื่อนักเรียน'!R34="ย้าย","-",SUM(GW28,HB28,HG28,HL28,HQ28,HW28)))</f>
        <v/>
      </c>
      <c r="IC28" s="423" t="str">
        <f>IF(OR(COUNTA($GU$3:$HS$3,$HU$3)=0,$A28=""),"",IF('2.ชื่อนักเรียน'!R34="ย้าย","-",SUM(GX28,HC28,HH28,HM28,HR28,HX28)))</f>
        <v/>
      </c>
      <c r="ID28" s="424" t="str">
        <f>IF(OR(COUNTA($GU$3:$HS$3,$HU$3)=0,$A28=""),"",IF('2.ชื่อนักเรียน'!R34="ย้าย","-",SUM(GY28,HD28,HI28,HN28,HS28,HY28)))</f>
        <v/>
      </c>
      <c r="IE28" s="418" t="str">
        <f t="shared" si="0"/>
        <v/>
      </c>
      <c r="IF28" s="438" t="str">
        <f>IF(IE28="","",IF('2.ชื่อนักเรียน'!R34="ย้าย","ย้าย",(IE28*100)/COUNTA($E$4:$AI$4,$AL$4:$BP$4,$BS$4:$CW$4,$CZ$4:$ED$4,$EG$4:$FK$4,$FN$4:$GR$4)))</f>
        <v/>
      </c>
      <c r="IG28" s="449"/>
      <c r="IH28" s="611"/>
      <c r="II28" s="611"/>
      <c r="IJ28" s="611"/>
      <c r="IK28" s="611"/>
      <c r="IL28" s="611"/>
      <c r="IM28" s="611"/>
      <c r="IN28" s="611"/>
      <c r="IO28" s="611"/>
      <c r="IP28" s="611"/>
      <c r="IQ28" s="611"/>
      <c r="IR28" s="450"/>
    </row>
    <row r="29" spans="1:252" ht="21" customHeight="1" x14ac:dyDescent="0.4">
      <c r="A29" s="416" t="str">
        <f>IF(Name25="","",Name25)</f>
        <v/>
      </c>
      <c r="B29" s="417" t="str">
        <f>IF(Surname25="","",Surname25)</f>
        <v/>
      </c>
      <c r="C29" s="442" t="str">
        <f>IF('2.ชื่อนักเรียน'!R35="","",'2.ชื่อนักเรียน'!R35)</f>
        <v/>
      </c>
      <c r="D29" s="418">
        <v>25</v>
      </c>
      <c r="E29" s="419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1"/>
      <c r="AJ29" s="418" t="str">
        <f>IF(COUNTA($E$4:AI$4)=0,"",IF('2.ชื่อนักเรียน'!R35="ย้าย","ย้าย",GU29))</f>
        <v/>
      </c>
      <c r="AK29" s="418">
        <v>25</v>
      </c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18" t="str">
        <f>IF(COUNTA($AL$4:$BP$4)=0,"",IF('2.ชื่อนักเรียน'!R35="ย้าย","ย้าย",GZ29))</f>
        <v/>
      </c>
      <c r="BR29" s="418">
        <v>25</v>
      </c>
      <c r="BS29" s="419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1"/>
      <c r="CW29" s="420"/>
      <c r="CX29" s="418" t="str">
        <f>IF(COUNTA($BS$4:$CW$4)=0,"",IF('2.ชื่อนักเรียน'!R35="ย้าย","ย้าย",HE29))</f>
        <v/>
      </c>
      <c r="CY29" s="418">
        <v>25</v>
      </c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DU29" s="420"/>
      <c r="DV29" s="420"/>
      <c r="DW29" s="420"/>
      <c r="DX29" s="420"/>
      <c r="DY29" s="420"/>
      <c r="DZ29" s="420"/>
      <c r="EA29" s="420"/>
      <c r="EB29" s="420"/>
      <c r="EC29" s="421"/>
      <c r="ED29" s="421"/>
      <c r="EE29" s="418" t="str">
        <f>IF(COUNTA($CZ$4:$ED$4)=0,"",IF('2.ชื่อนักเรียน'!R35="ย้าย","ย้าย",HJ29))</f>
        <v/>
      </c>
      <c r="EF29" s="418">
        <v>25</v>
      </c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20"/>
      <c r="ER29" s="420"/>
      <c r="ES29" s="420"/>
      <c r="ET29" s="420"/>
      <c r="EU29" s="420"/>
      <c r="EV29" s="420"/>
      <c r="EW29" s="420"/>
      <c r="EX29" s="420"/>
      <c r="EY29" s="420"/>
      <c r="EZ29" s="420"/>
      <c r="FA29" s="420"/>
      <c r="FB29" s="420"/>
      <c r="FC29" s="420"/>
      <c r="FD29" s="420"/>
      <c r="FE29" s="420"/>
      <c r="FF29" s="420"/>
      <c r="FG29" s="420"/>
      <c r="FH29" s="420"/>
      <c r="FI29" s="420"/>
      <c r="FJ29" s="420"/>
      <c r="FK29" s="420"/>
      <c r="FL29" s="418" t="str">
        <f>IF(COUNTA($EG$4:$FK$4)=0,"",IF('2.ชื่อนักเรียน'!R35="ย้าย","ย้าย",HO29))</f>
        <v/>
      </c>
      <c r="FM29" s="418">
        <v>25</v>
      </c>
      <c r="FN29" s="419"/>
      <c r="FO29" s="420"/>
      <c r="FP29" s="420"/>
      <c r="FQ29" s="420"/>
      <c r="FR29" s="420"/>
      <c r="FS29" s="420"/>
      <c r="FT29" s="420"/>
      <c r="FU29" s="420"/>
      <c r="FV29" s="420"/>
      <c r="FW29" s="420"/>
      <c r="FX29" s="420"/>
      <c r="FY29" s="420"/>
      <c r="FZ29" s="420"/>
      <c r="GA29" s="420"/>
      <c r="GB29" s="420"/>
      <c r="GC29" s="420"/>
      <c r="GD29" s="420"/>
      <c r="GE29" s="420"/>
      <c r="GF29" s="420"/>
      <c r="GG29" s="420"/>
      <c r="GH29" s="420"/>
      <c r="GI29" s="420"/>
      <c r="GJ29" s="420"/>
      <c r="GK29" s="420"/>
      <c r="GL29" s="420"/>
      <c r="GM29" s="420"/>
      <c r="GN29" s="420"/>
      <c r="GO29" s="420"/>
      <c r="GP29" s="420"/>
      <c r="GQ29" s="421"/>
      <c r="GR29" s="421"/>
      <c r="GS29" s="418" t="str">
        <f>IF(COUNTA($FN$4:$GR$4)=0,"",IF('2.ชื่อนักเรียน'!R35="ย้าย","ย้าย",HU29))</f>
        <v/>
      </c>
      <c r="GT29" s="418">
        <v>25</v>
      </c>
      <c r="GU29" s="422" t="str">
        <f>IF(OR(COUNTA($E$4:$AI$4)=0,$A29=""),"",IF('2.ชื่อนักเรียน'!R35="ย้าย","-",COUNTIF($E29:$AI29,"/")))</f>
        <v/>
      </c>
      <c r="GV29" s="425" t="str">
        <f>IF(OR(COUNTA($E$4:$AI$4)=0,$A29=""),"",IF('2.ชื่อนักเรียน'!R35="ย้าย","-",COUNTIF($E29:$AI29,"ส")))</f>
        <v/>
      </c>
      <c r="GW29" s="423" t="str">
        <f>IF(OR(COUNTA($E$4:$AI$4)=0,$A29=""),"",IF('2.ชื่อนักเรียน'!R35="ย้าย","-",COUNTIF($E29:$AI29,"ป")))</f>
        <v/>
      </c>
      <c r="GX29" s="423" t="str">
        <f>IF(OR(COUNTA($E$4:$AI$4)=0,$A29=""),"",IF('2.ชื่อนักเรียน'!R35="ย้าย","-",COUNTIF($E29:$AI29,"ล")))</f>
        <v/>
      </c>
      <c r="GY29" s="426" t="str">
        <f>IF(OR(COUNTA($E$4:$AI$4)=0,$A29=""),"",IF('2.ชื่อนักเรียน'!R35="ย้าย","-",COUNTIF($E29:$AI29,"ข")))</f>
        <v/>
      </c>
      <c r="GZ29" s="422" t="str">
        <f>IF(OR(COUNTA($AL$4:$BP$4)=0,$A29=""),"",IF('2.ชื่อนักเรียน'!R35="ย้าย","-",COUNTIF($AL29:$BP29,"/")))</f>
        <v/>
      </c>
      <c r="HA29" s="425" t="str">
        <f>IF(OR(COUNTA($AL$4:$BP$4)=0,$A29=""),"",IF('2.ชื่อนักเรียน'!R35="ย้าย","-",COUNTIF($AL29:$BP29,"ส")))</f>
        <v/>
      </c>
      <c r="HB29" s="423" t="str">
        <f>IF(OR(COUNTA($AL$4:$BP$4)=0,$A29=""),"",IF('2.ชื่อนักเรียน'!R35="ย้าย","-",COUNTIF($AL29:$BP29,"ป")))</f>
        <v/>
      </c>
      <c r="HC29" s="423" t="str">
        <f>IF(OR(COUNTA($AL$4:$BP$4)=0,$A29=""),"",IF('2.ชื่อนักเรียน'!R35="ย้าย","-",COUNTIF($AL29:$BP29,"ล")))</f>
        <v/>
      </c>
      <c r="HD29" s="426" t="str">
        <f>IF(OR(COUNTA($AL$4:$BP$4)=0,$A29=""),"",IF('2.ชื่อนักเรียน'!R35="ย้าย","-",COUNTIF($AL29:$BP29,"ข")))</f>
        <v/>
      </c>
      <c r="HE29" s="422" t="str">
        <f>IF(OR(COUNTA($BS$4:$CW$4)=0,$A29=""),"",IF('2.ชื่อนักเรียน'!R35="ย้าย","-",COUNTIF($BS29:$CW29,"/")))</f>
        <v/>
      </c>
      <c r="HF29" s="425" t="str">
        <f>IF(OR(COUNTA($BS$4:$CW$4)=0,$A29=""),"",IF('2.ชื่อนักเรียน'!R35="ย้าย","-",COUNTIF($BS29:$CW29,"ส")))</f>
        <v/>
      </c>
      <c r="HG29" s="423" t="str">
        <f>IF(OR(COUNTA($BS$4:$CW$4)=0,$A29=""),"",IF('2.ชื่อนักเรียน'!R35="ย้าย","-",COUNTIF($BS29:$CW29,"ป")))</f>
        <v/>
      </c>
      <c r="HH29" s="423" t="str">
        <f>IF(OR(COUNTA($BS$4:$CW$4)=0,$A29=""),"",IF('2.ชื่อนักเรียน'!R35="ย้าย","-",COUNTIF($BS29:$CW29,"ล")))</f>
        <v/>
      </c>
      <c r="HI29" s="426" t="str">
        <f>IF(OR(COUNTA($BS$4:$CW$4)=0,$A29=""),"",IF('2.ชื่อนักเรียน'!R35="ย้าย","-",COUNTIF($BS29:$CW29,"ข")))</f>
        <v/>
      </c>
      <c r="HJ29" s="422" t="str">
        <f>IF(OR(COUNTA($CZ$4:$ED$4)=0,$A29=""),"",IF('2.ชื่อนักเรียน'!R35="ย้าย","-",COUNTIF($CZ29:$ED29,"/")))</f>
        <v/>
      </c>
      <c r="HK29" s="425" t="str">
        <f>IF(OR(COUNTA($CZ$4:$ED$4)=0,$A29=""),"",IF('2.ชื่อนักเรียน'!R35="ย้าย","-",COUNTIF($CZ29:$ED29,"ส")))</f>
        <v/>
      </c>
      <c r="HL29" s="423" t="str">
        <f>IF(OR(COUNTA($CZ$4:$ED$4)=0,$A29=""),"",IF('2.ชื่อนักเรียน'!R35="ย้าย","-",COUNTIF($CZ29:$ED29,"ป")))</f>
        <v/>
      </c>
      <c r="HM29" s="423" t="str">
        <f>IF(OR(COUNTA($CZ$4:$ED$4)=0,A29=""),"",IF('2.ชื่อนักเรียน'!R35="ย้าย","-",COUNTIF($CZ29:$ED29,"ล")))</f>
        <v/>
      </c>
      <c r="HN29" s="426" t="str">
        <f>IF(OR(COUNTA($CZ$4:$ED$4)=0,A29=""),"",IF('2.ชื่อนักเรียน'!R35="ย้าย","-",COUNTIF($CZ29:$ED29,"ข")))</f>
        <v/>
      </c>
      <c r="HO29" s="422" t="str">
        <f>IF(OR(COUNTA($EG$4:$FK$4)=0,$A29=""),"",IF('2.ชื่อนักเรียน'!R35="ย้าย","-",COUNTIF($EG29:$FK29,"/")))</f>
        <v/>
      </c>
      <c r="HP29" s="425" t="str">
        <f>IF(OR(COUNTA($EG$4:$FK$4)=0,$A29=""),"",IF('2.ชื่อนักเรียน'!R35="ย้าย","-",COUNTIF($EG29:$FK29,"ส")))</f>
        <v/>
      </c>
      <c r="HQ29" s="423" t="str">
        <f>IF(OR(COUNTA($EG$4:$FK$4)=0,$A29=""),"",IF('2.ชื่อนักเรียน'!R35="ย้าย","-",COUNTIF($EG29:$FK29,"ป")))</f>
        <v/>
      </c>
      <c r="HR29" s="423" t="str">
        <f>IF(OR(COUNTA($EG$4:$FK$4)=0,A29=""),"",IF('2.ชื่อนักเรียน'!R35="ย้าย","-",COUNTIF($EG29:$FK29,"ล")))</f>
        <v/>
      </c>
      <c r="HS29" s="426" t="str">
        <f>IF(OR(COUNTA($EG$4:$FK$4)=0,A29=""),"",IF('2.ชื่อนักเรียน'!R35="ย้าย","-",COUNTIF($EG29:$FK29,"ข")))</f>
        <v/>
      </c>
      <c r="HT29" s="418">
        <v>25</v>
      </c>
      <c r="HU29" s="422" t="str">
        <f>IF(OR(COUNTA($FN$4:$GR$4)=0,$A29=""),"",IF('2.ชื่อนักเรียน'!R35="ย้าย","-",COUNTIF($FN29:$GR29,"/")))</f>
        <v/>
      </c>
      <c r="HV29" s="425" t="str">
        <f>IF(OR(COUNTA($FN$4:$GR$4)=0,$A29=""),"",IF('2.ชื่อนักเรียน'!R35="ย้าย","-",COUNTIF($FN29:$GR29,"ส")))</f>
        <v/>
      </c>
      <c r="HW29" s="423" t="str">
        <f>IF(OR(COUNTA($FN$4:$GR$4)=0,$A29=""),"",IF('2.ชื่อนักเรียน'!R35="ย้าย","-",COUNTIF($FN29:$GR29,"ป")))</f>
        <v/>
      </c>
      <c r="HX29" s="423" t="str">
        <f>IF(OR(COUNTA($FN$4:$GR$4)=0,A29=""),"",IF('2.ชื่อนักเรียน'!R35="ย้าย","-",COUNTIF($FN29:$GR29,"ล")))</f>
        <v/>
      </c>
      <c r="HY29" s="423" t="str">
        <f>IF(OR(COUNTA($FN$4:$GR$4)=0,A29=""),"",IF('2.ชื่อนักเรียน'!R35="ย้าย","-",COUNTIF($FN29:$GR29,"ข")))</f>
        <v/>
      </c>
      <c r="HZ29" s="422" t="str">
        <f>IF(OR(COUNTA($GU$3:$HS$3,$HU$3)=0,$A29=""),"",IF('2.ชื่อนักเรียน'!R35="ย้าย","-",SUM(GU29,GZ29,HE29,HJ29,HO29,HU29)))</f>
        <v/>
      </c>
      <c r="IA29" s="425" t="str">
        <f>IF(OR(COUNTA($GU$3:$HS$3,$HU$3)=0,$A29=""),"",IF('2.ชื่อนักเรียน'!R35="ย้าย","-",SUM(GV29,HA29,HF29,HK29,HP29,HV29)))</f>
        <v/>
      </c>
      <c r="IB29" s="423" t="str">
        <f>IF(OR(COUNTA($GU$3:$HS$3,$HU$3)=0,$A29=""),"",IF('2.ชื่อนักเรียน'!R35="ย้าย","-",SUM(GW29,HB29,HG29,HL29,HQ29,HW29)))</f>
        <v/>
      </c>
      <c r="IC29" s="423" t="str">
        <f>IF(OR(COUNTA($GU$3:$HS$3,$HU$3)=0,$A29=""),"",IF('2.ชื่อนักเรียน'!R35="ย้าย","-",SUM(GX29,HC29,HH29,HM29,HR29,HX29)))</f>
        <v/>
      </c>
      <c r="ID29" s="424" t="str">
        <f>IF(OR(COUNTA($GU$3:$HS$3,$HU$3)=0,$A29=""),"",IF('2.ชื่อนักเรียน'!R35="ย้าย","-",SUM(GY29,HD29,HI29,HN29,HS29,HY29)))</f>
        <v/>
      </c>
      <c r="IE29" s="418" t="str">
        <f t="shared" si="0"/>
        <v/>
      </c>
      <c r="IF29" s="438" t="str">
        <f>IF(IE29="","",IF('2.ชื่อนักเรียน'!R35="ย้าย","ย้าย",(IE29*100)/COUNTA($E$4:$AI$4,$AL$4:$BP$4,$BS$4:$CW$4,$CZ$4:$ED$4,$EG$4:$FK$4,$FN$4:$GR$4)))</f>
        <v/>
      </c>
      <c r="IG29" s="449"/>
      <c r="IH29" s="611"/>
      <c r="II29" s="611"/>
      <c r="IJ29" s="611"/>
      <c r="IK29" s="611"/>
      <c r="IL29" s="611"/>
      <c r="IM29" s="611"/>
      <c r="IN29" s="611"/>
      <c r="IO29" s="611"/>
      <c r="IP29" s="611"/>
      <c r="IQ29" s="611"/>
      <c r="IR29" s="450"/>
    </row>
    <row r="30" spans="1:252" ht="21" customHeight="1" x14ac:dyDescent="0.4">
      <c r="A30" s="416" t="str">
        <f>IF(Name26="","",Name26)</f>
        <v/>
      </c>
      <c r="B30" s="417" t="str">
        <f>IF(Surname26="","",Surname26)</f>
        <v/>
      </c>
      <c r="C30" s="442" t="str">
        <f>IF('2.ชื่อนักเรียน'!R36="","",'2.ชื่อนักเรียน'!R36)</f>
        <v/>
      </c>
      <c r="D30" s="418">
        <v>26</v>
      </c>
      <c r="E30" s="419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1"/>
      <c r="AJ30" s="418" t="str">
        <f>IF(COUNTA($E$4:AI$4)=0,"",IF('2.ชื่อนักเรียน'!R36="ย้าย","ย้าย",GU30))</f>
        <v/>
      </c>
      <c r="AK30" s="418">
        <v>26</v>
      </c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18" t="str">
        <f>IF(COUNTA($AL$4:$BP$4)=0,"",IF('2.ชื่อนักเรียน'!R36="ย้าย","ย้าย",GZ30))</f>
        <v/>
      </c>
      <c r="BR30" s="418">
        <v>26</v>
      </c>
      <c r="BS30" s="419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1"/>
      <c r="CW30" s="420"/>
      <c r="CX30" s="418" t="str">
        <f>IF(COUNTA($BS$4:$CW$4)=0,"",IF('2.ชื่อนักเรียน'!R36="ย้าย","ย้าย",HE30))</f>
        <v/>
      </c>
      <c r="CY30" s="418">
        <v>26</v>
      </c>
      <c r="CZ30" s="420"/>
      <c r="DA30" s="420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420"/>
      <c r="DU30" s="420"/>
      <c r="DV30" s="420"/>
      <c r="DW30" s="420"/>
      <c r="DX30" s="420"/>
      <c r="DY30" s="420"/>
      <c r="DZ30" s="420"/>
      <c r="EA30" s="420"/>
      <c r="EB30" s="420"/>
      <c r="EC30" s="421"/>
      <c r="ED30" s="421"/>
      <c r="EE30" s="418" t="str">
        <f>IF(COUNTA($CZ$4:$ED$4)=0,"",IF('2.ชื่อนักเรียน'!R36="ย้าย","ย้าย",HJ30))</f>
        <v/>
      </c>
      <c r="EF30" s="418">
        <v>26</v>
      </c>
      <c r="EG30" s="420"/>
      <c r="EH30" s="420"/>
      <c r="EI30" s="420"/>
      <c r="EJ30" s="420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0"/>
      <c r="EV30" s="420"/>
      <c r="EW30" s="420"/>
      <c r="EX30" s="420"/>
      <c r="EY30" s="420"/>
      <c r="EZ30" s="420"/>
      <c r="FA30" s="420"/>
      <c r="FB30" s="420"/>
      <c r="FC30" s="420"/>
      <c r="FD30" s="420"/>
      <c r="FE30" s="420"/>
      <c r="FF30" s="420"/>
      <c r="FG30" s="420"/>
      <c r="FH30" s="420"/>
      <c r="FI30" s="420"/>
      <c r="FJ30" s="420"/>
      <c r="FK30" s="420"/>
      <c r="FL30" s="418" t="str">
        <f>IF(COUNTA($EG$4:$FK$4)=0,"",IF('2.ชื่อนักเรียน'!R36="ย้าย","ย้าย",HO30))</f>
        <v/>
      </c>
      <c r="FM30" s="418">
        <v>26</v>
      </c>
      <c r="FN30" s="419"/>
      <c r="FO30" s="420"/>
      <c r="FP30" s="420"/>
      <c r="FQ30" s="420"/>
      <c r="FR30" s="420"/>
      <c r="FS30" s="420"/>
      <c r="FT30" s="420"/>
      <c r="FU30" s="420"/>
      <c r="FV30" s="420"/>
      <c r="FW30" s="420"/>
      <c r="FX30" s="420"/>
      <c r="FY30" s="420"/>
      <c r="FZ30" s="420"/>
      <c r="GA30" s="420"/>
      <c r="GB30" s="420"/>
      <c r="GC30" s="420"/>
      <c r="GD30" s="420"/>
      <c r="GE30" s="420"/>
      <c r="GF30" s="420"/>
      <c r="GG30" s="420"/>
      <c r="GH30" s="420"/>
      <c r="GI30" s="420"/>
      <c r="GJ30" s="420"/>
      <c r="GK30" s="420"/>
      <c r="GL30" s="420"/>
      <c r="GM30" s="420"/>
      <c r="GN30" s="420"/>
      <c r="GO30" s="420"/>
      <c r="GP30" s="420"/>
      <c r="GQ30" s="421"/>
      <c r="GR30" s="421"/>
      <c r="GS30" s="418" t="str">
        <f>IF(COUNTA($FN$4:$GR$4)=0,"",IF('2.ชื่อนักเรียน'!R36="ย้าย","ย้าย",HU30))</f>
        <v/>
      </c>
      <c r="GT30" s="418">
        <v>26</v>
      </c>
      <c r="GU30" s="422" t="str">
        <f>IF(OR(COUNTA($E$4:$AI$4)=0,$A30=""),"",IF('2.ชื่อนักเรียน'!R36="ย้าย","-",COUNTIF($E30:$AI30,"/")))</f>
        <v/>
      </c>
      <c r="GV30" s="425" t="str">
        <f>IF(OR(COUNTA($E$4:$AI$4)=0,$A30=""),"",IF('2.ชื่อนักเรียน'!R36="ย้าย","-",COUNTIF($E30:$AI30,"ส")))</f>
        <v/>
      </c>
      <c r="GW30" s="423" t="str">
        <f>IF(OR(COUNTA($E$4:$AI$4)=0,$A30=""),"",IF('2.ชื่อนักเรียน'!R36="ย้าย","-",COUNTIF($E30:$AI30,"ป")))</f>
        <v/>
      </c>
      <c r="GX30" s="423" t="str">
        <f>IF(OR(COUNTA($E$4:$AI$4)=0,$A30=""),"",IF('2.ชื่อนักเรียน'!R36="ย้าย","-",COUNTIF($E30:$AI30,"ล")))</f>
        <v/>
      </c>
      <c r="GY30" s="426" t="str">
        <f>IF(OR(COUNTA($E$4:$AI$4)=0,$A30=""),"",IF('2.ชื่อนักเรียน'!R36="ย้าย","-",COUNTIF($E30:$AI30,"ข")))</f>
        <v/>
      </c>
      <c r="GZ30" s="422" t="str">
        <f>IF(OR(COUNTA($AL$4:$BP$4)=0,$A30=""),"",IF('2.ชื่อนักเรียน'!R36="ย้าย","-",COUNTIF($AL30:$BP30,"/")))</f>
        <v/>
      </c>
      <c r="HA30" s="425" t="str">
        <f>IF(OR(COUNTA($AL$4:$BP$4)=0,$A30=""),"",IF('2.ชื่อนักเรียน'!R36="ย้าย","-",COUNTIF($AL30:$BP30,"ส")))</f>
        <v/>
      </c>
      <c r="HB30" s="423" t="str">
        <f>IF(OR(COUNTA($AL$4:$BP$4)=0,$A30=""),"",IF('2.ชื่อนักเรียน'!R36="ย้าย","-",COUNTIF($AL30:$BP30,"ป")))</f>
        <v/>
      </c>
      <c r="HC30" s="423" t="str">
        <f>IF(OR(COUNTA($AL$4:$BP$4)=0,$A30=""),"",IF('2.ชื่อนักเรียน'!R36="ย้าย","-",COUNTIF($AL30:$BP30,"ล")))</f>
        <v/>
      </c>
      <c r="HD30" s="426" t="str">
        <f>IF(OR(COUNTA($AL$4:$BP$4)=0,$A30=""),"",IF('2.ชื่อนักเรียน'!R36="ย้าย","-",COUNTIF($AL30:$BP30,"ข")))</f>
        <v/>
      </c>
      <c r="HE30" s="422" t="str">
        <f>IF(OR(COUNTA($BS$4:$CW$4)=0,$A30=""),"",IF('2.ชื่อนักเรียน'!R36="ย้าย","-",COUNTIF($BS30:$CW30,"/")))</f>
        <v/>
      </c>
      <c r="HF30" s="425" t="str">
        <f>IF(OR(COUNTA($BS$4:$CW$4)=0,$A30=""),"",IF('2.ชื่อนักเรียน'!R36="ย้าย","-",COUNTIF($BS30:$CW30,"ส")))</f>
        <v/>
      </c>
      <c r="HG30" s="423" t="str">
        <f>IF(OR(COUNTA($BS$4:$CW$4)=0,$A30=""),"",IF('2.ชื่อนักเรียน'!R36="ย้าย","-",COUNTIF($BS30:$CW30,"ป")))</f>
        <v/>
      </c>
      <c r="HH30" s="423" t="str">
        <f>IF(OR(COUNTA($BS$4:$CW$4)=0,$A30=""),"",IF('2.ชื่อนักเรียน'!R36="ย้าย","-",COUNTIF($BS30:$CW30,"ล")))</f>
        <v/>
      </c>
      <c r="HI30" s="426" t="str">
        <f>IF(OR(COUNTA($BS$4:$CW$4)=0,$A30=""),"",IF('2.ชื่อนักเรียน'!R36="ย้าย","-",COUNTIF($BS30:$CW30,"ข")))</f>
        <v/>
      </c>
      <c r="HJ30" s="422" t="str">
        <f>IF(OR(COUNTA($CZ$4:$ED$4)=0,$A30=""),"",IF('2.ชื่อนักเรียน'!R36="ย้าย","-",COUNTIF($CZ30:$ED30,"/")))</f>
        <v/>
      </c>
      <c r="HK30" s="425" t="str">
        <f>IF(OR(COUNTA($CZ$4:$ED$4)=0,$A30=""),"",IF('2.ชื่อนักเรียน'!R36="ย้าย","-",COUNTIF($CZ30:$ED30,"ส")))</f>
        <v/>
      </c>
      <c r="HL30" s="423" t="str">
        <f>IF(OR(COUNTA($CZ$4:$ED$4)=0,$A30=""),"",IF('2.ชื่อนักเรียน'!R36="ย้าย","-",COUNTIF($CZ30:$ED30,"ป")))</f>
        <v/>
      </c>
      <c r="HM30" s="423" t="str">
        <f>IF(OR(COUNTA($CZ$4:$ED$4)=0,A30=""),"",IF('2.ชื่อนักเรียน'!R36="ย้าย","-",COUNTIF($CZ30:$ED30,"ล")))</f>
        <v/>
      </c>
      <c r="HN30" s="426" t="str">
        <f>IF(OR(COUNTA($CZ$4:$ED$4)=0,A30=""),"",IF('2.ชื่อนักเรียน'!R36="ย้าย","-",COUNTIF($CZ30:$ED30,"ข")))</f>
        <v/>
      </c>
      <c r="HO30" s="422" t="str">
        <f>IF(OR(COUNTA($EG$4:$FK$4)=0,$A30=""),"",IF('2.ชื่อนักเรียน'!R36="ย้าย","-",COUNTIF($EG30:$FK30,"/")))</f>
        <v/>
      </c>
      <c r="HP30" s="425" t="str">
        <f>IF(OR(COUNTA($EG$4:$FK$4)=0,$A30=""),"",IF('2.ชื่อนักเรียน'!R36="ย้าย","-",COUNTIF($EG30:$FK30,"ส")))</f>
        <v/>
      </c>
      <c r="HQ30" s="423" t="str">
        <f>IF(OR(COUNTA($EG$4:$FK$4)=0,$A30=""),"",IF('2.ชื่อนักเรียน'!R36="ย้าย","-",COUNTIF($EG30:$FK30,"ป")))</f>
        <v/>
      </c>
      <c r="HR30" s="423" t="str">
        <f>IF(OR(COUNTA($EG$4:$FK$4)=0,A30=""),"",IF('2.ชื่อนักเรียน'!R36="ย้าย","-",COUNTIF($EG30:$FK30,"ล")))</f>
        <v/>
      </c>
      <c r="HS30" s="426" t="str">
        <f>IF(OR(COUNTA($EG$4:$FK$4)=0,A30=""),"",IF('2.ชื่อนักเรียน'!R36="ย้าย","-",COUNTIF($EG30:$FK30,"ข")))</f>
        <v/>
      </c>
      <c r="HT30" s="418">
        <v>26</v>
      </c>
      <c r="HU30" s="422" t="str">
        <f>IF(OR(COUNTA($FN$4:$GR$4)=0,$A30=""),"",IF('2.ชื่อนักเรียน'!R36="ย้าย","-",COUNTIF($FN30:$GR30,"/")))</f>
        <v/>
      </c>
      <c r="HV30" s="425" t="str">
        <f>IF(OR(COUNTA($FN$4:$GR$4)=0,$A30=""),"",IF('2.ชื่อนักเรียน'!R36="ย้าย","-",COUNTIF($FN30:$GR30,"ส")))</f>
        <v/>
      </c>
      <c r="HW30" s="423" t="str">
        <f>IF(OR(COUNTA($FN$4:$GR$4)=0,$A30=""),"",IF('2.ชื่อนักเรียน'!R36="ย้าย","-",COUNTIF($FN30:$GR30,"ป")))</f>
        <v/>
      </c>
      <c r="HX30" s="423" t="str">
        <f>IF(OR(COUNTA($FN$4:$GR$4)=0,A30=""),"",IF('2.ชื่อนักเรียน'!R36="ย้าย","-",COUNTIF($FN30:$GR30,"ล")))</f>
        <v/>
      </c>
      <c r="HY30" s="423" t="str">
        <f>IF(OR(COUNTA($FN$4:$GR$4)=0,A30=""),"",IF('2.ชื่อนักเรียน'!R36="ย้าย","-",COUNTIF($FN30:$GR30,"ข")))</f>
        <v/>
      </c>
      <c r="HZ30" s="422" t="str">
        <f>IF(OR(COUNTA($GU$3:$HS$3,$HU$3)=0,$A30=""),"",IF('2.ชื่อนักเรียน'!R36="ย้าย","-",SUM(GU30,GZ30,HE30,HJ30,HO30,HU30)))</f>
        <v/>
      </c>
      <c r="IA30" s="425" t="str">
        <f>IF(OR(COUNTA($GU$3:$HS$3,$HU$3)=0,$A30=""),"",IF('2.ชื่อนักเรียน'!R36="ย้าย","-",SUM(GV30,HA30,HF30,HK30,HP30,HV30)))</f>
        <v/>
      </c>
      <c r="IB30" s="423" t="str">
        <f>IF(OR(COUNTA($GU$3:$HS$3,$HU$3)=0,$A30=""),"",IF('2.ชื่อนักเรียน'!R36="ย้าย","-",SUM(GW30,HB30,HG30,HL30,HQ30,HW30)))</f>
        <v/>
      </c>
      <c r="IC30" s="423" t="str">
        <f>IF(OR(COUNTA($GU$3:$HS$3,$HU$3)=0,$A30=""),"",IF('2.ชื่อนักเรียน'!R36="ย้าย","-",SUM(GX30,HC30,HH30,HM30,HR30,HX30)))</f>
        <v/>
      </c>
      <c r="ID30" s="424" t="str">
        <f>IF(OR(COUNTA($GU$3:$HS$3,$HU$3)=0,$A30=""),"",IF('2.ชื่อนักเรียน'!R36="ย้าย","-",SUM(GY30,HD30,HI30,HN30,HS30,HY30)))</f>
        <v/>
      </c>
      <c r="IE30" s="418" t="str">
        <f t="shared" si="0"/>
        <v/>
      </c>
      <c r="IF30" s="438" t="str">
        <f>IF(IE30="","",IF('2.ชื่อนักเรียน'!R36="ย้าย","ย้าย",(IE30*100)/COUNTA($E$4:$AI$4,$AL$4:$BP$4,$BS$4:$CW$4,$CZ$4:$ED$4,$EG$4:$FK$4,$FN$4:$GR$4)))</f>
        <v/>
      </c>
      <c r="IG30" s="449"/>
      <c r="IH30" s="611"/>
      <c r="II30" s="611"/>
      <c r="IJ30" s="611"/>
      <c r="IK30" s="611"/>
      <c r="IL30" s="611"/>
      <c r="IM30" s="611"/>
      <c r="IN30" s="611"/>
      <c r="IO30" s="611"/>
      <c r="IP30" s="611"/>
      <c r="IQ30" s="611"/>
      <c r="IR30" s="450"/>
    </row>
    <row r="31" spans="1:252" ht="21" customHeight="1" x14ac:dyDescent="0.4">
      <c r="A31" s="416" t="str">
        <f>IF(Name27="","",Name27)</f>
        <v/>
      </c>
      <c r="B31" s="417" t="str">
        <f>IF(Surname27="","",Surname27)</f>
        <v/>
      </c>
      <c r="C31" s="442" t="str">
        <f>IF('2.ชื่อนักเรียน'!R37="","",'2.ชื่อนักเรียน'!R37)</f>
        <v/>
      </c>
      <c r="D31" s="418">
        <v>27</v>
      </c>
      <c r="E31" s="419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1"/>
      <c r="AJ31" s="418" t="str">
        <f>IF(COUNTA($E$4:AI$4)=0,"",IF('2.ชื่อนักเรียน'!R37="ย้าย","ย้าย",GU31))</f>
        <v/>
      </c>
      <c r="AK31" s="418">
        <v>27</v>
      </c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  <c r="BN31" s="420"/>
      <c r="BO31" s="420"/>
      <c r="BP31" s="420"/>
      <c r="BQ31" s="418" t="str">
        <f>IF(COUNTA($AL$4:$BP$4)=0,"",IF('2.ชื่อนักเรียน'!R37="ย้าย","ย้าย",GZ31))</f>
        <v/>
      </c>
      <c r="BR31" s="418">
        <v>27</v>
      </c>
      <c r="BS31" s="419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1"/>
      <c r="CW31" s="420"/>
      <c r="CX31" s="418" t="str">
        <f>IF(COUNTA($BS$4:$CW$4)=0,"",IF('2.ชื่อนักเรียน'!R37="ย้าย","ย้าย",HE31))</f>
        <v/>
      </c>
      <c r="CY31" s="418">
        <v>27</v>
      </c>
      <c r="CZ31" s="420"/>
      <c r="DA31" s="420"/>
      <c r="DB31" s="420"/>
      <c r="DC31" s="420"/>
      <c r="DD31" s="420"/>
      <c r="DE31" s="420"/>
      <c r="DF31" s="420"/>
      <c r="DG31" s="420"/>
      <c r="DH31" s="420"/>
      <c r="DI31" s="420"/>
      <c r="DJ31" s="420"/>
      <c r="DK31" s="420"/>
      <c r="DL31" s="420"/>
      <c r="DM31" s="420"/>
      <c r="DN31" s="420"/>
      <c r="DO31" s="420"/>
      <c r="DP31" s="420"/>
      <c r="DQ31" s="420"/>
      <c r="DR31" s="420"/>
      <c r="DS31" s="420"/>
      <c r="DT31" s="420"/>
      <c r="DU31" s="420"/>
      <c r="DV31" s="420"/>
      <c r="DW31" s="420"/>
      <c r="DX31" s="420"/>
      <c r="DY31" s="420"/>
      <c r="DZ31" s="420"/>
      <c r="EA31" s="420"/>
      <c r="EB31" s="420"/>
      <c r="EC31" s="421"/>
      <c r="ED31" s="421"/>
      <c r="EE31" s="418" t="str">
        <f>IF(COUNTA($CZ$4:$ED$4)=0,"",IF('2.ชื่อนักเรียน'!R37="ย้าย","ย้าย",HJ31))</f>
        <v/>
      </c>
      <c r="EF31" s="418">
        <v>27</v>
      </c>
      <c r="EG31" s="420"/>
      <c r="EH31" s="420"/>
      <c r="EI31" s="420"/>
      <c r="EJ31" s="420"/>
      <c r="EK31" s="420"/>
      <c r="EL31" s="420"/>
      <c r="EM31" s="420"/>
      <c r="EN31" s="420"/>
      <c r="EO31" s="420"/>
      <c r="EP31" s="420"/>
      <c r="EQ31" s="420"/>
      <c r="ER31" s="420"/>
      <c r="ES31" s="420"/>
      <c r="ET31" s="420"/>
      <c r="EU31" s="420"/>
      <c r="EV31" s="420"/>
      <c r="EW31" s="420"/>
      <c r="EX31" s="420"/>
      <c r="EY31" s="420"/>
      <c r="EZ31" s="420"/>
      <c r="FA31" s="420"/>
      <c r="FB31" s="420"/>
      <c r="FC31" s="420"/>
      <c r="FD31" s="420"/>
      <c r="FE31" s="420"/>
      <c r="FF31" s="420"/>
      <c r="FG31" s="420"/>
      <c r="FH31" s="420"/>
      <c r="FI31" s="420"/>
      <c r="FJ31" s="420"/>
      <c r="FK31" s="420"/>
      <c r="FL31" s="418" t="str">
        <f>IF(COUNTA($EG$4:$FK$4)=0,"",IF('2.ชื่อนักเรียน'!R37="ย้าย","ย้าย",HO31))</f>
        <v/>
      </c>
      <c r="FM31" s="418">
        <v>27</v>
      </c>
      <c r="FN31" s="419"/>
      <c r="FO31" s="420"/>
      <c r="FP31" s="420"/>
      <c r="FQ31" s="420"/>
      <c r="FR31" s="420"/>
      <c r="FS31" s="420"/>
      <c r="FT31" s="420"/>
      <c r="FU31" s="420"/>
      <c r="FV31" s="420"/>
      <c r="FW31" s="420"/>
      <c r="FX31" s="420"/>
      <c r="FY31" s="420"/>
      <c r="FZ31" s="420"/>
      <c r="GA31" s="420"/>
      <c r="GB31" s="420"/>
      <c r="GC31" s="420"/>
      <c r="GD31" s="420"/>
      <c r="GE31" s="420"/>
      <c r="GF31" s="420"/>
      <c r="GG31" s="420"/>
      <c r="GH31" s="420"/>
      <c r="GI31" s="420"/>
      <c r="GJ31" s="420"/>
      <c r="GK31" s="420"/>
      <c r="GL31" s="420"/>
      <c r="GM31" s="420"/>
      <c r="GN31" s="420"/>
      <c r="GO31" s="420"/>
      <c r="GP31" s="420"/>
      <c r="GQ31" s="421"/>
      <c r="GR31" s="421"/>
      <c r="GS31" s="418" t="str">
        <f>IF(COUNTA($FN$4:$GR$4)=0,"",IF('2.ชื่อนักเรียน'!R37="ย้าย","ย้าย",HU31))</f>
        <v/>
      </c>
      <c r="GT31" s="418">
        <v>27</v>
      </c>
      <c r="GU31" s="422" t="str">
        <f>IF(OR(COUNTA($E$4:$AI$4)=0,$A31=""),"",IF('2.ชื่อนักเรียน'!R37="ย้าย","-",COUNTIF($E31:$AI31,"/")))</f>
        <v/>
      </c>
      <c r="GV31" s="425" t="str">
        <f>IF(OR(COUNTA($E$4:$AI$4)=0,$A31=""),"",IF('2.ชื่อนักเรียน'!R37="ย้าย","-",COUNTIF($E31:$AI31,"ส")))</f>
        <v/>
      </c>
      <c r="GW31" s="423" t="str">
        <f>IF(OR(COUNTA($E$4:$AI$4)=0,$A31=""),"",IF('2.ชื่อนักเรียน'!R37="ย้าย","-",COUNTIF($E31:$AI31,"ป")))</f>
        <v/>
      </c>
      <c r="GX31" s="423" t="str">
        <f>IF(OR(COUNTA($E$4:$AI$4)=0,$A31=""),"",IF('2.ชื่อนักเรียน'!R37="ย้าย","-",COUNTIF($E31:$AI31,"ล")))</f>
        <v/>
      </c>
      <c r="GY31" s="426" t="str">
        <f>IF(OR(COUNTA($E$4:$AI$4)=0,$A31=""),"",IF('2.ชื่อนักเรียน'!R37="ย้าย","-",COUNTIF($E31:$AI31,"ข")))</f>
        <v/>
      </c>
      <c r="GZ31" s="422" t="str">
        <f>IF(OR(COUNTA($AL$4:$BP$4)=0,$A31=""),"",IF('2.ชื่อนักเรียน'!R37="ย้าย","-",COUNTIF($AL31:$BP31,"/")))</f>
        <v/>
      </c>
      <c r="HA31" s="425" t="str">
        <f>IF(OR(COUNTA($AL$4:$BP$4)=0,$A31=""),"",IF('2.ชื่อนักเรียน'!R37="ย้าย","-",COUNTIF($AL31:$BP31,"ส")))</f>
        <v/>
      </c>
      <c r="HB31" s="423" t="str">
        <f>IF(OR(COUNTA($AL$4:$BP$4)=0,$A31=""),"",IF('2.ชื่อนักเรียน'!R37="ย้าย","-",COUNTIF($AL31:$BP31,"ป")))</f>
        <v/>
      </c>
      <c r="HC31" s="423" t="str">
        <f>IF(OR(COUNTA($AL$4:$BP$4)=0,$A31=""),"",IF('2.ชื่อนักเรียน'!R37="ย้าย","-",COUNTIF($AL31:$BP31,"ล")))</f>
        <v/>
      </c>
      <c r="HD31" s="426" t="str">
        <f>IF(OR(COUNTA($AL$4:$BP$4)=0,$A31=""),"",IF('2.ชื่อนักเรียน'!R37="ย้าย","-",COUNTIF($AL31:$BP31,"ข")))</f>
        <v/>
      </c>
      <c r="HE31" s="422" t="str">
        <f>IF(OR(COUNTA($BS$4:$CW$4)=0,$A31=""),"",IF('2.ชื่อนักเรียน'!R37="ย้าย","-",COUNTIF($BS31:$CW31,"/")))</f>
        <v/>
      </c>
      <c r="HF31" s="425" t="str">
        <f>IF(OR(COUNTA($BS$4:$CW$4)=0,$A31=""),"",IF('2.ชื่อนักเรียน'!R37="ย้าย","-",COUNTIF($BS31:$CW31,"ส")))</f>
        <v/>
      </c>
      <c r="HG31" s="423" t="str">
        <f>IF(OR(COUNTA($BS$4:$CW$4)=0,$A31=""),"",IF('2.ชื่อนักเรียน'!R37="ย้าย","-",COUNTIF($BS31:$CW31,"ป")))</f>
        <v/>
      </c>
      <c r="HH31" s="423" t="str">
        <f>IF(OR(COUNTA($BS$4:$CW$4)=0,$A31=""),"",IF('2.ชื่อนักเรียน'!R37="ย้าย","-",COUNTIF($BS31:$CW31,"ล")))</f>
        <v/>
      </c>
      <c r="HI31" s="426" t="str">
        <f>IF(OR(COUNTA($BS$4:$CW$4)=0,$A31=""),"",IF('2.ชื่อนักเรียน'!R37="ย้าย","-",COUNTIF($BS31:$CW31,"ข")))</f>
        <v/>
      </c>
      <c r="HJ31" s="422" t="str">
        <f>IF(OR(COUNTA($CZ$4:$ED$4)=0,$A31=""),"",IF('2.ชื่อนักเรียน'!R37="ย้าย","-",COUNTIF($CZ31:$ED31,"/")))</f>
        <v/>
      </c>
      <c r="HK31" s="425" t="str">
        <f>IF(OR(COUNTA($CZ$4:$ED$4)=0,$A31=""),"",IF('2.ชื่อนักเรียน'!R37="ย้าย","-",COUNTIF($CZ31:$ED31,"ส")))</f>
        <v/>
      </c>
      <c r="HL31" s="423" t="str">
        <f>IF(OR(COUNTA($CZ$4:$ED$4)=0,$A31=""),"",IF('2.ชื่อนักเรียน'!R37="ย้าย","-",COUNTIF($CZ31:$ED31,"ป")))</f>
        <v/>
      </c>
      <c r="HM31" s="423" t="str">
        <f>IF(OR(COUNTA($CZ$4:$ED$4)=0,A31=""),"",IF('2.ชื่อนักเรียน'!R37="ย้าย","-",COUNTIF($CZ31:$ED31,"ล")))</f>
        <v/>
      </c>
      <c r="HN31" s="426" t="str">
        <f>IF(OR(COUNTA($CZ$4:$ED$4)=0,A31=""),"",IF('2.ชื่อนักเรียน'!R37="ย้าย","-",COUNTIF($CZ31:$ED31,"ข")))</f>
        <v/>
      </c>
      <c r="HO31" s="422" t="str">
        <f>IF(OR(COUNTA($EG$4:$FK$4)=0,$A31=""),"",IF('2.ชื่อนักเรียน'!R37="ย้าย","-",COUNTIF($EG31:$FK31,"/")))</f>
        <v/>
      </c>
      <c r="HP31" s="425" t="str">
        <f>IF(OR(COUNTA($EG$4:$FK$4)=0,$A31=""),"",IF('2.ชื่อนักเรียน'!R37="ย้าย","-",COUNTIF($EG31:$FK31,"ส")))</f>
        <v/>
      </c>
      <c r="HQ31" s="423" t="str">
        <f>IF(OR(COUNTA($EG$4:$FK$4)=0,$A31=""),"",IF('2.ชื่อนักเรียน'!R37="ย้าย","-",COUNTIF($EG31:$FK31,"ป")))</f>
        <v/>
      </c>
      <c r="HR31" s="423" t="str">
        <f>IF(OR(COUNTA($EG$4:$FK$4)=0,A31=""),"",IF('2.ชื่อนักเรียน'!R37="ย้าย","-",COUNTIF($EG31:$FK31,"ล")))</f>
        <v/>
      </c>
      <c r="HS31" s="426" t="str">
        <f>IF(OR(COUNTA($EG$4:$FK$4)=0,A31=""),"",IF('2.ชื่อนักเรียน'!R37="ย้าย","-",COUNTIF($EG31:$FK31,"ข")))</f>
        <v/>
      </c>
      <c r="HT31" s="418">
        <v>27</v>
      </c>
      <c r="HU31" s="422" t="str">
        <f>IF(OR(COUNTA($FN$4:$GR$4)=0,$A31=""),"",IF('2.ชื่อนักเรียน'!R37="ย้าย","-",COUNTIF($FN31:$GR31,"/")))</f>
        <v/>
      </c>
      <c r="HV31" s="425" t="str">
        <f>IF(OR(COUNTA($FN$4:$GR$4)=0,$A31=""),"",IF('2.ชื่อนักเรียน'!R37="ย้าย","-",COUNTIF($FN31:$GR31,"ส")))</f>
        <v/>
      </c>
      <c r="HW31" s="423" t="str">
        <f>IF(OR(COUNTA($FN$4:$GR$4)=0,$A31=""),"",IF('2.ชื่อนักเรียน'!R37="ย้าย","-",COUNTIF($FN31:$GR31,"ป")))</f>
        <v/>
      </c>
      <c r="HX31" s="423" t="str">
        <f>IF(OR(COUNTA($FN$4:$GR$4)=0,A31=""),"",IF('2.ชื่อนักเรียน'!R37="ย้าย","-",COUNTIF($FN31:$GR31,"ล")))</f>
        <v/>
      </c>
      <c r="HY31" s="423" t="str">
        <f>IF(OR(COUNTA($FN$4:$GR$4)=0,A31=""),"",IF('2.ชื่อนักเรียน'!R37="ย้าย","-",COUNTIF($FN31:$GR31,"ข")))</f>
        <v/>
      </c>
      <c r="HZ31" s="422" t="str">
        <f>IF(OR(COUNTA($GU$3:$HS$3,$HU$3)=0,$A31=""),"",IF('2.ชื่อนักเรียน'!R37="ย้าย","-",SUM(GU31,GZ31,HE31,HJ31,HO31,HU31)))</f>
        <v/>
      </c>
      <c r="IA31" s="425" t="str">
        <f>IF(OR(COUNTA($GU$3:$HS$3,$HU$3)=0,$A31=""),"",IF('2.ชื่อนักเรียน'!R37="ย้าย","-",SUM(GV31,HA31,HF31,HK31,HP31,HV31)))</f>
        <v/>
      </c>
      <c r="IB31" s="423" t="str">
        <f>IF(OR(COUNTA($GU$3:$HS$3,$HU$3)=0,$A31=""),"",IF('2.ชื่อนักเรียน'!R37="ย้าย","-",SUM(GW31,HB31,HG31,HL31,HQ31,HW31)))</f>
        <v/>
      </c>
      <c r="IC31" s="423" t="str">
        <f>IF(OR(COUNTA($GU$3:$HS$3,$HU$3)=0,$A31=""),"",IF('2.ชื่อนักเรียน'!R37="ย้าย","-",SUM(GX31,HC31,HH31,HM31,HR31,HX31)))</f>
        <v/>
      </c>
      <c r="ID31" s="424" t="str">
        <f>IF(OR(COUNTA($GU$3:$HS$3,$HU$3)=0,$A31=""),"",IF('2.ชื่อนักเรียน'!R37="ย้าย","-",SUM(GY31,HD31,HI31,HN31,HS31,HY31)))</f>
        <v/>
      </c>
      <c r="IE31" s="418" t="str">
        <f t="shared" si="0"/>
        <v/>
      </c>
      <c r="IF31" s="438" t="str">
        <f>IF(IE31="","",IF('2.ชื่อนักเรียน'!R37="ย้าย","ย้าย",(IE31*100)/COUNTA($E$4:$AI$4,$AL$4:$BP$4,$BS$4:$CW$4,$CZ$4:$ED$4,$EG$4:$FK$4,$FN$4:$GR$4)))</f>
        <v/>
      </c>
      <c r="IG31" s="449"/>
      <c r="IH31" s="611"/>
      <c r="II31" s="611"/>
      <c r="IJ31" s="611"/>
      <c r="IK31" s="611"/>
      <c r="IL31" s="611"/>
      <c r="IM31" s="611"/>
      <c r="IN31" s="611"/>
      <c r="IO31" s="611"/>
      <c r="IP31" s="611"/>
      <c r="IQ31" s="611"/>
      <c r="IR31" s="450"/>
    </row>
    <row r="32" spans="1:252" ht="21" customHeight="1" x14ac:dyDescent="0.4">
      <c r="A32" s="416" t="str">
        <f>IF(Name28="","",Name28)</f>
        <v/>
      </c>
      <c r="B32" s="417" t="str">
        <f>IF(Surname28="","",Surname28)</f>
        <v/>
      </c>
      <c r="C32" s="442" t="str">
        <f>IF('2.ชื่อนักเรียน'!R38="","",'2.ชื่อนักเรียน'!R38)</f>
        <v/>
      </c>
      <c r="D32" s="418">
        <v>28</v>
      </c>
      <c r="E32" s="419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1"/>
      <c r="AJ32" s="418" t="str">
        <f>IF(COUNTA($E$4:AI$4)=0,"",IF('2.ชื่อนักเรียน'!R38="ย้าย","ย้าย",GU32))</f>
        <v/>
      </c>
      <c r="AK32" s="418">
        <v>28</v>
      </c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18" t="str">
        <f>IF(COUNTA($AL$4:$BP$4)=0,"",IF('2.ชื่อนักเรียน'!R38="ย้าย","ย้าย",GZ32))</f>
        <v/>
      </c>
      <c r="BR32" s="418">
        <v>28</v>
      </c>
      <c r="BS32" s="419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O32" s="420"/>
      <c r="CP32" s="420"/>
      <c r="CQ32" s="420"/>
      <c r="CR32" s="420"/>
      <c r="CS32" s="420"/>
      <c r="CT32" s="420"/>
      <c r="CU32" s="420"/>
      <c r="CV32" s="421"/>
      <c r="CW32" s="420"/>
      <c r="CX32" s="418" t="str">
        <f>IF(COUNTA($BS$4:$CW$4)=0,"",IF('2.ชื่อนักเรียน'!R38="ย้าย","ย้าย",HE32))</f>
        <v/>
      </c>
      <c r="CY32" s="418">
        <v>28</v>
      </c>
      <c r="CZ32" s="420"/>
      <c r="DA32" s="420"/>
      <c r="DB32" s="420"/>
      <c r="DC32" s="420"/>
      <c r="DD32" s="420"/>
      <c r="DE32" s="420"/>
      <c r="DF32" s="420"/>
      <c r="DG32" s="420"/>
      <c r="DH32" s="420"/>
      <c r="DI32" s="420"/>
      <c r="DJ32" s="420"/>
      <c r="DK32" s="420"/>
      <c r="DL32" s="420"/>
      <c r="DM32" s="420"/>
      <c r="DN32" s="420"/>
      <c r="DO32" s="420"/>
      <c r="DP32" s="420"/>
      <c r="DQ32" s="420"/>
      <c r="DR32" s="420"/>
      <c r="DS32" s="420"/>
      <c r="DT32" s="420"/>
      <c r="DU32" s="420"/>
      <c r="DV32" s="420"/>
      <c r="DW32" s="420"/>
      <c r="DX32" s="420"/>
      <c r="DY32" s="420"/>
      <c r="DZ32" s="420"/>
      <c r="EA32" s="420"/>
      <c r="EB32" s="420"/>
      <c r="EC32" s="421"/>
      <c r="ED32" s="421"/>
      <c r="EE32" s="418" t="str">
        <f>IF(COUNTA($CZ$4:$ED$4)=0,"",IF('2.ชื่อนักเรียน'!R38="ย้าย","ย้าย",HJ32))</f>
        <v/>
      </c>
      <c r="EF32" s="418">
        <v>28</v>
      </c>
      <c r="EG32" s="420"/>
      <c r="EH32" s="420"/>
      <c r="EI32" s="420"/>
      <c r="EJ32" s="420"/>
      <c r="EK32" s="420"/>
      <c r="EL32" s="420"/>
      <c r="EM32" s="420"/>
      <c r="EN32" s="420"/>
      <c r="EO32" s="420"/>
      <c r="EP32" s="420"/>
      <c r="EQ32" s="420"/>
      <c r="ER32" s="420"/>
      <c r="ES32" s="420"/>
      <c r="ET32" s="420"/>
      <c r="EU32" s="420"/>
      <c r="EV32" s="420"/>
      <c r="EW32" s="420"/>
      <c r="EX32" s="420"/>
      <c r="EY32" s="420"/>
      <c r="EZ32" s="420"/>
      <c r="FA32" s="420"/>
      <c r="FB32" s="420"/>
      <c r="FC32" s="420"/>
      <c r="FD32" s="420"/>
      <c r="FE32" s="420"/>
      <c r="FF32" s="420"/>
      <c r="FG32" s="420"/>
      <c r="FH32" s="420"/>
      <c r="FI32" s="420"/>
      <c r="FJ32" s="420"/>
      <c r="FK32" s="420"/>
      <c r="FL32" s="418" t="str">
        <f>IF(COUNTA($EG$4:$FK$4)=0,"",IF('2.ชื่อนักเรียน'!R38="ย้าย","ย้าย",HO32))</f>
        <v/>
      </c>
      <c r="FM32" s="418">
        <v>28</v>
      </c>
      <c r="FN32" s="419"/>
      <c r="FO32" s="420"/>
      <c r="FP32" s="420"/>
      <c r="FQ32" s="420"/>
      <c r="FR32" s="420"/>
      <c r="FS32" s="420"/>
      <c r="FT32" s="420"/>
      <c r="FU32" s="420"/>
      <c r="FV32" s="420"/>
      <c r="FW32" s="420"/>
      <c r="FX32" s="420"/>
      <c r="FY32" s="420"/>
      <c r="FZ32" s="420"/>
      <c r="GA32" s="420"/>
      <c r="GB32" s="420"/>
      <c r="GC32" s="420"/>
      <c r="GD32" s="420"/>
      <c r="GE32" s="420"/>
      <c r="GF32" s="420"/>
      <c r="GG32" s="420"/>
      <c r="GH32" s="420"/>
      <c r="GI32" s="420"/>
      <c r="GJ32" s="420"/>
      <c r="GK32" s="420"/>
      <c r="GL32" s="420"/>
      <c r="GM32" s="420"/>
      <c r="GN32" s="420"/>
      <c r="GO32" s="420"/>
      <c r="GP32" s="420"/>
      <c r="GQ32" s="421"/>
      <c r="GR32" s="421"/>
      <c r="GS32" s="418" t="str">
        <f>IF(COUNTA($FN$4:$GR$4)=0,"",IF('2.ชื่อนักเรียน'!R38="ย้าย","ย้าย",HU32))</f>
        <v/>
      </c>
      <c r="GT32" s="418">
        <v>28</v>
      </c>
      <c r="GU32" s="422" t="str">
        <f>IF(OR(COUNTA($E$4:$AI$4)=0,$A32=""),"",IF('2.ชื่อนักเรียน'!R38="ย้าย","-",COUNTIF($E32:$AI32,"/")))</f>
        <v/>
      </c>
      <c r="GV32" s="425" t="str">
        <f>IF(OR(COUNTA($E$4:$AI$4)=0,$A32=""),"",IF('2.ชื่อนักเรียน'!R38="ย้าย","-",COUNTIF($E32:$AI32,"ส")))</f>
        <v/>
      </c>
      <c r="GW32" s="423" t="str">
        <f>IF(OR(COUNTA($E$4:$AI$4)=0,$A32=""),"",IF('2.ชื่อนักเรียน'!R38="ย้าย","-",COUNTIF($E32:$AI32,"ป")))</f>
        <v/>
      </c>
      <c r="GX32" s="423" t="str">
        <f>IF(OR(COUNTA($E$4:$AI$4)=0,$A32=""),"",IF('2.ชื่อนักเรียน'!R38="ย้าย","-",COUNTIF($E32:$AI32,"ล")))</f>
        <v/>
      </c>
      <c r="GY32" s="426" t="str">
        <f>IF(OR(COUNTA($E$4:$AI$4)=0,$A32=""),"",IF('2.ชื่อนักเรียน'!R38="ย้าย","-",COUNTIF($E32:$AI32,"ข")))</f>
        <v/>
      </c>
      <c r="GZ32" s="422" t="str">
        <f>IF(OR(COUNTA($AL$4:$BP$4)=0,$A32=""),"",IF('2.ชื่อนักเรียน'!R38="ย้าย","-",COUNTIF($AL32:$BP32,"/")))</f>
        <v/>
      </c>
      <c r="HA32" s="425" t="str">
        <f>IF(OR(COUNTA($AL$4:$BP$4)=0,$A32=""),"",IF('2.ชื่อนักเรียน'!R38="ย้าย","-",COUNTIF($AL32:$BP32,"ส")))</f>
        <v/>
      </c>
      <c r="HB32" s="423" t="str">
        <f>IF(OR(COUNTA($AL$4:$BP$4)=0,$A32=""),"",IF('2.ชื่อนักเรียน'!R38="ย้าย","-",COUNTIF($AL32:$BP32,"ป")))</f>
        <v/>
      </c>
      <c r="HC32" s="423" t="str">
        <f>IF(OR(COUNTA($AL$4:$BP$4)=0,$A32=""),"",IF('2.ชื่อนักเรียน'!R38="ย้าย","-",COUNTIF($AL32:$BP32,"ล")))</f>
        <v/>
      </c>
      <c r="HD32" s="426" t="str">
        <f>IF(OR(COUNTA($AL$4:$BP$4)=0,$A32=""),"",IF('2.ชื่อนักเรียน'!R38="ย้าย","-",COUNTIF($AL32:$BP32,"ข")))</f>
        <v/>
      </c>
      <c r="HE32" s="422" t="str">
        <f>IF(OR(COUNTA($BS$4:$CW$4)=0,$A32=""),"",IF('2.ชื่อนักเรียน'!R38="ย้าย","-",COUNTIF($BS32:$CW32,"/")))</f>
        <v/>
      </c>
      <c r="HF32" s="425" t="str">
        <f>IF(OR(COUNTA($BS$4:$CW$4)=0,$A32=""),"",IF('2.ชื่อนักเรียน'!R38="ย้าย","-",COUNTIF($BS32:$CW32,"ส")))</f>
        <v/>
      </c>
      <c r="HG32" s="423" t="str">
        <f>IF(OR(COUNTA($BS$4:$CW$4)=0,$A32=""),"",IF('2.ชื่อนักเรียน'!R38="ย้าย","-",COUNTIF($BS32:$CW32,"ป")))</f>
        <v/>
      </c>
      <c r="HH32" s="423" t="str">
        <f>IF(OR(COUNTA($BS$4:$CW$4)=0,$A32=""),"",IF('2.ชื่อนักเรียน'!R38="ย้าย","-",COUNTIF($BS32:$CW32,"ล")))</f>
        <v/>
      </c>
      <c r="HI32" s="426" t="str">
        <f>IF(OR(COUNTA($BS$4:$CW$4)=0,$A32=""),"",IF('2.ชื่อนักเรียน'!R38="ย้าย","-",COUNTIF($BS32:$CW32,"ข")))</f>
        <v/>
      </c>
      <c r="HJ32" s="422" t="str">
        <f>IF(OR(COUNTA($CZ$4:$ED$4)=0,$A32=""),"",IF('2.ชื่อนักเรียน'!R38="ย้าย","-",COUNTIF($CZ32:$ED32,"/")))</f>
        <v/>
      </c>
      <c r="HK32" s="425" t="str">
        <f>IF(OR(COUNTA($CZ$4:$ED$4)=0,$A32=""),"",IF('2.ชื่อนักเรียน'!R38="ย้าย","-",COUNTIF($CZ32:$ED32,"ส")))</f>
        <v/>
      </c>
      <c r="HL32" s="423" t="str">
        <f>IF(OR(COUNTA($CZ$4:$ED$4)=0,$A32=""),"",IF('2.ชื่อนักเรียน'!R38="ย้าย","-",COUNTIF($CZ32:$ED32,"ป")))</f>
        <v/>
      </c>
      <c r="HM32" s="423" t="str">
        <f>IF(OR(COUNTA($CZ$4:$ED$4)=0,A32=""),"",IF('2.ชื่อนักเรียน'!R38="ย้าย","-",COUNTIF($CZ32:$ED32,"ล")))</f>
        <v/>
      </c>
      <c r="HN32" s="426" t="str">
        <f>IF(OR(COUNTA($CZ$4:$ED$4)=0,A32=""),"",IF('2.ชื่อนักเรียน'!R38="ย้าย","-",COUNTIF($CZ32:$ED32,"ข")))</f>
        <v/>
      </c>
      <c r="HO32" s="422" t="str">
        <f>IF(OR(COUNTA($EG$4:$FK$4)=0,$A32=""),"",IF('2.ชื่อนักเรียน'!R38="ย้าย","-",COUNTIF($EG32:$FK32,"/")))</f>
        <v/>
      </c>
      <c r="HP32" s="425" t="str">
        <f>IF(OR(COUNTA($EG$4:$FK$4)=0,$A32=""),"",IF('2.ชื่อนักเรียน'!R38="ย้าย","-",COUNTIF($EG32:$FK32,"ส")))</f>
        <v/>
      </c>
      <c r="HQ32" s="423" t="str">
        <f>IF(OR(COUNTA($EG$4:$FK$4)=0,$A32=""),"",IF('2.ชื่อนักเรียน'!R38="ย้าย","-",COUNTIF($EG32:$FK32,"ป")))</f>
        <v/>
      </c>
      <c r="HR32" s="423" t="str">
        <f>IF(OR(COUNTA($EG$4:$FK$4)=0,A32=""),"",IF('2.ชื่อนักเรียน'!R38="ย้าย","-",COUNTIF($EG32:$FK32,"ล")))</f>
        <v/>
      </c>
      <c r="HS32" s="426" t="str">
        <f>IF(OR(COUNTA($EG$4:$FK$4)=0,A32=""),"",IF('2.ชื่อนักเรียน'!R38="ย้าย","-",COUNTIF($EG32:$FK32,"ข")))</f>
        <v/>
      </c>
      <c r="HT32" s="418">
        <v>28</v>
      </c>
      <c r="HU32" s="422" t="str">
        <f>IF(OR(COUNTA($FN$4:$GR$4)=0,$A32=""),"",IF('2.ชื่อนักเรียน'!R38="ย้าย","-",COUNTIF($FN32:$GR32,"/")))</f>
        <v/>
      </c>
      <c r="HV32" s="425" t="str">
        <f>IF(OR(COUNTA($FN$4:$GR$4)=0,$A32=""),"",IF('2.ชื่อนักเรียน'!R38="ย้าย","-",COUNTIF($FN32:$GR32,"ส")))</f>
        <v/>
      </c>
      <c r="HW32" s="423" t="str">
        <f>IF(OR(COUNTA($FN$4:$GR$4)=0,$A32=""),"",IF('2.ชื่อนักเรียน'!R38="ย้าย","-",COUNTIF($FN32:$GR32,"ป")))</f>
        <v/>
      </c>
      <c r="HX32" s="423" t="str">
        <f>IF(OR(COUNTA($FN$4:$GR$4)=0,A32=""),"",IF('2.ชื่อนักเรียน'!R38="ย้าย","-",COUNTIF($FN32:$GR32,"ล")))</f>
        <v/>
      </c>
      <c r="HY32" s="423" t="str">
        <f>IF(OR(COUNTA($FN$4:$GR$4)=0,A32=""),"",IF('2.ชื่อนักเรียน'!R38="ย้าย","-",COUNTIF($FN32:$GR32,"ข")))</f>
        <v/>
      </c>
      <c r="HZ32" s="422" t="str">
        <f>IF(OR(COUNTA($GU$3:$HS$3,$HU$3)=0,$A32=""),"",IF('2.ชื่อนักเรียน'!R38="ย้าย","-",SUM(GU32,GZ32,HE32,HJ32,HO32,HU32)))</f>
        <v/>
      </c>
      <c r="IA32" s="425" t="str">
        <f>IF(OR(COUNTA($GU$3:$HS$3,$HU$3)=0,$A32=""),"",IF('2.ชื่อนักเรียน'!R38="ย้าย","-",SUM(GV32,HA32,HF32,HK32,HP32,HV32)))</f>
        <v/>
      </c>
      <c r="IB32" s="423" t="str">
        <f>IF(OR(COUNTA($GU$3:$HS$3,$HU$3)=0,$A32=""),"",IF('2.ชื่อนักเรียน'!R38="ย้าย","-",SUM(GW32,HB32,HG32,HL32,HQ32,HW32)))</f>
        <v/>
      </c>
      <c r="IC32" s="423" t="str">
        <f>IF(OR(COUNTA($GU$3:$HS$3,$HU$3)=0,$A32=""),"",IF('2.ชื่อนักเรียน'!R38="ย้าย","-",SUM(GX32,HC32,HH32,HM32,HR32,HX32)))</f>
        <v/>
      </c>
      <c r="ID32" s="424" t="str">
        <f>IF(OR(COUNTA($GU$3:$HS$3,$HU$3)=0,$A32=""),"",IF('2.ชื่อนักเรียน'!R38="ย้าย","-",SUM(GY32,HD32,HI32,HN32,HS32,HY32)))</f>
        <v/>
      </c>
      <c r="IE32" s="418" t="str">
        <f t="shared" si="0"/>
        <v/>
      </c>
      <c r="IF32" s="438" t="str">
        <f>IF(IE32="","",IF('2.ชื่อนักเรียน'!R38="ย้าย","ย้าย",(IE32*100)/COUNTA($E$4:$AI$4,$AL$4:$BP$4,$BS$4:$CW$4,$CZ$4:$ED$4,$EG$4:$FK$4,$FN$4:$GR$4)))</f>
        <v/>
      </c>
      <c r="IG32" s="449"/>
      <c r="IH32" s="611"/>
      <c r="II32" s="611"/>
      <c r="IJ32" s="611"/>
      <c r="IK32" s="611"/>
      <c r="IL32" s="611"/>
      <c r="IM32" s="611"/>
      <c r="IN32" s="611"/>
      <c r="IO32" s="611"/>
      <c r="IP32" s="611"/>
      <c r="IQ32" s="611"/>
      <c r="IR32" s="450"/>
    </row>
    <row r="33" spans="1:252" ht="21" customHeight="1" x14ac:dyDescent="0.4">
      <c r="A33" s="416" t="str">
        <f>IF(Name29="","",Name29)</f>
        <v/>
      </c>
      <c r="B33" s="417" t="str">
        <f>IF(Surname29="","",Surname29)</f>
        <v/>
      </c>
      <c r="C33" s="442" t="str">
        <f>IF('2.ชื่อนักเรียน'!R39="","",'2.ชื่อนักเรียน'!R39)</f>
        <v/>
      </c>
      <c r="D33" s="418">
        <v>29</v>
      </c>
      <c r="E33" s="419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1"/>
      <c r="AI33" s="421"/>
      <c r="AJ33" s="418" t="str">
        <f>IF(COUNTA($E$4:AI$4)=0,"",IF('2.ชื่อนักเรียน'!R39="ย้าย","ย้าย",GU33))</f>
        <v/>
      </c>
      <c r="AK33" s="418">
        <v>29</v>
      </c>
      <c r="AL33" s="419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1"/>
      <c r="BP33" s="421"/>
      <c r="BQ33" s="418" t="str">
        <f>IF(COUNTA($AL$4:$BP$4)=0,"",IF('2.ชื่อนักเรียน'!R39="ย้าย","ย้าย",GZ33))</f>
        <v/>
      </c>
      <c r="BR33" s="418">
        <v>29</v>
      </c>
      <c r="BS33" s="419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O33" s="420"/>
      <c r="CP33" s="420"/>
      <c r="CQ33" s="420"/>
      <c r="CR33" s="420"/>
      <c r="CS33" s="420"/>
      <c r="CT33" s="420"/>
      <c r="CU33" s="420"/>
      <c r="CV33" s="421"/>
      <c r="CW33" s="421"/>
      <c r="CX33" s="418" t="str">
        <f>IF(COUNTA($BS$4:$CW$4)=0,"",IF('2.ชื่อนักเรียน'!R39="ย้าย","ย้าย",HE33))</f>
        <v/>
      </c>
      <c r="CY33" s="418">
        <v>29</v>
      </c>
      <c r="CZ33" s="419"/>
      <c r="DA33" s="420"/>
      <c r="DB33" s="420"/>
      <c r="DC33" s="420"/>
      <c r="DD33" s="420"/>
      <c r="DE33" s="420"/>
      <c r="DF33" s="420"/>
      <c r="DG33" s="420"/>
      <c r="DH33" s="420"/>
      <c r="DI33" s="420"/>
      <c r="DJ33" s="420"/>
      <c r="DK33" s="420"/>
      <c r="DL33" s="420"/>
      <c r="DM33" s="420"/>
      <c r="DN33" s="420"/>
      <c r="DO33" s="420"/>
      <c r="DP33" s="420"/>
      <c r="DQ33" s="420"/>
      <c r="DR33" s="420"/>
      <c r="DS33" s="420"/>
      <c r="DT33" s="420"/>
      <c r="DU33" s="420"/>
      <c r="DV33" s="420"/>
      <c r="DW33" s="420"/>
      <c r="DX33" s="420"/>
      <c r="DY33" s="420"/>
      <c r="DZ33" s="420"/>
      <c r="EA33" s="420"/>
      <c r="EB33" s="420"/>
      <c r="EC33" s="421"/>
      <c r="ED33" s="421"/>
      <c r="EE33" s="418" t="str">
        <f>IF(COUNTA($CZ$4:$ED$4)=0,"",IF('2.ชื่อนักเรียน'!R39="ย้าย","ย้าย",HJ33))</f>
        <v/>
      </c>
      <c r="EF33" s="418">
        <v>29</v>
      </c>
      <c r="EG33" s="419"/>
      <c r="EH33" s="420"/>
      <c r="EI33" s="420"/>
      <c r="EJ33" s="420"/>
      <c r="EK33" s="420"/>
      <c r="EL33" s="420"/>
      <c r="EM33" s="420"/>
      <c r="EN33" s="420"/>
      <c r="EO33" s="420"/>
      <c r="EP33" s="420"/>
      <c r="EQ33" s="420"/>
      <c r="ER33" s="420"/>
      <c r="ES33" s="420"/>
      <c r="ET33" s="420"/>
      <c r="EU33" s="420"/>
      <c r="EV33" s="420"/>
      <c r="EW33" s="420"/>
      <c r="EX33" s="420"/>
      <c r="EY33" s="420"/>
      <c r="EZ33" s="420"/>
      <c r="FA33" s="420"/>
      <c r="FB33" s="420"/>
      <c r="FC33" s="420"/>
      <c r="FD33" s="420"/>
      <c r="FE33" s="420"/>
      <c r="FF33" s="420"/>
      <c r="FG33" s="420"/>
      <c r="FH33" s="420"/>
      <c r="FI33" s="420"/>
      <c r="FJ33" s="421"/>
      <c r="FK33" s="421"/>
      <c r="FL33" s="418" t="str">
        <f>IF(COUNTA($EG$4:$FK$4)=0,"",IF('2.ชื่อนักเรียน'!R39="ย้าย","ย้าย",HO33))</f>
        <v/>
      </c>
      <c r="FM33" s="418">
        <v>29</v>
      </c>
      <c r="FN33" s="419"/>
      <c r="FO33" s="420"/>
      <c r="FP33" s="420"/>
      <c r="FQ33" s="420"/>
      <c r="FR33" s="420"/>
      <c r="FS33" s="420"/>
      <c r="FT33" s="420"/>
      <c r="FU33" s="420"/>
      <c r="FV33" s="420"/>
      <c r="FW33" s="420"/>
      <c r="FX33" s="420"/>
      <c r="FY33" s="420"/>
      <c r="FZ33" s="420"/>
      <c r="GA33" s="420"/>
      <c r="GB33" s="420"/>
      <c r="GC33" s="420"/>
      <c r="GD33" s="420"/>
      <c r="GE33" s="420"/>
      <c r="GF33" s="420"/>
      <c r="GG33" s="420"/>
      <c r="GH33" s="420"/>
      <c r="GI33" s="420"/>
      <c r="GJ33" s="420"/>
      <c r="GK33" s="420"/>
      <c r="GL33" s="420"/>
      <c r="GM33" s="420"/>
      <c r="GN33" s="420"/>
      <c r="GO33" s="420"/>
      <c r="GP33" s="420"/>
      <c r="GQ33" s="421"/>
      <c r="GR33" s="421"/>
      <c r="GS33" s="418" t="str">
        <f>IF(COUNTA($FN$4:$GR$4)=0,"",IF('2.ชื่อนักเรียน'!R39="ย้าย","ย้าย",HU33))</f>
        <v/>
      </c>
      <c r="GT33" s="418">
        <v>29</v>
      </c>
      <c r="GU33" s="422" t="str">
        <f>IF(OR(COUNTA($E$4:$AI$4)=0,$A33=""),"",IF('2.ชื่อนักเรียน'!R39="ย้าย","-",COUNTIF($E33:$AI33,"/")))</f>
        <v/>
      </c>
      <c r="GV33" s="425" t="str">
        <f>IF(OR(COUNTA($E$4:$AI$4)=0,$A33=""),"",IF('2.ชื่อนักเรียน'!R39="ย้าย","-",COUNTIF($E33:$AI33,"ส")))</f>
        <v/>
      </c>
      <c r="GW33" s="423" t="str">
        <f>IF(OR(COUNTA($E$4:$AI$4)=0,$A33=""),"",IF('2.ชื่อนักเรียน'!R39="ย้าย","-",COUNTIF($E33:$AI33,"ป")))</f>
        <v/>
      </c>
      <c r="GX33" s="423" t="str">
        <f>IF(OR(COUNTA($E$4:$AI$4)=0,$A33=""),"",IF('2.ชื่อนักเรียน'!R39="ย้าย","-",COUNTIF($E33:$AI33,"ล")))</f>
        <v/>
      </c>
      <c r="GY33" s="426" t="str">
        <f>IF(OR(COUNTA($E$4:$AI$4)=0,$A33=""),"",IF('2.ชื่อนักเรียน'!R39="ย้าย","-",COUNTIF($E33:$AI33,"ข")))</f>
        <v/>
      </c>
      <c r="GZ33" s="422" t="str">
        <f>IF(OR(COUNTA($AL$4:$BP$4)=0,$A33=""),"",IF('2.ชื่อนักเรียน'!R39="ย้าย","-",COUNTIF($AL33:$BP33,"/")))</f>
        <v/>
      </c>
      <c r="HA33" s="425" t="str">
        <f>IF(OR(COUNTA($AL$4:$BP$4)=0,$A33=""),"",IF('2.ชื่อนักเรียน'!R39="ย้าย","-",COUNTIF($AL33:$BP33,"ส")))</f>
        <v/>
      </c>
      <c r="HB33" s="423" t="str">
        <f>IF(OR(COUNTA($AL$4:$BP$4)=0,$A33=""),"",IF('2.ชื่อนักเรียน'!R39="ย้าย","-",COUNTIF($AL33:$BP33,"ป")))</f>
        <v/>
      </c>
      <c r="HC33" s="423" t="str">
        <f>IF(OR(COUNTA($AL$4:$BP$4)=0,$A33=""),"",IF('2.ชื่อนักเรียน'!R39="ย้าย","-",COUNTIF($AL33:$BP33,"ล")))</f>
        <v/>
      </c>
      <c r="HD33" s="426" t="str">
        <f>IF(OR(COUNTA($AL$4:$BP$4)=0,$A33=""),"",IF('2.ชื่อนักเรียน'!R39="ย้าย","-",COUNTIF($AL33:$BP33,"ข")))</f>
        <v/>
      </c>
      <c r="HE33" s="422" t="str">
        <f>IF(OR(COUNTA($BS$4:$CW$4)=0,$A33=""),"",IF('2.ชื่อนักเรียน'!R39="ย้าย","-",COUNTIF($BS33:$CW33,"/")))</f>
        <v/>
      </c>
      <c r="HF33" s="425" t="str">
        <f>IF(OR(COUNTA($BS$4:$CW$4)=0,$A33=""),"",IF('2.ชื่อนักเรียน'!R39="ย้าย","-",COUNTIF($BS33:$CW33,"ส")))</f>
        <v/>
      </c>
      <c r="HG33" s="423" t="str">
        <f>IF(OR(COUNTA($BS$4:$CW$4)=0,$A33=""),"",IF('2.ชื่อนักเรียน'!R39="ย้าย","-",COUNTIF($BS33:$CW33,"ป")))</f>
        <v/>
      </c>
      <c r="HH33" s="423" t="str">
        <f>IF(OR(COUNTA($BS$4:$CW$4)=0,$A33=""),"",IF('2.ชื่อนักเรียน'!R39="ย้าย","-",COUNTIF($BS33:$CW33,"ล")))</f>
        <v/>
      </c>
      <c r="HI33" s="426" t="str">
        <f>IF(OR(COUNTA($BS$4:$CW$4)=0,$A33=""),"",IF('2.ชื่อนักเรียน'!R39="ย้าย","-",COUNTIF($BS33:$CW33,"ข")))</f>
        <v/>
      </c>
      <c r="HJ33" s="422" t="str">
        <f>IF(OR(COUNTA($CZ$4:$ED$4)=0,$A33=""),"",IF('2.ชื่อนักเรียน'!R39="ย้าย","-",COUNTIF($CZ33:$ED33,"/")))</f>
        <v/>
      </c>
      <c r="HK33" s="425" t="str">
        <f>IF(OR(COUNTA($CZ$4:$ED$4)=0,$A33=""),"",IF('2.ชื่อนักเรียน'!R39="ย้าย","-",COUNTIF($CZ33:$ED33,"ส")))</f>
        <v/>
      </c>
      <c r="HL33" s="423" t="str">
        <f>IF(OR(COUNTA($CZ$4:$ED$4)=0,$A33=""),"",IF('2.ชื่อนักเรียน'!R39="ย้าย","-",COUNTIF($CZ33:$ED33,"ป")))</f>
        <v/>
      </c>
      <c r="HM33" s="423" t="str">
        <f>IF(OR(COUNTA($CZ$4:$ED$4)=0,A33=""),"",IF('2.ชื่อนักเรียน'!R39="ย้าย","-",COUNTIF($CZ33:$ED33,"ล")))</f>
        <v/>
      </c>
      <c r="HN33" s="426" t="str">
        <f>IF(OR(COUNTA($CZ$4:$ED$4)=0,A33=""),"",IF('2.ชื่อนักเรียน'!R39="ย้าย","-",COUNTIF($CZ33:$ED33,"ข")))</f>
        <v/>
      </c>
      <c r="HO33" s="422" t="str">
        <f>IF(OR(COUNTA($EG$4:$FK$4)=0,$A33=""),"",IF('2.ชื่อนักเรียน'!R39="ย้าย","-",COUNTIF($EG33:$FK33,"/")))</f>
        <v/>
      </c>
      <c r="HP33" s="425" t="str">
        <f>IF(OR(COUNTA($EG$4:$FK$4)=0,$A33=""),"",IF('2.ชื่อนักเรียน'!R39="ย้าย","-",COUNTIF($EG33:$FK33,"ส")))</f>
        <v/>
      </c>
      <c r="HQ33" s="423" t="str">
        <f>IF(OR(COUNTA($EG$4:$FK$4)=0,$A33=""),"",IF('2.ชื่อนักเรียน'!R39="ย้าย","-",COUNTIF($EG33:$FK33,"ป")))</f>
        <v/>
      </c>
      <c r="HR33" s="423" t="str">
        <f>IF(OR(COUNTA($EG$4:$FK$4)=0,A33=""),"",IF('2.ชื่อนักเรียน'!R39="ย้าย","-",COUNTIF($EG33:$FK33,"ล")))</f>
        <v/>
      </c>
      <c r="HS33" s="426" t="str">
        <f>IF(OR(COUNTA($EG$4:$FK$4)=0,A33=""),"",IF('2.ชื่อนักเรียน'!R39="ย้าย","-",COUNTIF($EG33:$FK33,"ข")))</f>
        <v/>
      </c>
      <c r="HT33" s="418">
        <v>29</v>
      </c>
      <c r="HU33" s="422" t="str">
        <f>IF(OR(COUNTA($FN$4:$GR$4)=0,$A33=""),"",IF('2.ชื่อนักเรียน'!R39="ย้าย","-",COUNTIF($FN33:$GR33,"/")))</f>
        <v/>
      </c>
      <c r="HV33" s="425" t="str">
        <f>IF(OR(COUNTA($FN$4:$GR$4)=0,$A33=""),"",IF('2.ชื่อนักเรียน'!R39="ย้าย","-",COUNTIF($FN33:$GR33,"ส")))</f>
        <v/>
      </c>
      <c r="HW33" s="423" t="str">
        <f>IF(OR(COUNTA($FN$4:$GR$4)=0,$A33=""),"",IF('2.ชื่อนักเรียน'!R39="ย้าย","-",COUNTIF($FN33:$GR33,"ป")))</f>
        <v/>
      </c>
      <c r="HX33" s="423" t="str">
        <f>IF(OR(COUNTA($FN$4:$GR$4)=0,A33=""),"",IF('2.ชื่อนักเรียน'!R39="ย้าย","-",COUNTIF($FN33:$GR33,"ล")))</f>
        <v/>
      </c>
      <c r="HY33" s="423" t="str">
        <f>IF(OR(COUNTA($FN$4:$GR$4)=0,A33=""),"",IF('2.ชื่อนักเรียน'!R39="ย้าย","-",COUNTIF($FN33:$GR33,"ข")))</f>
        <v/>
      </c>
      <c r="HZ33" s="422" t="str">
        <f>IF(OR(COUNTA($GU$3:$HS$3,$HU$3)=0,$A33=""),"",IF('2.ชื่อนักเรียน'!R39="ย้าย","-",SUM(GU33,GZ33,HE33,HJ33,HO33,HU33)))</f>
        <v/>
      </c>
      <c r="IA33" s="425" t="str">
        <f>IF(OR(COUNTA($GU$3:$HS$3,$HU$3)=0,$A33=""),"",IF('2.ชื่อนักเรียน'!R39="ย้าย","-",SUM(GV33,HA33,HF33,HK33,HP33,HV33)))</f>
        <v/>
      </c>
      <c r="IB33" s="423" t="str">
        <f>IF(OR(COUNTA($GU$3:$HS$3,$HU$3)=0,$A33=""),"",IF('2.ชื่อนักเรียน'!R39="ย้าย","-",SUM(GW33,HB33,HG33,HL33,HQ33,HW33)))</f>
        <v/>
      </c>
      <c r="IC33" s="423" t="str">
        <f>IF(OR(COUNTA($GU$3:$HS$3,$HU$3)=0,$A33=""),"",IF('2.ชื่อนักเรียน'!R39="ย้าย","-",SUM(GX33,HC33,HH33,HM33,HR33,HX33)))</f>
        <v/>
      </c>
      <c r="ID33" s="424" t="str">
        <f>IF(OR(COUNTA($GU$3:$HS$3,$HU$3)=0,$A33=""),"",IF('2.ชื่อนักเรียน'!R39="ย้าย","-",SUM(GY33,HD33,HI33,HN33,HS33,HY33)))</f>
        <v/>
      </c>
      <c r="IE33" s="418" t="str">
        <f t="shared" si="0"/>
        <v/>
      </c>
      <c r="IF33" s="438" t="str">
        <f>IF(IE33="","",IF('2.ชื่อนักเรียน'!R39="ย้าย","ย้าย",(IE33*100)/COUNTA($E$4:$AI$4,$AL$4:$BP$4,$BS$4:$CW$4,$CZ$4:$ED$4,$EG$4:$FK$4,$FN$4:$GR$4)))</f>
        <v/>
      </c>
      <c r="IG33" s="449"/>
      <c r="IH33" s="605"/>
      <c r="II33" s="605"/>
      <c r="IJ33" s="605"/>
      <c r="IK33" s="605"/>
      <c r="IL33" s="605"/>
      <c r="IM33" s="605"/>
      <c r="IN33" s="605"/>
      <c r="IO33" s="605"/>
      <c r="IP33" s="605"/>
      <c r="IQ33" s="605"/>
      <c r="IR33" s="450"/>
    </row>
    <row r="34" spans="1:252" ht="21" customHeight="1" x14ac:dyDescent="0.4">
      <c r="A34" s="416" t="str">
        <f>IF(Name30="","",Name30)</f>
        <v/>
      </c>
      <c r="B34" s="417" t="str">
        <f>IF(Surname30="","",Surname30)</f>
        <v/>
      </c>
      <c r="C34" s="442" t="str">
        <f>IF('2.ชื่อนักเรียน'!R40="","",'2.ชื่อนักเรียน'!R40)</f>
        <v/>
      </c>
      <c r="D34" s="418">
        <v>30</v>
      </c>
      <c r="E34" s="419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1"/>
      <c r="AI34" s="421"/>
      <c r="AJ34" s="418" t="str">
        <f>IF(COUNTA($E$4:AI$4)=0,"",IF('2.ชื่อนักเรียน'!R40="ย้าย","ย้าย",GU34))</f>
        <v/>
      </c>
      <c r="AK34" s="418">
        <v>30</v>
      </c>
      <c r="AL34" s="419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  <c r="BN34" s="420"/>
      <c r="BO34" s="421"/>
      <c r="BP34" s="421"/>
      <c r="BQ34" s="418" t="str">
        <f>IF(COUNTA($AL$4:$BP$4)=0,"",IF('2.ชื่อนักเรียน'!R40="ย้าย","ย้าย",GZ34))</f>
        <v/>
      </c>
      <c r="BR34" s="418">
        <v>30</v>
      </c>
      <c r="BS34" s="419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1"/>
      <c r="CW34" s="421"/>
      <c r="CX34" s="418" t="str">
        <f>IF(COUNTA($BS$4:$CW$4)=0,"",IF('2.ชื่อนักเรียน'!R40="ย้าย","ย้าย",HE34))</f>
        <v/>
      </c>
      <c r="CY34" s="418">
        <v>30</v>
      </c>
      <c r="CZ34" s="419"/>
      <c r="DA34" s="420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0"/>
      <c r="DQ34" s="420"/>
      <c r="DR34" s="420"/>
      <c r="DS34" s="420"/>
      <c r="DT34" s="420"/>
      <c r="DU34" s="420"/>
      <c r="DV34" s="420"/>
      <c r="DW34" s="420"/>
      <c r="DX34" s="420"/>
      <c r="DY34" s="420"/>
      <c r="DZ34" s="420"/>
      <c r="EA34" s="420"/>
      <c r="EB34" s="420"/>
      <c r="EC34" s="421"/>
      <c r="ED34" s="421"/>
      <c r="EE34" s="418" t="str">
        <f>IF(COUNTA($CZ$4:$ED$4)=0,"",IF('2.ชื่อนักเรียน'!R40="ย้าย","ย้าย",HJ34))</f>
        <v/>
      </c>
      <c r="EF34" s="418">
        <v>30</v>
      </c>
      <c r="EG34" s="419"/>
      <c r="EH34" s="420"/>
      <c r="EI34" s="420"/>
      <c r="EJ34" s="420"/>
      <c r="EK34" s="420"/>
      <c r="EL34" s="420"/>
      <c r="EM34" s="420"/>
      <c r="EN34" s="420"/>
      <c r="EO34" s="420"/>
      <c r="EP34" s="420"/>
      <c r="EQ34" s="420"/>
      <c r="ER34" s="420"/>
      <c r="ES34" s="420"/>
      <c r="ET34" s="420"/>
      <c r="EU34" s="420"/>
      <c r="EV34" s="420"/>
      <c r="EW34" s="420"/>
      <c r="EX34" s="420"/>
      <c r="EY34" s="420"/>
      <c r="EZ34" s="420"/>
      <c r="FA34" s="420"/>
      <c r="FB34" s="420"/>
      <c r="FC34" s="420"/>
      <c r="FD34" s="420"/>
      <c r="FE34" s="420"/>
      <c r="FF34" s="420"/>
      <c r="FG34" s="420"/>
      <c r="FH34" s="420"/>
      <c r="FI34" s="420"/>
      <c r="FJ34" s="421"/>
      <c r="FK34" s="421"/>
      <c r="FL34" s="418" t="str">
        <f>IF(COUNTA($EG$4:$FK$4)=0,"",IF('2.ชื่อนักเรียน'!R40="ย้าย","ย้าย",HO34))</f>
        <v/>
      </c>
      <c r="FM34" s="418">
        <v>30</v>
      </c>
      <c r="FN34" s="419"/>
      <c r="FO34" s="420"/>
      <c r="FP34" s="420"/>
      <c r="FQ34" s="420"/>
      <c r="FR34" s="420"/>
      <c r="FS34" s="420"/>
      <c r="FT34" s="420"/>
      <c r="FU34" s="420"/>
      <c r="FV34" s="420"/>
      <c r="FW34" s="420"/>
      <c r="FX34" s="420"/>
      <c r="FY34" s="420"/>
      <c r="FZ34" s="420"/>
      <c r="GA34" s="420"/>
      <c r="GB34" s="420"/>
      <c r="GC34" s="420"/>
      <c r="GD34" s="420"/>
      <c r="GE34" s="420"/>
      <c r="GF34" s="420"/>
      <c r="GG34" s="420"/>
      <c r="GH34" s="420"/>
      <c r="GI34" s="420"/>
      <c r="GJ34" s="420"/>
      <c r="GK34" s="420"/>
      <c r="GL34" s="420"/>
      <c r="GM34" s="420"/>
      <c r="GN34" s="420"/>
      <c r="GO34" s="420"/>
      <c r="GP34" s="420"/>
      <c r="GQ34" s="421"/>
      <c r="GR34" s="421"/>
      <c r="GS34" s="418" t="str">
        <f>IF(COUNTA($FN$4:$GR$4)=0,"",IF('2.ชื่อนักเรียน'!R40="ย้าย","ย้าย",HU34))</f>
        <v/>
      </c>
      <c r="GT34" s="418">
        <v>30</v>
      </c>
      <c r="GU34" s="422" t="str">
        <f>IF(OR(COUNTA($E$4:$AI$4)=0,$A34=""),"",IF('2.ชื่อนักเรียน'!R40="ย้าย","-",COUNTIF($E34:$AI34,"/")))</f>
        <v/>
      </c>
      <c r="GV34" s="425" t="str">
        <f>IF(OR(COUNTA($E$4:$AI$4)=0,$A34=""),"",IF('2.ชื่อนักเรียน'!R40="ย้าย","-",COUNTIF($E34:$AI34,"ส")))</f>
        <v/>
      </c>
      <c r="GW34" s="423" t="str">
        <f>IF(OR(COUNTA($E$4:$AI$4)=0,$A34=""),"",IF('2.ชื่อนักเรียน'!R40="ย้าย","-",COUNTIF($E34:$AI34,"ป")))</f>
        <v/>
      </c>
      <c r="GX34" s="423" t="str">
        <f>IF(OR(COUNTA($E$4:$AI$4)=0,$A34=""),"",IF('2.ชื่อนักเรียน'!R40="ย้าย","-",COUNTIF($E34:$AI34,"ล")))</f>
        <v/>
      </c>
      <c r="GY34" s="426" t="str">
        <f>IF(OR(COUNTA($E$4:$AI$4)=0,$A34=""),"",IF('2.ชื่อนักเรียน'!R40="ย้าย","-",COUNTIF($E34:$AI34,"ข")))</f>
        <v/>
      </c>
      <c r="GZ34" s="422" t="str">
        <f>IF(OR(COUNTA($AL$4:$BP$4)=0,$A34=""),"",IF('2.ชื่อนักเรียน'!R40="ย้าย","-",COUNTIF($AL34:$BP34,"/")))</f>
        <v/>
      </c>
      <c r="HA34" s="425" t="str">
        <f>IF(OR(COUNTA($AL$4:$BP$4)=0,$A34=""),"",IF('2.ชื่อนักเรียน'!R40="ย้าย","-",COUNTIF($AL34:$BP34,"ส")))</f>
        <v/>
      </c>
      <c r="HB34" s="423" t="str">
        <f>IF(OR(COUNTA($AL$4:$BP$4)=0,$A34=""),"",IF('2.ชื่อนักเรียน'!R40="ย้าย","-",COUNTIF($AL34:$BP34,"ป")))</f>
        <v/>
      </c>
      <c r="HC34" s="423" t="str">
        <f>IF(OR(COUNTA($AL$4:$BP$4)=0,$A34=""),"",IF('2.ชื่อนักเรียน'!R40="ย้าย","-",COUNTIF($AL34:$BP34,"ล")))</f>
        <v/>
      </c>
      <c r="HD34" s="426" t="str">
        <f>IF(OR(COUNTA($AL$4:$BP$4)=0,$A34=""),"",IF('2.ชื่อนักเรียน'!R40="ย้าย","-",COUNTIF($AL34:$BP34,"ข")))</f>
        <v/>
      </c>
      <c r="HE34" s="422" t="str">
        <f>IF(OR(COUNTA($BS$4:$CW$4)=0,$A34=""),"",IF('2.ชื่อนักเรียน'!R40="ย้าย","-",COUNTIF($BS34:$CW34,"/")))</f>
        <v/>
      </c>
      <c r="HF34" s="425" t="str">
        <f>IF(OR(COUNTA($BS$4:$CW$4)=0,$A34=""),"",IF('2.ชื่อนักเรียน'!R40="ย้าย","-",COUNTIF($BS34:$CW34,"ส")))</f>
        <v/>
      </c>
      <c r="HG34" s="423" t="str">
        <f>IF(OR(COUNTA($BS$4:$CW$4)=0,$A34=""),"",IF('2.ชื่อนักเรียน'!R40="ย้าย","-",COUNTIF($BS34:$CW34,"ป")))</f>
        <v/>
      </c>
      <c r="HH34" s="423" t="str">
        <f>IF(OR(COUNTA($BS$4:$CW$4)=0,$A34=""),"",IF('2.ชื่อนักเรียน'!R40="ย้าย","-",COUNTIF($BS34:$CW34,"ล")))</f>
        <v/>
      </c>
      <c r="HI34" s="426" t="str">
        <f>IF(OR(COUNTA($BS$4:$CW$4)=0,$A34=""),"",IF('2.ชื่อนักเรียน'!R40="ย้าย","-",COUNTIF($BS34:$CW34,"ข")))</f>
        <v/>
      </c>
      <c r="HJ34" s="422" t="str">
        <f>IF(OR(COUNTA($CZ$4:$ED$4)=0,$A34=""),"",IF('2.ชื่อนักเรียน'!R40="ย้าย","-",COUNTIF($CZ34:$ED34,"/")))</f>
        <v/>
      </c>
      <c r="HK34" s="425" t="str">
        <f>IF(OR(COUNTA($CZ$4:$ED$4)=0,$A34=""),"",IF('2.ชื่อนักเรียน'!R40="ย้าย","-",COUNTIF($CZ34:$ED34,"ส")))</f>
        <v/>
      </c>
      <c r="HL34" s="423" t="str">
        <f>IF(OR(COUNTA($CZ$4:$ED$4)=0,$A34=""),"",IF('2.ชื่อนักเรียน'!R40="ย้าย","-",COUNTIF($CZ34:$ED34,"ป")))</f>
        <v/>
      </c>
      <c r="HM34" s="423" t="str">
        <f>IF(OR(COUNTA($CZ$4:$ED$4)=0,A34=""),"",IF('2.ชื่อนักเรียน'!R40="ย้าย","-",COUNTIF($CZ34:$ED34,"ล")))</f>
        <v/>
      </c>
      <c r="HN34" s="426" t="str">
        <f>IF(OR(COUNTA($CZ$4:$ED$4)=0,A34=""),"",IF('2.ชื่อนักเรียน'!R40="ย้าย","-",COUNTIF($CZ34:$ED34,"ข")))</f>
        <v/>
      </c>
      <c r="HO34" s="422" t="str">
        <f>IF(OR(COUNTA($EG$4:$FK$4)=0,$A34=""),"",IF('2.ชื่อนักเรียน'!R40="ย้าย","-",COUNTIF($EG34:$FK34,"/")))</f>
        <v/>
      </c>
      <c r="HP34" s="425" t="str">
        <f>IF(OR(COUNTA($EG$4:$FK$4)=0,$A34=""),"",IF('2.ชื่อนักเรียน'!R40="ย้าย","-",COUNTIF($EG34:$FK34,"ส")))</f>
        <v/>
      </c>
      <c r="HQ34" s="423" t="str">
        <f>IF(OR(COUNTA($EG$4:$FK$4)=0,$A34=""),"",IF('2.ชื่อนักเรียน'!R40="ย้าย","-",COUNTIF($EG34:$FK34,"ป")))</f>
        <v/>
      </c>
      <c r="HR34" s="423" t="str">
        <f>IF(OR(COUNTA($EG$4:$FK$4)=0,A34=""),"",IF('2.ชื่อนักเรียน'!R40="ย้าย","-",COUNTIF($EG34:$FK34,"ล")))</f>
        <v/>
      </c>
      <c r="HS34" s="426" t="str">
        <f>IF(OR(COUNTA($EG$4:$FK$4)=0,A34=""),"",IF('2.ชื่อนักเรียน'!R40="ย้าย","-",COUNTIF($EG34:$FK34,"ข")))</f>
        <v/>
      </c>
      <c r="HT34" s="418">
        <v>30</v>
      </c>
      <c r="HU34" s="422" t="str">
        <f>IF(OR(COUNTA($FN$4:$GR$4)=0,$A34=""),"",IF('2.ชื่อนักเรียน'!R40="ย้าย","-",COUNTIF($FN34:$GR34,"/")))</f>
        <v/>
      </c>
      <c r="HV34" s="425" t="str">
        <f>IF(OR(COUNTA($FN$4:$GR$4)=0,$A34=""),"",IF('2.ชื่อนักเรียน'!R40="ย้าย","-",COUNTIF($FN34:$GR34,"ส")))</f>
        <v/>
      </c>
      <c r="HW34" s="423" t="str">
        <f>IF(OR(COUNTA($FN$4:$GR$4)=0,$A34=""),"",IF('2.ชื่อนักเรียน'!R40="ย้าย","-",COUNTIF($FN34:$GR34,"ป")))</f>
        <v/>
      </c>
      <c r="HX34" s="423" t="str">
        <f>IF(OR(COUNTA($FN$4:$GR$4)=0,A34=""),"",IF('2.ชื่อนักเรียน'!R40="ย้าย","-",COUNTIF($FN34:$GR34,"ล")))</f>
        <v/>
      </c>
      <c r="HY34" s="423" t="str">
        <f>IF(OR(COUNTA($FN$4:$GR$4)=0,A34=""),"",IF('2.ชื่อนักเรียน'!R40="ย้าย","-",COUNTIF($FN34:$GR34,"ข")))</f>
        <v/>
      </c>
      <c r="HZ34" s="422" t="str">
        <f>IF(OR(COUNTA($GU$3:$HS$3,$HU$3)=0,$A34=""),"",IF('2.ชื่อนักเรียน'!R40="ย้าย","-",SUM(GU34,GZ34,HE34,HJ34,HO34,HU34)))</f>
        <v/>
      </c>
      <c r="IA34" s="425" t="str">
        <f>IF(OR(COUNTA($GU$3:$HS$3,$HU$3)=0,$A34=""),"",IF('2.ชื่อนักเรียน'!R40="ย้าย","-",SUM(GV34,HA34,HF34,HK34,HP34,HV34)))</f>
        <v/>
      </c>
      <c r="IB34" s="423" t="str">
        <f>IF(OR(COUNTA($GU$3:$HS$3,$HU$3)=0,$A34=""),"",IF('2.ชื่อนักเรียน'!R40="ย้าย","-",SUM(GW34,HB34,HG34,HL34,HQ34,HW34)))</f>
        <v/>
      </c>
      <c r="IC34" s="423" t="str">
        <f>IF(OR(COUNTA($GU$3:$HS$3,$HU$3)=0,$A34=""),"",IF('2.ชื่อนักเรียน'!R40="ย้าย","-",SUM(GX34,HC34,HH34,HM34,HR34,HX34)))</f>
        <v/>
      </c>
      <c r="ID34" s="424" t="str">
        <f>IF(OR(COUNTA($GU$3:$HS$3,$HU$3)=0,$A34=""),"",IF('2.ชื่อนักเรียน'!R40="ย้าย","-",SUM(GY34,HD34,HI34,HN34,HS34,HY34)))</f>
        <v/>
      </c>
      <c r="IE34" s="418" t="str">
        <f t="shared" si="0"/>
        <v/>
      </c>
      <c r="IF34" s="438" t="str">
        <f>IF(IE34="","",IF('2.ชื่อนักเรียน'!R40="ย้าย","ย้าย",(IE34*100)/COUNTA($E$4:$AI$4,$AL$4:$BP$4,$BS$4:$CW$4,$CZ$4:$ED$4,$EG$4:$FK$4,$FN$4:$GR$4)))</f>
        <v/>
      </c>
      <c r="IG34" s="449"/>
      <c r="IH34" s="605"/>
      <c r="II34" s="605"/>
      <c r="IJ34" s="605"/>
      <c r="IK34" s="605"/>
      <c r="IL34" s="605"/>
      <c r="IM34" s="605"/>
      <c r="IN34" s="605"/>
      <c r="IO34" s="605"/>
      <c r="IP34" s="605"/>
      <c r="IQ34" s="605"/>
      <c r="IR34" s="450"/>
    </row>
    <row r="35" spans="1:252" ht="21" customHeight="1" x14ac:dyDescent="0.4">
      <c r="A35" s="416" t="str">
        <f>IF(Name31="","",Name31)</f>
        <v/>
      </c>
      <c r="B35" s="417" t="str">
        <f>IF(Surname31="","",Surname31)</f>
        <v/>
      </c>
      <c r="C35" s="442" t="str">
        <f>IF('2.ชื่อนักเรียน'!R41="","",'2.ชื่อนักเรียน'!R41)</f>
        <v/>
      </c>
      <c r="D35" s="418">
        <v>31</v>
      </c>
      <c r="E35" s="419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1"/>
      <c r="AI35" s="421"/>
      <c r="AJ35" s="418" t="str">
        <f>IF(COUNTA($E$4:AI$4)=0,"",IF('2.ชื่อนักเรียน'!R41="ย้าย","ย้าย",GU35))</f>
        <v/>
      </c>
      <c r="AK35" s="418">
        <v>31</v>
      </c>
      <c r="AL35" s="419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  <c r="BN35" s="420"/>
      <c r="BO35" s="421"/>
      <c r="BP35" s="421"/>
      <c r="BQ35" s="418" t="str">
        <f>IF(COUNTA($AL$4:$BP$4)=0,"",IF('2.ชื่อนักเรียน'!R41="ย้าย","ย้าย",GZ35))</f>
        <v/>
      </c>
      <c r="BR35" s="418">
        <v>31</v>
      </c>
      <c r="BS35" s="419"/>
      <c r="BT35" s="420"/>
      <c r="BU35" s="420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0"/>
      <c r="CK35" s="420"/>
      <c r="CL35" s="420"/>
      <c r="CM35" s="420"/>
      <c r="CN35" s="420"/>
      <c r="CO35" s="420"/>
      <c r="CP35" s="420"/>
      <c r="CQ35" s="420"/>
      <c r="CR35" s="420"/>
      <c r="CS35" s="420"/>
      <c r="CT35" s="420"/>
      <c r="CU35" s="420"/>
      <c r="CV35" s="421"/>
      <c r="CW35" s="421"/>
      <c r="CX35" s="418" t="str">
        <f>IF(COUNTA($BS$4:$CW$4)=0,"",IF('2.ชื่อนักเรียน'!R41="ย้าย","ย้าย",HE35))</f>
        <v/>
      </c>
      <c r="CY35" s="418">
        <v>31</v>
      </c>
      <c r="CZ35" s="419"/>
      <c r="DA35" s="420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0"/>
      <c r="DQ35" s="420"/>
      <c r="DR35" s="420"/>
      <c r="DS35" s="420"/>
      <c r="DT35" s="420"/>
      <c r="DU35" s="420"/>
      <c r="DV35" s="420"/>
      <c r="DW35" s="420"/>
      <c r="DX35" s="420"/>
      <c r="DY35" s="420"/>
      <c r="DZ35" s="420"/>
      <c r="EA35" s="420"/>
      <c r="EB35" s="420"/>
      <c r="EC35" s="421"/>
      <c r="ED35" s="421"/>
      <c r="EE35" s="418" t="str">
        <f>IF(COUNTA($CZ$4:$ED$4)=0,"",IF('2.ชื่อนักเรียน'!R41="ย้าย","ย้าย",HJ35))</f>
        <v/>
      </c>
      <c r="EF35" s="418">
        <v>31</v>
      </c>
      <c r="EG35" s="419"/>
      <c r="EH35" s="420"/>
      <c r="EI35" s="420"/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0"/>
      <c r="EW35" s="420"/>
      <c r="EX35" s="420"/>
      <c r="EY35" s="420"/>
      <c r="EZ35" s="420"/>
      <c r="FA35" s="420"/>
      <c r="FB35" s="420"/>
      <c r="FC35" s="420"/>
      <c r="FD35" s="420"/>
      <c r="FE35" s="420"/>
      <c r="FF35" s="420"/>
      <c r="FG35" s="420"/>
      <c r="FH35" s="420"/>
      <c r="FI35" s="420"/>
      <c r="FJ35" s="421"/>
      <c r="FK35" s="421"/>
      <c r="FL35" s="418" t="str">
        <f>IF(COUNTA($EG$4:$FK$4)=0,"",IF('2.ชื่อนักเรียน'!R41="ย้าย","ย้าย",HO35))</f>
        <v/>
      </c>
      <c r="FM35" s="418">
        <v>31</v>
      </c>
      <c r="FN35" s="419"/>
      <c r="FO35" s="420"/>
      <c r="FP35" s="420"/>
      <c r="FQ35" s="420"/>
      <c r="FR35" s="420"/>
      <c r="FS35" s="420"/>
      <c r="FT35" s="420"/>
      <c r="FU35" s="420"/>
      <c r="FV35" s="420"/>
      <c r="FW35" s="420"/>
      <c r="FX35" s="420"/>
      <c r="FY35" s="420"/>
      <c r="FZ35" s="420"/>
      <c r="GA35" s="420"/>
      <c r="GB35" s="420"/>
      <c r="GC35" s="420"/>
      <c r="GD35" s="420"/>
      <c r="GE35" s="420"/>
      <c r="GF35" s="420"/>
      <c r="GG35" s="420"/>
      <c r="GH35" s="420"/>
      <c r="GI35" s="420"/>
      <c r="GJ35" s="420"/>
      <c r="GK35" s="420"/>
      <c r="GL35" s="420"/>
      <c r="GM35" s="420"/>
      <c r="GN35" s="420"/>
      <c r="GO35" s="420"/>
      <c r="GP35" s="420"/>
      <c r="GQ35" s="421"/>
      <c r="GR35" s="421"/>
      <c r="GS35" s="418" t="str">
        <f>IF(COUNTA($FN$4:$GR$4)=0,"",IF('2.ชื่อนักเรียน'!R41="ย้าย","ย้าย",HU35))</f>
        <v/>
      </c>
      <c r="GT35" s="418">
        <v>31</v>
      </c>
      <c r="GU35" s="422" t="str">
        <f>IF(OR(COUNTA($E$4:$AI$4)=0,$A35=""),"",IF('2.ชื่อนักเรียน'!R41="ย้าย","-",COUNTIF($E35:$AI35,"/")))</f>
        <v/>
      </c>
      <c r="GV35" s="425" t="str">
        <f>IF(OR(COUNTA($E$4:$AI$4)=0,$A35=""),"",IF('2.ชื่อนักเรียน'!R41="ย้าย","-",COUNTIF($E35:$AI35,"ส")))</f>
        <v/>
      </c>
      <c r="GW35" s="423" t="str">
        <f>IF(OR(COUNTA($E$4:$AI$4)=0,$A35=""),"",IF('2.ชื่อนักเรียน'!R41="ย้าย","-",COUNTIF($E35:$AI35,"ป")))</f>
        <v/>
      </c>
      <c r="GX35" s="423" t="str">
        <f>IF(OR(COUNTA($E$4:$AI$4)=0,$A35=""),"",IF('2.ชื่อนักเรียน'!R41="ย้าย","-",COUNTIF($E35:$AI35,"ล")))</f>
        <v/>
      </c>
      <c r="GY35" s="426" t="str">
        <f>IF(OR(COUNTA($E$4:$AI$4)=0,$A35=""),"",IF('2.ชื่อนักเรียน'!R41="ย้าย","-",COUNTIF($E35:$AI35,"ข")))</f>
        <v/>
      </c>
      <c r="GZ35" s="422" t="str">
        <f>IF(OR(COUNTA($AL$4:$BP$4)=0,$A35=""),"",IF('2.ชื่อนักเรียน'!R41="ย้าย","-",COUNTIF($AL35:$BP35,"/")))</f>
        <v/>
      </c>
      <c r="HA35" s="425" t="str">
        <f>IF(OR(COUNTA($AL$4:$BP$4)=0,$A35=""),"",IF('2.ชื่อนักเรียน'!R41="ย้าย","-",COUNTIF($AL35:$BP35,"ส")))</f>
        <v/>
      </c>
      <c r="HB35" s="423" t="str">
        <f>IF(OR(COUNTA($AL$4:$BP$4)=0,$A35=""),"",IF('2.ชื่อนักเรียน'!R41="ย้าย","-",COUNTIF($AL35:$BP35,"ป")))</f>
        <v/>
      </c>
      <c r="HC35" s="423" t="str">
        <f>IF(OR(COUNTA($AL$4:$BP$4)=0,$A35=""),"",IF('2.ชื่อนักเรียน'!R41="ย้าย","-",COUNTIF($AL35:$BP35,"ล")))</f>
        <v/>
      </c>
      <c r="HD35" s="426" t="str">
        <f>IF(OR(COUNTA($AL$4:$BP$4)=0,$A35=""),"",IF('2.ชื่อนักเรียน'!R41="ย้าย","-",COUNTIF($AL35:$BP35,"ข")))</f>
        <v/>
      </c>
      <c r="HE35" s="422" t="str">
        <f>IF(OR(COUNTA($BS$4:$CW$4)=0,$A35=""),"",IF('2.ชื่อนักเรียน'!R41="ย้าย","-",COUNTIF($BS35:$CW35,"/")))</f>
        <v/>
      </c>
      <c r="HF35" s="425" t="str">
        <f>IF(OR(COUNTA($BS$4:$CW$4)=0,$A35=""),"",IF('2.ชื่อนักเรียน'!R41="ย้าย","-",COUNTIF($BS35:$CW35,"ส")))</f>
        <v/>
      </c>
      <c r="HG35" s="423" t="str">
        <f>IF(OR(COUNTA($BS$4:$CW$4)=0,$A35=""),"",IF('2.ชื่อนักเรียน'!R41="ย้าย","-",COUNTIF($BS35:$CW35,"ป")))</f>
        <v/>
      </c>
      <c r="HH35" s="423" t="str">
        <f>IF(OR(COUNTA($BS$4:$CW$4)=0,$A35=""),"",IF('2.ชื่อนักเรียน'!R41="ย้าย","-",COUNTIF($BS35:$CW35,"ล")))</f>
        <v/>
      </c>
      <c r="HI35" s="426" t="str">
        <f>IF(OR(COUNTA($BS$4:$CW$4)=0,$A35=""),"",IF('2.ชื่อนักเรียน'!R41="ย้าย","-",COUNTIF($BS35:$CW35,"ข")))</f>
        <v/>
      </c>
      <c r="HJ35" s="422" t="str">
        <f>IF(OR(COUNTA($CZ$4:$ED$4)=0,$A35=""),"",IF('2.ชื่อนักเรียน'!R41="ย้าย","-",COUNTIF($CZ35:$ED35,"/")))</f>
        <v/>
      </c>
      <c r="HK35" s="425" t="str">
        <f>IF(OR(COUNTA($CZ$4:$ED$4)=0,$A35=""),"",IF('2.ชื่อนักเรียน'!R41="ย้าย","-",COUNTIF($CZ35:$ED35,"ส")))</f>
        <v/>
      </c>
      <c r="HL35" s="423" t="str">
        <f>IF(OR(COUNTA($CZ$4:$ED$4)=0,$A35=""),"",IF('2.ชื่อนักเรียน'!R41="ย้าย","-",COUNTIF($CZ35:$ED35,"ป")))</f>
        <v/>
      </c>
      <c r="HM35" s="423" t="str">
        <f>IF(OR(COUNTA($CZ$4:$ED$4)=0,A35=""),"",IF('2.ชื่อนักเรียน'!R41="ย้าย","-",COUNTIF($CZ35:$ED35,"ล")))</f>
        <v/>
      </c>
      <c r="HN35" s="426" t="str">
        <f>IF(OR(COUNTA($CZ$4:$ED$4)=0,A35=""),"",IF('2.ชื่อนักเรียน'!R41="ย้าย","-",COUNTIF($CZ35:$ED35,"ข")))</f>
        <v/>
      </c>
      <c r="HO35" s="422" t="str">
        <f>IF(OR(COUNTA($EG$4:$FK$4)=0,$A35=""),"",IF('2.ชื่อนักเรียน'!R41="ย้าย","-",COUNTIF($EG35:$FK35,"/")))</f>
        <v/>
      </c>
      <c r="HP35" s="425" t="str">
        <f>IF(OR(COUNTA($EG$4:$FK$4)=0,$A35=""),"",IF('2.ชื่อนักเรียน'!R41="ย้าย","-",COUNTIF($EG35:$FK35,"ส")))</f>
        <v/>
      </c>
      <c r="HQ35" s="423" t="str">
        <f>IF(OR(COUNTA($EG$4:$FK$4)=0,$A35=""),"",IF('2.ชื่อนักเรียน'!R41="ย้าย","-",COUNTIF($EG35:$FK35,"ป")))</f>
        <v/>
      </c>
      <c r="HR35" s="423" t="str">
        <f>IF(OR(COUNTA($EG$4:$FK$4)=0,A35=""),"",IF('2.ชื่อนักเรียน'!R41="ย้าย","-",COUNTIF($EG35:$FK35,"ล")))</f>
        <v/>
      </c>
      <c r="HS35" s="426" t="str">
        <f>IF(OR(COUNTA($EG$4:$FK$4)=0,A35=""),"",IF('2.ชื่อนักเรียน'!R41="ย้าย","-",COUNTIF($EG35:$FK35,"ข")))</f>
        <v/>
      </c>
      <c r="HT35" s="418">
        <v>31</v>
      </c>
      <c r="HU35" s="422" t="str">
        <f>IF(OR(COUNTA($FN$4:$GR$4)=0,$A35=""),"",IF('2.ชื่อนักเรียน'!R41="ย้าย","-",COUNTIF($FN35:$GR35,"/")))</f>
        <v/>
      </c>
      <c r="HV35" s="425" t="str">
        <f>IF(OR(COUNTA($FN$4:$GR$4)=0,$A35=""),"",IF('2.ชื่อนักเรียน'!R41="ย้าย","-",COUNTIF($FN35:$GR35,"ส")))</f>
        <v/>
      </c>
      <c r="HW35" s="423" t="str">
        <f>IF(OR(COUNTA($FN$4:$GR$4)=0,$A35=""),"",IF('2.ชื่อนักเรียน'!R41="ย้าย","-",COUNTIF($FN35:$GR35,"ป")))</f>
        <v/>
      </c>
      <c r="HX35" s="423" t="str">
        <f>IF(OR(COUNTA($FN$4:$GR$4)=0,A35=""),"",IF('2.ชื่อนักเรียน'!R41="ย้าย","-",COUNTIF($FN35:$GR35,"ล")))</f>
        <v/>
      </c>
      <c r="HY35" s="423" t="str">
        <f>IF(OR(COUNTA($FN$4:$GR$4)=0,A35=""),"",IF('2.ชื่อนักเรียน'!R41="ย้าย","-",COUNTIF($FN35:$GR35,"ข")))</f>
        <v/>
      </c>
      <c r="HZ35" s="422" t="str">
        <f>IF(OR(COUNTA($GU$3:$HS$3,$HU$3)=0,$A35=""),"",IF('2.ชื่อนักเรียน'!R41="ย้าย","-",SUM(GU35,GZ35,HE35,HJ35,HO35,HU35)))</f>
        <v/>
      </c>
      <c r="IA35" s="425" t="str">
        <f>IF(OR(COUNTA($GU$3:$HS$3,$HU$3)=0,$A35=""),"",IF('2.ชื่อนักเรียน'!R41="ย้าย","-",SUM(GV35,HA35,HF35,HK35,HP35,HV35)))</f>
        <v/>
      </c>
      <c r="IB35" s="423" t="str">
        <f>IF(OR(COUNTA($GU$3:$HS$3,$HU$3)=0,$A35=""),"",IF('2.ชื่อนักเรียน'!R41="ย้าย","-",SUM(GW35,HB35,HG35,HL35,HQ35,HW35)))</f>
        <v/>
      </c>
      <c r="IC35" s="423" t="str">
        <f>IF(OR(COUNTA($GU$3:$HS$3,$HU$3)=0,$A35=""),"",IF('2.ชื่อนักเรียน'!R41="ย้าย","-",SUM(GX35,HC35,HH35,HM35,HR35,HX35)))</f>
        <v/>
      </c>
      <c r="ID35" s="424" t="str">
        <f>IF(OR(COUNTA($GU$3:$HS$3,$HU$3)=0,$A35=""),"",IF('2.ชื่อนักเรียน'!R41="ย้าย","-",SUM(GY35,HD35,HI35,HN35,HS35,HY35)))</f>
        <v/>
      </c>
      <c r="IE35" s="418" t="str">
        <f t="shared" si="0"/>
        <v/>
      </c>
      <c r="IF35" s="438" t="str">
        <f>IF(IE35="","",IF('2.ชื่อนักเรียน'!R41="ย้าย","ย้าย",(IE35*100)/COUNTA($E$4:$AI$4,$AL$4:$BP$4,$BS$4:$CW$4,$CZ$4:$ED$4,$EG$4:$FK$4,$FN$4:$GR$4)))</f>
        <v/>
      </c>
      <c r="IG35" s="449"/>
      <c r="IH35" s="605"/>
      <c r="II35" s="605"/>
      <c r="IJ35" s="605"/>
      <c r="IK35" s="605"/>
      <c r="IL35" s="605"/>
      <c r="IM35" s="605"/>
      <c r="IN35" s="605"/>
      <c r="IO35" s="605"/>
      <c r="IP35" s="605"/>
      <c r="IQ35" s="605"/>
      <c r="IR35" s="450"/>
    </row>
    <row r="36" spans="1:252" ht="21" customHeight="1" x14ac:dyDescent="0.4">
      <c r="A36" s="416" t="str">
        <f>IF(Name32="","",Name32)</f>
        <v/>
      </c>
      <c r="B36" s="417" t="str">
        <f>IF(Surname32="","",Surname32)</f>
        <v/>
      </c>
      <c r="C36" s="442" t="str">
        <f>IF('2.ชื่อนักเรียน'!R42="","",'2.ชื่อนักเรียน'!R42)</f>
        <v/>
      </c>
      <c r="D36" s="418">
        <v>32</v>
      </c>
      <c r="E36" s="419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1"/>
      <c r="AI36" s="421"/>
      <c r="AJ36" s="418" t="str">
        <f>IF(COUNTA($E$4:AI$4)=0,"",IF('2.ชื่อนักเรียน'!R42="ย้าย","ย้าย",GU36))</f>
        <v/>
      </c>
      <c r="AK36" s="418">
        <v>32</v>
      </c>
      <c r="AL36" s="419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  <c r="BN36" s="420"/>
      <c r="BO36" s="421"/>
      <c r="BP36" s="421"/>
      <c r="BQ36" s="418" t="str">
        <f>IF(COUNTA($AL$4:$BP$4)=0,"",IF('2.ชื่อนักเรียน'!R42="ย้าย","ย้าย",GZ36))</f>
        <v/>
      </c>
      <c r="BR36" s="418">
        <v>32</v>
      </c>
      <c r="BS36" s="419"/>
      <c r="BT36" s="420"/>
      <c r="BU36" s="420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0"/>
      <c r="CK36" s="420"/>
      <c r="CL36" s="420"/>
      <c r="CM36" s="420"/>
      <c r="CN36" s="420"/>
      <c r="CO36" s="420"/>
      <c r="CP36" s="420"/>
      <c r="CQ36" s="420"/>
      <c r="CR36" s="420"/>
      <c r="CS36" s="420"/>
      <c r="CT36" s="420"/>
      <c r="CU36" s="420"/>
      <c r="CV36" s="421"/>
      <c r="CW36" s="421"/>
      <c r="CX36" s="418" t="str">
        <f>IF(COUNTA($BS$4:$CW$4)=0,"",IF('2.ชื่อนักเรียน'!R42="ย้าย","ย้าย",HE36))</f>
        <v/>
      </c>
      <c r="CY36" s="418">
        <v>32</v>
      </c>
      <c r="CZ36" s="419"/>
      <c r="DA36" s="420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1"/>
      <c r="ED36" s="421"/>
      <c r="EE36" s="418" t="str">
        <f>IF(COUNTA($CZ$4:$ED$4)=0,"",IF('2.ชื่อนักเรียน'!R42="ย้าย","ย้าย",HJ36))</f>
        <v/>
      </c>
      <c r="EF36" s="418">
        <v>32</v>
      </c>
      <c r="EG36" s="419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1"/>
      <c r="FK36" s="421"/>
      <c r="FL36" s="418" t="str">
        <f>IF(COUNTA($EG$4:$FK$4)=0,"",IF('2.ชื่อนักเรียน'!R42="ย้าย","ย้าย",HO36))</f>
        <v/>
      </c>
      <c r="FM36" s="418">
        <v>32</v>
      </c>
      <c r="FN36" s="419"/>
      <c r="FO36" s="420"/>
      <c r="FP36" s="420"/>
      <c r="FQ36" s="420"/>
      <c r="FR36" s="420"/>
      <c r="FS36" s="420"/>
      <c r="FT36" s="420"/>
      <c r="FU36" s="420"/>
      <c r="FV36" s="420"/>
      <c r="FW36" s="420"/>
      <c r="FX36" s="420"/>
      <c r="FY36" s="420"/>
      <c r="FZ36" s="420"/>
      <c r="GA36" s="420"/>
      <c r="GB36" s="420"/>
      <c r="GC36" s="420"/>
      <c r="GD36" s="420"/>
      <c r="GE36" s="420"/>
      <c r="GF36" s="420"/>
      <c r="GG36" s="420"/>
      <c r="GH36" s="420"/>
      <c r="GI36" s="420"/>
      <c r="GJ36" s="420"/>
      <c r="GK36" s="420"/>
      <c r="GL36" s="420"/>
      <c r="GM36" s="420"/>
      <c r="GN36" s="420"/>
      <c r="GO36" s="420"/>
      <c r="GP36" s="420"/>
      <c r="GQ36" s="421"/>
      <c r="GR36" s="421"/>
      <c r="GS36" s="418" t="str">
        <f>IF(COUNTA($FN$4:$GR$4)=0,"",IF('2.ชื่อนักเรียน'!R42="ย้าย","ย้าย",HU36))</f>
        <v/>
      </c>
      <c r="GT36" s="418">
        <v>32</v>
      </c>
      <c r="GU36" s="422" t="str">
        <f>IF(OR(COUNTA($E$4:$AI$4)=0,$A36=""),"",IF('2.ชื่อนักเรียน'!R42="ย้าย","-",COUNTIF($E36:$AI36,"/")))</f>
        <v/>
      </c>
      <c r="GV36" s="425" t="str">
        <f>IF(OR(COUNTA($E$4:$AI$4)=0,$A36=""),"",IF('2.ชื่อนักเรียน'!R42="ย้าย","-",COUNTIF($E36:$AI36,"ส")))</f>
        <v/>
      </c>
      <c r="GW36" s="423" t="str">
        <f>IF(OR(COUNTA($E$4:$AI$4)=0,$A36=""),"",IF('2.ชื่อนักเรียน'!R42="ย้าย","-",COUNTIF($E36:$AI36,"ป")))</f>
        <v/>
      </c>
      <c r="GX36" s="423" t="str">
        <f>IF(OR(COUNTA($E$4:$AI$4)=0,$A36=""),"",IF('2.ชื่อนักเรียน'!R42="ย้าย","-",COUNTIF($E36:$AI36,"ล")))</f>
        <v/>
      </c>
      <c r="GY36" s="426" t="str">
        <f>IF(OR(COUNTA($E$4:$AI$4)=0,$A36=""),"",IF('2.ชื่อนักเรียน'!R42="ย้าย","-",COUNTIF($E36:$AI36,"ข")))</f>
        <v/>
      </c>
      <c r="GZ36" s="422" t="str">
        <f>IF(OR(COUNTA($AL$4:$BP$4)=0,$A36=""),"",IF('2.ชื่อนักเรียน'!R42="ย้าย","-",COUNTIF($AL36:$BP36,"/")))</f>
        <v/>
      </c>
      <c r="HA36" s="425" t="str">
        <f>IF(OR(COUNTA($AL$4:$BP$4)=0,$A36=""),"",IF('2.ชื่อนักเรียน'!R42="ย้าย","-",COUNTIF($AL36:$BP36,"ส")))</f>
        <v/>
      </c>
      <c r="HB36" s="423" t="str">
        <f>IF(OR(COUNTA($AL$4:$BP$4)=0,$A36=""),"",IF('2.ชื่อนักเรียน'!R42="ย้าย","-",COUNTIF($AL36:$BP36,"ป")))</f>
        <v/>
      </c>
      <c r="HC36" s="423" t="str">
        <f>IF(OR(COUNTA($AL$4:$BP$4)=0,$A36=""),"",IF('2.ชื่อนักเรียน'!R42="ย้าย","-",COUNTIF($AL36:$BP36,"ล")))</f>
        <v/>
      </c>
      <c r="HD36" s="426" t="str">
        <f>IF(OR(COUNTA($AL$4:$BP$4)=0,$A36=""),"",IF('2.ชื่อนักเรียน'!R42="ย้าย","-",COUNTIF($AL36:$BP36,"ข")))</f>
        <v/>
      </c>
      <c r="HE36" s="422" t="str">
        <f>IF(OR(COUNTA($BS$4:$CW$4)=0,$A36=""),"",IF('2.ชื่อนักเรียน'!R42="ย้าย","-",COUNTIF($BS36:$CW36,"/")))</f>
        <v/>
      </c>
      <c r="HF36" s="425" t="str">
        <f>IF(OR(COUNTA($BS$4:$CW$4)=0,$A36=""),"",IF('2.ชื่อนักเรียน'!R42="ย้าย","-",COUNTIF($BS36:$CW36,"ส")))</f>
        <v/>
      </c>
      <c r="HG36" s="423" t="str">
        <f>IF(OR(COUNTA($BS$4:$CW$4)=0,$A36=""),"",IF('2.ชื่อนักเรียน'!R42="ย้าย","-",COUNTIF($BS36:$CW36,"ป")))</f>
        <v/>
      </c>
      <c r="HH36" s="423" t="str">
        <f>IF(OR(COUNTA($BS$4:$CW$4)=0,$A36=""),"",IF('2.ชื่อนักเรียน'!R42="ย้าย","-",COUNTIF($BS36:$CW36,"ล")))</f>
        <v/>
      </c>
      <c r="HI36" s="426" t="str">
        <f>IF(OR(COUNTA($BS$4:$CW$4)=0,$A36=""),"",IF('2.ชื่อนักเรียน'!R42="ย้าย","-",COUNTIF($BS36:$CW36,"ข")))</f>
        <v/>
      </c>
      <c r="HJ36" s="422" t="str">
        <f>IF(OR(COUNTA($CZ$4:$ED$4)=0,$A36=""),"",IF('2.ชื่อนักเรียน'!R42="ย้าย","-",COUNTIF($CZ36:$ED36,"/")))</f>
        <v/>
      </c>
      <c r="HK36" s="425" t="str">
        <f>IF(OR(COUNTA($CZ$4:$ED$4)=0,$A36=""),"",IF('2.ชื่อนักเรียน'!R42="ย้าย","-",COUNTIF($CZ36:$ED36,"ส")))</f>
        <v/>
      </c>
      <c r="HL36" s="423" t="str">
        <f>IF(OR(COUNTA($CZ$4:$ED$4)=0,$A36=""),"",IF('2.ชื่อนักเรียน'!R42="ย้าย","-",COUNTIF($CZ36:$ED36,"ป")))</f>
        <v/>
      </c>
      <c r="HM36" s="423" t="str">
        <f>IF(OR(COUNTA($CZ$4:$ED$4)=0,A36=""),"",IF('2.ชื่อนักเรียน'!R42="ย้าย","-",COUNTIF($CZ36:$ED36,"ล")))</f>
        <v/>
      </c>
      <c r="HN36" s="426" t="str">
        <f>IF(OR(COUNTA($CZ$4:$ED$4)=0,A36=""),"",IF('2.ชื่อนักเรียน'!R42="ย้าย","-",COUNTIF($CZ36:$ED36,"ข")))</f>
        <v/>
      </c>
      <c r="HO36" s="422" t="str">
        <f>IF(OR(COUNTA($EG$4:$FK$4)=0,$A36=""),"",IF('2.ชื่อนักเรียน'!R42="ย้าย","-",COUNTIF($EG36:$FK36,"/")))</f>
        <v/>
      </c>
      <c r="HP36" s="425" t="str">
        <f>IF(OR(COUNTA($EG$4:$FK$4)=0,$A36=""),"",IF('2.ชื่อนักเรียน'!R42="ย้าย","-",COUNTIF($EG36:$FK36,"ส")))</f>
        <v/>
      </c>
      <c r="HQ36" s="423" t="str">
        <f>IF(OR(COUNTA($EG$4:$FK$4)=0,$A36=""),"",IF('2.ชื่อนักเรียน'!R42="ย้าย","-",COUNTIF($EG36:$FK36,"ป")))</f>
        <v/>
      </c>
      <c r="HR36" s="423" t="str">
        <f>IF(OR(COUNTA($EG$4:$FK$4)=0,A36=""),"",IF('2.ชื่อนักเรียน'!R42="ย้าย","-",COUNTIF($EG36:$FK36,"ล")))</f>
        <v/>
      </c>
      <c r="HS36" s="426" t="str">
        <f>IF(OR(COUNTA($EG$4:$FK$4)=0,A36=""),"",IF('2.ชื่อนักเรียน'!R42="ย้าย","-",COUNTIF($EG36:$FK36,"ข")))</f>
        <v/>
      </c>
      <c r="HT36" s="418">
        <v>32</v>
      </c>
      <c r="HU36" s="422" t="str">
        <f>IF(OR(COUNTA($FN$4:$GR$4)=0,$A36=""),"",IF('2.ชื่อนักเรียน'!R42="ย้าย","-",COUNTIF($FN36:$GR36,"/")))</f>
        <v/>
      </c>
      <c r="HV36" s="425" t="str">
        <f>IF(OR(COUNTA($FN$4:$GR$4)=0,$A36=""),"",IF('2.ชื่อนักเรียน'!R42="ย้าย","-",COUNTIF($FN36:$GR36,"ส")))</f>
        <v/>
      </c>
      <c r="HW36" s="423" t="str">
        <f>IF(OR(COUNTA($FN$4:$GR$4)=0,$A36=""),"",IF('2.ชื่อนักเรียน'!R42="ย้าย","-",COUNTIF($FN36:$GR36,"ป")))</f>
        <v/>
      </c>
      <c r="HX36" s="423" t="str">
        <f>IF(OR(COUNTA($FN$4:$GR$4)=0,A36=""),"",IF('2.ชื่อนักเรียน'!R42="ย้าย","-",COUNTIF($FN36:$GR36,"ล")))</f>
        <v/>
      </c>
      <c r="HY36" s="423" t="str">
        <f>IF(OR(COUNTA($FN$4:$GR$4)=0,A36=""),"",IF('2.ชื่อนักเรียน'!R42="ย้าย","-",COUNTIF($FN36:$GR36,"ข")))</f>
        <v/>
      </c>
      <c r="HZ36" s="422" t="str">
        <f>IF(OR(COUNTA($GU$3:$HS$3,$HU$3)=0,$A36=""),"",IF('2.ชื่อนักเรียน'!R42="ย้าย","-",SUM(GU36,GZ36,HE36,HJ36,HO36,HU36)))</f>
        <v/>
      </c>
      <c r="IA36" s="425" t="str">
        <f>IF(OR(COUNTA($GU$3:$HS$3,$HU$3)=0,$A36=""),"",IF('2.ชื่อนักเรียน'!R42="ย้าย","-",SUM(GV36,HA36,HF36,HK36,HP36,HV36)))</f>
        <v/>
      </c>
      <c r="IB36" s="423" t="str">
        <f>IF(OR(COUNTA($GU$3:$HS$3,$HU$3)=0,$A36=""),"",IF('2.ชื่อนักเรียน'!R42="ย้าย","-",SUM(GW36,HB36,HG36,HL36,HQ36,HW36)))</f>
        <v/>
      </c>
      <c r="IC36" s="423" t="str">
        <f>IF(OR(COUNTA($GU$3:$HS$3,$HU$3)=0,$A36=""),"",IF('2.ชื่อนักเรียน'!R42="ย้าย","-",SUM(GX36,HC36,HH36,HM36,HR36,HX36)))</f>
        <v/>
      </c>
      <c r="ID36" s="424" t="str">
        <f>IF(OR(COUNTA($GU$3:$HS$3,$HU$3)=0,$A36=""),"",IF('2.ชื่อนักเรียน'!R42="ย้าย","-",SUM(GY36,HD36,HI36,HN36,HS36,HY36)))</f>
        <v/>
      </c>
      <c r="IE36" s="418" t="str">
        <f t="shared" si="0"/>
        <v/>
      </c>
      <c r="IF36" s="438" t="str">
        <f>IF(IE36="","",IF('2.ชื่อนักเรียน'!R42="ย้าย","ย้าย",(IE36*100)/COUNTA($E$4:$AI$4,$AL$4:$BP$4,$BS$4:$CW$4,$CZ$4:$ED$4,$EG$4:$FK$4,$FN$4:$GR$4)))</f>
        <v/>
      </c>
      <c r="IG36" s="449"/>
      <c r="IH36" s="605"/>
      <c r="II36" s="605"/>
      <c r="IJ36" s="605"/>
      <c r="IK36" s="605"/>
      <c r="IL36" s="605"/>
      <c r="IM36" s="605"/>
      <c r="IN36" s="605"/>
      <c r="IO36" s="605"/>
      <c r="IP36" s="605"/>
      <c r="IQ36" s="605"/>
      <c r="IR36" s="450"/>
    </row>
    <row r="37" spans="1:252" ht="21" customHeight="1" x14ac:dyDescent="0.4">
      <c r="A37" s="416" t="str">
        <f>IF(Name33="","",Name33)</f>
        <v/>
      </c>
      <c r="B37" s="417" t="str">
        <f>IF(Surname33="","",Surname33)</f>
        <v/>
      </c>
      <c r="C37" s="442" t="str">
        <f>IF('2.ชื่อนักเรียน'!R43="","",'2.ชื่อนักเรียน'!R43)</f>
        <v/>
      </c>
      <c r="D37" s="418">
        <v>33</v>
      </c>
      <c r="E37" s="419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1"/>
      <c r="AI37" s="421"/>
      <c r="AJ37" s="418" t="str">
        <f>IF(COUNTA($E$4:AI$4)=0,"",IF('2.ชื่อนักเรียน'!R43="ย้าย","ย้าย",GU37))</f>
        <v/>
      </c>
      <c r="AK37" s="418">
        <v>33</v>
      </c>
      <c r="AL37" s="419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1"/>
      <c r="BP37" s="421"/>
      <c r="BQ37" s="418" t="str">
        <f>IF(COUNTA($AL$4:$BP$4)=0,"",IF('2.ชื่อนักเรียน'!R43="ย้าย","ย้าย",GZ37))</f>
        <v/>
      </c>
      <c r="BR37" s="418">
        <v>33</v>
      </c>
      <c r="BS37" s="419"/>
      <c r="BT37" s="420"/>
      <c r="BU37" s="420"/>
      <c r="BV37" s="420"/>
      <c r="BW37" s="420"/>
      <c r="BX37" s="420"/>
      <c r="BY37" s="420"/>
      <c r="BZ37" s="420"/>
      <c r="CA37" s="420"/>
      <c r="CB37" s="420"/>
      <c r="CC37" s="420"/>
      <c r="CD37" s="420"/>
      <c r="CE37" s="420"/>
      <c r="CF37" s="420"/>
      <c r="CG37" s="420"/>
      <c r="CH37" s="420"/>
      <c r="CI37" s="420"/>
      <c r="CJ37" s="420"/>
      <c r="CK37" s="420"/>
      <c r="CL37" s="420"/>
      <c r="CM37" s="420"/>
      <c r="CN37" s="420"/>
      <c r="CO37" s="420"/>
      <c r="CP37" s="420"/>
      <c r="CQ37" s="420"/>
      <c r="CR37" s="420"/>
      <c r="CS37" s="420"/>
      <c r="CT37" s="420"/>
      <c r="CU37" s="420"/>
      <c r="CV37" s="421"/>
      <c r="CW37" s="421"/>
      <c r="CX37" s="418" t="str">
        <f>IF(COUNTA($BS$4:$CW$4)=0,"",IF('2.ชื่อนักเรียน'!R43="ย้าย","ย้าย",HE37))</f>
        <v/>
      </c>
      <c r="CY37" s="418">
        <v>33</v>
      </c>
      <c r="CZ37" s="419"/>
      <c r="DA37" s="420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0"/>
      <c r="DX37" s="420"/>
      <c r="DY37" s="420"/>
      <c r="DZ37" s="420"/>
      <c r="EA37" s="420"/>
      <c r="EB37" s="420"/>
      <c r="EC37" s="421"/>
      <c r="ED37" s="421"/>
      <c r="EE37" s="418" t="str">
        <f>IF(COUNTA($CZ$4:$ED$4)=0,"",IF('2.ชื่อนักเรียน'!R43="ย้าย","ย้าย",HJ37))</f>
        <v/>
      </c>
      <c r="EF37" s="418">
        <v>33</v>
      </c>
      <c r="EG37" s="419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1"/>
      <c r="FK37" s="421"/>
      <c r="FL37" s="418" t="str">
        <f>IF(COUNTA($EG$4:$FK$4)=0,"",IF('2.ชื่อนักเรียน'!R43="ย้าย","ย้าย",HO37))</f>
        <v/>
      </c>
      <c r="FM37" s="418">
        <v>33</v>
      </c>
      <c r="FN37" s="419"/>
      <c r="FO37" s="420"/>
      <c r="FP37" s="420"/>
      <c r="FQ37" s="420"/>
      <c r="FR37" s="420"/>
      <c r="FS37" s="420"/>
      <c r="FT37" s="420"/>
      <c r="FU37" s="420"/>
      <c r="FV37" s="420"/>
      <c r="FW37" s="420"/>
      <c r="FX37" s="420"/>
      <c r="FY37" s="420"/>
      <c r="FZ37" s="420"/>
      <c r="GA37" s="420"/>
      <c r="GB37" s="420"/>
      <c r="GC37" s="420"/>
      <c r="GD37" s="420"/>
      <c r="GE37" s="420"/>
      <c r="GF37" s="420"/>
      <c r="GG37" s="420"/>
      <c r="GH37" s="420"/>
      <c r="GI37" s="420"/>
      <c r="GJ37" s="420"/>
      <c r="GK37" s="420"/>
      <c r="GL37" s="420"/>
      <c r="GM37" s="420"/>
      <c r="GN37" s="420"/>
      <c r="GO37" s="420"/>
      <c r="GP37" s="420"/>
      <c r="GQ37" s="421"/>
      <c r="GR37" s="421"/>
      <c r="GS37" s="418" t="str">
        <f>IF(COUNTA($FN$4:$GR$4)=0,"",IF('2.ชื่อนักเรียน'!R43="ย้าย","ย้าย",HU37))</f>
        <v/>
      </c>
      <c r="GT37" s="418">
        <v>33</v>
      </c>
      <c r="GU37" s="422" t="str">
        <f>IF(OR(COUNTA($E$4:$AI$4)=0,$A37=""),"",IF('2.ชื่อนักเรียน'!R43="ย้าย","-",COUNTIF($E37:$AI37,"/")))</f>
        <v/>
      </c>
      <c r="GV37" s="425" t="str">
        <f>IF(OR(COUNTA($E$4:$AI$4)=0,$A37=""),"",IF('2.ชื่อนักเรียน'!R43="ย้าย","-",COUNTIF($E37:$AI37,"ส")))</f>
        <v/>
      </c>
      <c r="GW37" s="423" t="str">
        <f>IF(OR(COUNTA($E$4:$AI$4)=0,$A37=""),"",IF('2.ชื่อนักเรียน'!R43="ย้าย","-",COUNTIF($E37:$AI37,"ป")))</f>
        <v/>
      </c>
      <c r="GX37" s="423" t="str">
        <f>IF(OR(COUNTA($E$4:$AI$4)=0,$A37=""),"",IF('2.ชื่อนักเรียน'!R43="ย้าย","-",COUNTIF($E37:$AI37,"ล")))</f>
        <v/>
      </c>
      <c r="GY37" s="426" t="str">
        <f>IF(OR(COUNTA($E$4:$AI$4)=0,$A37=""),"",IF('2.ชื่อนักเรียน'!R43="ย้าย","-",COUNTIF($E37:$AI37,"ข")))</f>
        <v/>
      </c>
      <c r="GZ37" s="422" t="str">
        <f>IF(OR(COUNTA($AL$4:$BP$4)=0,$A37=""),"",IF('2.ชื่อนักเรียน'!R43="ย้าย","-",COUNTIF($AL37:$BP37,"/")))</f>
        <v/>
      </c>
      <c r="HA37" s="425" t="str">
        <f>IF(OR(COUNTA($AL$4:$BP$4)=0,$A37=""),"",IF('2.ชื่อนักเรียน'!R43="ย้าย","-",COUNTIF($AL37:$BP37,"ส")))</f>
        <v/>
      </c>
      <c r="HB37" s="423" t="str">
        <f>IF(OR(COUNTA($AL$4:$BP$4)=0,$A37=""),"",IF('2.ชื่อนักเรียน'!R43="ย้าย","-",COUNTIF($AL37:$BP37,"ป")))</f>
        <v/>
      </c>
      <c r="HC37" s="423" t="str">
        <f>IF(OR(COUNTA($AL$4:$BP$4)=0,$A37=""),"",IF('2.ชื่อนักเรียน'!R43="ย้าย","-",COUNTIF($AL37:$BP37,"ล")))</f>
        <v/>
      </c>
      <c r="HD37" s="426" t="str">
        <f>IF(OR(COUNTA($AL$4:$BP$4)=0,$A37=""),"",IF('2.ชื่อนักเรียน'!R43="ย้าย","-",COUNTIF($AL37:$BP37,"ข")))</f>
        <v/>
      </c>
      <c r="HE37" s="422" t="str">
        <f>IF(OR(COUNTA($BS$4:$CW$4)=0,$A37=""),"",IF('2.ชื่อนักเรียน'!R43="ย้าย","-",COUNTIF($BS37:$CW37,"/")))</f>
        <v/>
      </c>
      <c r="HF37" s="425" t="str">
        <f>IF(OR(COUNTA($BS$4:$CW$4)=0,$A37=""),"",IF('2.ชื่อนักเรียน'!R43="ย้าย","-",COUNTIF($BS37:$CW37,"ส")))</f>
        <v/>
      </c>
      <c r="HG37" s="423" t="str">
        <f>IF(OR(COUNTA($BS$4:$CW$4)=0,$A37=""),"",IF('2.ชื่อนักเรียน'!R43="ย้าย","-",COUNTIF($BS37:$CW37,"ป")))</f>
        <v/>
      </c>
      <c r="HH37" s="423" t="str">
        <f>IF(OR(COUNTA($BS$4:$CW$4)=0,$A37=""),"",IF('2.ชื่อนักเรียน'!R43="ย้าย","-",COUNTIF($BS37:$CW37,"ล")))</f>
        <v/>
      </c>
      <c r="HI37" s="426" t="str">
        <f>IF(OR(COUNTA($BS$4:$CW$4)=0,$A37=""),"",IF('2.ชื่อนักเรียน'!R43="ย้าย","-",COUNTIF($BS37:$CW37,"ข")))</f>
        <v/>
      </c>
      <c r="HJ37" s="422" t="str">
        <f>IF(OR(COUNTA($CZ$4:$ED$4)=0,$A37=""),"",IF('2.ชื่อนักเรียน'!R43="ย้าย","-",COUNTIF($CZ37:$ED37,"/")))</f>
        <v/>
      </c>
      <c r="HK37" s="425" t="str">
        <f>IF(OR(COUNTA($CZ$4:$ED$4)=0,$A37=""),"",IF('2.ชื่อนักเรียน'!R43="ย้าย","-",COUNTIF($CZ37:$ED37,"ส")))</f>
        <v/>
      </c>
      <c r="HL37" s="423" t="str">
        <f>IF(OR(COUNTA($CZ$4:$ED$4)=0,$A37=""),"",IF('2.ชื่อนักเรียน'!R43="ย้าย","-",COUNTIF($CZ37:$ED37,"ป")))</f>
        <v/>
      </c>
      <c r="HM37" s="423" t="str">
        <f>IF(OR(COUNTA($CZ$4:$ED$4)=0,A37=""),"",IF('2.ชื่อนักเรียน'!R43="ย้าย","-",COUNTIF($CZ37:$ED37,"ล")))</f>
        <v/>
      </c>
      <c r="HN37" s="426" t="str">
        <f>IF(OR(COUNTA($CZ$4:$ED$4)=0,A37=""),"",IF('2.ชื่อนักเรียน'!R43="ย้าย","-",COUNTIF($CZ37:$ED37,"ข")))</f>
        <v/>
      </c>
      <c r="HO37" s="422" t="str">
        <f>IF(OR(COUNTA($EG$4:$FK$4)=0,$A37=""),"",IF('2.ชื่อนักเรียน'!R43="ย้าย","-",COUNTIF($EG37:$FK37,"/")))</f>
        <v/>
      </c>
      <c r="HP37" s="425" t="str">
        <f>IF(OR(COUNTA($EG$4:$FK$4)=0,$A37=""),"",IF('2.ชื่อนักเรียน'!R43="ย้าย","-",COUNTIF($EG37:$FK37,"ส")))</f>
        <v/>
      </c>
      <c r="HQ37" s="423" t="str">
        <f>IF(OR(COUNTA($EG$4:$FK$4)=0,$A37=""),"",IF('2.ชื่อนักเรียน'!R43="ย้าย","-",COUNTIF($EG37:$FK37,"ป")))</f>
        <v/>
      </c>
      <c r="HR37" s="423" t="str">
        <f>IF(OR(COUNTA($EG$4:$FK$4)=0,A37=""),"",IF('2.ชื่อนักเรียน'!R43="ย้าย","-",COUNTIF($EG37:$FK37,"ล")))</f>
        <v/>
      </c>
      <c r="HS37" s="426" t="str">
        <f>IF(OR(COUNTA($EG$4:$FK$4)=0,A37=""),"",IF('2.ชื่อนักเรียน'!R43="ย้าย","-",COUNTIF($EG37:$FK37,"ข")))</f>
        <v/>
      </c>
      <c r="HT37" s="418">
        <v>33</v>
      </c>
      <c r="HU37" s="422" t="str">
        <f>IF(OR(COUNTA($FN$4:$GR$4)=0,$A37=""),"",IF('2.ชื่อนักเรียน'!R43="ย้าย","-",COUNTIF($FN37:$GR37,"/")))</f>
        <v/>
      </c>
      <c r="HV37" s="425" t="str">
        <f>IF(OR(COUNTA($FN$4:$GR$4)=0,$A37=""),"",IF('2.ชื่อนักเรียน'!R43="ย้าย","-",COUNTIF($FN37:$GR37,"ส")))</f>
        <v/>
      </c>
      <c r="HW37" s="423" t="str">
        <f>IF(OR(COUNTA($FN$4:$GR$4)=0,$A37=""),"",IF('2.ชื่อนักเรียน'!R43="ย้าย","-",COUNTIF($FN37:$GR37,"ป")))</f>
        <v/>
      </c>
      <c r="HX37" s="423" t="str">
        <f>IF(OR(COUNTA($FN$4:$GR$4)=0,A37=""),"",IF('2.ชื่อนักเรียน'!R43="ย้าย","-",COUNTIF($FN37:$GR37,"ล")))</f>
        <v/>
      </c>
      <c r="HY37" s="423" t="str">
        <f>IF(OR(COUNTA($FN$4:$GR$4)=0,A37=""),"",IF('2.ชื่อนักเรียน'!R43="ย้าย","-",COUNTIF($FN37:$GR37,"ข")))</f>
        <v/>
      </c>
      <c r="HZ37" s="422" t="str">
        <f>IF(OR(COUNTA($GU$3:$HS$3,$HU$3)=0,$A37=""),"",IF('2.ชื่อนักเรียน'!R43="ย้าย","-",SUM(GU37,GZ37,HE37,HJ37,HO37,HU37)))</f>
        <v/>
      </c>
      <c r="IA37" s="425" t="str">
        <f>IF(OR(COUNTA($GU$3:$HS$3,$HU$3)=0,$A37=""),"",IF('2.ชื่อนักเรียน'!R43="ย้าย","-",SUM(GV37,HA37,HF37,HK37,HP37,HV37)))</f>
        <v/>
      </c>
      <c r="IB37" s="423" t="str">
        <f>IF(OR(COUNTA($GU$3:$HS$3,$HU$3)=0,$A37=""),"",IF('2.ชื่อนักเรียน'!R43="ย้าย","-",SUM(GW37,HB37,HG37,HL37,HQ37,HW37)))</f>
        <v/>
      </c>
      <c r="IC37" s="423" t="str">
        <f>IF(OR(COUNTA($GU$3:$HS$3,$HU$3)=0,$A37=""),"",IF('2.ชื่อนักเรียน'!R43="ย้าย","-",SUM(GX37,HC37,HH37,HM37,HR37,HX37)))</f>
        <v/>
      </c>
      <c r="ID37" s="424" t="str">
        <f>IF(OR(COUNTA($GU$3:$HS$3,$HU$3)=0,$A37=""),"",IF('2.ชื่อนักเรียน'!R43="ย้าย","-",SUM(GY37,HD37,HI37,HN37,HS37,HY37)))</f>
        <v/>
      </c>
      <c r="IE37" s="418" t="str">
        <f t="shared" si="0"/>
        <v/>
      </c>
      <c r="IF37" s="438" t="str">
        <f>IF(IE37="","",IF('2.ชื่อนักเรียน'!R43="ย้าย","ย้าย",(IE37*100)/COUNTA($E$4:$AI$4,$AL$4:$BP$4,$BS$4:$CW$4,$CZ$4:$ED$4,$EG$4:$FK$4,$FN$4:$GR$4)))</f>
        <v/>
      </c>
      <c r="IG37" s="449"/>
      <c r="IH37" s="605"/>
      <c r="II37" s="605"/>
      <c r="IJ37" s="605"/>
      <c r="IK37" s="605"/>
      <c r="IL37" s="605"/>
      <c r="IM37" s="605"/>
      <c r="IN37" s="605"/>
      <c r="IO37" s="605"/>
      <c r="IP37" s="605"/>
      <c r="IQ37" s="605"/>
      <c r="IR37" s="450"/>
    </row>
    <row r="38" spans="1:252" ht="21" customHeight="1" x14ac:dyDescent="0.4">
      <c r="A38" s="416" t="str">
        <f>IF(Name34="","",Name34)</f>
        <v/>
      </c>
      <c r="B38" s="417" t="str">
        <f>IF(Surname34="","",Surname34)</f>
        <v/>
      </c>
      <c r="C38" s="442" t="str">
        <f>IF('2.ชื่อนักเรียน'!R44="","",'2.ชื่อนักเรียน'!R44)</f>
        <v/>
      </c>
      <c r="D38" s="418">
        <v>34</v>
      </c>
      <c r="E38" s="419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1"/>
      <c r="AI38" s="421"/>
      <c r="AJ38" s="418" t="str">
        <f>IF(COUNTA($E$4:AI$4)=0,"",IF('2.ชื่อนักเรียน'!R44="ย้าย","ย้าย",GU38))</f>
        <v/>
      </c>
      <c r="AK38" s="418">
        <v>34</v>
      </c>
      <c r="AL38" s="419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1"/>
      <c r="BP38" s="421"/>
      <c r="BQ38" s="418" t="str">
        <f>IF(COUNTA($AL$4:$BP$4)=0,"",IF('2.ชื่อนักเรียน'!R44="ย้าย","ย้าย",GZ38))</f>
        <v/>
      </c>
      <c r="BR38" s="418">
        <v>34</v>
      </c>
      <c r="BS38" s="419"/>
      <c r="BT38" s="420"/>
      <c r="BU38" s="420"/>
      <c r="BV38" s="420"/>
      <c r="BW38" s="420"/>
      <c r="BX38" s="420"/>
      <c r="BY38" s="420"/>
      <c r="BZ38" s="420"/>
      <c r="CA38" s="420"/>
      <c r="CB38" s="420"/>
      <c r="CC38" s="420"/>
      <c r="CD38" s="420"/>
      <c r="CE38" s="420"/>
      <c r="CF38" s="420"/>
      <c r="CG38" s="420"/>
      <c r="CH38" s="420"/>
      <c r="CI38" s="420"/>
      <c r="CJ38" s="420"/>
      <c r="CK38" s="420"/>
      <c r="CL38" s="420"/>
      <c r="CM38" s="420"/>
      <c r="CN38" s="420"/>
      <c r="CO38" s="420"/>
      <c r="CP38" s="420"/>
      <c r="CQ38" s="420"/>
      <c r="CR38" s="420"/>
      <c r="CS38" s="420"/>
      <c r="CT38" s="420"/>
      <c r="CU38" s="420"/>
      <c r="CV38" s="421"/>
      <c r="CW38" s="421"/>
      <c r="CX38" s="418" t="str">
        <f>IF(COUNTA($BS$4:$CW$4)=0,"",IF('2.ชื่อนักเรียน'!R44="ย้าย","ย้าย",HE38))</f>
        <v/>
      </c>
      <c r="CY38" s="418">
        <v>34</v>
      </c>
      <c r="CZ38" s="419"/>
      <c r="DA38" s="420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0"/>
      <c r="DX38" s="420"/>
      <c r="DY38" s="420"/>
      <c r="DZ38" s="420"/>
      <c r="EA38" s="420"/>
      <c r="EB38" s="420"/>
      <c r="EC38" s="421"/>
      <c r="ED38" s="421"/>
      <c r="EE38" s="418" t="str">
        <f>IF(COUNTA($CZ$4:$ED$4)=0,"",IF('2.ชื่อนักเรียน'!R44="ย้าย","ย้าย",HJ38))</f>
        <v/>
      </c>
      <c r="EF38" s="418">
        <v>34</v>
      </c>
      <c r="EG38" s="419"/>
      <c r="EH38" s="420"/>
      <c r="EI38" s="420"/>
      <c r="EJ38" s="420"/>
      <c r="EK38" s="420"/>
      <c r="EL38" s="420"/>
      <c r="EM38" s="420"/>
      <c r="EN38" s="420"/>
      <c r="EO38" s="420"/>
      <c r="EP38" s="420"/>
      <c r="EQ38" s="420"/>
      <c r="ER38" s="420"/>
      <c r="ES38" s="420"/>
      <c r="ET38" s="420"/>
      <c r="EU38" s="420"/>
      <c r="EV38" s="420"/>
      <c r="EW38" s="420"/>
      <c r="EX38" s="420"/>
      <c r="EY38" s="420"/>
      <c r="EZ38" s="420"/>
      <c r="FA38" s="420"/>
      <c r="FB38" s="420"/>
      <c r="FC38" s="420"/>
      <c r="FD38" s="420"/>
      <c r="FE38" s="420"/>
      <c r="FF38" s="420"/>
      <c r="FG38" s="420"/>
      <c r="FH38" s="420"/>
      <c r="FI38" s="420"/>
      <c r="FJ38" s="421"/>
      <c r="FK38" s="421"/>
      <c r="FL38" s="418" t="str">
        <f>IF(COUNTA($EG$4:$FK$4)=0,"",IF('2.ชื่อนักเรียน'!R44="ย้าย","ย้าย",HO38))</f>
        <v/>
      </c>
      <c r="FM38" s="418">
        <v>34</v>
      </c>
      <c r="FN38" s="419"/>
      <c r="FO38" s="420"/>
      <c r="FP38" s="420"/>
      <c r="FQ38" s="420"/>
      <c r="FR38" s="420"/>
      <c r="FS38" s="420"/>
      <c r="FT38" s="420"/>
      <c r="FU38" s="420"/>
      <c r="FV38" s="420"/>
      <c r="FW38" s="420"/>
      <c r="FX38" s="420"/>
      <c r="FY38" s="420"/>
      <c r="FZ38" s="420"/>
      <c r="GA38" s="420"/>
      <c r="GB38" s="420"/>
      <c r="GC38" s="420"/>
      <c r="GD38" s="420"/>
      <c r="GE38" s="420"/>
      <c r="GF38" s="420"/>
      <c r="GG38" s="420"/>
      <c r="GH38" s="420"/>
      <c r="GI38" s="420"/>
      <c r="GJ38" s="420"/>
      <c r="GK38" s="420"/>
      <c r="GL38" s="420"/>
      <c r="GM38" s="420"/>
      <c r="GN38" s="420"/>
      <c r="GO38" s="420"/>
      <c r="GP38" s="420"/>
      <c r="GQ38" s="421"/>
      <c r="GR38" s="421"/>
      <c r="GS38" s="418" t="str">
        <f>IF(COUNTA($FN$4:$GR$4)=0,"",IF('2.ชื่อนักเรียน'!R44="ย้าย","ย้าย",HU38))</f>
        <v/>
      </c>
      <c r="GT38" s="418">
        <v>34</v>
      </c>
      <c r="GU38" s="422" t="str">
        <f>IF(OR(COUNTA($E$4:$AI$4)=0,$A38=""),"",IF('2.ชื่อนักเรียน'!R44="ย้าย","-",COUNTIF($E38:$AI38,"/")))</f>
        <v/>
      </c>
      <c r="GV38" s="425" t="str">
        <f>IF(OR(COUNTA($E$4:$AI$4)=0,$A38=""),"",IF('2.ชื่อนักเรียน'!R44="ย้าย","-",COUNTIF($E38:$AI38,"ส")))</f>
        <v/>
      </c>
      <c r="GW38" s="423" t="str">
        <f>IF(OR(COUNTA($E$4:$AI$4)=0,$A38=""),"",IF('2.ชื่อนักเรียน'!R44="ย้าย","-",COUNTIF($E38:$AI38,"ป")))</f>
        <v/>
      </c>
      <c r="GX38" s="423" t="str">
        <f>IF(OR(COUNTA($E$4:$AI$4)=0,$A38=""),"",IF('2.ชื่อนักเรียน'!R44="ย้าย","-",COUNTIF($E38:$AI38,"ล")))</f>
        <v/>
      </c>
      <c r="GY38" s="426" t="str">
        <f>IF(OR(COUNTA($E$4:$AI$4)=0,$A38=""),"",IF('2.ชื่อนักเรียน'!R44="ย้าย","-",COUNTIF($E38:$AI38,"ข")))</f>
        <v/>
      </c>
      <c r="GZ38" s="422" t="str">
        <f>IF(OR(COUNTA($AL$4:$BP$4)=0,$A38=""),"",IF('2.ชื่อนักเรียน'!R44="ย้าย","-",COUNTIF($AL38:$BP38,"/")))</f>
        <v/>
      </c>
      <c r="HA38" s="425" t="str">
        <f>IF(OR(COUNTA($AL$4:$BP$4)=0,$A38=""),"",IF('2.ชื่อนักเรียน'!R44="ย้าย","-",COUNTIF($AL38:$BP38,"ส")))</f>
        <v/>
      </c>
      <c r="HB38" s="423" t="str">
        <f>IF(OR(COUNTA($AL$4:$BP$4)=0,$A38=""),"",IF('2.ชื่อนักเรียน'!R44="ย้าย","-",COUNTIF($AL38:$BP38,"ป")))</f>
        <v/>
      </c>
      <c r="HC38" s="423" t="str">
        <f>IF(OR(COUNTA($AL$4:$BP$4)=0,$A38=""),"",IF('2.ชื่อนักเรียน'!R44="ย้าย","-",COUNTIF($AL38:$BP38,"ล")))</f>
        <v/>
      </c>
      <c r="HD38" s="426" t="str">
        <f>IF(OR(COUNTA($AL$4:$BP$4)=0,$A38=""),"",IF('2.ชื่อนักเรียน'!R44="ย้าย","-",COUNTIF($AL38:$BP38,"ข")))</f>
        <v/>
      </c>
      <c r="HE38" s="422" t="str">
        <f>IF(OR(COUNTA($BS$4:$CW$4)=0,$A38=""),"",IF('2.ชื่อนักเรียน'!R44="ย้าย","-",COUNTIF($BS38:$CW38,"/")))</f>
        <v/>
      </c>
      <c r="HF38" s="425" t="str">
        <f>IF(OR(COUNTA($BS$4:$CW$4)=0,$A38=""),"",IF('2.ชื่อนักเรียน'!R44="ย้าย","-",COUNTIF($BS38:$CW38,"ส")))</f>
        <v/>
      </c>
      <c r="HG38" s="423" t="str">
        <f>IF(OR(COUNTA($BS$4:$CW$4)=0,$A38=""),"",IF('2.ชื่อนักเรียน'!R44="ย้าย","-",COUNTIF($BS38:$CW38,"ป")))</f>
        <v/>
      </c>
      <c r="HH38" s="423" t="str">
        <f>IF(OR(COUNTA($BS$4:$CW$4)=0,$A38=""),"",IF('2.ชื่อนักเรียน'!R44="ย้าย","-",COUNTIF($BS38:$CW38,"ล")))</f>
        <v/>
      </c>
      <c r="HI38" s="426" t="str">
        <f>IF(OR(COUNTA($BS$4:$CW$4)=0,$A38=""),"",IF('2.ชื่อนักเรียน'!R44="ย้าย","-",COUNTIF($BS38:$CW38,"ข")))</f>
        <v/>
      </c>
      <c r="HJ38" s="422" t="str">
        <f>IF(OR(COUNTA($CZ$4:$ED$4)=0,$A38=""),"",IF('2.ชื่อนักเรียน'!R44="ย้าย","-",COUNTIF($CZ38:$ED38,"/")))</f>
        <v/>
      </c>
      <c r="HK38" s="425" t="str">
        <f>IF(OR(COUNTA($CZ$4:$ED$4)=0,$A38=""),"",IF('2.ชื่อนักเรียน'!R44="ย้าย","-",COUNTIF($CZ38:$ED38,"ส")))</f>
        <v/>
      </c>
      <c r="HL38" s="423" t="str">
        <f>IF(OR(COUNTA($CZ$4:$ED$4)=0,$A38=""),"",IF('2.ชื่อนักเรียน'!R44="ย้าย","-",COUNTIF($CZ38:$ED38,"ป")))</f>
        <v/>
      </c>
      <c r="HM38" s="423" t="str">
        <f>IF(OR(COUNTA($CZ$4:$ED$4)=0,A38=""),"",IF('2.ชื่อนักเรียน'!R44="ย้าย","-",COUNTIF($CZ38:$ED38,"ล")))</f>
        <v/>
      </c>
      <c r="HN38" s="426" t="str">
        <f>IF(OR(COUNTA($CZ$4:$ED$4)=0,A38=""),"",IF('2.ชื่อนักเรียน'!R44="ย้าย","-",COUNTIF($CZ38:$ED38,"ข")))</f>
        <v/>
      </c>
      <c r="HO38" s="422" t="str">
        <f>IF(OR(COUNTA($EG$4:$FK$4)=0,$A38=""),"",IF('2.ชื่อนักเรียน'!R44="ย้าย","-",COUNTIF($EG38:$FK38,"/")))</f>
        <v/>
      </c>
      <c r="HP38" s="425" t="str">
        <f>IF(OR(COUNTA($EG$4:$FK$4)=0,$A38=""),"",IF('2.ชื่อนักเรียน'!R44="ย้าย","-",COUNTIF($EG38:$FK38,"ส")))</f>
        <v/>
      </c>
      <c r="HQ38" s="423" t="str">
        <f>IF(OR(COUNTA($EG$4:$FK$4)=0,$A38=""),"",IF('2.ชื่อนักเรียน'!R44="ย้าย","-",COUNTIF($EG38:$FK38,"ป")))</f>
        <v/>
      </c>
      <c r="HR38" s="423" t="str">
        <f>IF(OR(COUNTA($EG$4:$FK$4)=0,A38=""),"",IF('2.ชื่อนักเรียน'!R44="ย้าย","-",COUNTIF($EG38:$FK38,"ล")))</f>
        <v/>
      </c>
      <c r="HS38" s="426" t="str">
        <f>IF(OR(COUNTA($EG$4:$FK$4)=0,A38=""),"",IF('2.ชื่อนักเรียน'!R44="ย้าย","-",COUNTIF($EG38:$FK38,"ข")))</f>
        <v/>
      </c>
      <c r="HT38" s="418">
        <v>34</v>
      </c>
      <c r="HU38" s="422" t="str">
        <f>IF(OR(COUNTA($FN$4:$GR$4)=0,$A38=""),"",IF('2.ชื่อนักเรียน'!R44="ย้าย","-",COUNTIF($FN38:$GR38,"/")))</f>
        <v/>
      </c>
      <c r="HV38" s="425" t="str">
        <f>IF(OR(COUNTA($FN$4:$GR$4)=0,$A38=""),"",IF('2.ชื่อนักเรียน'!R44="ย้าย","-",COUNTIF($FN38:$GR38,"ส")))</f>
        <v/>
      </c>
      <c r="HW38" s="423" t="str">
        <f>IF(OR(COUNTA($FN$4:$GR$4)=0,$A38=""),"",IF('2.ชื่อนักเรียน'!R44="ย้าย","-",COUNTIF($FN38:$GR38,"ป")))</f>
        <v/>
      </c>
      <c r="HX38" s="423" t="str">
        <f>IF(OR(COUNTA($FN$4:$GR$4)=0,A38=""),"",IF('2.ชื่อนักเรียน'!R44="ย้าย","-",COUNTIF($FN38:$GR38,"ล")))</f>
        <v/>
      </c>
      <c r="HY38" s="423" t="str">
        <f>IF(OR(COUNTA($FN$4:$GR$4)=0,A38=""),"",IF('2.ชื่อนักเรียน'!R44="ย้าย","-",COUNTIF($FN38:$GR38,"ข")))</f>
        <v/>
      </c>
      <c r="HZ38" s="422" t="str">
        <f>IF(OR(COUNTA($GU$3:$HS$3,$HU$3)=0,$A38=""),"",IF('2.ชื่อนักเรียน'!R44="ย้าย","-",SUM(GU38,GZ38,HE38,HJ38,HO38,HU38)))</f>
        <v/>
      </c>
      <c r="IA38" s="425" t="str">
        <f>IF(OR(COUNTA($GU$3:$HS$3,$HU$3)=0,$A38=""),"",IF('2.ชื่อนักเรียน'!R44="ย้าย","-",SUM(GV38,HA38,HF38,HK38,HP38,HV38)))</f>
        <v/>
      </c>
      <c r="IB38" s="423" t="str">
        <f>IF(OR(COUNTA($GU$3:$HS$3,$HU$3)=0,$A38=""),"",IF('2.ชื่อนักเรียน'!R44="ย้าย","-",SUM(GW38,HB38,HG38,HL38,HQ38,HW38)))</f>
        <v/>
      </c>
      <c r="IC38" s="423" t="str">
        <f>IF(OR(COUNTA($GU$3:$HS$3,$HU$3)=0,$A38=""),"",IF('2.ชื่อนักเรียน'!R44="ย้าย","-",SUM(GX38,HC38,HH38,HM38,HR38,HX38)))</f>
        <v/>
      </c>
      <c r="ID38" s="424" t="str">
        <f>IF(OR(COUNTA($GU$3:$HS$3,$HU$3)=0,$A38=""),"",IF('2.ชื่อนักเรียน'!R44="ย้าย","-",SUM(GY38,HD38,HI38,HN38,HS38,HY38)))</f>
        <v/>
      </c>
      <c r="IE38" s="418" t="str">
        <f t="shared" si="0"/>
        <v/>
      </c>
      <c r="IF38" s="438" t="str">
        <f>IF(IE38="","",IF('2.ชื่อนักเรียน'!R44="ย้าย","ย้าย",(IE38*100)/COUNTA($E$4:$AI$4,$AL$4:$BP$4,$BS$4:$CW$4,$CZ$4:$ED$4,$EG$4:$FK$4,$FN$4:$GR$4)))</f>
        <v/>
      </c>
      <c r="IG38" s="449"/>
      <c r="IH38" s="605"/>
      <c r="II38" s="605"/>
      <c r="IJ38" s="605"/>
      <c r="IK38" s="605"/>
      <c r="IL38" s="605"/>
      <c r="IM38" s="605"/>
      <c r="IN38" s="605"/>
      <c r="IO38" s="605"/>
      <c r="IP38" s="605"/>
      <c r="IQ38" s="605"/>
      <c r="IR38" s="450"/>
    </row>
    <row r="39" spans="1:252" ht="21" customHeight="1" x14ac:dyDescent="0.4">
      <c r="A39" s="416" t="str">
        <f>IF(Name35="","",Name35)</f>
        <v/>
      </c>
      <c r="B39" s="417" t="str">
        <f>IF(Surname35="","",Surname35)</f>
        <v/>
      </c>
      <c r="C39" s="442" t="str">
        <f>IF('2.ชื่อนักเรียน'!R45="","",'2.ชื่อนักเรียน'!R45)</f>
        <v/>
      </c>
      <c r="D39" s="418">
        <v>35</v>
      </c>
      <c r="E39" s="419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1"/>
      <c r="AI39" s="421"/>
      <c r="AJ39" s="418" t="str">
        <f>IF(COUNTA($E$4:AI$4)=0,"",IF('2.ชื่อนักเรียน'!R45="ย้าย","ย้าย",GU39))</f>
        <v/>
      </c>
      <c r="AK39" s="418">
        <v>35</v>
      </c>
      <c r="AL39" s="419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  <c r="BN39" s="420"/>
      <c r="BO39" s="421"/>
      <c r="BP39" s="421"/>
      <c r="BQ39" s="418" t="str">
        <f>IF(COUNTA($AL$4:$BP$4)=0,"",IF('2.ชื่อนักเรียน'!R45="ย้าย","ย้าย",GZ39))</f>
        <v/>
      </c>
      <c r="BR39" s="418">
        <v>35</v>
      </c>
      <c r="BS39" s="419"/>
      <c r="BT39" s="420"/>
      <c r="BU39" s="420"/>
      <c r="BV39" s="420"/>
      <c r="BW39" s="420"/>
      <c r="BX39" s="420"/>
      <c r="BY39" s="420"/>
      <c r="BZ39" s="420"/>
      <c r="CA39" s="420"/>
      <c r="CB39" s="420"/>
      <c r="CC39" s="420"/>
      <c r="CD39" s="420"/>
      <c r="CE39" s="420"/>
      <c r="CF39" s="420"/>
      <c r="CG39" s="420"/>
      <c r="CH39" s="420"/>
      <c r="CI39" s="420"/>
      <c r="CJ39" s="420"/>
      <c r="CK39" s="420"/>
      <c r="CL39" s="420"/>
      <c r="CM39" s="420"/>
      <c r="CN39" s="420"/>
      <c r="CO39" s="420"/>
      <c r="CP39" s="420"/>
      <c r="CQ39" s="420"/>
      <c r="CR39" s="420"/>
      <c r="CS39" s="420"/>
      <c r="CT39" s="420"/>
      <c r="CU39" s="420"/>
      <c r="CV39" s="421"/>
      <c r="CW39" s="421"/>
      <c r="CX39" s="418" t="str">
        <f>IF(COUNTA($BS$4:$CW$4)=0,"",IF('2.ชื่อนักเรียน'!R45="ย้าย","ย้าย",HE39))</f>
        <v/>
      </c>
      <c r="CY39" s="418">
        <v>35</v>
      </c>
      <c r="CZ39" s="419"/>
      <c r="DA39" s="420"/>
      <c r="DB39" s="420"/>
      <c r="DC39" s="420"/>
      <c r="DD39" s="420"/>
      <c r="DE39" s="420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420"/>
      <c r="DV39" s="420"/>
      <c r="DW39" s="420"/>
      <c r="DX39" s="420"/>
      <c r="DY39" s="420"/>
      <c r="DZ39" s="420"/>
      <c r="EA39" s="420"/>
      <c r="EB39" s="420"/>
      <c r="EC39" s="421"/>
      <c r="ED39" s="421"/>
      <c r="EE39" s="418" t="str">
        <f>IF(COUNTA($CZ$4:$ED$4)=0,"",IF('2.ชื่อนักเรียน'!R45="ย้าย","ย้าย",HJ39))</f>
        <v/>
      </c>
      <c r="EF39" s="418">
        <v>35</v>
      </c>
      <c r="EG39" s="419"/>
      <c r="EH39" s="420"/>
      <c r="EI39" s="420"/>
      <c r="EJ39" s="420"/>
      <c r="EK39" s="420"/>
      <c r="EL39" s="420"/>
      <c r="EM39" s="420"/>
      <c r="EN39" s="420"/>
      <c r="EO39" s="420"/>
      <c r="EP39" s="420"/>
      <c r="EQ39" s="420"/>
      <c r="ER39" s="420"/>
      <c r="ES39" s="420"/>
      <c r="ET39" s="420"/>
      <c r="EU39" s="420"/>
      <c r="EV39" s="420"/>
      <c r="EW39" s="420"/>
      <c r="EX39" s="420"/>
      <c r="EY39" s="420"/>
      <c r="EZ39" s="420"/>
      <c r="FA39" s="420"/>
      <c r="FB39" s="420"/>
      <c r="FC39" s="420"/>
      <c r="FD39" s="420"/>
      <c r="FE39" s="420"/>
      <c r="FF39" s="420"/>
      <c r="FG39" s="420"/>
      <c r="FH39" s="420"/>
      <c r="FI39" s="420"/>
      <c r="FJ39" s="421"/>
      <c r="FK39" s="421"/>
      <c r="FL39" s="418" t="str">
        <f>IF(COUNTA($EG$4:$FK$4)=0,"",IF('2.ชื่อนักเรียน'!R45="ย้าย","ย้าย",HO39))</f>
        <v/>
      </c>
      <c r="FM39" s="418">
        <v>35</v>
      </c>
      <c r="FN39" s="419"/>
      <c r="FO39" s="420"/>
      <c r="FP39" s="420"/>
      <c r="FQ39" s="420"/>
      <c r="FR39" s="420"/>
      <c r="FS39" s="420"/>
      <c r="FT39" s="420"/>
      <c r="FU39" s="420"/>
      <c r="FV39" s="420"/>
      <c r="FW39" s="420"/>
      <c r="FX39" s="420"/>
      <c r="FY39" s="420"/>
      <c r="FZ39" s="420"/>
      <c r="GA39" s="420"/>
      <c r="GB39" s="420"/>
      <c r="GC39" s="420"/>
      <c r="GD39" s="420"/>
      <c r="GE39" s="420"/>
      <c r="GF39" s="420"/>
      <c r="GG39" s="420"/>
      <c r="GH39" s="420"/>
      <c r="GI39" s="420"/>
      <c r="GJ39" s="420"/>
      <c r="GK39" s="420"/>
      <c r="GL39" s="420"/>
      <c r="GM39" s="420"/>
      <c r="GN39" s="420"/>
      <c r="GO39" s="420"/>
      <c r="GP39" s="420"/>
      <c r="GQ39" s="421"/>
      <c r="GR39" s="421"/>
      <c r="GS39" s="418" t="str">
        <f>IF(COUNTA($FN$4:$GR$4)=0,"",IF('2.ชื่อนักเรียน'!R45="ย้าย","ย้าย",HU39))</f>
        <v/>
      </c>
      <c r="GT39" s="418">
        <v>35</v>
      </c>
      <c r="GU39" s="422" t="str">
        <f>IF(OR(COUNTA($E$4:$AI$4)=0,$A39=""),"",IF('2.ชื่อนักเรียน'!R45="ย้าย","-",COUNTIF($E39:$AI39,"/")))</f>
        <v/>
      </c>
      <c r="GV39" s="425" t="str">
        <f>IF(OR(COUNTA($E$4:$AI$4)=0,$A39=""),"",IF('2.ชื่อนักเรียน'!R45="ย้าย","-",COUNTIF($E39:$AI39,"ส")))</f>
        <v/>
      </c>
      <c r="GW39" s="423" t="str">
        <f>IF(OR(COUNTA($E$4:$AI$4)=0,$A39=""),"",IF('2.ชื่อนักเรียน'!R45="ย้าย","-",COUNTIF($E39:$AI39,"ป")))</f>
        <v/>
      </c>
      <c r="GX39" s="423" t="str">
        <f>IF(OR(COUNTA($E$4:$AI$4)=0,$A39=""),"",IF('2.ชื่อนักเรียน'!R45="ย้าย","-",COUNTIF($E39:$AI39,"ล")))</f>
        <v/>
      </c>
      <c r="GY39" s="426" t="str">
        <f>IF(OR(COUNTA($E$4:$AI$4)=0,$A39=""),"",IF('2.ชื่อนักเรียน'!R45="ย้าย","-",COUNTIF($E39:$AI39,"ข")))</f>
        <v/>
      </c>
      <c r="GZ39" s="422" t="str">
        <f>IF(OR(COUNTA($AL$4:$BP$4)=0,$A39=""),"",IF('2.ชื่อนักเรียน'!R45="ย้าย","-",COUNTIF($AL39:$BP39,"/")))</f>
        <v/>
      </c>
      <c r="HA39" s="425" t="str">
        <f>IF(OR(COUNTA($AL$4:$BP$4)=0,$A39=""),"",IF('2.ชื่อนักเรียน'!R45="ย้าย","-",COUNTIF($AL39:$BP39,"ส")))</f>
        <v/>
      </c>
      <c r="HB39" s="423" t="str">
        <f>IF(OR(COUNTA($AL$4:$BP$4)=0,$A39=""),"",IF('2.ชื่อนักเรียน'!R45="ย้าย","-",COUNTIF($AL39:$BP39,"ป")))</f>
        <v/>
      </c>
      <c r="HC39" s="423" t="str">
        <f>IF(OR(COUNTA($AL$4:$BP$4)=0,$A39=""),"",IF('2.ชื่อนักเรียน'!R45="ย้าย","-",COUNTIF($AL39:$BP39,"ล")))</f>
        <v/>
      </c>
      <c r="HD39" s="426" t="str">
        <f>IF(OR(COUNTA($AL$4:$BP$4)=0,$A39=""),"",IF('2.ชื่อนักเรียน'!R45="ย้าย","-",COUNTIF($AL39:$BP39,"ข")))</f>
        <v/>
      </c>
      <c r="HE39" s="422" t="str">
        <f>IF(OR(COUNTA($BS$4:$CW$4)=0,$A39=""),"",IF('2.ชื่อนักเรียน'!R45="ย้าย","-",COUNTIF($BS39:$CW39,"/")))</f>
        <v/>
      </c>
      <c r="HF39" s="425" t="str">
        <f>IF(OR(COUNTA($BS$4:$CW$4)=0,$A39=""),"",IF('2.ชื่อนักเรียน'!R45="ย้าย","-",COUNTIF($BS39:$CW39,"ส")))</f>
        <v/>
      </c>
      <c r="HG39" s="423" t="str">
        <f>IF(OR(COUNTA($BS$4:$CW$4)=0,$A39=""),"",IF('2.ชื่อนักเรียน'!R45="ย้าย","-",COUNTIF($BS39:$CW39,"ป")))</f>
        <v/>
      </c>
      <c r="HH39" s="423" t="str">
        <f>IF(OR(COUNTA($BS$4:$CW$4)=0,$A39=""),"",IF('2.ชื่อนักเรียน'!R45="ย้าย","-",COUNTIF($BS39:$CW39,"ล")))</f>
        <v/>
      </c>
      <c r="HI39" s="426" t="str">
        <f>IF(OR(COUNTA($BS$4:$CW$4)=0,$A39=""),"",IF('2.ชื่อนักเรียน'!R45="ย้าย","-",COUNTIF($BS39:$CW39,"ข")))</f>
        <v/>
      </c>
      <c r="HJ39" s="422" t="str">
        <f>IF(OR(COUNTA($CZ$4:$ED$4)=0,$A39=""),"",IF('2.ชื่อนักเรียน'!R45="ย้าย","-",COUNTIF($CZ39:$ED39,"/")))</f>
        <v/>
      </c>
      <c r="HK39" s="425" t="str">
        <f>IF(OR(COUNTA($CZ$4:$ED$4)=0,$A39=""),"",IF('2.ชื่อนักเรียน'!R45="ย้าย","-",COUNTIF($CZ39:$ED39,"ส")))</f>
        <v/>
      </c>
      <c r="HL39" s="423" t="str">
        <f>IF(OR(COUNTA($CZ$4:$ED$4)=0,$A39=""),"",IF('2.ชื่อนักเรียน'!R45="ย้าย","-",COUNTIF($CZ39:$ED39,"ป")))</f>
        <v/>
      </c>
      <c r="HM39" s="423" t="str">
        <f>IF(OR(COUNTA($CZ$4:$ED$4)=0,A39=""),"",IF('2.ชื่อนักเรียน'!R45="ย้าย","-",COUNTIF($CZ39:$ED39,"ล")))</f>
        <v/>
      </c>
      <c r="HN39" s="426" t="str">
        <f>IF(OR(COUNTA($CZ$4:$ED$4)=0,A39=""),"",IF('2.ชื่อนักเรียน'!R45="ย้าย","-",COUNTIF($CZ39:$ED39,"ข")))</f>
        <v/>
      </c>
      <c r="HO39" s="422" t="str">
        <f>IF(OR(COUNTA($EG$4:$FK$4)=0,$A39=""),"",IF('2.ชื่อนักเรียน'!R45="ย้าย","-",COUNTIF($EG39:$FK39,"/")))</f>
        <v/>
      </c>
      <c r="HP39" s="425" t="str">
        <f>IF(OR(COUNTA($EG$4:$FK$4)=0,$A39=""),"",IF('2.ชื่อนักเรียน'!R45="ย้าย","-",COUNTIF($EG39:$FK39,"ส")))</f>
        <v/>
      </c>
      <c r="HQ39" s="423" t="str">
        <f>IF(OR(COUNTA($EG$4:$FK$4)=0,$A39=""),"",IF('2.ชื่อนักเรียน'!R45="ย้าย","-",COUNTIF($EG39:$FK39,"ป")))</f>
        <v/>
      </c>
      <c r="HR39" s="423" t="str">
        <f>IF(OR(COUNTA($EG$4:$FK$4)=0,A39=""),"",IF('2.ชื่อนักเรียน'!R45="ย้าย","-",COUNTIF($EG39:$FK39,"ล")))</f>
        <v/>
      </c>
      <c r="HS39" s="426" t="str">
        <f>IF(OR(COUNTA($EG$4:$FK$4)=0,A39=""),"",IF('2.ชื่อนักเรียน'!R45="ย้าย","-",COUNTIF($EG39:$FK39,"ข")))</f>
        <v/>
      </c>
      <c r="HT39" s="418">
        <v>35</v>
      </c>
      <c r="HU39" s="422" t="str">
        <f>IF(OR(COUNTA($FN$4:$GR$4)=0,$A39=""),"",IF('2.ชื่อนักเรียน'!R45="ย้าย","-",COUNTIF($FN39:$GR39,"/")))</f>
        <v/>
      </c>
      <c r="HV39" s="425" t="str">
        <f>IF(OR(COUNTA($FN$4:$GR$4)=0,$A39=""),"",IF('2.ชื่อนักเรียน'!R45="ย้าย","-",COUNTIF($FN39:$GR39,"ส")))</f>
        <v/>
      </c>
      <c r="HW39" s="423" t="str">
        <f>IF(OR(COUNTA($FN$4:$GR$4)=0,$A39=""),"",IF('2.ชื่อนักเรียน'!R45="ย้าย","-",COUNTIF($FN39:$GR39,"ป")))</f>
        <v/>
      </c>
      <c r="HX39" s="423" t="str">
        <f>IF(OR(COUNTA($FN$4:$GR$4)=0,A39=""),"",IF('2.ชื่อนักเรียน'!R45="ย้าย","-",COUNTIF($FN39:$GR39,"ล")))</f>
        <v/>
      </c>
      <c r="HY39" s="423" t="str">
        <f>IF(OR(COUNTA($FN$4:$GR$4)=0,A39=""),"",IF('2.ชื่อนักเรียน'!R45="ย้าย","-",COUNTIF($FN39:$GR39,"ข")))</f>
        <v/>
      </c>
      <c r="HZ39" s="422" t="str">
        <f>IF(OR(COUNTA($GU$3:$HS$3,$HU$3)=0,$A39=""),"",IF('2.ชื่อนักเรียน'!R45="ย้าย","-",SUM(GU39,GZ39,HE39,HJ39,HO39,HU39)))</f>
        <v/>
      </c>
      <c r="IA39" s="425" t="str">
        <f>IF(OR(COUNTA($GU$3:$HS$3,$HU$3)=0,$A39=""),"",IF('2.ชื่อนักเรียน'!R45="ย้าย","-",SUM(GV39,HA39,HF39,HK39,HP39,HV39)))</f>
        <v/>
      </c>
      <c r="IB39" s="423" t="str">
        <f>IF(OR(COUNTA($GU$3:$HS$3,$HU$3)=0,$A39=""),"",IF('2.ชื่อนักเรียน'!R45="ย้าย","-",SUM(GW39,HB39,HG39,HL39,HQ39,HW39)))</f>
        <v/>
      </c>
      <c r="IC39" s="423" t="str">
        <f>IF(OR(COUNTA($GU$3:$HS$3,$HU$3)=0,$A39=""),"",IF('2.ชื่อนักเรียน'!R45="ย้าย","-",SUM(GX39,HC39,HH39,HM39,HR39,HX39)))</f>
        <v/>
      </c>
      <c r="ID39" s="424" t="str">
        <f>IF(OR(COUNTA($GU$3:$HS$3,$HU$3)=0,$A39=""),"",IF('2.ชื่อนักเรียน'!R45="ย้าย","-",SUM(GY39,HD39,HI39,HN39,HS39,HY39)))</f>
        <v/>
      </c>
      <c r="IE39" s="418" t="str">
        <f t="shared" si="0"/>
        <v/>
      </c>
      <c r="IF39" s="438" t="str">
        <f>IF(IE39="","",IF('2.ชื่อนักเรียน'!R45="ย้าย","ย้าย",(IE39*100)/COUNTA($E$4:$AI$4,$AL$4:$BP$4,$BS$4:$CW$4,$CZ$4:$ED$4,$EG$4:$FK$4,$FN$4:$GR$4)))</f>
        <v/>
      </c>
      <c r="IG39" s="449"/>
      <c r="IH39" s="605"/>
      <c r="II39" s="605"/>
      <c r="IJ39" s="605"/>
      <c r="IK39" s="605"/>
      <c r="IL39" s="605"/>
      <c r="IM39" s="605"/>
      <c r="IN39" s="605"/>
      <c r="IO39" s="605"/>
      <c r="IP39" s="605"/>
      <c r="IQ39" s="605"/>
      <c r="IR39" s="450"/>
    </row>
    <row r="40" spans="1:252" ht="21" customHeight="1" x14ac:dyDescent="0.4">
      <c r="A40" s="416" t="str">
        <f>IF(Name36="","",Name36)</f>
        <v/>
      </c>
      <c r="B40" s="417" t="str">
        <f>IF(Surname36="","",Surname36)</f>
        <v/>
      </c>
      <c r="C40" s="442" t="str">
        <f>IF('2.ชื่อนักเรียน'!R46="","",'2.ชื่อนักเรียน'!R46)</f>
        <v/>
      </c>
      <c r="D40" s="418">
        <v>36</v>
      </c>
      <c r="E40" s="419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1"/>
      <c r="AI40" s="421"/>
      <c r="AJ40" s="418" t="str">
        <f>IF(COUNTA($E$4:AI$4)=0,"",IF('2.ชื่อนักเรียน'!R46="ย้าย","ย้าย",GU40))</f>
        <v/>
      </c>
      <c r="AK40" s="418">
        <v>36</v>
      </c>
      <c r="AL40" s="419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1"/>
      <c r="BP40" s="421"/>
      <c r="BQ40" s="418" t="str">
        <f>IF(COUNTA($AL$4:$BP$4)=0,"",IF('2.ชื่อนักเรียน'!R46="ย้าย","ย้าย",GZ40))</f>
        <v/>
      </c>
      <c r="BR40" s="418">
        <v>36</v>
      </c>
      <c r="BS40" s="419"/>
      <c r="BT40" s="420"/>
      <c r="BU40" s="420"/>
      <c r="BV40" s="420"/>
      <c r="BW40" s="420"/>
      <c r="BX40" s="420"/>
      <c r="BY40" s="420"/>
      <c r="BZ40" s="420"/>
      <c r="CA40" s="420"/>
      <c r="CB40" s="420"/>
      <c r="CC40" s="420"/>
      <c r="CD40" s="420"/>
      <c r="CE40" s="420"/>
      <c r="CF40" s="420"/>
      <c r="CG40" s="420"/>
      <c r="CH40" s="420"/>
      <c r="CI40" s="420"/>
      <c r="CJ40" s="420"/>
      <c r="CK40" s="420"/>
      <c r="CL40" s="420"/>
      <c r="CM40" s="420"/>
      <c r="CN40" s="420"/>
      <c r="CO40" s="420"/>
      <c r="CP40" s="420"/>
      <c r="CQ40" s="420"/>
      <c r="CR40" s="420"/>
      <c r="CS40" s="420"/>
      <c r="CT40" s="420"/>
      <c r="CU40" s="420"/>
      <c r="CV40" s="421"/>
      <c r="CW40" s="421"/>
      <c r="CX40" s="418" t="str">
        <f>IF(COUNTA($BS$4:$CW$4)=0,"",IF('2.ชื่อนักเรียน'!R46="ย้าย","ย้าย",HE40))</f>
        <v/>
      </c>
      <c r="CY40" s="418">
        <v>36</v>
      </c>
      <c r="CZ40" s="419"/>
      <c r="DA40" s="420"/>
      <c r="DB40" s="420"/>
      <c r="DC40" s="420"/>
      <c r="DD40" s="420"/>
      <c r="DE40" s="420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420"/>
      <c r="DV40" s="420"/>
      <c r="DW40" s="420"/>
      <c r="DX40" s="420"/>
      <c r="DY40" s="420"/>
      <c r="DZ40" s="420"/>
      <c r="EA40" s="420"/>
      <c r="EB40" s="420"/>
      <c r="EC40" s="421"/>
      <c r="ED40" s="421"/>
      <c r="EE40" s="418" t="str">
        <f>IF(COUNTA($CZ$4:$ED$4)=0,"",IF('2.ชื่อนักเรียน'!R46="ย้าย","ย้าย",HJ40))</f>
        <v/>
      </c>
      <c r="EF40" s="418">
        <v>36</v>
      </c>
      <c r="EG40" s="419"/>
      <c r="EH40" s="420"/>
      <c r="EI40" s="420"/>
      <c r="EJ40" s="420"/>
      <c r="EK40" s="420"/>
      <c r="EL40" s="420"/>
      <c r="EM40" s="420"/>
      <c r="EN40" s="420"/>
      <c r="EO40" s="420"/>
      <c r="EP40" s="420"/>
      <c r="EQ40" s="420"/>
      <c r="ER40" s="420"/>
      <c r="ES40" s="420"/>
      <c r="ET40" s="420"/>
      <c r="EU40" s="420"/>
      <c r="EV40" s="420"/>
      <c r="EW40" s="420"/>
      <c r="EX40" s="420"/>
      <c r="EY40" s="420"/>
      <c r="EZ40" s="420"/>
      <c r="FA40" s="420"/>
      <c r="FB40" s="420"/>
      <c r="FC40" s="420"/>
      <c r="FD40" s="420"/>
      <c r="FE40" s="420"/>
      <c r="FF40" s="420"/>
      <c r="FG40" s="420"/>
      <c r="FH40" s="420"/>
      <c r="FI40" s="420"/>
      <c r="FJ40" s="421"/>
      <c r="FK40" s="421"/>
      <c r="FL40" s="418" t="str">
        <f>IF(COUNTA($EG$4:$FK$4)=0,"",IF('2.ชื่อนักเรียน'!R46="ย้าย","ย้าย",HO40))</f>
        <v/>
      </c>
      <c r="FM40" s="418">
        <v>36</v>
      </c>
      <c r="FN40" s="419"/>
      <c r="FO40" s="420"/>
      <c r="FP40" s="420"/>
      <c r="FQ40" s="420"/>
      <c r="FR40" s="420"/>
      <c r="FS40" s="420"/>
      <c r="FT40" s="420"/>
      <c r="FU40" s="420"/>
      <c r="FV40" s="420"/>
      <c r="FW40" s="420"/>
      <c r="FX40" s="420"/>
      <c r="FY40" s="420"/>
      <c r="FZ40" s="420"/>
      <c r="GA40" s="420"/>
      <c r="GB40" s="420"/>
      <c r="GC40" s="420"/>
      <c r="GD40" s="420"/>
      <c r="GE40" s="420"/>
      <c r="GF40" s="420"/>
      <c r="GG40" s="420"/>
      <c r="GH40" s="420"/>
      <c r="GI40" s="420"/>
      <c r="GJ40" s="420"/>
      <c r="GK40" s="420"/>
      <c r="GL40" s="420"/>
      <c r="GM40" s="420"/>
      <c r="GN40" s="420"/>
      <c r="GO40" s="420"/>
      <c r="GP40" s="420"/>
      <c r="GQ40" s="421"/>
      <c r="GR40" s="421"/>
      <c r="GS40" s="418" t="str">
        <f>IF(COUNTA($FN$4:$GR$4)=0,"",IF('2.ชื่อนักเรียน'!R46="ย้าย","ย้าย",HU40))</f>
        <v/>
      </c>
      <c r="GT40" s="418">
        <v>36</v>
      </c>
      <c r="GU40" s="422" t="str">
        <f>IF(OR(COUNTA($E$4:$AI$4)=0,$A40=""),"",IF('2.ชื่อนักเรียน'!R46="ย้าย","-",COUNTIF($E40:$AI40,"/")))</f>
        <v/>
      </c>
      <c r="GV40" s="425" t="str">
        <f>IF(OR(COUNTA($E$4:$AI$4)=0,$A40=""),"",IF('2.ชื่อนักเรียน'!R46="ย้าย","-",COUNTIF($E40:$AI40,"ส")))</f>
        <v/>
      </c>
      <c r="GW40" s="423" t="str">
        <f>IF(OR(COUNTA($E$4:$AI$4)=0,$A40=""),"",IF('2.ชื่อนักเรียน'!R46="ย้าย","-",COUNTIF($E40:$AI40,"ป")))</f>
        <v/>
      </c>
      <c r="GX40" s="423" t="str">
        <f>IF(OR(COUNTA($E$4:$AI$4)=0,$A40=""),"",IF('2.ชื่อนักเรียน'!R46="ย้าย","-",COUNTIF($E40:$AI40,"ล")))</f>
        <v/>
      </c>
      <c r="GY40" s="426" t="str">
        <f>IF(OR(COUNTA($E$4:$AI$4)=0,$A40=""),"",IF('2.ชื่อนักเรียน'!R46="ย้าย","-",COUNTIF($E40:$AI40,"ข")))</f>
        <v/>
      </c>
      <c r="GZ40" s="422" t="str">
        <f>IF(OR(COUNTA($AL$4:$BP$4)=0,$A40=""),"",IF('2.ชื่อนักเรียน'!R46="ย้าย","-",COUNTIF($AL40:$BP40,"/")))</f>
        <v/>
      </c>
      <c r="HA40" s="425" t="str">
        <f>IF(OR(COUNTA($AL$4:$BP$4)=0,$A40=""),"",IF('2.ชื่อนักเรียน'!R46="ย้าย","-",COUNTIF($AL40:$BP40,"ส")))</f>
        <v/>
      </c>
      <c r="HB40" s="423" t="str">
        <f>IF(OR(COUNTA($AL$4:$BP$4)=0,$A40=""),"",IF('2.ชื่อนักเรียน'!R46="ย้าย","-",COUNTIF($AL40:$BP40,"ป")))</f>
        <v/>
      </c>
      <c r="HC40" s="423" t="str">
        <f>IF(OR(COUNTA($AL$4:$BP$4)=0,$A40=""),"",IF('2.ชื่อนักเรียน'!R46="ย้าย","-",COUNTIF($AL40:$BP40,"ล")))</f>
        <v/>
      </c>
      <c r="HD40" s="426" t="str">
        <f>IF(OR(COUNTA($AL$4:$BP$4)=0,$A40=""),"",IF('2.ชื่อนักเรียน'!R46="ย้าย","-",COUNTIF($AL40:$BP40,"ข")))</f>
        <v/>
      </c>
      <c r="HE40" s="422" t="str">
        <f>IF(OR(COUNTA($BS$4:$CW$4)=0,$A40=""),"",IF('2.ชื่อนักเรียน'!R46="ย้าย","-",COUNTIF($BS40:$CW40,"/")))</f>
        <v/>
      </c>
      <c r="HF40" s="425" t="str">
        <f>IF(OR(COUNTA($BS$4:$CW$4)=0,$A40=""),"",IF('2.ชื่อนักเรียน'!R46="ย้าย","-",COUNTIF($BS40:$CW40,"ส")))</f>
        <v/>
      </c>
      <c r="HG40" s="423" t="str">
        <f>IF(OR(COUNTA($BS$4:$CW$4)=0,$A40=""),"",IF('2.ชื่อนักเรียน'!R46="ย้าย","-",COUNTIF($BS40:$CW40,"ป")))</f>
        <v/>
      </c>
      <c r="HH40" s="423" t="str">
        <f>IF(OR(COUNTA($BS$4:$CW$4)=0,$A40=""),"",IF('2.ชื่อนักเรียน'!R46="ย้าย","-",COUNTIF($BS40:$CW40,"ล")))</f>
        <v/>
      </c>
      <c r="HI40" s="426" t="str">
        <f>IF(OR(COUNTA($BS$4:$CW$4)=0,$A40=""),"",IF('2.ชื่อนักเรียน'!R46="ย้าย","-",COUNTIF($BS40:$CW40,"ข")))</f>
        <v/>
      </c>
      <c r="HJ40" s="422" t="str">
        <f>IF(OR(COUNTA($CZ$4:$ED$4)=0,$A40=""),"",IF('2.ชื่อนักเรียน'!R46="ย้าย","-",COUNTIF($CZ40:$ED40,"/")))</f>
        <v/>
      </c>
      <c r="HK40" s="425" t="str">
        <f>IF(OR(COUNTA($CZ$4:$ED$4)=0,$A40=""),"",IF('2.ชื่อนักเรียน'!R46="ย้าย","-",COUNTIF($CZ40:$ED40,"ส")))</f>
        <v/>
      </c>
      <c r="HL40" s="423" t="str">
        <f>IF(OR(COUNTA($CZ$4:$ED$4)=0,$A40=""),"",IF('2.ชื่อนักเรียน'!R46="ย้าย","-",COUNTIF($CZ40:$ED40,"ป")))</f>
        <v/>
      </c>
      <c r="HM40" s="423" t="str">
        <f>IF(OR(COUNTA($CZ$4:$ED$4)=0,A40=""),"",IF('2.ชื่อนักเรียน'!R46="ย้าย","-",COUNTIF($CZ40:$ED40,"ล")))</f>
        <v/>
      </c>
      <c r="HN40" s="426" t="str">
        <f>IF(OR(COUNTA($CZ$4:$ED$4)=0,A40=""),"",IF('2.ชื่อนักเรียน'!R46="ย้าย","-",COUNTIF($CZ40:$ED40,"ข")))</f>
        <v/>
      </c>
      <c r="HO40" s="422" t="str">
        <f>IF(OR(COUNTA($EG$4:$FK$4)=0,$A40=""),"",IF('2.ชื่อนักเรียน'!R46="ย้าย","-",COUNTIF($EG40:$FK40,"/")))</f>
        <v/>
      </c>
      <c r="HP40" s="425" t="str">
        <f>IF(OR(COUNTA($EG$4:$FK$4)=0,$A40=""),"",IF('2.ชื่อนักเรียน'!R46="ย้าย","-",COUNTIF($EG40:$FK40,"ส")))</f>
        <v/>
      </c>
      <c r="HQ40" s="423" t="str">
        <f>IF(OR(COUNTA($EG$4:$FK$4)=0,$A40=""),"",IF('2.ชื่อนักเรียน'!R46="ย้าย","-",COUNTIF($EG40:$FK40,"ป")))</f>
        <v/>
      </c>
      <c r="HR40" s="423" t="str">
        <f>IF(OR(COUNTA($EG$4:$FK$4)=0,A40=""),"",IF('2.ชื่อนักเรียน'!R46="ย้าย","-",COUNTIF($EG40:$FK40,"ล")))</f>
        <v/>
      </c>
      <c r="HS40" s="426" t="str">
        <f>IF(OR(COUNTA($EG$4:$FK$4)=0,A40=""),"",IF('2.ชื่อนักเรียน'!R46="ย้าย","-",COUNTIF($EG40:$FK40,"ข")))</f>
        <v/>
      </c>
      <c r="HT40" s="418">
        <v>36</v>
      </c>
      <c r="HU40" s="422" t="str">
        <f>IF(OR(COUNTA($FN$4:$GR$4)=0,$A40=""),"",IF('2.ชื่อนักเรียน'!R46="ย้าย","-",COUNTIF($FN40:$GR40,"/")))</f>
        <v/>
      </c>
      <c r="HV40" s="425" t="str">
        <f>IF(OR(COUNTA($FN$4:$GR$4)=0,$A40=""),"",IF('2.ชื่อนักเรียน'!R46="ย้าย","-",COUNTIF($FN40:$GR40,"ส")))</f>
        <v/>
      </c>
      <c r="HW40" s="423" t="str">
        <f>IF(OR(COUNTA($FN$4:$GR$4)=0,$A40=""),"",IF('2.ชื่อนักเรียน'!R46="ย้าย","-",COUNTIF($FN40:$GR40,"ป")))</f>
        <v/>
      </c>
      <c r="HX40" s="423" t="str">
        <f>IF(OR(COUNTA($FN$4:$GR$4)=0,A40=""),"",IF('2.ชื่อนักเรียน'!R46="ย้าย","-",COUNTIF($FN40:$GR40,"ล")))</f>
        <v/>
      </c>
      <c r="HY40" s="423" t="str">
        <f>IF(OR(COUNTA($FN$4:$GR$4)=0,A40=""),"",IF('2.ชื่อนักเรียน'!R46="ย้าย","-",COUNTIF($FN40:$GR40,"ข")))</f>
        <v/>
      </c>
      <c r="HZ40" s="422" t="str">
        <f>IF(OR(COUNTA($GU$3:$HS$3,$HU$3)=0,$A40=""),"",IF('2.ชื่อนักเรียน'!R46="ย้าย","-",SUM(GU40,GZ40,HE40,HJ40,HO40,HU40)))</f>
        <v/>
      </c>
      <c r="IA40" s="425" t="str">
        <f>IF(OR(COUNTA($GU$3:$HS$3,$HU$3)=0,$A40=""),"",IF('2.ชื่อนักเรียน'!R46="ย้าย","-",SUM(GV40,HA40,HF40,HK40,HP40,HV40)))</f>
        <v/>
      </c>
      <c r="IB40" s="423" t="str">
        <f>IF(OR(COUNTA($GU$3:$HS$3,$HU$3)=0,$A40=""),"",IF('2.ชื่อนักเรียน'!R46="ย้าย","-",SUM(GW40,HB40,HG40,HL40,HQ40,HW40)))</f>
        <v/>
      </c>
      <c r="IC40" s="423" t="str">
        <f>IF(OR(COUNTA($GU$3:$HS$3,$HU$3)=0,$A40=""),"",IF('2.ชื่อนักเรียน'!R46="ย้าย","-",SUM(GX40,HC40,HH40,HM40,HR40,HX40)))</f>
        <v/>
      </c>
      <c r="ID40" s="424" t="str">
        <f>IF(OR(COUNTA($GU$3:$HS$3,$HU$3)=0,$A40=""),"",IF('2.ชื่อนักเรียน'!R46="ย้าย","-",SUM(GY40,HD40,HI40,HN40,HS40,HY40)))</f>
        <v/>
      </c>
      <c r="IE40" s="418" t="str">
        <f t="shared" si="0"/>
        <v/>
      </c>
      <c r="IF40" s="438" t="str">
        <f>IF(IE40="","",IF('2.ชื่อนักเรียน'!R46="ย้าย","ย้าย",(IE40*100)/COUNTA($E$4:$AI$4,$AL$4:$BP$4,$BS$4:$CW$4,$CZ$4:$ED$4,$EG$4:$FK$4,$FN$4:$GR$4)))</f>
        <v/>
      </c>
      <c r="IG40" s="449"/>
      <c r="IH40" s="605"/>
      <c r="II40" s="605"/>
      <c r="IJ40" s="605"/>
      <c r="IK40" s="605"/>
      <c r="IL40" s="605"/>
      <c r="IM40" s="605"/>
      <c r="IN40" s="605"/>
      <c r="IO40" s="605"/>
      <c r="IP40" s="605"/>
      <c r="IQ40" s="605"/>
      <c r="IR40" s="450"/>
    </row>
    <row r="41" spans="1:252" ht="21" customHeight="1" x14ac:dyDescent="0.4">
      <c r="A41" s="416" t="str">
        <f>IF(Name37="","",Name37)</f>
        <v/>
      </c>
      <c r="B41" s="417" t="str">
        <f>IF(Surname37="","",Surname37)</f>
        <v/>
      </c>
      <c r="C41" s="442" t="str">
        <f>IF('2.ชื่อนักเรียน'!R47="","",'2.ชื่อนักเรียน'!R47)</f>
        <v/>
      </c>
      <c r="D41" s="418">
        <v>37</v>
      </c>
      <c r="E41" s="419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1"/>
      <c r="AI41" s="421"/>
      <c r="AJ41" s="418" t="str">
        <f>IF(COUNTA($E$4:AI$4)=0,"",IF('2.ชื่อนักเรียน'!R47="ย้าย","ย้าย",GU41))</f>
        <v/>
      </c>
      <c r="AK41" s="418">
        <v>37</v>
      </c>
      <c r="AL41" s="419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1"/>
      <c r="BP41" s="421"/>
      <c r="BQ41" s="418" t="str">
        <f>IF(COUNTA($AL$4:$BP$4)=0,"",IF('2.ชื่อนักเรียน'!R47="ย้าย","ย้าย",GZ41))</f>
        <v/>
      </c>
      <c r="BR41" s="418">
        <v>37</v>
      </c>
      <c r="BS41" s="419"/>
      <c r="BT41" s="420"/>
      <c r="BU41" s="420"/>
      <c r="BV41" s="420"/>
      <c r="BW41" s="420"/>
      <c r="BX41" s="420"/>
      <c r="BY41" s="420"/>
      <c r="BZ41" s="420"/>
      <c r="CA41" s="420"/>
      <c r="CB41" s="420"/>
      <c r="CC41" s="420"/>
      <c r="CD41" s="420"/>
      <c r="CE41" s="420"/>
      <c r="CF41" s="420"/>
      <c r="CG41" s="420"/>
      <c r="CH41" s="420"/>
      <c r="CI41" s="420"/>
      <c r="CJ41" s="420"/>
      <c r="CK41" s="420"/>
      <c r="CL41" s="420"/>
      <c r="CM41" s="420"/>
      <c r="CN41" s="420"/>
      <c r="CO41" s="420"/>
      <c r="CP41" s="420"/>
      <c r="CQ41" s="420"/>
      <c r="CR41" s="420"/>
      <c r="CS41" s="420"/>
      <c r="CT41" s="420"/>
      <c r="CU41" s="420"/>
      <c r="CV41" s="421"/>
      <c r="CW41" s="421"/>
      <c r="CX41" s="418" t="str">
        <f>IF(COUNTA($BS$4:$CW$4)=0,"",IF('2.ชื่อนักเรียน'!R47="ย้าย","ย้าย",HE41))</f>
        <v/>
      </c>
      <c r="CY41" s="418">
        <v>37</v>
      </c>
      <c r="CZ41" s="419"/>
      <c r="DA41" s="420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420"/>
      <c r="DV41" s="420"/>
      <c r="DW41" s="420"/>
      <c r="DX41" s="420"/>
      <c r="DY41" s="420"/>
      <c r="DZ41" s="420"/>
      <c r="EA41" s="420"/>
      <c r="EB41" s="420"/>
      <c r="EC41" s="421"/>
      <c r="ED41" s="421"/>
      <c r="EE41" s="418" t="str">
        <f>IF(COUNTA($CZ$4:$ED$4)=0,"",IF('2.ชื่อนักเรียน'!R47="ย้าย","ย้าย",HJ41))</f>
        <v/>
      </c>
      <c r="EF41" s="418">
        <v>37</v>
      </c>
      <c r="EG41" s="419"/>
      <c r="EH41" s="420"/>
      <c r="EI41" s="420"/>
      <c r="EJ41" s="420"/>
      <c r="EK41" s="420"/>
      <c r="EL41" s="420"/>
      <c r="EM41" s="420"/>
      <c r="EN41" s="420"/>
      <c r="EO41" s="420"/>
      <c r="EP41" s="420"/>
      <c r="EQ41" s="420"/>
      <c r="ER41" s="420"/>
      <c r="ES41" s="420"/>
      <c r="ET41" s="420"/>
      <c r="EU41" s="420"/>
      <c r="EV41" s="420"/>
      <c r="EW41" s="420"/>
      <c r="EX41" s="420"/>
      <c r="EY41" s="420"/>
      <c r="EZ41" s="420"/>
      <c r="FA41" s="420"/>
      <c r="FB41" s="420"/>
      <c r="FC41" s="420"/>
      <c r="FD41" s="420"/>
      <c r="FE41" s="420"/>
      <c r="FF41" s="420"/>
      <c r="FG41" s="420"/>
      <c r="FH41" s="420"/>
      <c r="FI41" s="420"/>
      <c r="FJ41" s="421"/>
      <c r="FK41" s="421"/>
      <c r="FL41" s="418" t="str">
        <f>IF(COUNTA($EG$4:$FK$4)=0,"",IF('2.ชื่อนักเรียน'!R47="ย้าย","ย้าย",HO41))</f>
        <v/>
      </c>
      <c r="FM41" s="418">
        <v>37</v>
      </c>
      <c r="FN41" s="419"/>
      <c r="FO41" s="420"/>
      <c r="FP41" s="420"/>
      <c r="FQ41" s="420"/>
      <c r="FR41" s="420"/>
      <c r="FS41" s="420"/>
      <c r="FT41" s="420"/>
      <c r="FU41" s="420"/>
      <c r="FV41" s="420"/>
      <c r="FW41" s="420"/>
      <c r="FX41" s="420"/>
      <c r="FY41" s="420"/>
      <c r="FZ41" s="420"/>
      <c r="GA41" s="420"/>
      <c r="GB41" s="420"/>
      <c r="GC41" s="420"/>
      <c r="GD41" s="420"/>
      <c r="GE41" s="420"/>
      <c r="GF41" s="420"/>
      <c r="GG41" s="420"/>
      <c r="GH41" s="420"/>
      <c r="GI41" s="420"/>
      <c r="GJ41" s="420"/>
      <c r="GK41" s="420"/>
      <c r="GL41" s="420"/>
      <c r="GM41" s="420"/>
      <c r="GN41" s="420"/>
      <c r="GO41" s="420"/>
      <c r="GP41" s="420"/>
      <c r="GQ41" s="421"/>
      <c r="GR41" s="421"/>
      <c r="GS41" s="418" t="str">
        <f>IF(COUNTA($FN$4:$GR$4)=0,"",IF('2.ชื่อนักเรียน'!R47="ย้าย","ย้าย",HU41))</f>
        <v/>
      </c>
      <c r="GT41" s="418">
        <v>37</v>
      </c>
      <c r="GU41" s="422" t="str">
        <f>IF(OR(COUNTA($E$4:$AI$4)=0,$A41=""),"",IF('2.ชื่อนักเรียน'!R47="ย้าย","-",COUNTIF($E41:$AI41,"/")))</f>
        <v/>
      </c>
      <c r="GV41" s="425" t="str">
        <f>IF(OR(COUNTA($E$4:$AI$4)=0,$A41=""),"",IF('2.ชื่อนักเรียน'!R47="ย้าย","-",COUNTIF($E41:$AI41,"ส")))</f>
        <v/>
      </c>
      <c r="GW41" s="423" t="str">
        <f>IF(OR(COUNTA($E$4:$AI$4)=0,$A41=""),"",IF('2.ชื่อนักเรียน'!R47="ย้าย","-",COUNTIF($E41:$AI41,"ป")))</f>
        <v/>
      </c>
      <c r="GX41" s="423" t="str">
        <f>IF(OR(COUNTA($E$4:$AI$4)=0,$A41=""),"",IF('2.ชื่อนักเรียน'!R47="ย้าย","-",COUNTIF($E41:$AI41,"ล")))</f>
        <v/>
      </c>
      <c r="GY41" s="426" t="str">
        <f>IF(OR(COUNTA($E$4:$AI$4)=0,$A41=""),"",IF('2.ชื่อนักเรียน'!R47="ย้าย","-",COUNTIF($E41:$AI41,"ข")))</f>
        <v/>
      </c>
      <c r="GZ41" s="422" t="str">
        <f>IF(OR(COUNTA($AL$4:$BP$4)=0,$A41=""),"",IF('2.ชื่อนักเรียน'!R47="ย้าย","-",COUNTIF($AL41:$BP41,"/")))</f>
        <v/>
      </c>
      <c r="HA41" s="425" t="str">
        <f>IF(OR(COUNTA($AL$4:$BP$4)=0,$A41=""),"",IF('2.ชื่อนักเรียน'!R47="ย้าย","-",COUNTIF($AL41:$BP41,"ส")))</f>
        <v/>
      </c>
      <c r="HB41" s="423" t="str">
        <f>IF(OR(COUNTA($AL$4:$BP$4)=0,$A41=""),"",IF('2.ชื่อนักเรียน'!R47="ย้าย","-",COUNTIF($AL41:$BP41,"ป")))</f>
        <v/>
      </c>
      <c r="HC41" s="423" t="str">
        <f>IF(OR(COUNTA($AL$4:$BP$4)=0,$A41=""),"",IF('2.ชื่อนักเรียน'!R47="ย้าย","-",COUNTIF($AL41:$BP41,"ล")))</f>
        <v/>
      </c>
      <c r="HD41" s="426" t="str">
        <f>IF(OR(COUNTA($AL$4:$BP$4)=0,$A41=""),"",IF('2.ชื่อนักเรียน'!R47="ย้าย","-",COUNTIF($AL41:$BP41,"ข")))</f>
        <v/>
      </c>
      <c r="HE41" s="422" t="str">
        <f>IF(OR(COUNTA($BS$4:$CW$4)=0,$A41=""),"",IF('2.ชื่อนักเรียน'!R47="ย้าย","-",COUNTIF($BS41:$CW41,"/")))</f>
        <v/>
      </c>
      <c r="HF41" s="425" t="str">
        <f>IF(OR(COUNTA($BS$4:$CW$4)=0,$A41=""),"",IF('2.ชื่อนักเรียน'!R47="ย้าย","-",COUNTIF($BS41:$CW41,"ส")))</f>
        <v/>
      </c>
      <c r="HG41" s="423" t="str">
        <f>IF(OR(COUNTA($BS$4:$CW$4)=0,$A41=""),"",IF('2.ชื่อนักเรียน'!R47="ย้าย","-",COUNTIF($BS41:$CW41,"ป")))</f>
        <v/>
      </c>
      <c r="HH41" s="423" t="str">
        <f>IF(OR(COUNTA($BS$4:$CW$4)=0,$A41=""),"",IF('2.ชื่อนักเรียน'!R47="ย้าย","-",COUNTIF($BS41:$CW41,"ล")))</f>
        <v/>
      </c>
      <c r="HI41" s="426" t="str">
        <f>IF(OR(COUNTA($BS$4:$CW$4)=0,$A41=""),"",IF('2.ชื่อนักเรียน'!R47="ย้าย","-",COUNTIF($BS41:$CW41,"ข")))</f>
        <v/>
      </c>
      <c r="HJ41" s="422" t="str">
        <f>IF(OR(COUNTA($CZ$4:$ED$4)=0,$A41=""),"",IF('2.ชื่อนักเรียน'!R47="ย้าย","-",COUNTIF($CZ41:$ED41,"/")))</f>
        <v/>
      </c>
      <c r="HK41" s="425" t="str">
        <f>IF(OR(COUNTA($CZ$4:$ED$4)=0,$A41=""),"",IF('2.ชื่อนักเรียน'!R47="ย้าย","-",COUNTIF($CZ41:$ED41,"ส")))</f>
        <v/>
      </c>
      <c r="HL41" s="423" t="str">
        <f>IF(OR(COUNTA($CZ$4:$ED$4)=0,$A41=""),"",IF('2.ชื่อนักเรียน'!R47="ย้าย","-",COUNTIF($CZ41:$ED41,"ป")))</f>
        <v/>
      </c>
      <c r="HM41" s="423" t="str">
        <f>IF(OR(COUNTA($CZ$4:$ED$4)=0,A41=""),"",IF('2.ชื่อนักเรียน'!R47="ย้าย","-",COUNTIF($CZ41:$ED41,"ล")))</f>
        <v/>
      </c>
      <c r="HN41" s="426" t="str">
        <f>IF(OR(COUNTA($CZ$4:$ED$4)=0,A41=""),"",IF('2.ชื่อนักเรียน'!R47="ย้าย","-",COUNTIF($CZ41:$ED41,"ข")))</f>
        <v/>
      </c>
      <c r="HO41" s="422" t="str">
        <f>IF(OR(COUNTA($EG$4:$FK$4)=0,$A41=""),"",IF('2.ชื่อนักเรียน'!R47="ย้าย","-",COUNTIF($EG41:$FK41,"/")))</f>
        <v/>
      </c>
      <c r="HP41" s="425" t="str">
        <f>IF(OR(COUNTA($EG$4:$FK$4)=0,$A41=""),"",IF('2.ชื่อนักเรียน'!R47="ย้าย","-",COUNTIF($EG41:$FK41,"ส")))</f>
        <v/>
      </c>
      <c r="HQ41" s="423" t="str">
        <f>IF(OR(COUNTA($EG$4:$FK$4)=0,$A41=""),"",IF('2.ชื่อนักเรียน'!R47="ย้าย","-",COUNTIF($EG41:$FK41,"ป")))</f>
        <v/>
      </c>
      <c r="HR41" s="423" t="str">
        <f>IF(OR(COUNTA($EG$4:$FK$4)=0,A41=""),"",IF('2.ชื่อนักเรียน'!R47="ย้าย","-",COUNTIF($EG41:$FK41,"ล")))</f>
        <v/>
      </c>
      <c r="HS41" s="426" t="str">
        <f>IF(OR(COUNTA($EG$4:$FK$4)=0,A41=""),"",IF('2.ชื่อนักเรียน'!R47="ย้าย","-",COUNTIF($EG41:$FK41,"ข")))</f>
        <v/>
      </c>
      <c r="HT41" s="418">
        <v>37</v>
      </c>
      <c r="HU41" s="422" t="str">
        <f>IF(OR(COUNTA($FN$4:$GR$4)=0,$A41=""),"",IF('2.ชื่อนักเรียน'!R47="ย้าย","-",COUNTIF($FN41:$GR41,"/")))</f>
        <v/>
      </c>
      <c r="HV41" s="425" t="str">
        <f>IF(OR(COUNTA($FN$4:$GR$4)=0,$A41=""),"",IF('2.ชื่อนักเรียน'!R47="ย้าย","-",COUNTIF($FN41:$GR41,"ส")))</f>
        <v/>
      </c>
      <c r="HW41" s="423" t="str">
        <f>IF(OR(COUNTA($FN$4:$GR$4)=0,$A41=""),"",IF('2.ชื่อนักเรียน'!R47="ย้าย","-",COUNTIF($FN41:$GR41,"ป")))</f>
        <v/>
      </c>
      <c r="HX41" s="423" t="str">
        <f>IF(OR(COUNTA($FN$4:$GR$4)=0,A41=""),"",IF('2.ชื่อนักเรียน'!R47="ย้าย","-",COUNTIF($FN41:$GR41,"ล")))</f>
        <v/>
      </c>
      <c r="HY41" s="423" t="str">
        <f>IF(OR(COUNTA($FN$4:$GR$4)=0,A41=""),"",IF('2.ชื่อนักเรียน'!R47="ย้าย","-",COUNTIF($FN41:$GR41,"ข")))</f>
        <v/>
      </c>
      <c r="HZ41" s="422" t="str">
        <f>IF(OR(COUNTA($GU$3:$HS$3,$HU$3)=0,$A41=""),"",IF('2.ชื่อนักเรียน'!R47="ย้าย","-",SUM(GU41,GZ41,HE41,HJ41,HO41,HU41)))</f>
        <v/>
      </c>
      <c r="IA41" s="425" t="str">
        <f>IF(OR(COUNTA($GU$3:$HS$3,$HU$3)=0,$A41=""),"",IF('2.ชื่อนักเรียน'!R47="ย้าย","-",SUM(GV41,HA41,HF41,HK41,HP41,HV41)))</f>
        <v/>
      </c>
      <c r="IB41" s="423" t="str">
        <f>IF(OR(COUNTA($GU$3:$HS$3,$HU$3)=0,$A41=""),"",IF('2.ชื่อนักเรียน'!R47="ย้าย","-",SUM(GW41,HB41,HG41,HL41,HQ41,HW41)))</f>
        <v/>
      </c>
      <c r="IC41" s="423" t="str">
        <f>IF(OR(COUNTA($GU$3:$HS$3,$HU$3)=0,$A41=""),"",IF('2.ชื่อนักเรียน'!R47="ย้าย","-",SUM(GX41,HC41,HH41,HM41,HR41,HX41)))</f>
        <v/>
      </c>
      <c r="ID41" s="424" t="str">
        <f>IF(OR(COUNTA($GU$3:$HS$3,$HU$3)=0,$A41=""),"",IF('2.ชื่อนักเรียน'!R47="ย้าย","-",SUM(GY41,HD41,HI41,HN41,HS41,HY41)))</f>
        <v/>
      </c>
      <c r="IE41" s="418" t="str">
        <f t="shared" si="0"/>
        <v/>
      </c>
      <c r="IF41" s="438" t="str">
        <f>IF(IE41="","",IF('2.ชื่อนักเรียน'!R47="ย้าย","ย้าย",(IE41*100)/COUNTA($E$4:$AI$4,$AL$4:$BP$4,$BS$4:$CW$4,$CZ$4:$ED$4,$EG$4:$FK$4,$FN$4:$GR$4)))</f>
        <v/>
      </c>
      <c r="IG41" s="449"/>
      <c r="IH41" s="605"/>
      <c r="II41" s="605"/>
      <c r="IJ41" s="605"/>
      <c r="IK41" s="605"/>
      <c r="IL41" s="605"/>
      <c r="IM41" s="605"/>
      <c r="IN41" s="605"/>
      <c r="IO41" s="605"/>
      <c r="IP41" s="605"/>
      <c r="IQ41" s="605"/>
      <c r="IR41" s="450"/>
    </row>
    <row r="42" spans="1:252" ht="21" customHeight="1" x14ac:dyDescent="0.4">
      <c r="A42" s="416" t="str">
        <f>IF(Name38="","",Name38)</f>
        <v/>
      </c>
      <c r="B42" s="417" t="str">
        <f>IF(Surname38="","",Surname38)</f>
        <v/>
      </c>
      <c r="C42" s="417"/>
      <c r="D42" s="418">
        <v>38</v>
      </c>
      <c r="E42" s="419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1"/>
      <c r="AI42" s="421"/>
      <c r="AJ42" s="418" t="str">
        <f>IF(COUNTA($E$4:AI$4)=0,"",IF('2.ชื่อนักเรียน'!R48="ย้าย","ย้าย",GU42))</f>
        <v/>
      </c>
      <c r="AK42" s="418">
        <v>38</v>
      </c>
      <c r="AL42" s="419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  <c r="BN42" s="420"/>
      <c r="BO42" s="421"/>
      <c r="BP42" s="421"/>
      <c r="BQ42" s="418" t="str">
        <f>IF(COUNTA($AL$4:$BP$4)=0,"",IF('2.ชื่อนักเรียน'!R48="ย้าย","ย้าย",GZ42))</f>
        <v/>
      </c>
      <c r="BR42" s="418">
        <v>38</v>
      </c>
      <c r="BS42" s="419"/>
      <c r="BT42" s="420"/>
      <c r="BU42" s="420"/>
      <c r="BV42" s="420"/>
      <c r="BW42" s="420"/>
      <c r="BX42" s="420"/>
      <c r="BY42" s="420"/>
      <c r="BZ42" s="420"/>
      <c r="CA42" s="420"/>
      <c r="CB42" s="420"/>
      <c r="CC42" s="420"/>
      <c r="CD42" s="420"/>
      <c r="CE42" s="420"/>
      <c r="CF42" s="420"/>
      <c r="CG42" s="420"/>
      <c r="CH42" s="420"/>
      <c r="CI42" s="420"/>
      <c r="CJ42" s="420"/>
      <c r="CK42" s="420"/>
      <c r="CL42" s="420"/>
      <c r="CM42" s="420"/>
      <c r="CN42" s="420"/>
      <c r="CO42" s="420"/>
      <c r="CP42" s="420"/>
      <c r="CQ42" s="420"/>
      <c r="CR42" s="420"/>
      <c r="CS42" s="420"/>
      <c r="CT42" s="420"/>
      <c r="CU42" s="420"/>
      <c r="CV42" s="421"/>
      <c r="CW42" s="421"/>
      <c r="CX42" s="418" t="str">
        <f>IF(COUNTA($BS$4:$CW$4)=0,"",IF('2.ชื่อนักเรียน'!R48="ย้าย","ย้าย",HE42))</f>
        <v/>
      </c>
      <c r="CY42" s="418">
        <v>38</v>
      </c>
      <c r="CZ42" s="419"/>
      <c r="DA42" s="420"/>
      <c r="DB42" s="420"/>
      <c r="DC42" s="420"/>
      <c r="DD42" s="420"/>
      <c r="DE42" s="420"/>
      <c r="DF42" s="420"/>
      <c r="DG42" s="420"/>
      <c r="DH42" s="420"/>
      <c r="DI42" s="420"/>
      <c r="DJ42" s="420"/>
      <c r="DK42" s="420"/>
      <c r="DL42" s="420"/>
      <c r="DM42" s="420"/>
      <c r="DN42" s="420"/>
      <c r="DO42" s="420"/>
      <c r="DP42" s="420"/>
      <c r="DQ42" s="420"/>
      <c r="DR42" s="420"/>
      <c r="DS42" s="420"/>
      <c r="DT42" s="420"/>
      <c r="DU42" s="420"/>
      <c r="DV42" s="420"/>
      <c r="DW42" s="420"/>
      <c r="DX42" s="420"/>
      <c r="DY42" s="420"/>
      <c r="DZ42" s="420"/>
      <c r="EA42" s="420"/>
      <c r="EB42" s="420"/>
      <c r="EC42" s="421"/>
      <c r="ED42" s="421"/>
      <c r="EE42" s="418" t="str">
        <f>IF(COUNTA($CZ$4:$ED$4)=0,"",IF('2.ชื่อนักเรียน'!R48="ย้าย","ย้าย",HJ42))</f>
        <v/>
      </c>
      <c r="EF42" s="418">
        <v>38</v>
      </c>
      <c r="EG42" s="419"/>
      <c r="EH42" s="420"/>
      <c r="EI42" s="420"/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0"/>
      <c r="FA42" s="420"/>
      <c r="FB42" s="420"/>
      <c r="FC42" s="420"/>
      <c r="FD42" s="420"/>
      <c r="FE42" s="420"/>
      <c r="FF42" s="420"/>
      <c r="FG42" s="420"/>
      <c r="FH42" s="420"/>
      <c r="FI42" s="420"/>
      <c r="FJ42" s="421"/>
      <c r="FK42" s="421"/>
      <c r="FL42" s="418" t="str">
        <f>IF(COUNTA($EG$4:$FK$4)=0,"",IF('2.ชื่อนักเรียน'!R48="ย้าย","ย้าย",HO42))</f>
        <v/>
      </c>
      <c r="FM42" s="418">
        <v>38</v>
      </c>
      <c r="FN42" s="419"/>
      <c r="FO42" s="420"/>
      <c r="FP42" s="420"/>
      <c r="FQ42" s="420"/>
      <c r="FR42" s="420"/>
      <c r="FS42" s="420"/>
      <c r="FT42" s="420"/>
      <c r="FU42" s="420"/>
      <c r="FV42" s="420"/>
      <c r="FW42" s="420"/>
      <c r="FX42" s="420"/>
      <c r="FY42" s="420"/>
      <c r="FZ42" s="420"/>
      <c r="GA42" s="420"/>
      <c r="GB42" s="420"/>
      <c r="GC42" s="420"/>
      <c r="GD42" s="420"/>
      <c r="GE42" s="420"/>
      <c r="GF42" s="420"/>
      <c r="GG42" s="420"/>
      <c r="GH42" s="420"/>
      <c r="GI42" s="420"/>
      <c r="GJ42" s="420"/>
      <c r="GK42" s="420"/>
      <c r="GL42" s="420"/>
      <c r="GM42" s="420"/>
      <c r="GN42" s="420"/>
      <c r="GO42" s="420"/>
      <c r="GP42" s="420"/>
      <c r="GQ42" s="421"/>
      <c r="GR42" s="421"/>
      <c r="GS42" s="418" t="str">
        <f>IF(COUNTA($FN$4:$GR$4)=0,"",IF('2.ชื่อนักเรียน'!R48="ย้าย","ย้าย",HU42))</f>
        <v/>
      </c>
      <c r="GT42" s="418">
        <v>38</v>
      </c>
      <c r="GU42" s="422" t="str">
        <f>IF(OR(COUNTA($E$4:$AI$4)=0,$A42=""),"",IF('2.ชื่อนักเรียน'!R48="ย้าย","-",COUNTIF($E42:$AI42,"/")))</f>
        <v/>
      </c>
      <c r="GV42" s="425" t="str">
        <f>IF(OR(COUNTA($E$4:$AI$4)=0,$A42=""),"",IF('2.ชื่อนักเรียน'!R48="ย้าย","-",COUNTIF($E42:$AI42,"ส")))</f>
        <v/>
      </c>
      <c r="GW42" s="423" t="str">
        <f>IF(OR(COUNTA($E$4:$AI$4)=0,$A42=""),"",IF('2.ชื่อนักเรียน'!R48="ย้าย","-",COUNTIF($E42:$AI42,"ป")))</f>
        <v/>
      </c>
      <c r="GX42" s="423" t="str">
        <f>IF(OR(COUNTA($E$4:$AI$4)=0,$A42=""),"",IF('2.ชื่อนักเรียน'!R48="ย้าย","-",COUNTIF($E42:$AI42,"ล")))</f>
        <v/>
      </c>
      <c r="GY42" s="426" t="str">
        <f>IF(OR(COUNTA($E$4:$AI$4)=0,$A42=""),"",IF('2.ชื่อนักเรียน'!R48="ย้าย","-",COUNTIF($E42:$AI42,"ข")))</f>
        <v/>
      </c>
      <c r="GZ42" s="422" t="str">
        <f>IF(OR(COUNTA($AL$4:$BP$4)=0,$A42=""),"",IF('2.ชื่อนักเรียน'!R48="ย้าย","-",COUNTIF($AL42:$BP42,"/")))</f>
        <v/>
      </c>
      <c r="HA42" s="425" t="str">
        <f>IF(OR(COUNTA($AL$4:$BP$4)=0,$A42=""),"",IF('2.ชื่อนักเรียน'!R48="ย้าย","-",COUNTIF($AL42:$BP42,"ส")))</f>
        <v/>
      </c>
      <c r="HB42" s="423" t="str">
        <f>IF(OR(COUNTA($AL$4:$BP$4)=0,$A42=""),"",IF('2.ชื่อนักเรียน'!R48="ย้าย","-",COUNTIF($AL42:$BP42,"ป")))</f>
        <v/>
      </c>
      <c r="HC42" s="423" t="str">
        <f>IF(OR(COUNTA($AL$4:$BP$4)=0,$A42=""),"",IF('2.ชื่อนักเรียน'!R48="ย้าย","-",COUNTIF($AL42:$BP42,"ล")))</f>
        <v/>
      </c>
      <c r="HD42" s="426" t="str">
        <f>IF(OR(COUNTA($AL$4:$BP$4)=0,$A42=""),"",IF('2.ชื่อนักเรียน'!R48="ย้าย","-",COUNTIF($AL42:$BP42,"ข")))</f>
        <v/>
      </c>
      <c r="HE42" s="422" t="str">
        <f>IF(OR(COUNTA($BS$4:$CW$4)=0,$A42=""),"",IF('2.ชื่อนักเรียน'!R48="ย้าย","-",COUNTIF($BS42:$CW42,"/")))</f>
        <v/>
      </c>
      <c r="HF42" s="425" t="str">
        <f>IF(OR(COUNTA($BS$4:$CW$4)=0,$A42=""),"",IF('2.ชื่อนักเรียน'!R48="ย้าย","-",COUNTIF($BS42:$CW42,"ส")))</f>
        <v/>
      </c>
      <c r="HG42" s="423" t="str">
        <f>IF(OR(COUNTA($BS$4:$CW$4)=0,$A42=""),"",IF('2.ชื่อนักเรียน'!R48="ย้าย","-",COUNTIF($BS42:$CW42,"ป")))</f>
        <v/>
      </c>
      <c r="HH42" s="423" t="str">
        <f>IF(OR(COUNTA($BS$4:$CW$4)=0,$A42=""),"",IF('2.ชื่อนักเรียน'!R48="ย้าย","-",COUNTIF($BS42:$CW42,"ล")))</f>
        <v/>
      </c>
      <c r="HI42" s="426" t="str">
        <f>IF(OR(COUNTA($BS$4:$CW$4)=0,$A42=""),"",IF('2.ชื่อนักเรียน'!R48="ย้าย","-",COUNTIF($BS42:$CW42,"ข")))</f>
        <v/>
      </c>
      <c r="HJ42" s="422" t="str">
        <f>IF(OR(COUNTA($CZ$4:$ED$4)=0,$A42=""),"",IF('2.ชื่อนักเรียน'!R48="ย้าย","-",COUNTIF($CZ42:$ED42,"/")))</f>
        <v/>
      </c>
      <c r="HK42" s="425" t="str">
        <f>IF(OR(COUNTA($CZ$4:$ED$4)=0,$A42=""),"",IF('2.ชื่อนักเรียน'!R48="ย้าย","-",COUNTIF($CZ42:$ED42,"ส")))</f>
        <v/>
      </c>
      <c r="HL42" s="423" t="str">
        <f>IF(OR(COUNTA($CZ$4:$ED$4)=0,$A42=""),"",IF('2.ชื่อนักเรียน'!R48="ย้าย","-",COUNTIF($CZ42:$ED42,"ป")))</f>
        <v/>
      </c>
      <c r="HM42" s="423" t="str">
        <f>IF(OR(COUNTA($CZ$4:$ED$4)=0,A42=""),"",IF('2.ชื่อนักเรียน'!R48="ย้าย","-",COUNTIF($CZ42:$ED42,"ล")))</f>
        <v/>
      </c>
      <c r="HN42" s="426" t="str">
        <f>IF(OR(COUNTA($CZ$4:$ED$4)=0,A42=""),"",IF('2.ชื่อนักเรียน'!R48="ย้าย","-",COUNTIF($CZ42:$ED42,"ข")))</f>
        <v/>
      </c>
      <c r="HO42" s="422" t="str">
        <f>IF(OR(COUNTA($EG$4:$FK$4)=0,$A42=""),"",IF('2.ชื่อนักเรียน'!R48="ย้าย","-",COUNTIF($EG42:$FK42,"/")))</f>
        <v/>
      </c>
      <c r="HP42" s="425" t="str">
        <f>IF(OR(COUNTA($EG$4:$FK$4)=0,$A42=""),"",IF('2.ชื่อนักเรียน'!R48="ย้าย","-",COUNTIF($EG42:$FK42,"ส")))</f>
        <v/>
      </c>
      <c r="HQ42" s="423" t="str">
        <f>IF(OR(COUNTA($EG$4:$FK$4)=0,$A42=""),"",IF('2.ชื่อนักเรียน'!R48="ย้าย","-",COUNTIF($EG42:$FK42,"ป")))</f>
        <v/>
      </c>
      <c r="HR42" s="423" t="str">
        <f>IF(OR(COUNTA($EG$4:$FK$4)=0,A42=""),"",IF('2.ชื่อนักเรียน'!R48="ย้าย","-",COUNTIF($EG42:$FK42,"ล")))</f>
        <v/>
      </c>
      <c r="HS42" s="426" t="str">
        <f>IF(OR(COUNTA($EG$4:$FK$4)=0,A42=""),"",IF('2.ชื่อนักเรียน'!R48="ย้าย","-",COUNTIF($EG42:$FK42,"ข")))</f>
        <v/>
      </c>
      <c r="HT42" s="418">
        <v>38</v>
      </c>
      <c r="HU42" s="422" t="str">
        <f>IF(OR(COUNTA($FN$4:$GR$4)=0,$A42=""),"",IF('2.ชื่อนักเรียน'!R48="ย้าย","-",COUNTIF($FN42:$GR42,"/")))</f>
        <v/>
      </c>
      <c r="HV42" s="425" t="str">
        <f>IF(OR(COUNTA($FN$4:$GR$4)=0,$A42=""),"",IF('2.ชื่อนักเรียน'!R48="ย้าย","-",COUNTIF($FN42:$GR42,"ส")))</f>
        <v/>
      </c>
      <c r="HW42" s="423" t="str">
        <f>IF(OR(COUNTA($FN$4:$GR$4)=0,$A42=""),"",IF('2.ชื่อนักเรียน'!R48="ย้าย","-",COUNTIF($FN42:$GR42,"ป")))</f>
        <v/>
      </c>
      <c r="HX42" s="423" t="str">
        <f>IF(OR(COUNTA($FN$4:$GR$4)=0,A42=""),"",IF('2.ชื่อนักเรียน'!R48="ย้าย","-",COUNTIF($FN42:$GR42,"ล")))</f>
        <v/>
      </c>
      <c r="HY42" s="423" t="str">
        <f>IF(OR(COUNTA($FN$4:$GR$4)=0,A42=""),"",IF('2.ชื่อนักเรียน'!R48="ย้าย","-",COUNTIF($FN42:$GR42,"ข")))</f>
        <v/>
      </c>
      <c r="HZ42" s="422" t="str">
        <f>IF(OR(COUNTA($GU$3:$HS$3,$HU$3)=0,$A42=""),"",IF('2.ชื่อนักเรียน'!R48="ย้าย","-",SUM(GU42,GZ42,HE42,HJ42,HO42,HU42)))</f>
        <v/>
      </c>
      <c r="IA42" s="425" t="str">
        <f>IF(OR(COUNTA($GU$3:$HS$3,$HU$3)=0,$A42=""),"",IF('2.ชื่อนักเรียน'!R48="ย้าย","-",SUM(GV42,HA42,HF42,HK42,HP42,HV42)))</f>
        <v/>
      </c>
      <c r="IB42" s="423" t="str">
        <f>IF(OR(COUNTA($GU$3:$HS$3,$HU$3)=0,$A42=""),"",IF('2.ชื่อนักเรียน'!R48="ย้าย","-",SUM(GW42,HB42,HG42,HL42,HQ42,HW42)))</f>
        <v/>
      </c>
      <c r="IC42" s="423" t="str">
        <f>IF(OR(COUNTA($GU$3:$HS$3,$HU$3)=0,$A42=""),"",IF('2.ชื่อนักเรียน'!R48="ย้าย","-",SUM(GX42,HC42,HH42,HM42,HR42,HX42)))</f>
        <v/>
      </c>
      <c r="ID42" s="424" t="str">
        <f>IF(OR(COUNTA($GU$3:$HS$3,$HU$3)=0,$A42=""),"",IF('2.ชื่อนักเรียน'!R48="ย้าย","-",SUM(GY42,HD42,HI42,HN42,HS42,HY42)))</f>
        <v/>
      </c>
      <c r="IE42" s="418" t="str">
        <f t="shared" si="0"/>
        <v/>
      </c>
      <c r="IF42" s="438" t="str">
        <f>IF(IE42="","",IF('2.ชื่อนักเรียน'!R48="ย้าย","ย้าย",(IE42*100)/COUNTA($E$4:$AI$4,$AL$4:$BP$4,$BS$4:$CW$4,$CZ$4:$ED$4,$EG$4:$FK$4,$FN$4:$GR$4)))</f>
        <v/>
      </c>
      <c r="IG42" s="449"/>
      <c r="IH42" s="605"/>
      <c r="II42" s="605"/>
      <c r="IJ42" s="605"/>
      <c r="IK42" s="605"/>
      <c r="IL42" s="605"/>
      <c r="IM42" s="605"/>
      <c r="IN42" s="605"/>
      <c r="IO42" s="605"/>
      <c r="IP42" s="605"/>
      <c r="IQ42" s="605"/>
      <c r="IR42" s="450"/>
    </row>
    <row r="43" spans="1:252" ht="21" customHeight="1" x14ac:dyDescent="0.4">
      <c r="A43" s="416" t="str">
        <f>IF(Name39="","",Name39)</f>
        <v/>
      </c>
      <c r="B43" s="417" t="str">
        <f>IF(Surname39="","",Surname39)</f>
        <v/>
      </c>
      <c r="C43" s="417"/>
      <c r="D43" s="418">
        <v>39</v>
      </c>
      <c r="E43" s="419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1"/>
      <c r="AI43" s="421"/>
      <c r="AJ43" s="418" t="str">
        <f>IF(COUNTA($E$4:AI$4)=0,"",IF('2.ชื่อนักเรียน'!R49="ย้าย","ย้าย",GU43))</f>
        <v/>
      </c>
      <c r="AK43" s="418">
        <v>39</v>
      </c>
      <c r="AL43" s="419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  <c r="BN43" s="420"/>
      <c r="BO43" s="421"/>
      <c r="BP43" s="421"/>
      <c r="BQ43" s="418" t="str">
        <f>IF(COUNTA($AL$4:$BP$4)=0,"",IF('2.ชื่อนักเรียน'!R49="ย้าย","ย้าย",GZ43))</f>
        <v/>
      </c>
      <c r="BR43" s="418">
        <v>39</v>
      </c>
      <c r="BS43" s="419"/>
      <c r="BT43" s="420"/>
      <c r="BU43" s="420"/>
      <c r="BV43" s="420"/>
      <c r="BW43" s="420"/>
      <c r="BX43" s="420"/>
      <c r="BY43" s="420"/>
      <c r="BZ43" s="420"/>
      <c r="CA43" s="420"/>
      <c r="CB43" s="420"/>
      <c r="CC43" s="420"/>
      <c r="CD43" s="420"/>
      <c r="CE43" s="420"/>
      <c r="CF43" s="420"/>
      <c r="CG43" s="420"/>
      <c r="CH43" s="420"/>
      <c r="CI43" s="420"/>
      <c r="CJ43" s="420"/>
      <c r="CK43" s="420"/>
      <c r="CL43" s="420"/>
      <c r="CM43" s="420"/>
      <c r="CN43" s="420"/>
      <c r="CO43" s="420"/>
      <c r="CP43" s="420"/>
      <c r="CQ43" s="420"/>
      <c r="CR43" s="420"/>
      <c r="CS43" s="420"/>
      <c r="CT43" s="420"/>
      <c r="CU43" s="420"/>
      <c r="CV43" s="421"/>
      <c r="CW43" s="421"/>
      <c r="CX43" s="418" t="str">
        <f>IF(COUNTA($BS$4:$CW$4)=0,"",IF('2.ชื่อนักเรียน'!R49="ย้าย","ย้าย",HE43))</f>
        <v/>
      </c>
      <c r="CY43" s="418">
        <v>39</v>
      </c>
      <c r="CZ43" s="419"/>
      <c r="DA43" s="420"/>
      <c r="DB43" s="420"/>
      <c r="DC43" s="420"/>
      <c r="DD43" s="420"/>
      <c r="DE43" s="420"/>
      <c r="DF43" s="420"/>
      <c r="DG43" s="420"/>
      <c r="DH43" s="420"/>
      <c r="DI43" s="420"/>
      <c r="DJ43" s="420"/>
      <c r="DK43" s="420"/>
      <c r="DL43" s="420"/>
      <c r="DM43" s="420"/>
      <c r="DN43" s="420"/>
      <c r="DO43" s="420"/>
      <c r="DP43" s="420"/>
      <c r="DQ43" s="420"/>
      <c r="DR43" s="420"/>
      <c r="DS43" s="420"/>
      <c r="DT43" s="420"/>
      <c r="DU43" s="420"/>
      <c r="DV43" s="420"/>
      <c r="DW43" s="420"/>
      <c r="DX43" s="420"/>
      <c r="DY43" s="420"/>
      <c r="DZ43" s="420"/>
      <c r="EA43" s="420"/>
      <c r="EB43" s="420"/>
      <c r="EC43" s="421"/>
      <c r="ED43" s="421"/>
      <c r="EE43" s="418" t="str">
        <f>IF(COUNTA($CZ$4:$ED$4)=0,"",IF('2.ชื่อนักเรียน'!R49="ย้าย","ย้าย",HJ43))</f>
        <v/>
      </c>
      <c r="EF43" s="418">
        <v>39</v>
      </c>
      <c r="EG43" s="419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  <c r="EV43" s="420"/>
      <c r="EW43" s="420"/>
      <c r="EX43" s="420"/>
      <c r="EY43" s="420"/>
      <c r="EZ43" s="420"/>
      <c r="FA43" s="420"/>
      <c r="FB43" s="420"/>
      <c r="FC43" s="420"/>
      <c r="FD43" s="420"/>
      <c r="FE43" s="420"/>
      <c r="FF43" s="420"/>
      <c r="FG43" s="420"/>
      <c r="FH43" s="420"/>
      <c r="FI43" s="420"/>
      <c r="FJ43" s="421"/>
      <c r="FK43" s="421"/>
      <c r="FL43" s="418" t="str">
        <f>IF(COUNTA($EG$4:$FK$4)=0,"",IF('2.ชื่อนักเรียน'!R49="ย้าย","ย้าย",HO43))</f>
        <v/>
      </c>
      <c r="FM43" s="418">
        <v>39</v>
      </c>
      <c r="FN43" s="419"/>
      <c r="FO43" s="420"/>
      <c r="FP43" s="420"/>
      <c r="FQ43" s="420"/>
      <c r="FR43" s="420"/>
      <c r="FS43" s="420"/>
      <c r="FT43" s="420"/>
      <c r="FU43" s="420"/>
      <c r="FV43" s="420"/>
      <c r="FW43" s="420"/>
      <c r="FX43" s="420"/>
      <c r="FY43" s="420"/>
      <c r="FZ43" s="420"/>
      <c r="GA43" s="420"/>
      <c r="GB43" s="420"/>
      <c r="GC43" s="420"/>
      <c r="GD43" s="420"/>
      <c r="GE43" s="420"/>
      <c r="GF43" s="420"/>
      <c r="GG43" s="420"/>
      <c r="GH43" s="420"/>
      <c r="GI43" s="420"/>
      <c r="GJ43" s="420"/>
      <c r="GK43" s="420"/>
      <c r="GL43" s="420"/>
      <c r="GM43" s="420"/>
      <c r="GN43" s="420"/>
      <c r="GO43" s="420"/>
      <c r="GP43" s="420"/>
      <c r="GQ43" s="421"/>
      <c r="GR43" s="421"/>
      <c r="GS43" s="418" t="str">
        <f>IF(COUNTA($FN$4:$GR$4)=0,"",IF('2.ชื่อนักเรียน'!R49="ย้าย","ย้าย",HU43))</f>
        <v/>
      </c>
      <c r="GT43" s="418">
        <v>39</v>
      </c>
      <c r="GU43" s="422" t="str">
        <f>IF(OR(COUNTA($E$4:$AI$4)=0,$A43=""),"",IF('2.ชื่อนักเรียน'!R49="ย้าย","-",COUNTIF($E43:$AI43,"/")))</f>
        <v/>
      </c>
      <c r="GV43" s="425" t="str">
        <f>IF(OR(COUNTA($E$4:$AI$4)=0,$A43=""),"",IF('2.ชื่อนักเรียน'!R49="ย้าย","-",COUNTIF($E43:$AI43,"ส")))</f>
        <v/>
      </c>
      <c r="GW43" s="423" t="str">
        <f>IF(OR(COUNTA($E$4:$AI$4)=0,$A43=""),"",IF('2.ชื่อนักเรียน'!R49="ย้าย","-",COUNTIF($E43:$AI43,"ป")))</f>
        <v/>
      </c>
      <c r="GX43" s="423" t="str">
        <f>IF(OR(COUNTA($E$4:$AI$4)=0,$A43=""),"",IF('2.ชื่อนักเรียน'!R49="ย้าย","-",COUNTIF($E43:$AI43,"ล")))</f>
        <v/>
      </c>
      <c r="GY43" s="426" t="str">
        <f>IF(OR(COUNTA($E$4:$AI$4)=0,$A43=""),"",IF('2.ชื่อนักเรียน'!R49="ย้าย","-",COUNTIF($E43:$AI43,"ข")))</f>
        <v/>
      </c>
      <c r="GZ43" s="422" t="str">
        <f>IF(OR(COUNTA($AL$4:$BP$4)=0,$A43=""),"",IF('2.ชื่อนักเรียน'!R49="ย้าย","-",COUNTIF($AL43:$BP43,"/")))</f>
        <v/>
      </c>
      <c r="HA43" s="425" t="str">
        <f>IF(OR(COUNTA($AL$4:$BP$4)=0,$A43=""),"",IF('2.ชื่อนักเรียน'!R49="ย้าย","-",COUNTIF($AL43:$BP43,"ส")))</f>
        <v/>
      </c>
      <c r="HB43" s="423" t="str">
        <f>IF(OR(COUNTA($AL$4:$BP$4)=0,$A43=""),"",IF('2.ชื่อนักเรียน'!R49="ย้าย","-",COUNTIF($AL43:$BP43,"ป")))</f>
        <v/>
      </c>
      <c r="HC43" s="423" t="str">
        <f>IF(OR(COUNTA($AL$4:$BP$4)=0,$A43=""),"",IF('2.ชื่อนักเรียน'!R49="ย้าย","-",COUNTIF($AL43:$BP43,"ล")))</f>
        <v/>
      </c>
      <c r="HD43" s="426" t="str">
        <f>IF(OR(COUNTA($AL$4:$BP$4)=0,$A43=""),"",IF('2.ชื่อนักเรียน'!R49="ย้าย","-",COUNTIF($AL43:$BP43,"ข")))</f>
        <v/>
      </c>
      <c r="HE43" s="422" t="str">
        <f>IF(OR(COUNTA($BS$4:$CW$4)=0,$A43=""),"",IF('2.ชื่อนักเรียน'!R49="ย้าย","-",COUNTIF($BS43:$CW43,"/")))</f>
        <v/>
      </c>
      <c r="HF43" s="425" t="str">
        <f>IF(OR(COUNTA($BS$4:$CW$4)=0,$A43=""),"",IF('2.ชื่อนักเรียน'!R49="ย้าย","-",COUNTIF($BS43:$CW43,"ส")))</f>
        <v/>
      </c>
      <c r="HG43" s="423" t="str">
        <f>IF(OR(COUNTA($BS$4:$CW$4)=0,$A43=""),"",IF('2.ชื่อนักเรียน'!R49="ย้าย","-",COUNTIF($BS43:$CW43,"ป")))</f>
        <v/>
      </c>
      <c r="HH43" s="423" t="str">
        <f>IF(OR(COUNTA($BS$4:$CW$4)=0,$A43=""),"",IF('2.ชื่อนักเรียน'!R49="ย้าย","-",COUNTIF($BS43:$CW43,"ล")))</f>
        <v/>
      </c>
      <c r="HI43" s="426" t="str">
        <f>IF(OR(COUNTA($BS$4:$CW$4)=0,$A43=""),"",IF('2.ชื่อนักเรียน'!R49="ย้าย","-",COUNTIF($BS43:$CW43,"ข")))</f>
        <v/>
      </c>
      <c r="HJ43" s="422" t="str">
        <f>IF(OR(COUNTA($CZ$4:$ED$4)=0,$A43=""),"",IF('2.ชื่อนักเรียน'!R49="ย้าย","-",COUNTIF($CZ43:$ED43,"/")))</f>
        <v/>
      </c>
      <c r="HK43" s="425" t="str">
        <f>IF(OR(COUNTA($CZ$4:$ED$4)=0,$A43=""),"",IF('2.ชื่อนักเรียน'!R49="ย้าย","-",COUNTIF($CZ43:$ED43,"ส")))</f>
        <v/>
      </c>
      <c r="HL43" s="423" t="str">
        <f>IF(OR(COUNTA($CZ$4:$ED$4)=0,$A43=""),"",IF('2.ชื่อนักเรียน'!R49="ย้าย","-",COUNTIF($CZ43:$ED43,"ป")))</f>
        <v/>
      </c>
      <c r="HM43" s="423" t="str">
        <f>IF(OR(COUNTA($CZ$4:$ED$4)=0,A43=""),"",IF('2.ชื่อนักเรียน'!R49="ย้าย","-",COUNTIF($CZ43:$ED43,"ล")))</f>
        <v/>
      </c>
      <c r="HN43" s="426" t="str">
        <f>IF(OR(COUNTA($CZ$4:$ED$4)=0,A43=""),"",IF('2.ชื่อนักเรียน'!R49="ย้าย","-",COUNTIF($CZ43:$ED43,"ข")))</f>
        <v/>
      </c>
      <c r="HO43" s="422" t="str">
        <f>IF(OR(COUNTA($EG$4:$FK$4)=0,$A43=""),"",IF('2.ชื่อนักเรียน'!R49="ย้าย","-",COUNTIF($EG43:$FK43,"/")))</f>
        <v/>
      </c>
      <c r="HP43" s="425" t="str">
        <f>IF(OR(COUNTA($EG$4:$FK$4)=0,$A43=""),"",IF('2.ชื่อนักเรียน'!R49="ย้าย","-",COUNTIF($EG43:$FK43,"ส")))</f>
        <v/>
      </c>
      <c r="HQ43" s="423" t="str">
        <f>IF(OR(COUNTA($EG$4:$FK$4)=0,$A43=""),"",IF('2.ชื่อนักเรียน'!R49="ย้าย","-",COUNTIF($EG43:$FK43,"ป")))</f>
        <v/>
      </c>
      <c r="HR43" s="423" t="str">
        <f>IF(OR(COUNTA($EG$4:$FK$4)=0,A43=""),"",IF('2.ชื่อนักเรียน'!R49="ย้าย","-",COUNTIF($EG43:$FK43,"ล")))</f>
        <v/>
      </c>
      <c r="HS43" s="426" t="str">
        <f>IF(OR(COUNTA($EG$4:$FK$4)=0,A43=""),"",IF('2.ชื่อนักเรียน'!R49="ย้าย","-",COUNTIF($EG43:$FK43,"ข")))</f>
        <v/>
      </c>
      <c r="HT43" s="418">
        <v>39</v>
      </c>
      <c r="HU43" s="422" t="str">
        <f>IF(OR(COUNTA($FN$4:$GR$4)=0,$A43=""),"",IF('2.ชื่อนักเรียน'!R49="ย้าย","-",COUNTIF($FN43:$GR43,"/")))</f>
        <v/>
      </c>
      <c r="HV43" s="425" t="str">
        <f>IF(OR(COUNTA($FN$4:$GR$4)=0,$A43=""),"",IF('2.ชื่อนักเรียน'!R49="ย้าย","-",COUNTIF($FN43:$GR43,"ส")))</f>
        <v/>
      </c>
      <c r="HW43" s="423" t="str">
        <f>IF(OR(COUNTA($FN$4:$GR$4)=0,$A43=""),"",IF('2.ชื่อนักเรียน'!R49="ย้าย","-",COUNTIF($FN43:$GR43,"ป")))</f>
        <v/>
      </c>
      <c r="HX43" s="423" t="str">
        <f>IF(OR(COUNTA($FN$4:$GR$4)=0,A43=""),"",IF('2.ชื่อนักเรียน'!R49="ย้าย","-",COUNTIF($FN43:$GR43,"ล")))</f>
        <v/>
      </c>
      <c r="HY43" s="423" t="str">
        <f>IF(OR(COUNTA($FN$4:$GR$4)=0,A43=""),"",IF('2.ชื่อนักเรียน'!R49="ย้าย","-",COUNTIF($FN43:$GR43,"ข")))</f>
        <v/>
      </c>
      <c r="HZ43" s="422" t="str">
        <f>IF(OR(COUNTA($GU$3:$HS$3,$HU$3)=0,$A43=""),"",IF('2.ชื่อนักเรียน'!R49="ย้าย","-",SUM(GU43,GZ43,HE43,HJ43,HO43,HU43)))</f>
        <v/>
      </c>
      <c r="IA43" s="425" t="str">
        <f>IF(OR(COUNTA($GU$3:$HS$3,$HU$3)=0,$A43=""),"",IF('2.ชื่อนักเรียน'!R49="ย้าย","-",SUM(GV43,HA43,HF43,HK43,HP43,HV43)))</f>
        <v/>
      </c>
      <c r="IB43" s="423" t="str">
        <f>IF(OR(COUNTA($GU$3:$HS$3,$HU$3)=0,$A43=""),"",IF('2.ชื่อนักเรียน'!R49="ย้าย","-",SUM(GW43,HB43,HG43,HL43,HQ43,HW43)))</f>
        <v/>
      </c>
      <c r="IC43" s="423" t="str">
        <f>IF(OR(COUNTA($GU$3:$HS$3,$HU$3)=0,$A43=""),"",IF('2.ชื่อนักเรียน'!R49="ย้าย","-",SUM(GX43,HC43,HH43,HM43,HR43,HX43)))</f>
        <v/>
      </c>
      <c r="ID43" s="424" t="str">
        <f>IF(OR(COUNTA($GU$3:$HS$3,$HU$3)=0,$A43=""),"",IF('2.ชื่อนักเรียน'!R49="ย้าย","-",SUM(GY43,HD43,HI43,HN43,HS43,HY43)))</f>
        <v/>
      </c>
      <c r="IE43" s="418" t="str">
        <f t="shared" si="0"/>
        <v/>
      </c>
      <c r="IF43" s="438" t="str">
        <f>IF(IE43="","",IF('2.ชื่อนักเรียน'!R49="ย้าย","ย้าย",(IE43*100)/COUNTA($E$4:$AI$4,$AL$4:$BP$4,$BS$4:$CW$4,$CZ$4:$ED$4,$EG$4:$FK$4,$FN$4:$GR$4)))</f>
        <v/>
      </c>
      <c r="IG43" s="449"/>
      <c r="IH43" s="605"/>
      <c r="II43" s="605"/>
      <c r="IJ43" s="605"/>
      <c r="IK43" s="605"/>
      <c r="IL43" s="605"/>
      <c r="IM43" s="605"/>
      <c r="IN43" s="605"/>
      <c r="IO43" s="605"/>
      <c r="IP43" s="605"/>
      <c r="IQ43" s="605"/>
      <c r="IR43" s="450"/>
    </row>
    <row r="44" spans="1:252" ht="21" customHeight="1" x14ac:dyDescent="0.4">
      <c r="A44" s="416" t="str">
        <f>IF(Name40="","",Name40)</f>
        <v/>
      </c>
      <c r="B44" s="417" t="str">
        <f>IF(Surname40="","",Surname40)</f>
        <v/>
      </c>
      <c r="C44" s="417"/>
      <c r="D44" s="418">
        <v>40</v>
      </c>
      <c r="E44" s="419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1"/>
      <c r="AI44" s="421"/>
      <c r="AJ44" s="418" t="str">
        <f>IF(COUNTA($E$4:AI$4)=0,"",IF('2.ชื่อนักเรียน'!R50="ย้าย","ย้าย",GU44))</f>
        <v/>
      </c>
      <c r="AK44" s="418">
        <v>40</v>
      </c>
      <c r="AL44" s="419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  <c r="BN44" s="420"/>
      <c r="BO44" s="421"/>
      <c r="BP44" s="421"/>
      <c r="BQ44" s="418" t="str">
        <f>IF(COUNTA($AL$4:$BP$4)=0,"",IF('2.ชื่อนักเรียน'!R50="ย้าย","ย้าย",GZ44))</f>
        <v/>
      </c>
      <c r="BR44" s="418">
        <v>40</v>
      </c>
      <c r="BS44" s="419"/>
      <c r="BT44" s="420"/>
      <c r="BU44" s="420"/>
      <c r="BV44" s="420"/>
      <c r="BW44" s="420"/>
      <c r="BX44" s="420"/>
      <c r="BY44" s="420"/>
      <c r="BZ44" s="420"/>
      <c r="CA44" s="420"/>
      <c r="CB44" s="420"/>
      <c r="CC44" s="420"/>
      <c r="CD44" s="420"/>
      <c r="CE44" s="420"/>
      <c r="CF44" s="420"/>
      <c r="CG44" s="420"/>
      <c r="CH44" s="420"/>
      <c r="CI44" s="420"/>
      <c r="CJ44" s="420"/>
      <c r="CK44" s="420"/>
      <c r="CL44" s="420"/>
      <c r="CM44" s="420"/>
      <c r="CN44" s="420"/>
      <c r="CO44" s="420"/>
      <c r="CP44" s="420"/>
      <c r="CQ44" s="420"/>
      <c r="CR44" s="420"/>
      <c r="CS44" s="420"/>
      <c r="CT44" s="420"/>
      <c r="CU44" s="420"/>
      <c r="CV44" s="421"/>
      <c r="CW44" s="421"/>
      <c r="CX44" s="418" t="str">
        <f>IF(COUNTA($BS$4:$CW$4)=0,"",IF('2.ชื่อนักเรียน'!R50="ย้าย","ย้าย",HE44))</f>
        <v/>
      </c>
      <c r="CY44" s="418">
        <v>40</v>
      </c>
      <c r="CZ44" s="419"/>
      <c r="DA44" s="420"/>
      <c r="DB44" s="420"/>
      <c r="DC44" s="420"/>
      <c r="DD44" s="420"/>
      <c r="DE44" s="420"/>
      <c r="DF44" s="420"/>
      <c r="DG44" s="420"/>
      <c r="DH44" s="420"/>
      <c r="DI44" s="420"/>
      <c r="DJ44" s="420"/>
      <c r="DK44" s="420"/>
      <c r="DL44" s="420"/>
      <c r="DM44" s="420"/>
      <c r="DN44" s="420"/>
      <c r="DO44" s="420"/>
      <c r="DP44" s="420"/>
      <c r="DQ44" s="420"/>
      <c r="DR44" s="420"/>
      <c r="DS44" s="420"/>
      <c r="DT44" s="420"/>
      <c r="DU44" s="420"/>
      <c r="DV44" s="420"/>
      <c r="DW44" s="420"/>
      <c r="DX44" s="420"/>
      <c r="DY44" s="420"/>
      <c r="DZ44" s="420"/>
      <c r="EA44" s="420"/>
      <c r="EB44" s="420"/>
      <c r="EC44" s="421"/>
      <c r="ED44" s="421"/>
      <c r="EE44" s="418" t="str">
        <f>IF(COUNTA($CZ$4:$ED$4)=0,"",IF('2.ชื่อนักเรียน'!R50="ย้าย","ย้าย",HJ44))</f>
        <v/>
      </c>
      <c r="EF44" s="418">
        <v>40</v>
      </c>
      <c r="EG44" s="419"/>
      <c r="EH44" s="420"/>
      <c r="EI44" s="420"/>
      <c r="EJ44" s="420"/>
      <c r="EK44" s="420"/>
      <c r="EL44" s="420"/>
      <c r="EM44" s="420"/>
      <c r="EN44" s="420"/>
      <c r="EO44" s="420"/>
      <c r="EP44" s="420"/>
      <c r="EQ44" s="420"/>
      <c r="ER44" s="420"/>
      <c r="ES44" s="420"/>
      <c r="ET44" s="420"/>
      <c r="EU44" s="420"/>
      <c r="EV44" s="420"/>
      <c r="EW44" s="420"/>
      <c r="EX44" s="420"/>
      <c r="EY44" s="420"/>
      <c r="EZ44" s="420"/>
      <c r="FA44" s="420"/>
      <c r="FB44" s="420"/>
      <c r="FC44" s="420"/>
      <c r="FD44" s="420"/>
      <c r="FE44" s="420"/>
      <c r="FF44" s="420"/>
      <c r="FG44" s="420"/>
      <c r="FH44" s="420"/>
      <c r="FI44" s="420"/>
      <c r="FJ44" s="421"/>
      <c r="FK44" s="421"/>
      <c r="FL44" s="418" t="str">
        <f>IF(COUNTA($EG$4:$FK$4)=0,"",IF('2.ชื่อนักเรียน'!R50="ย้าย","ย้าย",HO44))</f>
        <v/>
      </c>
      <c r="FM44" s="418">
        <v>40</v>
      </c>
      <c r="FN44" s="419"/>
      <c r="FO44" s="420"/>
      <c r="FP44" s="420"/>
      <c r="FQ44" s="420"/>
      <c r="FR44" s="420"/>
      <c r="FS44" s="420"/>
      <c r="FT44" s="420"/>
      <c r="FU44" s="420"/>
      <c r="FV44" s="420"/>
      <c r="FW44" s="420"/>
      <c r="FX44" s="420"/>
      <c r="FY44" s="420"/>
      <c r="FZ44" s="420"/>
      <c r="GA44" s="420"/>
      <c r="GB44" s="420"/>
      <c r="GC44" s="420"/>
      <c r="GD44" s="420"/>
      <c r="GE44" s="420"/>
      <c r="GF44" s="420"/>
      <c r="GG44" s="420"/>
      <c r="GH44" s="420"/>
      <c r="GI44" s="420"/>
      <c r="GJ44" s="420"/>
      <c r="GK44" s="420"/>
      <c r="GL44" s="420"/>
      <c r="GM44" s="420"/>
      <c r="GN44" s="420"/>
      <c r="GO44" s="420"/>
      <c r="GP44" s="420"/>
      <c r="GQ44" s="421"/>
      <c r="GR44" s="421"/>
      <c r="GS44" s="418" t="str">
        <f>IF(COUNTA($FN$4:$GR$4)=0,"",IF('2.ชื่อนักเรียน'!R50="ย้าย","ย้าย",HU44))</f>
        <v/>
      </c>
      <c r="GT44" s="418">
        <v>40</v>
      </c>
      <c r="GU44" s="422" t="str">
        <f>IF(OR(COUNTA($E$4:$AI$4)=0,$A44=""),"",IF('2.ชื่อนักเรียน'!R50="ย้าย","-",COUNTIF($E44:$AI44,"/")))</f>
        <v/>
      </c>
      <c r="GV44" s="425" t="str">
        <f>IF(OR(COUNTA($E$4:$AI$4)=0,$A44=""),"",IF('2.ชื่อนักเรียน'!R50="ย้าย","-",COUNTIF($E44:$AI44,"ส")))</f>
        <v/>
      </c>
      <c r="GW44" s="423" t="str">
        <f>IF(OR(COUNTA($E$4:$AI$4)=0,$A44=""),"",IF('2.ชื่อนักเรียน'!R50="ย้าย","-",COUNTIF($E44:$AI44,"ป")))</f>
        <v/>
      </c>
      <c r="GX44" s="423" t="str">
        <f>IF(OR(COUNTA($E$4:$AI$4)=0,$A44=""),"",IF('2.ชื่อนักเรียน'!R50="ย้าย","-",COUNTIF($E44:$AI44,"ล")))</f>
        <v/>
      </c>
      <c r="GY44" s="426" t="str">
        <f>IF(OR(COUNTA($E$4:$AI$4)=0,$A44=""),"",IF('2.ชื่อนักเรียน'!R50="ย้าย","-",COUNTIF($E44:$AI44,"ข")))</f>
        <v/>
      </c>
      <c r="GZ44" s="422" t="str">
        <f>IF(OR(COUNTA($AL$4:$BP$4)=0,$A44=""),"",IF('2.ชื่อนักเรียน'!R50="ย้าย","-",COUNTIF($AL44:$BP44,"/")))</f>
        <v/>
      </c>
      <c r="HA44" s="425" t="str">
        <f>IF(OR(COUNTA($AL$4:$BP$4)=0,$A44=""),"",IF('2.ชื่อนักเรียน'!R50="ย้าย","-",COUNTIF($AL44:$BP44,"ส")))</f>
        <v/>
      </c>
      <c r="HB44" s="423" t="str">
        <f>IF(OR(COUNTA($AL$4:$BP$4)=0,$A44=""),"",IF('2.ชื่อนักเรียน'!R50="ย้าย","-",COUNTIF($AL44:$BP44,"ป")))</f>
        <v/>
      </c>
      <c r="HC44" s="423" t="str">
        <f>IF(OR(COUNTA($AL$4:$BP$4)=0,$A44=""),"",IF('2.ชื่อนักเรียน'!R50="ย้าย","-",COUNTIF($AL44:$BP44,"ล")))</f>
        <v/>
      </c>
      <c r="HD44" s="426" t="str">
        <f>IF(OR(COUNTA($AL$4:$BP$4)=0,$A44=""),"",IF('2.ชื่อนักเรียน'!R50="ย้าย","-",COUNTIF($AL44:$BP44,"ข")))</f>
        <v/>
      </c>
      <c r="HE44" s="422" t="str">
        <f>IF(OR(COUNTA($BS$4:$CW$4)=0,$A44=""),"",IF('2.ชื่อนักเรียน'!R50="ย้าย","-",COUNTIF($BS44:$CW44,"/")))</f>
        <v/>
      </c>
      <c r="HF44" s="425" t="str">
        <f>IF(OR(COUNTA($BS$4:$CW$4)=0,$A44=""),"",IF('2.ชื่อนักเรียน'!R50="ย้าย","-",COUNTIF($BS44:$CW44,"ส")))</f>
        <v/>
      </c>
      <c r="HG44" s="423" t="str">
        <f>IF(OR(COUNTA($BS$4:$CW$4)=0,$A44=""),"",IF('2.ชื่อนักเรียน'!R50="ย้าย","-",COUNTIF($BS44:$CW44,"ป")))</f>
        <v/>
      </c>
      <c r="HH44" s="423" t="str">
        <f>IF(OR(COUNTA($BS$4:$CW$4)=0,$A44=""),"",IF('2.ชื่อนักเรียน'!R50="ย้าย","-",COUNTIF($BS44:$CW44,"ล")))</f>
        <v/>
      </c>
      <c r="HI44" s="426" t="str">
        <f>IF(OR(COUNTA($BS$4:$CW$4)=0,$A44=""),"",IF('2.ชื่อนักเรียน'!R50="ย้าย","-",COUNTIF($BS44:$CW44,"ข")))</f>
        <v/>
      </c>
      <c r="HJ44" s="422" t="str">
        <f>IF(OR(COUNTA($CZ$4:$ED$4)=0,$A44=""),"",IF('2.ชื่อนักเรียน'!R50="ย้าย","-",COUNTIF($CZ44:$ED44,"/")))</f>
        <v/>
      </c>
      <c r="HK44" s="425" t="str">
        <f>IF(OR(COUNTA($CZ$4:$ED$4)=0,$A44=""),"",IF('2.ชื่อนักเรียน'!R50="ย้าย","-",COUNTIF($CZ44:$ED44,"ส")))</f>
        <v/>
      </c>
      <c r="HL44" s="423" t="str">
        <f>IF(OR(COUNTA($CZ$4:$ED$4)=0,$A44=""),"",IF('2.ชื่อนักเรียน'!R50="ย้าย","-",COUNTIF($CZ44:$ED44,"ป")))</f>
        <v/>
      </c>
      <c r="HM44" s="423" t="str">
        <f>IF(OR(COUNTA($CZ$4:$ED$4)=0,A44=""),"",IF('2.ชื่อนักเรียน'!R50="ย้าย","-",COUNTIF($CZ44:$ED44,"ล")))</f>
        <v/>
      </c>
      <c r="HN44" s="426" t="str">
        <f>IF(OR(COUNTA($CZ$4:$ED$4)=0,A44=""),"",IF('2.ชื่อนักเรียน'!R50="ย้าย","-",COUNTIF($CZ44:$ED44,"ข")))</f>
        <v/>
      </c>
      <c r="HO44" s="422" t="str">
        <f>IF(OR(COUNTA($EG$4:$FK$4)=0,$A44=""),"",IF('2.ชื่อนักเรียน'!R50="ย้าย","-",COUNTIF($EG44:$FK44,"/")))</f>
        <v/>
      </c>
      <c r="HP44" s="425" t="str">
        <f>IF(OR(COUNTA($EG$4:$FK$4)=0,$A44=""),"",IF('2.ชื่อนักเรียน'!R50="ย้าย","-",COUNTIF($EG44:$FK44,"ส")))</f>
        <v/>
      </c>
      <c r="HQ44" s="423" t="str">
        <f>IF(OR(COUNTA($EG$4:$FK$4)=0,$A44=""),"",IF('2.ชื่อนักเรียน'!R50="ย้าย","-",COUNTIF($EG44:$FK44,"ป")))</f>
        <v/>
      </c>
      <c r="HR44" s="423" t="str">
        <f>IF(OR(COUNTA($EG$4:$FK$4)=0,A44=""),"",IF('2.ชื่อนักเรียน'!R50="ย้าย","-",COUNTIF($EG44:$FK44,"ล")))</f>
        <v/>
      </c>
      <c r="HS44" s="426" t="str">
        <f>IF(OR(COUNTA($EG$4:$FK$4)=0,A44=""),"",IF('2.ชื่อนักเรียน'!R50="ย้าย","-",COUNTIF($EG44:$FK44,"ข")))</f>
        <v/>
      </c>
      <c r="HT44" s="418">
        <v>40</v>
      </c>
      <c r="HU44" s="422" t="str">
        <f>IF(OR(COUNTA($FN$4:$GR$4)=0,$A44=""),"",IF('2.ชื่อนักเรียน'!R50="ย้าย","-",COUNTIF($FN44:$GR44,"/")))</f>
        <v/>
      </c>
      <c r="HV44" s="425" t="str">
        <f>IF(OR(COUNTA($FN$4:$GR$4)=0,$A44=""),"",IF('2.ชื่อนักเรียน'!R50="ย้าย","-",COUNTIF($FN44:$GR44,"ส")))</f>
        <v/>
      </c>
      <c r="HW44" s="423" t="str">
        <f>IF(OR(COUNTA($FN$4:$GR$4)=0,$A44=""),"",IF('2.ชื่อนักเรียน'!R50="ย้าย","-",COUNTIF($FN44:$GR44,"ป")))</f>
        <v/>
      </c>
      <c r="HX44" s="423" t="str">
        <f>IF(OR(COUNTA($FN$4:$GR$4)=0,A44=""),"",IF('2.ชื่อนักเรียน'!R50="ย้าย","-",COUNTIF($FN44:$GR44,"ล")))</f>
        <v/>
      </c>
      <c r="HY44" s="423" t="str">
        <f>IF(OR(COUNTA($FN$4:$GR$4)=0,A44=""),"",IF('2.ชื่อนักเรียน'!R50="ย้าย","-",COUNTIF($FN44:$GR44,"ข")))</f>
        <v/>
      </c>
      <c r="HZ44" s="422" t="str">
        <f>IF(OR(COUNTA($GU$3:$HS$3,$HU$3)=0,$A44=""),"",IF('2.ชื่อนักเรียน'!R50="ย้าย","-",SUM(GU44,GZ44,HE44,HJ44,HO44,HU44)))</f>
        <v/>
      </c>
      <c r="IA44" s="425" t="str">
        <f>IF(OR(COUNTA($GU$3:$HS$3,$HU$3)=0,$A44=""),"",IF('2.ชื่อนักเรียน'!R50="ย้าย","-",SUM(GV44,HA44,HF44,HK44,HP44,HV44)))</f>
        <v/>
      </c>
      <c r="IB44" s="423" t="str">
        <f>IF(OR(COUNTA($GU$3:$HS$3,$HU$3)=0,$A44=""),"",IF('2.ชื่อนักเรียน'!R50="ย้าย","-",SUM(GW44,HB44,HG44,HL44,HQ44,HW44)))</f>
        <v/>
      </c>
      <c r="IC44" s="423" t="str">
        <f>IF(OR(COUNTA($GU$3:$HS$3,$HU$3)=0,$A44=""),"",IF('2.ชื่อนักเรียน'!R50="ย้าย","-",SUM(GX44,HC44,HH44,HM44,HR44,HX44)))</f>
        <v/>
      </c>
      <c r="ID44" s="424" t="str">
        <f>IF(OR(COUNTA($GU$3:$HS$3,$HU$3)=0,$A44=""),"",IF('2.ชื่อนักเรียน'!R50="ย้าย","-",SUM(GY44,HD44,HI44,HN44,HS44,HY44)))</f>
        <v/>
      </c>
      <c r="IE44" s="418" t="str">
        <f t="shared" si="0"/>
        <v/>
      </c>
      <c r="IF44" s="438" t="str">
        <f>IF(IE44="","",IF('2.ชื่อนักเรียน'!R50="ย้าย","ย้าย",(IE44*100)/COUNTA($E$4:$AI$4,$AL$4:$BP$4,$BS$4:$CW$4,$CZ$4:$ED$4,$EG$4:$FK$4,$FN$4:$GR$4)))</f>
        <v/>
      </c>
      <c r="IG44" s="449"/>
      <c r="IH44" s="605"/>
      <c r="II44" s="605"/>
      <c r="IJ44" s="605"/>
      <c r="IK44" s="605"/>
      <c r="IL44" s="605"/>
      <c r="IM44" s="605"/>
      <c r="IN44" s="605"/>
      <c r="IO44" s="605"/>
      <c r="IP44" s="605"/>
      <c r="IQ44" s="605"/>
      <c r="IR44" s="450"/>
    </row>
    <row r="45" spans="1:252" ht="21" customHeight="1" x14ac:dyDescent="0.4">
      <c r="A45" s="416" t="str">
        <f>IF(Name41="","",Name41)</f>
        <v/>
      </c>
      <c r="B45" s="417" t="str">
        <f>IF(Surname41="","",Surname41)</f>
        <v/>
      </c>
      <c r="C45" s="417"/>
      <c r="D45" s="418">
        <v>41</v>
      </c>
      <c r="E45" s="419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1"/>
      <c r="AI45" s="421"/>
      <c r="AJ45" s="418" t="str">
        <f>IF(COUNTA($E$4:AI$4)=0,"",IF('2.ชื่อนักเรียน'!R51="ย้าย","ย้าย",GU45))</f>
        <v/>
      </c>
      <c r="AK45" s="418">
        <v>41</v>
      </c>
      <c r="AL45" s="419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1"/>
      <c r="BP45" s="421"/>
      <c r="BQ45" s="418" t="str">
        <f>IF(COUNTA($AL$4:$BP$4)=0,"",IF('2.ชื่อนักเรียน'!R51="ย้าย","ย้าย",GZ45))</f>
        <v/>
      </c>
      <c r="BR45" s="418">
        <v>41</v>
      </c>
      <c r="BS45" s="419"/>
      <c r="BT45" s="420"/>
      <c r="BU45" s="420"/>
      <c r="BV45" s="420"/>
      <c r="BW45" s="420"/>
      <c r="BX45" s="420"/>
      <c r="BY45" s="420"/>
      <c r="BZ45" s="420"/>
      <c r="CA45" s="420"/>
      <c r="CB45" s="420"/>
      <c r="CC45" s="420"/>
      <c r="CD45" s="420"/>
      <c r="CE45" s="420"/>
      <c r="CF45" s="420"/>
      <c r="CG45" s="420"/>
      <c r="CH45" s="420"/>
      <c r="CI45" s="420"/>
      <c r="CJ45" s="420"/>
      <c r="CK45" s="420"/>
      <c r="CL45" s="420"/>
      <c r="CM45" s="420"/>
      <c r="CN45" s="420"/>
      <c r="CO45" s="420"/>
      <c r="CP45" s="420"/>
      <c r="CQ45" s="420"/>
      <c r="CR45" s="420"/>
      <c r="CS45" s="420"/>
      <c r="CT45" s="420"/>
      <c r="CU45" s="420"/>
      <c r="CV45" s="421"/>
      <c r="CW45" s="421"/>
      <c r="CX45" s="418" t="str">
        <f>IF(COUNTA($BS$4:$CW$4)=0,"",IF('2.ชื่อนักเรียน'!R51="ย้าย","ย้าย",HE45))</f>
        <v/>
      </c>
      <c r="CY45" s="418">
        <v>41</v>
      </c>
      <c r="CZ45" s="419"/>
      <c r="DA45" s="420"/>
      <c r="DB45" s="420"/>
      <c r="DC45" s="420"/>
      <c r="DD45" s="420"/>
      <c r="DE45" s="420"/>
      <c r="DF45" s="420"/>
      <c r="DG45" s="420"/>
      <c r="DH45" s="420"/>
      <c r="DI45" s="420"/>
      <c r="DJ45" s="420"/>
      <c r="DK45" s="420"/>
      <c r="DL45" s="420"/>
      <c r="DM45" s="420"/>
      <c r="DN45" s="420"/>
      <c r="DO45" s="420"/>
      <c r="DP45" s="420"/>
      <c r="DQ45" s="420"/>
      <c r="DR45" s="420"/>
      <c r="DS45" s="420"/>
      <c r="DT45" s="420"/>
      <c r="DU45" s="420"/>
      <c r="DV45" s="420"/>
      <c r="DW45" s="420"/>
      <c r="DX45" s="420"/>
      <c r="DY45" s="420"/>
      <c r="DZ45" s="420"/>
      <c r="EA45" s="420"/>
      <c r="EB45" s="420"/>
      <c r="EC45" s="421"/>
      <c r="ED45" s="421"/>
      <c r="EE45" s="418" t="str">
        <f>IF(COUNTA($CZ$4:$ED$4)=0,"",IF('2.ชื่อนักเรียน'!R51="ย้าย","ย้าย",HJ45))</f>
        <v/>
      </c>
      <c r="EF45" s="418">
        <v>41</v>
      </c>
      <c r="EG45" s="419"/>
      <c r="EH45" s="420"/>
      <c r="EI45" s="420"/>
      <c r="EJ45" s="420"/>
      <c r="EK45" s="420"/>
      <c r="EL45" s="420"/>
      <c r="EM45" s="420"/>
      <c r="EN45" s="420"/>
      <c r="EO45" s="420"/>
      <c r="EP45" s="420"/>
      <c r="EQ45" s="420"/>
      <c r="ER45" s="420"/>
      <c r="ES45" s="420"/>
      <c r="ET45" s="420"/>
      <c r="EU45" s="420"/>
      <c r="EV45" s="420"/>
      <c r="EW45" s="420"/>
      <c r="EX45" s="420"/>
      <c r="EY45" s="420"/>
      <c r="EZ45" s="420"/>
      <c r="FA45" s="420"/>
      <c r="FB45" s="420"/>
      <c r="FC45" s="420"/>
      <c r="FD45" s="420"/>
      <c r="FE45" s="420"/>
      <c r="FF45" s="420"/>
      <c r="FG45" s="420"/>
      <c r="FH45" s="420"/>
      <c r="FI45" s="420"/>
      <c r="FJ45" s="421"/>
      <c r="FK45" s="421"/>
      <c r="FL45" s="418" t="str">
        <f>IF(COUNTA($EG$4:$FK$4)=0,"",IF('2.ชื่อนักเรียน'!R51="ย้าย","ย้าย",HO45))</f>
        <v/>
      </c>
      <c r="FM45" s="418">
        <v>41</v>
      </c>
      <c r="FN45" s="419"/>
      <c r="FO45" s="420"/>
      <c r="FP45" s="420"/>
      <c r="FQ45" s="420"/>
      <c r="FR45" s="420"/>
      <c r="FS45" s="420"/>
      <c r="FT45" s="420"/>
      <c r="FU45" s="420"/>
      <c r="FV45" s="420"/>
      <c r="FW45" s="420"/>
      <c r="FX45" s="420"/>
      <c r="FY45" s="420"/>
      <c r="FZ45" s="420"/>
      <c r="GA45" s="420"/>
      <c r="GB45" s="420"/>
      <c r="GC45" s="420"/>
      <c r="GD45" s="420"/>
      <c r="GE45" s="420"/>
      <c r="GF45" s="420"/>
      <c r="GG45" s="420"/>
      <c r="GH45" s="420"/>
      <c r="GI45" s="420"/>
      <c r="GJ45" s="420"/>
      <c r="GK45" s="420"/>
      <c r="GL45" s="420"/>
      <c r="GM45" s="420"/>
      <c r="GN45" s="420"/>
      <c r="GO45" s="420"/>
      <c r="GP45" s="420"/>
      <c r="GQ45" s="421"/>
      <c r="GR45" s="421"/>
      <c r="GS45" s="418" t="str">
        <f>IF(COUNTA($FN$4:$GR$4)=0,"",IF('2.ชื่อนักเรียน'!R51="ย้าย","ย้าย",HU45))</f>
        <v/>
      </c>
      <c r="GT45" s="418">
        <v>41</v>
      </c>
      <c r="GU45" s="422" t="str">
        <f>IF(OR(COUNTA($E$4:$AI$4)=0,$A45=""),"",IF('2.ชื่อนักเรียน'!R51="ย้าย","-",COUNTIF($E45:$AI45,"/")))</f>
        <v/>
      </c>
      <c r="GV45" s="425" t="str">
        <f>IF(OR(COUNTA($E$4:$AI$4)=0,$A45=""),"",IF('2.ชื่อนักเรียน'!R51="ย้าย","-",COUNTIF($E45:$AI45,"ส")))</f>
        <v/>
      </c>
      <c r="GW45" s="423" t="str">
        <f>IF(OR(COUNTA($E$4:$AI$4)=0,$A45=""),"",IF('2.ชื่อนักเรียน'!R51="ย้าย","-",COUNTIF($E45:$AI45,"ป")))</f>
        <v/>
      </c>
      <c r="GX45" s="423" t="str">
        <f>IF(OR(COUNTA($E$4:$AI$4)=0,$A45=""),"",IF('2.ชื่อนักเรียน'!R51="ย้าย","-",COUNTIF($E45:$AI45,"ล")))</f>
        <v/>
      </c>
      <c r="GY45" s="426" t="str">
        <f>IF(OR(COUNTA($E$4:$AI$4)=0,$A45=""),"",IF('2.ชื่อนักเรียน'!R51="ย้าย","-",COUNTIF($E45:$AI45,"ข")))</f>
        <v/>
      </c>
      <c r="GZ45" s="422" t="str">
        <f>IF(OR(COUNTA($AL$4:$BP$4)=0,$A45=""),"",IF('2.ชื่อนักเรียน'!R51="ย้าย","-",COUNTIF($AL45:$BP45,"/")))</f>
        <v/>
      </c>
      <c r="HA45" s="425" t="str">
        <f>IF(OR(COUNTA($AL$4:$BP$4)=0,$A45=""),"",IF('2.ชื่อนักเรียน'!R51="ย้าย","-",COUNTIF($AL45:$BP45,"ส")))</f>
        <v/>
      </c>
      <c r="HB45" s="423" t="str">
        <f>IF(OR(COUNTA($AL$4:$BP$4)=0,$A45=""),"",IF('2.ชื่อนักเรียน'!R51="ย้าย","-",COUNTIF($AL45:$BP45,"ป")))</f>
        <v/>
      </c>
      <c r="HC45" s="423" t="str">
        <f>IF(OR(COUNTA($AL$4:$BP$4)=0,$A45=""),"",IF('2.ชื่อนักเรียน'!R51="ย้าย","-",COUNTIF($AL45:$BP45,"ล")))</f>
        <v/>
      </c>
      <c r="HD45" s="426" t="str">
        <f>IF(OR(COUNTA($AL$4:$BP$4)=0,$A45=""),"",IF('2.ชื่อนักเรียน'!R51="ย้าย","-",COUNTIF($AL45:$BP45,"ข")))</f>
        <v/>
      </c>
      <c r="HE45" s="422" t="str">
        <f>IF(OR(COUNTA($BS$4:$CW$4)=0,$A45=""),"",IF('2.ชื่อนักเรียน'!R51="ย้าย","-",COUNTIF($BS45:$CW45,"/")))</f>
        <v/>
      </c>
      <c r="HF45" s="425" t="str">
        <f>IF(OR(COUNTA($BS$4:$CW$4)=0,$A45=""),"",IF('2.ชื่อนักเรียน'!R51="ย้าย","-",COUNTIF($BS45:$CW45,"ส")))</f>
        <v/>
      </c>
      <c r="HG45" s="423" t="str">
        <f>IF(OR(COUNTA($BS$4:$CW$4)=0,$A45=""),"",IF('2.ชื่อนักเรียน'!R51="ย้าย","-",COUNTIF($BS45:$CW45,"ป")))</f>
        <v/>
      </c>
      <c r="HH45" s="423" t="str">
        <f>IF(OR(COUNTA($BS$4:$CW$4)=0,$A45=""),"",IF('2.ชื่อนักเรียน'!R51="ย้าย","-",COUNTIF($BS45:$CW45,"ล")))</f>
        <v/>
      </c>
      <c r="HI45" s="426" t="str">
        <f>IF(OR(COUNTA($BS$4:$CW$4)=0,$A45=""),"",IF('2.ชื่อนักเรียน'!R51="ย้าย","-",COUNTIF($BS45:$CW45,"ข")))</f>
        <v/>
      </c>
      <c r="HJ45" s="422" t="str">
        <f>IF(OR(COUNTA($CZ$4:$ED$4)=0,$A45=""),"",IF('2.ชื่อนักเรียน'!R51="ย้าย","-",COUNTIF($CZ45:$ED45,"/")))</f>
        <v/>
      </c>
      <c r="HK45" s="425" t="str">
        <f>IF(OR(COUNTA($CZ$4:$ED$4)=0,$A45=""),"",IF('2.ชื่อนักเรียน'!R51="ย้าย","-",COUNTIF($CZ45:$ED45,"ส")))</f>
        <v/>
      </c>
      <c r="HL45" s="423" t="str">
        <f>IF(OR(COUNTA($CZ$4:$ED$4)=0,$A45=""),"",IF('2.ชื่อนักเรียน'!R51="ย้าย","-",COUNTIF($CZ45:$ED45,"ป")))</f>
        <v/>
      </c>
      <c r="HM45" s="423" t="str">
        <f>IF(OR(COUNTA($CZ$4:$ED$4)=0,A45=""),"",IF('2.ชื่อนักเรียน'!R51="ย้าย","-",COUNTIF($CZ45:$ED45,"ล")))</f>
        <v/>
      </c>
      <c r="HN45" s="426" t="str">
        <f>IF(OR(COUNTA($CZ$4:$ED$4)=0,A45=""),"",IF('2.ชื่อนักเรียน'!R51="ย้าย","-",COUNTIF($CZ45:$ED45,"ข")))</f>
        <v/>
      </c>
      <c r="HO45" s="422" t="str">
        <f>IF(OR(COUNTA($EG$4:$FK$4)=0,$A45=""),"",IF('2.ชื่อนักเรียน'!R51="ย้าย","-",COUNTIF($EG45:$FK45,"/")))</f>
        <v/>
      </c>
      <c r="HP45" s="425" t="str">
        <f>IF(OR(COUNTA($EG$4:$FK$4)=0,$A45=""),"",IF('2.ชื่อนักเรียน'!R51="ย้าย","-",COUNTIF($EG45:$FK45,"ส")))</f>
        <v/>
      </c>
      <c r="HQ45" s="423" t="str">
        <f>IF(OR(COUNTA($EG$4:$FK$4)=0,$A45=""),"",IF('2.ชื่อนักเรียน'!R51="ย้าย","-",COUNTIF($EG45:$FK45,"ป")))</f>
        <v/>
      </c>
      <c r="HR45" s="423" t="str">
        <f>IF(OR(COUNTA($EG$4:$FK$4)=0,A45=""),"",IF('2.ชื่อนักเรียน'!R51="ย้าย","-",COUNTIF($EG45:$FK45,"ล")))</f>
        <v/>
      </c>
      <c r="HS45" s="426" t="str">
        <f>IF(OR(COUNTA($EG$4:$FK$4)=0,A45=""),"",IF('2.ชื่อนักเรียน'!R51="ย้าย","-",COUNTIF($EG45:$FK45,"ข")))</f>
        <v/>
      </c>
      <c r="HT45" s="418">
        <v>41</v>
      </c>
      <c r="HU45" s="422" t="str">
        <f>IF(OR(COUNTA($FN$4:$GR$4)=0,$A45=""),"",IF('2.ชื่อนักเรียน'!R51="ย้าย","-",COUNTIF($FN45:$GR45,"/")))</f>
        <v/>
      </c>
      <c r="HV45" s="425" t="str">
        <f>IF(OR(COUNTA($FN$4:$GR$4)=0,$A45=""),"",IF('2.ชื่อนักเรียน'!R51="ย้าย","-",COUNTIF($FN45:$GR45,"ส")))</f>
        <v/>
      </c>
      <c r="HW45" s="423" t="str">
        <f>IF(OR(COUNTA($FN$4:$GR$4)=0,$A45=""),"",IF('2.ชื่อนักเรียน'!R51="ย้าย","-",COUNTIF($FN45:$GR45,"ป")))</f>
        <v/>
      </c>
      <c r="HX45" s="423" t="str">
        <f>IF(OR(COUNTA($FN$4:$GR$4)=0,A45=""),"",IF('2.ชื่อนักเรียน'!R51="ย้าย","-",COUNTIF($FN45:$GR45,"ล")))</f>
        <v/>
      </c>
      <c r="HY45" s="423" t="str">
        <f>IF(OR(COUNTA($FN$4:$GR$4)=0,A45=""),"",IF('2.ชื่อนักเรียน'!R51="ย้าย","-",COUNTIF($FN45:$GR45,"ข")))</f>
        <v/>
      </c>
      <c r="HZ45" s="422" t="str">
        <f>IF(OR(COUNTA($GU$3:$HS$3,$HU$3)=0,$A45=""),"",IF('2.ชื่อนักเรียน'!R51="ย้าย","-",SUM(GU45,GZ45,HE45,HJ45,HO45,HU45)))</f>
        <v/>
      </c>
      <c r="IA45" s="425" t="str">
        <f>IF(OR(COUNTA($GU$3:$HS$3,$HU$3)=0,$A45=""),"",IF('2.ชื่อนักเรียน'!R51="ย้าย","-",SUM(GV45,HA45,HF45,HK45,HP45,HV45)))</f>
        <v/>
      </c>
      <c r="IB45" s="423" t="str">
        <f>IF(OR(COUNTA($GU$3:$HS$3,$HU$3)=0,$A45=""),"",IF('2.ชื่อนักเรียน'!R51="ย้าย","-",SUM(GW45,HB45,HG45,HL45,HQ45,HW45)))</f>
        <v/>
      </c>
      <c r="IC45" s="423" t="str">
        <f>IF(OR(COUNTA($GU$3:$HS$3,$HU$3)=0,$A45=""),"",IF('2.ชื่อนักเรียน'!R51="ย้าย","-",SUM(GX45,HC45,HH45,HM45,HR45,HX45)))</f>
        <v/>
      </c>
      <c r="ID45" s="424" t="str">
        <f>IF(OR(COUNTA($GU$3:$HS$3,$HU$3)=0,$A45=""),"",IF('2.ชื่อนักเรียน'!R51="ย้าย","-",SUM(GY45,HD45,HI45,HN45,HS45,HY45)))</f>
        <v/>
      </c>
      <c r="IE45" s="418" t="str">
        <f t="shared" si="0"/>
        <v/>
      </c>
      <c r="IF45" s="438" t="str">
        <f>IF(IE45="","",IF('2.ชื่อนักเรียน'!R51="ย้าย","ย้าย",(IE45*100)/COUNTA($E$4:$AI$4,$AL$4:$BP$4,$BS$4:$CW$4,$CZ$4:$ED$4,$EG$4:$FK$4,$FN$4:$GR$4)))</f>
        <v/>
      </c>
      <c r="IG45" s="449"/>
      <c r="IH45" s="605"/>
      <c r="II45" s="605"/>
      <c r="IJ45" s="605"/>
      <c r="IK45" s="605"/>
      <c r="IL45" s="605"/>
      <c r="IM45" s="605"/>
      <c r="IN45" s="605"/>
      <c r="IO45" s="605"/>
      <c r="IP45" s="605"/>
      <c r="IQ45" s="605"/>
      <c r="IR45" s="450"/>
    </row>
    <row r="46" spans="1:252" ht="21" customHeight="1" x14ac:dyDescent="0.4">
      <c r="A46" s="416" t="str">
        <f>IF(Name42="","",Name42)</f>
        <v/>
      </c>
      <c r="B46" s="417" t="str">
        <f>IF(Surname42="","",Surname42)</f>
        <v/>
      </c>
      <c r="C46" s="417"/>
      <c r="D46" s="418">
        <v>42</v>
      </c>
      <c r="E46" s="419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1"/>
      <c r="AI46" s="421"/>
      <c r="AJ46" s="418" t="str">
        <f>IF(COUNTA($E$4:AI$4)=0,"",IF('2.ชื่อนักเรียน'!R52="ย้าย","ย้าย",GU46))</f>
        <v/>
      </c>
      <c r="AK46" s="418">
        <v>42</v>
      </c>
      <c r="AL46" s="419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  <c r="BN46" s="420"/>
      <c r="BO46" s="421"/>
      <c r="BP46" s="421"/>
      <c r="BQ46" s="418" t="str">
        <f>IF(COUNTA($AL$4:$BP$4)=0,"",IF('2.ชื่อนักเรียน'!R52="ย้าย","ย้าย",GZ46))</f>
        <v/>
      </c>
      <c r="BR46" s="418">
        <v>42</v>
      </c>
      <c r="BS46" s="419"/>
      <c r="BT46" s="420"/>
      <c r="BU46" s="420"/>
      <c r="BV46" s="420"/>
      <c r="BW46" s="420"/>
      <c r="BX46" s="420"/>
      <c r="BY46" s="420"/>
      <c r="BZ46" s="420"/>
      <c r="CA46" s="420"/>
      <c r="CB46" s="420"/>
      <c r="CC46" s="420"/>
      <c r="CD46" s="420"/>
      <c r="CE46" s="420"/>
      <c r="CF46" s="420"/>
      <c r="CG46" s="420"/>
      <c r="CH46" s="420"/>
      <c r="CI46" s="420"/>
      <c r="CJ46" s="420"/>
      <c r="CK46" s="420"/>
      <c r="CL46" s="420"/>
      <c r="CM46" s="420"/>
      <c r="CN46" s="420"/>
      <c r="CO46" s="420"/>
      <c r="CP46" s="420"/>
      <c r="CQ46" s="420"/>
      <c r="CR46" s="420"/>
      <c r="CS46" s="420"/>
      <c r="CT46" s="420"/>
      <c r="CU46" s="420"/>
      <c r="CV46" s="421"/>
      <c r="CW46" s="421"/>
      <c r="CX46" s="418" t="str">
        <f>IF(COUNTA($BS$4:$CW$4)=0,"",IF('2.ชื่อนักเรียน'!R52="ย้าย","ย้าย",HE46))</f>
        <v/>
      </c>
      <c r="CY46" s="418">
        <v>42</v>
      </c>
      <c r="CZ46" s="419"/>
      <c r="DA46" s="420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0"/>
      <c r="DQ46" s="420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1"/>
      <c r="ED46" s="421"/>
      <c r="EE46" s="418" t="str">
        <f>IF(COUNTA($CZ$4:$ED$4)=0,"",IF('2.ชื่อนักเรียน'!R52="ย้าย","ย้าย",HJ46))</f>
        <v/>
      </c>
      <c r="EF46" s="418">
        <v>42</v>
      </c>
      <c r="EG46" s="419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  <c r="ER46" s="420"/>
      <c r="ES46" s="420"/>
      <c r="ET46" s="420"/>
      <c r="EU46" s="420"/>
      <c r="EV46" s="420"/>
      <c r="EW46" s="420"/>
      <c r="EX46" s="420"/>
      <c r="EY46" s="420"/>
      <c r="EZ46" s="420"/>
      <c r="FA46" s="420"/>
      <c r="FB46" s="420"/>
      <c r="FC46" s="420"/>
      <c r="FD46" s="420"/>
      <c r="FE46" s="420"/>
      <c r="FF46" s="420"/>
      <c r="FG46" s="420"/>
      <c r="FH46" s="420"/>
      <c r="FI46" s="420"/>
      <c r="FJ46" s="421"/>
      <c r="FK46" s="421"/>
      <c r="FL46" s="418" t="str">
        <f>IF(COUNTA($EG$4:$FK$4)=0,"",IF('2.ชื่อนักเรียน'!R52="ย้าย","ย้าย",HO46))</f>
        <v/>
      </c>
      <c r="FM46" s="418">
        <v>42</v>
      </c>
      <c r="FN46" s="419"/>
      <c r="FO46" s="420"/>
      <c r="FP46" s="420"/>
      <c r="FQ46" s="420"/>
      <c r="FR46" s="420"/>
      <c r="FS46" s="420"/>
      <c r="FT46" s="420"/>
      <c r="FU46" s="420"/>
      <c r="FV46" s="420"/>
      <c r="FW46" s="420"/>
      <c r="FX46" s="420"/>
      <c r="FY46" s="420"/>
      <c r="FZ46" s="420"/>
      <c r="GA46" s="420"/>
      <c r="GB46" s="420"/>
      <c r="GC46" s="420"/>
      <c r="GD46" s="420"/>
      <c r="GE46" s="420"/>
      <c r="GF46" s="420"/>
      <c r="GG46" s="420"/>
      <c r="GH46" s="420"/>
      <c r="GI46" s="420"/>
      <c r="GJ46" s="420"/>
      <c r="GK46" s="420"/>
      <c r="GL46" s="420"/>
      <c r="GM46" s="420"/>
      <c r="GN46" s="420"/>
      <c r="GO46" s="420"/>
      <c r="GP46" s="420"/>
      <c r="GQ46" s="421"/>
      <c r="GR46" s="421"/>
      <c r="GS46" s="418" t="str">
        <f>IF(COUNTA($FN$4:$GR$4)=0,"",IF('2.ชื่อนักเรียน'!R52="ย้าย","ย้าย",HU46))</f>
        <v/>
      </c>
      <c r="GT46" s="418">
        <v>42</v>
      </c>
      <c r="GU46" s="422" t="str">
        <f>IF(OR(COUNTA($E$4:$AI$4)=0,$A46=""),"",IF('2.ชื่อนักเรียน'!R52="ย้าย","-",COUNTIF($E46:$AI46,"/")))</f>
        <v/>
      </c>
      <c r="GV46" s="425" t="str">
        <f>IF(OR(COUNTA($E$4:$AI$4)=0,$A46=""),"",IF('2.ชื่อนักเรียน'!R52="ย้าย","-",COUNTIF($E46:$AI46,"ส")))</f>
        <v/>
      </c>
      <c r="GW46" s="423" t="str">
        <f>IF(OR(COUNTA($E$4:$AI$4)=0,$A46=""),"",IF('2.ชื่อนักเรียน'!R52="ย้าย","-",COUNTIF($E46:$AI46,"ป")))</f>
        <v/>
      </c>
      <c r="GX46" s="423" t="str">
        <f>IF(OR(COUNTA($E$4:$AI$4)=0,$A46=""),"",IF('2.ชื่อนักเรียน'!R52="ย้าย","-",COUNTIF($E46:$AI46,"ล")))</f>
        <v/>
      </c>
      <c r="GY46" s="426" t="str">
        <f>IF(OR(COUNTA($E$4:$AI$4)=0,$A46=""),"",IF('2.ชื่อนักเรียน'!R52="ย้าย","-",COUNTIF($E46:$AI46,"ข")))</f>
        <v/>
      </c>
      <c r="GZ46" s="422" t="str">
        <f>IF(OR(COUNTA($AL$4:$BP$4)=0,$A46=""),"",IF('2.ชื่อนักเรียน'!R52="ย้าย","-",COUNTIF($AL46:$BP46,"/")))</f>
        <v/>
      </c>
      <c r="HA46" s="425" t="str">
        <f>IF(OR(COUNTA($AL$4:$BP$4)=0,$A46=""),"",IF('2.ชื่อนักเรียน'!R52="ย้าย","-",COUNTIF($AL46:$BP46,"ส")))</f>
        <v/>
      </c>
      <c r="HB46" s="423" t="str">
        <f>IF(OR(COUNTA($AL$4:$BP$4)=0,$A46=""),"",IF('2.ชื่อนักเรียน'!R52="ย้าย","-",COUNTIF($AL46:$BP46,"ป")))</f>
        <v/>
      </c>
      <c r="HC46" s="423" t="str">
        <f>IF(OR(COUNTA($AL$4:$BP$4)=0,$A46=""),"",IF('2.ชื่อนักเรียน'!R52="ย้าย","-",COUNTIF($AL46:$BP46,"ล")))</f>
        <v/>
      </c>
      <c r="HD46" s="426" t="str">
        <f>IF(OR(COUNTA($AL$4:$BP$4)=0,$A46=""),"",IF('2.ชื่อนักเรียน'!R52="ย้าย","-",COUNTIF($AL46:$BP46,"ข")))</f>
        <v/>
      </c>
      <c r="HE46" s="422" t="str">
        <f>IF(OR(COUNTA($BS$4:$CW$4)=0,$A46=""),"",IF('2.ชื่อนักเรียน'!R52="ย้าย","-",COUNTIF($BS46:$CW46,"/")))</f>
        <v/>
      </c>
      <c r="HF46" s="425" t="str">
        <f>IF(OR(COUNTA($BS$4:$CW$4)=0,$A46=""),"",IF('2.ชื่อนักเรียน'!R52="ย้าย","-",COUNTIF($BS46:$CW46,"ส")))</f>
        <v/>
      </c>
      <c r="HG46" s="423" t="str">
        <f>IF(OR(COUNTA($BS$4:$CW$4)=0,$A46=""),"",IF('2.ชื่อนักเรียน'!R52="ย้าย","-",COUNTIF($BS46:$CW46,"ป")))</f>
        <v/>
      </c>
      <c r="HH46" s="423" t="str">
        <f>IF(OR(COUNTA($BS$4:$CW$4)=0,$A46=""),"",IF('2.ชื่อนักเรียน'!R52="ย้าย","-",COUNTIF($BS46:$CW46,"ล")))</f>
        <v/>
      </c>
      <c r="HI46" s="426" t="str">
        <f>IF(OR(COUNTA($BS$4:$CW$4)=0,$A46=""),"",IF('2.ชื่อนักเรียน'!R52="ย้าย","-",COUNTIF($BS46:$CW46,"ข")))</f>
        <v/>
      </c>
      <c r="HJ46" s="422" t="str">
        <f>IF(OR(COUNTA($CZ$4:$ED$4)=0,$A46=""),"",IF('2.ชื่อนักเรียน'!R52="ย้าย","-",COUNTIF($CZ46:$ED46,"/")))</f>
        <v/>
      </c>
      <c r="HK46" s="425" t="str">
        <f>IF(OR(COUNTA($CZ$4:$ED$4)=0,$A46=""),"",IF('2.ชื่อนักเรียน'!R52="ย้าย","-",COUNTIF($CZ46:$ED46,"ส")))</f>
        <v/>
      </c>
      <c r="HL46" s="423" t="str">
        <f>IF(OR(COUNTA($CZ$4:$ED$4)=0,$A46=""),"",IF('2.ชื่อนักเรียน'!R52="ย้าย","-",COUNTIF($CZ46:$ED46,"ป")))</f>
        <v/>
      </c>
      <c r="HM46" s="423" t="str">
        <f>IF(OR(COUNTA($CZ$4:$ED$4)=0,A46=""),"",IF('2.ชื่อนักเรียน'!R52="ย้าย","-",COUNTIF($CZ46:$ED46,"ล")))</f>
        <v/>
      </c>
      <c r="HN46" s="426" t="str">
        <f>IF(OR(COUNTA($CZ$4:$ED$4)=0,A46=""),"",IF('2.ชื่อนักเรียน'!R52="ย้าย","-",COUNTIF($CZ46:$ED46,"ข")))</f>
        <v/>
      </c>
      <c r="HO46" s="422" t="str">
        <f>IF(OR(COUNTA($EG$4:$FK$4)=0,$A46=""),"",IF('2.ชื่อนักเรียน'!R52="ย้าย","-",COUNTIF($EG46:$FK46,"/")))</f>
        <v/>
      </c>
      <c r="HP46" s="425" t="str">
        <f>IF(OR(COUNTA($EG$4:$FK$4)=0,$A46=""),"",IF('2.ชื่อนักเรียน'!R52="ย้าย","-",COUNTIF($EG46:$FK46,"ส")))</f>
        <v/>
      </c>
      <c r="HQ46" s="423" t="str">
        <f>IF(OR(COUNTA($EG$4:$FK$4)=0,$A46=""),"",IF('2.ชื่อนักเรียน'!R52="ย้าย","-",COUNTIF($EG46:$FK46,"ป")))</f>
        <v/>
      </c>
      <c r="HR46" s="423" t="str">
        <f>IF(OR(COUNTA($EG$4:$FK$4)=0,A46=""),"",IF('2.ชื่อนักเรียน'!R52="ย้าย","-",COUNTIF($EG46:$FK46,"ล")))</f>
        <v/>
      </c>
      <c r="HS46" s="426" t="str">
        <f>IF(OR(COUNTA($EG$4:$FK$4)=0,A46=""),"",IF('2.ชื่อนักเรียน'!R52="ย้าย","-",COUNTIF($EG46:$FK46,"ข")))</f>
        <v/>
      </c>
      <c r="HT46" s="418">
        <v>42</v>
      </c>
      <c r="HU46" s="422" t="str">
        <f>IF(OR(COUNTA($FN$4:$GR$4)=0,$A46=""),"",IF('2.ชื่อนักเรียน'!R52="ย้าย","-",COUNTIF($FN46:$GR46,"/")))</f>
        <v/>
      </c>
      <c r="HV46" s="425" t="str">
        <f>IF(OR(COUNTA($FN$4:$GR$4)=0,$A46=""),"",IF('2.ชื่อนักเรียน'!R52="ย้าย","-",COUNTIF($FN46:$GR46,"ส")))</f>
        <v/>
      </c>
      <c r="HW46" s="423" t="str">
        <f>IF(OR(COUNTA($FN$4:$GR$4)=0,$A46=""),"",IF('2.ชื่อนักเรียน'!R52="ย้าย","-",COUNTIF($FN46:$GR46,"ป")))</f>
        <v/>
      </c>
      <c r="HX46" s="423" t="str">
        <f>IF(OR(COUNTA($FN$4:$GR$4)=0,A46=""),"",IF('2.ชื่อนักเรียน'!R52="ย้าย","-",COUNTIF($FN46:$GR46,"ล")))</f>
        <v/>
      </c>
      <c r="HY46" s="423" t="str">
        <f>IF(OR(COUNTA($FN$4:$GR$4)=0,A46=""),"",IF('2.ชื่อนักเรียน'!R52="ย้าย","-",COUNTIF($FN46:$GR46,"ข")))</f>
        <v/>
      </c>
      <c r="HZ46" s="422" t="str">
        <f>IF(OR(COUNTA($GU$3:$HS$3,$HU$3)=0,$A46=""),"",IF('2.ชื่อนักเรียน'!R52="ย้าย","-",SUM(GU46,GZ46,HE46,HJ46,HO46,HU46)))</f>
        <v/>
      </c>
      <c r="IA46" s="425" t="str">
        <f>IF(OR(COUNTA($GU$3:$HS$3,$HU$3)=0,$A46=""),"",IF('2.ชื่อนักเรียน'!R52="ย้าย","-",SUM(GV46,HA46,HF46,HK46,HP46,HV46)))</f>
        <v/>
      </c>
      <c r="IB46" s="423" t="str">
        <f>IF(OR(COUNTA($GU$3:$HS$3,$HU$3)=0,$A46=""),"",IF('2.ชื่อนักเรียน'!R52="ย้าย","-",SUM(GW46,HB46,HG46,HL46,HQ46,HW46)))</f>
        <v/>
      </c>
      <c r="IC46" s="423" t="str">
        <f>IF(OR(COUNTA($GU$3:$HS$3,$HU$3)=0,$A46=""),"",IF('2.ชื่อนักเรียน'!R52="ย้าย","-",SUM(GX46,HC46,HH46,HM46,HR46,HX46)))</f>
        <v/>
      </c>
      <c r="ID46" s="424" t="str">
        <f>IF(OR(COUNTA($GU$3:$HS$3,$HU$3)=0,$A46=""),"",IF('2.ชื่อนักเรียน'!R52="ย้าย","-",SUM(GY46,HD46,HI46,HN46,HS46,HY46)))</f>
        <v/>
      </c>
      <c r="IE46" s="418" t="str">
        <f t="shared" si="0"/>
        <v/>
      </c>
      <c r="IF46" s="438" t="str">
        <f>IF(IE46="","",IF('2.ชื่อนักเรียน'!R52="ย้าย","ย้าย",(IE46*100)/COUNTA($E$4:$AI$4,$AL$4:$BP$4,$BS$4:$CW$4,$CZ$4:$ED$4,$EG$4:$FK$4,$FN$4:$GR$4)))</f>
        <v/>
      </c>
      <c r="IG46" s="449"/>
      <c r="IH46" s="605"/>
      <c r="II46" s="605"/>
      <c r="IJ46" s="605"/>
      <c r="IK46" s="605"/>
      <c r="IL46" s="605"/>
      <c r="IM46" s="605"/>
      <c r="IN46" s="605"/>
      <c r="IO46" s="605"/>
      <c r="IP46" s="605"/>
      <c r="IQ46" s="605"/>
      <c r="IR46" s="450"/>
    </row>
    <row r="47" spans="1:252" ht="21" customHeight="1" x14ac:dyDescent="0.4">
      <c r="A47" s="416" t="str">
        <f>IF(Name43="","",Name43)</f>
        <v/>
      </c>
      <c r="B47" s="417" t="str">
        <f>IF(Surname43="","",Surname43)</f>
        <v/>
      </c>
      <c r="C47" s="417"/>
      <c r="D47" s="418">
        <v>43</v>
      </c>
      <c r="E47" s="419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1"/>
      <c r="AI47" s="421"/>
      <c r="AJ47" s="418" t="str">
        <f>IF(COUNTA($E$4:AI$4)=0,"",IF('2.ชื่อนักเรียน'!R53="ย้าย","ย้าย",GU47))</f>
        <v/>
      </c>
      <c r="AK47" s="418">
        <v>43</v>
      </c>
      <c r="AL47" s="419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  <c r="BN47" s="420"/>
      <c r="BO47" s="421"/>
      <c r="BP47" s="421"/>
      <c r="BQ47" s="418" t="str">
        <f>IF(COUNTA($AL$4:$BP$4)=0,"",IF('2.ชื่อนักเรียน'!R53="ย้าย","ย้าย",GZ47))</f>
        <v/>
      </c>
      <c r="BR47" s="418">
        <v>43</v>
      </c>
      <c r="BS47" s="419"/>
      <c r="BT47" s="420"/>
      <c r="BU47" s="420"/>
      <c r="BV47" s="420"/>
      <c r="BW47" s="420"/>
      <c r="BX47" s="420"/>
      <c r="BY47" s="420"/>
      <c r="BZ47" s="420"/>
      <c r="CA47" s="420"/>
      <c r="CB47" s="420"/>
      <c r="CC47" s="420"/>
      <c r="CD47" s="420"/>
      <c r="CE47" s="420"/>
      <c r="CF47" s="420"/>
      <c r="CG47" s="420"/>
      <c r="CH47" s="420"/>
      <c r="CI47" s="420"/>
      <c r="CJ47" s="420"/>
      <c r="CK47" s="420"/>
      <c r="CL47" s="420"/>
      <c r="CM47" s="420"/>
      <c r="CN47" s="420"/>
      <c r="CO47" s="420"/>
      <c r="CP47" s="420"/>
      <c r="CQ47" s="420"/>
      <c r="CR47" s="420"/>
      <c r="CS47" s="420"/>
      <c r="CT47" s="420"/>
      <c r="CU47" s="420"/>
      <c r="CV47" s="421"/>
      <c r="CW47" s="421"/>
      <c r="CX47" s="418" t="str">
        <f>IF(COUNTA($BS$4:$CW$4)=0,"",IF('2.ชื่อนักเรียน'!R53="ย้าย","ย้าย",HE47))</f>
        <v/>
      </c>
      <c r="CY47" s="418">
        <v>43</v>
      </c>
      <c r="CZ47" s="419"/>
      <c r="DA47" s="420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1"/>
      <c r="ED47" s="421"/>
      <c r="EE47" s="418" t="str">
        <f>IF(COUNTA($CZ$4:$ED$4)=0,"",IF('2.ชื่อนักเรียน'!R53="ย้าย","ย้าย",HJ47))</f>
        <v/>
      </c>
      <c r="EF47" s="418">
        <v>43</v>
      </c>
      <c r="EG47" s="419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  <c r="ER47" s="420"/>
      <c r="ES47" s="420"/>
      <c r="ET47" s="420"/>
      <c r="EU47" s="420"/>
      <c r="EV47" s="420"/>
      <c r="EW47" s="420"/>
      <c r="EX47" s="420"/>
      <c r="EY47" s="420"/>
      <c r="EZ47" s="420"/>
      <c r="FA47" s="420"/>
      <c r="FB47" s="420"/>
      <c r="FC47" s="420"/>
      <c r="FD47" s="420"/>
      <c r="FE47" s="420"/>
      <c r="FF47" s="420"/>
      <c r="FG47" s="420"/>
      <c r="FH47" s="420"/>
      <c r="FI47" s="420"/>
      <c r="FJ47" s="421"/>
      <c r="FK47" s="421"/>
      <c r="FL47" s="418" t="str">
        <f>IF(COUNTA($EG$4:$FK$4)=0,"",IF('2.ชื่อนักเรียน'!R53="ย้าย","ย้าย",HO47))</f>
        <v/>
      </c>
      <c r="FM47" s="418">
        <v>43</v>
      </c>
      <c r="FN47" s="419"/>
      <c r="FO47" s="420"/>
      <c r="FP47" s="420"/>
      <c r="FQ47" s="420"/>
      <c r="FR47" s="420"/>
      <c r="FS47" s="420"/>
      <c r="FT47" s="420"/>
      <c r="FU47" s="420"/>
      <c r="FV47" s="420"/>
      <c r="FW47" s="420"/>
      <c r="FX47" s="420"/>
      <c r="FY47" s="420"/>
      <c r="FZ47" s="420"/>
      <c r="GA47" s="420"/>
      <c r="GB47" s="420"/>
      <c r="GC47" s="420"/>
      <c r="GD47" s="420"/>
      <c r="GE47" s="420"/>
      <c r="GF47" s="420"/>
      <c r="GG47" s="420"/>
      <c r="GH47" s="420"/>
      <c r="GI47" s="420"/>
      <c r="GJ47" s="420"/>
      <c r="GK47" s="420"/>
      <c r="GL47" s="420"/>
      <c r="GM47" s="420"/>
      <c r="GN47" s="420"/>
      <c r="GO47" s="420"/>
      <c r="GP47" s="420"/>
      <c r="GQ47" s="421"/>
      <c r="GR47" s="421"/>
      <c r="GS47" s="418" t="str">
        <f>IF(COUNTA($FN$4:$GR$4)=0,"",IF('2.ชื่อนักเรียน'!R53="ย้าย","ย้าย",HU47))</f>
        <v/>
      </c>
      <c r="GT47" s="418">
        <v>43</v>
      </c>
      <c r="GU47" s="422" t="str">
        <f>IF(OR(COUNTA($E$4:$AI$4)=0,$A47=""),"",IF('2.ชื่อนักเรียน'!R53="ย้าย","-",COUNTIF($E47:$AI47,"/")))</f>
        <v/>
      </c>
      <c r="GV47" s="425" t="str">
        <f>IF(OR(COUNTA($E$4:$AI$4)=0,$A47=""),"",IF('2.ชื่อนักเรียน'!R53="ย้าย","-",COUNTIF($E47:$AI47,"ส")))</f>
        <v/>
      </c>
      <c r="GW47" s="423" t="str">
        <f>IF(OR(COUNTA($E$4:$AI$4)=0,$A47=""),"",IF('2.ชื่อนักเรียน'!R53="ย้าย","-",COUNTIF($E47:$AI47,"ป")))</f>
        <v/>
      </c>
      <c r="GX47" s="423" t="str">
        <f>IF(OR(COUNTA($E$4:$AI$4)=0,$A47=""),"",IF('2.ชื่อนักเรียน'!R53="ย้าย","-",COUNTIF($E47:$AI47,"ล")))</f>
        <v/>
      </c>
      <c r="GY47" s="426" t="str">
        <f>IF(OR(COUNTA($E$4:$AI$4)=0,$A47=""),"",IF('2.ชื่อนักเรียน'!R53="ย้าย","-",COUNTIF($E47:$AI47,"ข")))</f>
        <v/>
      </c>
      <c r="GZ47" s="422" t="str">
        <f>IF(OR(COUNTA($AL$4:$BP$4)=0,$A47=""),"",IF('2.ชื่อนักเรียน'!R53="ย้าย","-",COUNTIF($AL47:$BP47,"/")))</f>
        <v/>
      </c>
      <c r="HA47" s="425" t="str">
        <f>IF(OR(COUNTA($AL$4:$BP$4)=0,$A47=""),"",IF('2.ชื่อนักเรียน'!R53="ย้าย","-",COUNTIF($AL47:$BP47,"ส")))</f>
        <v/>
      </c>
      <c r="HB47" s="423" t="str">
        <f>IF(OR(COUNTA($AL$4:$BP$4)=0,$A47=""),"",IF('2.ชื่อนักเรียน'!R53="ย้าย","-",COUNTIF($AL47:$BP47,"ป")))</f>
        <v/>
      </c>
      <c r="HC47" s="423" t="str">
        <f>IF(OR(COUNTA($AL$4:$BP$4)=0,$A47=""),"",IF('2.ชื่อนักเรียน'!R53="ย้าย","-",COUNTIF($AL47:$BP47,"ล")))</f>
        <v/>
      </c>
      <c r="HD47" s="426" t="str">
        <f>IF(OR(COUNTA($AL$4:$BP$4)=0,$A47=""),"",IF('2.ชื่อนักเรียน'!R53="ย้าย","-",COUNTIF($AL47:$BP47,"ข")))</f>
        <v/>
      </c>
      <c r="HE47" s="422" t="str">
        <f>IF(OR(COUNTA($BS$4:$CW$4)=0,$A47=""),"",IF('2.ชื่อนักเรียน'!R53="ย้าย","-",COUNTIF($BS47:$CW47,"/")))</f>
        <v/>
      </c>
      <c r="HF47" s="425" t="str">
        <f>IF(OR(COUNTA($BS$4:$CW$4)=0,$A47=""),"",IF('2.ชื่อนักเรียน'!R53="ย้าย","-",COUNTIF($BS47:$CW47,"ส")))</f>
        <v/>
      </c>
      <c r="HG47" s="423" t="str">
        <f>IF(OR(COUNTA($BS$4:$CW$4)=0,$A47=""),"",IF('2.ชื่อนักเรียน'!R53="ย้าย","-",COUNTIF($BS47:$CW47,"ป")))</f>
        <v/>
      </c>
      <c r="HH47" s="423" t="str">
        <f>IF(OR(COUNTA($BS$4:$CW$4)=0,$A47=""),"",IF('2.ชื่อนักเรียน'!R53="ย้าย","-",COUNTIF($BS47:$CW47,"ล")))</f>
        <v/>
      </c>
      <c r="HI47" s="426" t="str">
        <f>IF(OR(COUNTA($BS$4:$CW$4)=0,$A47=""),"",IF('2.ชื่อนักเรียน'!R53="ย้าย","-",COUNTIF($BS47:$CW47,"ข")))</f>
        <v/>
      </c>
      <c r="HJ47" s="422" t="str">
        <f>IF(OR(COUNTA($CZ$4:$ED$4)=0,$A47=""),"",IF('2.ชื่อนักเรียน'!R53="ย้าย","-",COUNTIF($CZ47:$ED47,"/")))</f>
        <v/>
      </c>
      <c r="HK47" s="425" t="str">
        <f>IF(OR(COUNTA($CZ$4:$ED$4)=0,$A47=""),"",IF('2.ชื่อนักเรียน'!R53="ย้าย","-",COUNTIF($CZ47:$ED47,"ส")))</f>
        <v/>
      </c>
      <c r="HL47" s="423" t="str">
        <f>IF(OR(COUNTA($CZ$4:$ED$4)=0,$A47=""),"",IF('2.ชื่อนักเรียน'!R53="ย้าย","-",COUNTIF($CZ47:$ED47,"ป")))</f>
        <v/>
      </c>
      <c r="HM47" s="423" t="str">
        <f>IF(OR(COUNTA($CZ$4:$ED$4)=0,A47=""),"",IF('2.ชื่อนักเรียน'!R53="ย้าย","-",COUNTIF($CZ47:$ED47,"ล")))</f>
        <v/>
      </c>
      <c r="HN47" s="426" t="str">
        <f>IF(OR(COUNTA($CZ$4:$ED$4)=0,A47=""),"",IF('2.ชื่อนักเรียน'!R53="ย้าย","-",COUNTIF($CZ47:$ED47,"ข")))</f>
        <v/>
      </c>
      <c r="HO47" s="422" t="str">
        <f>IF(OR(COUNTA($EG$4:$FK$4)=0,$A47=""),"",IF('2.ชื่อนักเรียน'!R53="ย้าย","-",COUNTIF($EG47:$FK47,"/")))</f>
        <v/>
      </c>
      <c r="HP47" s="425" t="str">
        <f>IF(OR(COUNTA($EG$4:$FK$4)=0,$A47=""),"",IF('2.ชื่อนักเรียน'!R53="ย้าย","-",COUNTIF($EG47:$FK47,"ส")))</f>
        <v/>
      </c>
      <c r="HQ47" s="423" t="str">
        <f>IF(OR(COUNTA($EG$4:$FK$4)=0,$A47=""),"",IF('2.ชื่อนักเรียน'!R53="ย้าย","-",COUNTIF($EG47:$FK47,"ป")))</f>
        <v/>
      </c>
      <c r="HR47" s="423" t="str">
        <f>IF(OR(COUNTA($EG$4:$FK$4)=0,A47=""),"",IF('2.ชื่อนักเรียน'!R53="ย้าย","-",COUNTIF($EG47:$FK47,"ล")))</f>
        <v/>
      </c>
      <c r="HS47" s="426" t="str">
        <f>IF(OR(COUNTA($EG$4:$FK$4)=0,A47=""),"",IF('2.ชื่อนักเรียน'!R53="ย้าย","-",COUNTIF($EG47:$FK47,"ข")))</f>
        <v/>
      </c>
      <c r="HT47" s="418">
        <v>43</v>
      </c>
      <c r="HU47" s="422" t="str">
        <f>IF(OR(COUNTA($FN$4:$GR$4)=0,$A47=""),"",IF('2.ชื่อนักเรียน'!R53="ย้าย","-",COUNTIF($FN47:$GR47,"/")))</f>
        <v/>
      </c>
      <c r="HV47" s="425" t="str">
        <f>IF(OR(COUNTA($FN$4:$GR$4)=0,$A47=""),"",IF('2.ชื่อนักเรียน'!R53="ย้าย","-",COUNTIF($FN47:$GR47,"ส")))</f>
        <v/>
      </c>
      <c r="HW47" s="423" t="str">
        <f>IF(OR(COUNTA($FN$4:$GR$4)=0,$A47=""),"",IF('2.ชื่อนักเรียน'!R53="ย้าย","-",COUNTIF($FN47:$GR47,"ป")))</f>
        <v/>
      </c>
      <c r="HX47" s="423" t="str">
        <f>IF(OR(COUNTA($FN$4:$GR$4)=0,A47=""),"",IF('2.ชื่อนักเรียน'!R53="ย้าย","-",COUNTIF($FN47:$GR47,"ล")))</f>
        <v/>
      </c>
      <c r="HY47" s="423" t="str">
        <f>IF(OR(COUNTA($FN$4:$GR$4)=0,A47=""),"",IF('2.ชื่อนักเรียน'!R53="ย้าย","-",COUNTIF($FN47:$GR47,"ข")))</f>
        <v/>
      </c>
      <c r="HZ47" s="422" t="str">
        <f>IF(OR(COUNTA($GU$3:$HS$3,$HU$3)=0,$A47=""),"",IF('2.ชื่อนักเรียน'!R53="ย้าย","-",SUM(GU47,GZ47,HE47,HJ47,HO47,HU47)))</f>
        <v/>
      </c>
      <c r="IA47" s="425" t="str">
        <f>IF(OR(COUNTA($GU$3:$HS$3,$HU$3)=0,$A47=""),"",IF('2.ชื่อนักเรียน'!R53="ย้าย","-",SUM(GV47,HA47,HF47,HK47,HP47,HV47)))</f>
        <v/>
      </c>
      <c r="IB47" s="423" t="str">
        <f>IF(OR(COUNTA($GU$3:$HS$3,$HU$3)=0,$A47=""),"",IF('2.ชื่อนักเรียน'!R53="ย้าย","-",SUM(GW47,HB47,HG47,HL47,HQ47,HW47)))</f>
        <v/>
      </c>
      <c r="IC47" s="423" t="str">
        <f>IF(OR(COUNTA($GU$3:$HS$3,$HU$3)=0,$A47=""),"",IF('2.ชื่อนักเรียน'!R53="ย้าย","-",SUM(GX47,HC47,HH47,HM47,HR47,HX47)))</f>
        <v/>
      </c>
      <c r="ID47" s="424" t="str">
        <f>IF(OR(COUNTA($GU$3:$HS$3,$HU$3)=0,$A47=""),"",IF('2.ชื่อนักเรียน'!R53="ย้าย","-",SUM(GY47,HD47,HI47,HN47,HS47,HY47)))</f>
        <v/>
      </c>
      <c r="IE47" s="418" t="str">
        <f t="shared" si="0"/>
        <v/>
      </c>
      <c r="IF47" s="438" t="str">
        <f>IF(IE47="","",IF('2.ชื่อนักเรียน'!R53="ย้าย","ย้าย",(IE47*100)/COUNTA($E$4:$AI$4,$AL$4:$BP$4,$BS$4:$CW$4,$CZ$4:$ED$4,$EG$4:$FK$4,$FN$4:$GR$4)))</f>
        <v/>
      </c>
      <c r="IG47" s="449"/>
      <c r="IH47" s="605"/>
      <c r="II47" s="605"/>
      <c r="IJ47" s="605"/>
      <c r="IK47" s="605"/>
      <c r="IL47" s="605"/>
      <c r="IM47" s="605"/>
      <c r="IN47" s="605"/>
      <c r="IO47" s="605"/>
      <c r="IP47" s="605"/>
      <c r="IQ47" s="605"/>
      <c r="IR47" s="450"/>
    </row>
    <row r="48" spans="1:252" ht="21" customHeight="1" x14ac:dyDescent="0.4">
      <c r="A48" s="416" t="str">
        <f>IF(Name44="","",Name44)</f>
        <v/>
      </c>
      <c r="B48" s="417" t="str">
        <f>IF(Surname44="","",Surname44)</f>
        <v/>
      </c>
      <c r="C48" s="417"/>
      <c r="D48" s="418">
        <v>44</v>
      </c>
      <c r="E48" s="419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1"/>
      <c r="AI48" s="421"/>
      <c r="AJ48" s="418" t="str">
        <f>IF(COUNTA($E$4:AI$4)=0,"",IF('2.ชื่อนักเรียน'!R54="ย้าย","ย้าย",GU48))</f>
        <v/>
      </c>
      <c r="AK48" s="418">
        <v>44</v>
      </c>
      <c r="AL48" s="419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  <c r="BN48" s="420"/>
      <c r="BO48" s="421"/>
      <c r="BP48" s="421"/>
      <c r="BQ48" s="418" t="str">
        <f>IF(COUNTA($AL$4:$BP$4)=0,"",IF('2.ชื่อนักเรียน'!R54="ย้าย","ย้าย",GZ48))</f>
        <v/>
      </c>
      <c r="BR48" s="418">
        <v>44</v>
      </c>
      <c r="BS48" s="419"/>
      <c r="BT48" s="420"/>
      <c r="BU48" s="420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420"/>
      <c r="CG48" s="420"/>
      <c r="CH48" s="420"/>
      <c r="CI48" s="420"/>
      <c r="CJ48" s="420"/>
      <c r="CK48" s="420"/>
      <c r="CL48" s="420"/>
      <c r="CM48" s="420"/>
      <c r="CN48" s="420"/>
      <c r="CO48" s="420"/>
      <c r="CP48" s="420"/>
      <c r="CQ48" s="420"/>
      <c r="CR48" s="420"/>
      <c r="CS48" s="420"/>
      <c r="CT48" s="420"/>
      <c r="CU48" s="420"/>
      <c r="CV48" s="421"/>
      <c r="CW48" s="421"/>
      <c r="CX48" s="418" t="str">
        <f>IF(COUNTA($BS$4:$CW$4)=0,"",IF('2.ชื่อนักเรียน'!R54="ย้าย","ย้าย",HE48))</f>
        <v/>
      </c>
      <c r="CY48" s="418">
        <v>44</v>
      </c>
      <c r="CZ48" s="419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1"/>
      <c r="ED48" s="421"/>
      <c r="EE48" s="418" t="str">
        <f>IF(COUNTA($CZ$4:$ED$4)=0,"",IF('2.ชื่อนักเรียน'!R54="ย้าย","ย้าย",HJ48))</f>
        <v/>
      </c>
      <c r="EF48" s="418">
        <v>44</v>
      </c>
      <c r="EG48" s="419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  <c r="ER48" s="420"/>
      <c r="ES48" s="420"/>
      <c r="ET48" s="420"/>
      <c r="EU48" s="420"/>
      <c r="EV48" s="420"/>
      <c r="EW48" s="420"/>
      <c r="EX48" s="420"/>
      <c r="EY48" s="420"/>
      <c r="EZ48" s="420"/>
      <c r="FA48" s="420"/>
      <c r="FB48" s="420"/>
      <c r="FC48" s="420"/>
      <c r="FD48" s="420"/>
      <c r="FE48" s="420"/>
      <c r="FF48" s="420"/>
      <c r="FG48" s="420"/>
      <c r="FH48" s="420"/>
      <c r="FI48" s="420"/>
      <c r="FJ48" s="421"/>
      <c r="FK48" s="421"/>
      <c r="FL48" s="418" t="str">
        <f>IF(COUNTA($EG$4:$FK$4)=0,"",IF('2.ชื่อนักเรียน'!R54="ย้าย","ย้าย",HO48))</f>
        <v/>
      </c>
      <c r="FM48" s="418">
        <v>44</v>
      </c>
      <c r="FN48" s="419"/>
      <c r="FO48" s="420"/>
      <c r="FP48" s="420"/>
      <c r="FQ48" s="420"/>
      <c r="FR48" s="420"/>
      <c r="FS48" s="420"/>
      <c r="FT48" s="420"/>
      <c r="FU48" s="420"/>
      <c r="FV48" s="420"/>
      <c r="FW48" s="420"/>
      <c r="FX48" s="420"/>
      <c r="FY48" s="420"/>
      <c r="FZ48" s="420"/>
      <c r="GA48" s="420"/>
      <c r="GB48" s="420"/>
      <c r="GC48" s="420"/>
      <c r="GD48" s="420"/>
      <c r="GE48" s="420"/>
      <c r="GF48" s="420"/>
      <c r="GG48" s="420"/>
      <c r="GH48" s="420"/>
      <c r="GI48" s="420"/>
      <c r="GJ48" s="420"/>
      <c r="GK48" s="420"/>
      <c r="GL48" s="420"/>
      <c r="GM48" s="420"/>
      <c r="GN48" s="420"/>
      <c r="GO48" s="420"/>
      <c r="GP48" s="420"/>
      <c r="GQ48" s="421"/>
      <c r="GR48" s="421"/>
      <c r="GS48" s="418" t="str">
        <f>IF(COUNTA($FN$4:$GR$4)=0,"",IF('2.ชื่อนักเรียน'!R54="ย้าย","ย้าย",HU48))</f>
        <v/>
      </c>
      <c r="GT48" s="418">
        <v>44</v>
      </c>
      <c r="GU48" s="422" t="str">
        <f>IF(OR(COUNTA($E$4:$AI$4)=0,$A48=""),"",IF('2.ชื่อนักเรียน'!R54="ย้าย","-",COUNTIF($E48:$AI48,"/")))</f>
        <v/>
      </c>
      <c r="GV48" s="425" t="str">
        <f>IF(OR(COUNTA($E$4:$AI$4)=0,$A48=""),"",IF('2.ชื่อนักเรียน'!R54="ย้าย","-",COUNTIF($E48:$AI48,"ส")))</f>
        <v/>
      </c>
      <c r="GW48" s="423" t="str">
        <f>IF(OR(COUNTA($E$4:$AI$4)=0,$A48=""),"",IF('2.ชื่อนักเรียน'!R54="ย้าย","-",COUNTIF($E48:$AI48,"ป")))</f>
        <v/>
      </c>
      <c r="GX48" s="423" t="str">
        <f>IF(OR(COUNTA($E$4:$AI$4)=0,$A48=""),"",IF('2.ชื่อนักเรียน'!R54="ย้าย","-",COUNTIF($E48:$AI48,"ล")))</f>
        <v/>
      </c>
      <c r="GY48" s="426" t="str">
        <f>IF(OR(COUNTA($E$4:$AI$4)=0,$A48=""),"",IF('2.ชื่อนักเรียน'!R54="ย้าย","-",COUNTIF($E48:$AI48,"ข")))</f>
        <v/>
      </c>
      <c r="GZ48" s="422" t="str">
        <f>IF(OR(COUNTA($AL$4:$BP$4)=0,$A48=""),"",IF('2.ชื่อนักเรียน'!R54="ย้าย","-",COUNTIF($AL48:$BP48,"/")))</f>
        <v/>
      </c>
      <c r="HA48" s="425" t="str">
        <f>IF(OR(COUNTA($AL$4:$BP$4)=0,$A48=""),"",IF('2.ชื่อนักเรียน'!R54="ย้าย","-",COUNTIF($AL48:$BP48,"ส")))</f>
        <v/>
      </c>
      <c r="HB48" s="423" t="str">
        <f>IF(OR(COUNTA($AL$4:$BP$4)=0,$A48=""),"",IF('2.ชื่อนักเรียน'!R54="ย้าย","-",COUNTIF($AL48:$BP48,"ป")))</f>
        <v/>
      </c>
      <c r="HC48" s="423" t="str">
        <f>IF(OR(COUNTA($AL$4:$BP$4)=0,$A48=""),"",IF('2.ชื่อนักเรียน'!R54="ย้าย","-",COUNTIF($AL48:$BP48,"ล")))</f>
        <v/>
      </c>
      <c r="HD48" s="426" t="str">
        <f>IF(OR(COUNTA($AL$4:$BP$4)=0,$A48=""),"",IF('2.ชื่อนักเรียน'!R54="ย้าย","-",COUNTIF($AL48:$BP48,"ข")))</f>
        <v/>
      </c>
      <c r="HE48" s="422" t="str">
        <f>IF(OR(COUNTA($BS$4:$CW$4)=0,$A48=""),"",IF('2.ชื่อนักเรียน'!R54="ย้าย","-",COUNTIF($BS48:$CW48,"/")))</f>
        <v/>
      </c>
      <c r="HF48" s="425" t="str">
        <f>IF(OR(COUNTA($BS$4:$CW$4)=0,$A48=""),"",IF('2.ชื่อนักเรียน'!R54="ย้าย","-",COUNTIF($BS48:$CW48,"ส")))</f>
        <v/>
      </c>
      <c r="HG48" s="423" t="str">
        <f>IF(OR(COUNTA($BS$4:$CW$4)=0,$A48=""),"",IF('2.ชื่อนักเรียน'!R54="ย้าย","-",COUNTIF($BS48:$CW48,"ป")))</f>
        <v/>
      </c>
      <c r="HH48" s="423" t="str">
        <f>IF(OR(COUNTA($BS$4:$CW$4)=0,$A48=""),"",IF('2.ชื่อนักเรียน'!R54="ย้าย","-",COUNTIF($BS48:$CW48,"ล")))</f>
        <v/>
      </c>
      <c r="HI48" s="426" t="str">
        <f>IF(OR(COUNTA($BS$4:$CW$4)=0,$A48=""),"",IF('2.ชื่อนักเรียน'!R54="ย้าย","-",COUNTIF($BS48:$CW48,"ข")))</f>
        <v/>
      </c>
      <c r="HJ48" s="422" t="str">
        <f>IF(OR(COUNTA($CZ$4:$ED$4)=0,$A48=""),"",IF('2.ชื่อนักเรียน'!R54="ย้าย","-",COUNTIF($CZ48:$ED48,"/")))</f>
        <v/>
      </c>
      <c r="HK48" s="425" t="str">
        <f>IF(OR(COUNTA($CZ$4:$ED$4)=0,$A48=""),"",IF('2.ชื่อนักเรียน'!R54="ย้าย","-",COUNTIF($CZ48:$ED48,"ส")))</f>
        <v/>
      </c>
      <c r="HL48" s="423" t="str">
        <f>IF(OR(COUNTA($CZ$4:$ED$4)=0,$A48=""),"",IF('2.ชื่อนักเรียน'!R54="ย้าย","-",COUNTIF($CZ48:$ED48,"ป")))</f>
        <v/>
      </c>
      <c r="HM48" s="423" t="str">
        <f>IF(OR(COUNTA($CZ$4:$ED$4)=0,A48=""),"",IF('2.ชื่อนักเรียน'!R54="ย้าย","-",COUNTIF($CZ48:$ED48,"ล")))</f>
        <v/>
      </c>
      <c r="HN48" s="426" t="str">
        <f>IF(OR(COUNTA($CZ$4:$ED$4)=0,A48=""),"",IF('2.ชื่อนักเรียน'!R54="ย้าย","-",COUNTIF($CZ48:$ED48,"ข")))</f>
        <v/>
      </c>
      <c r="HO48" s="422" t="str">
        <f>IF(OR(COUNTA($EG$4:$FK$4)=0,$A48=""),"",IF('2.ชื่อนักเรียน'!R54="ย้าย","-",COUNTIF($EG48:$FK48,"/")))</f>
        <v/>
      </c>
      <c r="HP48" s="425" t="str">
        <f>IF(OR(COUNTA($EG$4:$FK$4)=0,$A48=""),"",IF('2.ชื่อนักเรียน'!R54="ย้าย","-",COUNTIF($EG48:$FK48,"ส")))</f>
        <v/>
      </c>
      <c r="HQ48" s="423" t="str">
        <f>IF(OR(COUNTA($EG$4:$FK$4)=0,$A48=""),"",IF('2.ชื่อนักเรียน'!R54="ย้าย","-",COUNTIF($EG48:$FK48,"ป")))</f>
        <v/>
      </c>
      <c r="HR48" s="423" t="str">
        <f>IF(OR(COUNTA($EG$4:$FK$4)=0,A48=""),"",IF('2.ชื่อนักเรียน'!R54="ย้าย","-",COUNTIF($EG48:$FK48,"ล")))</f>
        <v/>
      </c>
      <c r="HS48" s="426" t="str">
        <f>IF(OR(COUNTA($EG$4:$FK$4)=0,A48=""),"",IF('2.ชื่อนักเรียน'!R54="ย้าย","-",COUNTIF($EG48:$FK48,"ข")))</f>
        <v/>
      </c>
      <c r="HT48" s="418">
        <v>44</v>
      </c>
      <c r="HU48" s="422" t="str">
        <f>IF(OR(COUNTA($FN$4:$GR$4)=0,$A48=""),"",IF('2.ชื่อนักเรียน'!R54="ย้าย","-",COUNTIF($FN48:$GR48,"/")))</f>
        <v/>
      </c>
      <c r="HV48" s="425" t="str">
        <f>IF(OR(COUNTA($FN$4:$GR$4)=0,$A48=""),"",IF('2.ชื่อนักเรียน'!R54="ย้าย","-",COUNTIF($FN48:$GR48,"ส")))</f>
        <v/>
      </c>
      <c r="HW48" s="423" t="str">
        <f>IF(OR(COUNTA($FN$4:$GR$4)=0,$A48=""),"",IF('2.ชื่อนักเรียน'!R54="ย้าย","-",COUNTIF($FN48:$GR48,"ป")))</f>
        <v/>
      </c>
      <c r="HX48" s="423" t="str">
        <f>IF(OR(COUNTA($FN$4:$GR$4)=0,A48=""),"",IF('2.ชื่อนักเรียน'!R54="ย้าย","-",COUNTIF($FN48:$GR48,"ล")))</f>
        <v/>
      </c>
      <c r="HY48" s="423" t="str">
        <f>IF(OR(COUNTA($FN$4:$GR$4)=0,A48=""),"",IF('2.ชื่อนักเรียน'!R54="ย้าย","-",COUNTIF($FN48:$GR48,"ข")))</f>
        <v/>
      </c>
      <c r="HZ48" s="422" t="str">
        <f>IF(OR(COUNTA($GU$3:$HS$3,$HU$3)=0,$A48=""),"",IF('2.ชื่อนักเรียน'!R54="ย้าย","-",SUM(GU48,GZ48,HE48,HJ48,HO48,HU48)))</f>
        <v/>
      </c>
      <c r="IA48" s="425" t="str">
        <f>IF(OR(COUNTA($GU$3:$HS$3,$HU$3)=0,$A48=""),"",IF('2.ชื่อนักเรียน'!R54="ย้าย","-",SUM(GV48,HA48,HF48,HK48,HP48,HV48)))</f>
        <v/>
      </c>
      <c r="IB48" s="423" t="str">
        <f>IF(OR(COUNTA($GU$3:$HS$3,$HU$3)=0,$A48=""),"",IF('2.ชื่อนักเรียน'!R54="ย้าย","-",SUM(GW48,HB48,HG48,HL48,HQ48,HW48)))</f>
        <v/>
      </c>
      <c r="IC48" s="423" t="str">
        <f>IF(OR(COUNTA($GU$3:$HS$3,$HU$3)=0,$A48=""),"",IF('2.ชื่อนักเรียน'!R54="ย้าย","-",SUM(GX48,HC48,HH48,HM48,HR48,HX48)))</f>
        <v/>
      </c>
      <c r="ID48" s="424" t="str">
        <f>IF(OR(COUNTA($GU$3:$HS$3,$HU$3)=0,$A48=""),"",IF('2.ชื่อนักเรียน'!R54="ย้าย","-",SUM(GY48,HD48,HI48,HN48,HS48,HY48)))</f>
        <v/>
      </c>
      <c r="IE48" s="418" t="str">
        <f t="shared" si="0"/>
        <v/>
      </c>
      <c r="IF48" s="438" t="str">
        <f>IF(IE48="","",IF('2.ชื่อนักเรียน'!R54="ย้าย","ย้าย",(IE48*100)/COUNTA($E$4:$AI$4,$AL$4:$BP$4,$BS$4:$CW$4,$CZ$4:$ED$4,$EG$4:$FK$4,$FN$4:$GR$4)))</f>
        <v/>
      </c>
      <c r="IG48" s="449"/>
      <c r="IH48" s="605"/>
      <c r="II48" s="605"/>
      <c r="IJ48" s="605"/>
      <c r="IK48" s="605"/>
      <c r="IL48" s="605"/>
      <c r="IM48" s="605"/>
      <c r="IN48" s="605"/>
      <c r="IO48" s="605"/>
      <c r="IP48" s="605"/>
      <c r="IQ48" s="605"/>
      <c r="IR48" s="450"/>
    </row>
    <row r="49" spans="1:252" ht="21" customHeight="1" x14ac:dyDescent="0.4">
      <c r="A49" s="416" t="str">
        <f>IF(Name45="","",Name45)</f>
        <v/>
      </c>
      <c r="B49" s="417" t="str">
        <f>IF(Surname45="","",Surname45)</f>
        <v/>
      </c>
      <c r="C49" s="440"/>
      <c r="D49" s="427">
        <v>45</v>
      </c>
      <c r="E49" s="432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4"/>
      <c r="AI49" s="434"/>
      <c r="AJ49" s="427" t="str">
        <f>IF(COUNTA($E$4:AI$4)=0,"",IF('2.ชื่อนักเรียน'!R55="ย้าย","ย้าย",GU49))</f>
        <v/>
      </c>
      <c r="AK49" s="427">
        <v>45</v>
      </c>
      <c r="AL49" s="432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4"/>
      <c r="BP49" s="434"/>
      <c r="BQ49" s="427" t="str">
        <f>IF(COUNTA($AL$4:$BP$4)=0,"",IF('2.ชื่อนักเรียน'!R55="ย้าย","ย้าย",GZ49))</f>
        <v/>
      </c>
      <c r="BR49" s="427">
        <v>45</v>
      </c>
      <c r="BS49" s="432"/>
      <c r="BT49" s="433"/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4"/>
      <c r="CW49" s="434"/>
      <c r="CX49" s="427" t="str">
        <f>IF(COUNTA($BS$4:$CW$4)=0,"",IF('2.ชื่อนักเรียน'!R55="ย้าย","ย้าย",HE49))</f>
        <v/>
      </c>
      <c r="CY49" s="427">
        <v>45</v>
      </c>
      <c r="CZ49" s="432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4"/>
      <c r="ED49" s="434"/>
      <c r="EE49" s="427" t="str">
        <f>IF(COUNTA($CZ$4:$ED$4)=0,"",IF('2.ชื่อนักเรียน'!R55="ย้าย","ย้าย",HJ49))</f>
        <v/>
      </c>
      <c r="EF49" s="427">
        <v>45</v>
      </c>
      <c r="EG49" s="432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3"/>
      <c r="FG49" s="433"/>
      <c r="FH49" s="433"/>
      <c r="FI49" s="433"/>
      <c r="FJ49" s="434"/>
      <c r="FK49" s="434"/>
      <c r="FL49" s="427" t="str">
        <f>IF(COUNTA($EG$4:$FK$4)=0,"",IF('2.ชื่อนักเรียน'!R55="ย้าย","ย้าย",HO49))</f>
        <v/>
      </c>
      <c r="FM49" s="427">
        <v>45</v>
      </c>
      <c r="FN49" s="432"/>
      <c r="FO49" s="433"/>
      <c r="FP49" s="433"/>
      <c r="FQ49" s="433"/>
      <c r="FR49" s="433"/>
      <c r="FS49" s="433"/>
      <c r="FT49" s="433"/>
      <c r="FU49" s="433"/>
      <c r="FV49" s="433"/>
      <c r="FW49" s="433"/>
      <c r="FX49" s="433"/>
      <c r="FY49" s="433"/>
      <c r="FZ49" s="433"/>
      <c r="GA49" s="433"/>
      <c r="GB49" s="433"/>
      <c r="GC49" s="433"/>
      <c r="GD49" s="433"/>
      <c r="GE49" s="433"/>
      <c r="GF49" s="433"/>
      <c r="GG49" s="433"/>
      <c r="GH49" s="433"/>
      <c r="GI49" s="433"/>
      <c r="GJ49" s="433"/>
      <c r="GK49" s="433"/>
      <c r="GL49" s="433"/>
      <c r="GM49" s="433"/>
      <c r="GN49" s="433"/>
      <c r="GO49" s="433"/>
      <c r="GP49" s="433"/>
      <c r="GQ49" s="434"/>
      <c r="GR49" s="434"/>
      <c r="GS49" s="427" t="str">
        <f>IF(COUNTA($FN$4:$GR$4)=0,"",IF('2.ชื่อนักเรียน'!R55="ย้าย","ย้าย",HU49))</f>
        <v/>
      </c>
      <c r="GT49" s="427">
        <v>45</v>
      </c>
      <c r="GU49" s="428" t="str">
        <f>IF(OR(COUNTA($E$4:$AI$4)=0,$A49=""),"",IF('2.ชื่อนักเรียน'!R55="ย้าย","-",COUNTIF($E49:$AI49,"/")))</f>
        <v/>
      </c>
      <c r="GV49" s="429" t="str">
        <f>IF(OR(COUNTA($E$4:$AI$4)=0,$A49=""),"",IF('2.ชื่อนักเรียน'!R55="ย้าย","-",COUNTIF($E49:$AI49,"ส")))</f>
        <v/>
      </c>
      <c r="GW49" s="430" t="str">
        <f>IF(OR(COUNTA($E$4:$AI$4)=0,$A49=""),"",IF('2.ชื่อนักเรียน'!R55="ย้าย","-",COUNTIF($E49:$AI49,"ป")))</f>
        <v/>
      </c>
      <c r="GX49" s="430" t="str">
        <f>IF(OR(COUNTA($E$4:$AI$4)=0,$A49=""),"",IF('2.ชื่อนักเรียน'!R55="ย้าย","-",COUNTIF($E49:$AI49,"ล")))</f>
        <v/>
      </c>
      <c r="GY49" s="431" t="str">
        <f>IF(OR(COUNTA($E$4:$AI$4)=0,$A49=""),"",IF('2.ชื่อนักเรียน'!R55="ย้าย","-",COUNTIF($E49:$AI49,"ข")))</f>
        <v/>
      </c>
      <c r="GZ49" s="428" t="str">
        <f>IF(OR(COUNTA($AL$4:$BP$4)=0,$A49=""),"",IF('2.ชื่อนักเรียน'!R55="ย้าย","-",COUNTIF($AL49:$BP49,"/")))</f>
        <v/>
      </c>
      <c r="HA49" s="429" t="str">
        <f>IF(OR(COUNTA($AL$4:$BP$4)=0,$A49=""),"",IF('2.ชื่อนักเรียน'!R55="ย้าย","-",COUNTIF($AL49:$BP49,"ส")))</f>
        <v/>
      </c>
      <c r="HB49" s="430" t="str">
        <f>IF(OR(COUNTA($AL$4:$BP$4)=0,$A49=""),"",IF('2.ชื่อนักเรียน'!R55="ย้าย","-",COUNTIF($AL49:$BP49,"ป")))</f>
        <v/>
      </c>
      <c r="HC49" s="430" t="str">
        <f>IF(OR(COUNTA($AL$4:$BP$4)=0,$A49=""),"",IF('2.ชื่อนักเรียน'!R55="ย้าย","-",COUNTIF($AL49:$BP49,"ล")))</f>
        <v/>
      </c>
      <c r="HD49" s="431" t="str">
        <f>IF(OR(COUNTA($AL$4:$BP$4)=0,$A49=""),"",IF('2.ชื่อนักเรียน'!R55="ย้าย","-",COUNTIF($AL49:$BP49,"ข")))</f>
        <v/>
      </c>
      <c r="HE49" s="428" t="str">
        <f>IF(OR(COUNTA($BS$4:$CW$4)=0,$A49=""),"",IF('2.ชื่อนักเรียน'!R55="ย้าย","-",COUNTIF($BS49:$CW49,"/")))</f>
        <v/>
      </c>
      <c r="HF49" s="429" t="str">
        <f>IF(OR(COUNTA($BS$4:$CW$4)=0,$A49=""),"",IF('2.ชื่อนักเรียน'!R55="ย้าย","-",COUNTIF($BS49:$CW49,"ส")))</f>
        <v/>
      </c>
      <c r="HG49" s="430" t="str">
        <f>IF(OR(COUNTA($BS$4:$CW$4)=0,$A49=""),"",IF('2.ชื่อนักเรียน'!R55="ย้าย","-",COUNTIF($BS49:$CW49,"ป")))</f>
        <v/>
      </c>
      <c r="HH49" s="430" t="str">
        <f>IF(OR(COUNTA($BS$4:$CW$4)=0,$A49=""),"",IF('2.ชื่อนักเรียน'!R55="ย้าย","-",COUNTIF($BS49:$CW49,"ล")))</f>
        <v/>
      </c>
      <c r="HI49" s="431" t="str">
        <f>IF(OR(COUNTA($BS$4:$CW$4)=0,$A49=""),"",IF('2.ชื่อนักเรียน'!R55="ย้าย","-",COUNTIF($BS49:$CW49,"ข")))</f>
        <v/>
      </c>
      <c r="HJ49" s="428" t="str">
        <f>IF(OR(COUNTA($CZ$4:$ED$4)=0,$A49=""),"",IF('2.ชื่อนักเรียน'!R55="ย้าย","-",COUNTIF($CZ49:$ED49,"/")))</f>
        <v/>
      </c>
      <c r="HK49" s="429" t="str">
        <f>IF(OR(COUNTA($CZ$4:$ED$4)=0,$A49=""),"",IF('2.ชื่อนักเรียน'!R55="ย้าย","-",COUNTIF($CZ49:$ED49,"ส")))</f>
        <v/>
      </c>
      <c r="HL49" s="430" t="str">
        <f>IF(OR(COUNTA($CZ$4:$ED$4)=0,$A49=""),"",IF('2.ชื่อนักเรียน'!R55="ย้าย","-",COUNTIF($CZ49:$ED49,"ป")))</f>
        <v/>
      </c>
      <c r="HM49" s="430" t="str">
        <f>IF(OR(COUNTA($CZ$4:$ED$4)=0,A49=""),"",IF('2.ชื่อนักเรียน'!R55="ย้าย","-",COUNTIF($CZ49:$ED49,"ล")))</f>
        <v/>
      </c>
      <c r="HN49" s="431" t="str">
        <f>IF(OR(COUNTA($CZ$4:$ED$4)=0,A49=""),"",IF('2.ชื่อนักเรียน'!R55="ย้าย","-",COUNTIF($CZ49:$ED49,"ข")))</f>
        <v/>
      </c>
      <c r="HO49" s="428" t="str">
        <f>IF(OR(COUNTA($EG$4:$FK$4)=0,$A49=""),"",IF('2.ชื่อนักเรียน'!R55="ย้าย","-",COUNTIF($EG49:$FK49,"/")))</f>
        <v/>
      </c>
      <c r="HP49" s="429" t="str">
        <f>IF(OR(COUNTA($EG$4:$FK$4)=0,$A49=""),"",IF('2.ชื่อนักเรียน'!R55="ย้าย","-",COUNTIF($EG49:$FK49,"ส")))</f>
        <v/>
      </c>
      <c r="HQ49" s="430" t="str">
        <f>IF(OR(COUNTA($EG$4:$FK$4)=0,$A49=""),"",IF('2.ชื่อนักเรียน'!R55="ย้าย","-",COUNTIF($EG49:$FK49,"ป")))</f>
        <v/>
      </c>
      <c r="HR49" s="430" t="str">
        <f>IF(OR(COUNTA($EG$4:$FK$4)=0,A49=""),"",IF('2.ชื่อนักเรียน'!R55="ย้าย","-",COUNTIF($EG49:$FK49,"ล")))</f>
        <v/>
      </c>
      <c r="HS49" s="431" t="str">
        <f>IF(OR(COUNTA($EG$4:$FK$4)=0,A49=""),"",IF('2.ชื่อนักเรียน'!R55="ย้าย","-",COUNTIF($EG49:$FK49,"ข")))</f>
        <v/>
      </c>
      <c r="HT49" s="427">
        <v>45</v>
      </c>
      <c r="HU49" s="428" t="str">
        <f>IF(OR(COUNTA($FN$4:$GR$4)=0,$A49=""),"",IF('2.ชื่อนักเรียน'!R55="ย้าย","-",COUNTIF($FN49:$GR49,"/")))</f>
        <v/>
      </c>
      <c r="HV49" s="429" t="str">
        <f>IF(OR(COUNTA($FN$4:$GR$4)=0,$A49=""),"",IF('2.ชื่อนักเรียน'!R55="ย้าย","-",COUNTIF($FN49:$GR49,"ส")))</f>
        <v/>
      </c>
      <c r="HW49" s="430" t="str">
        <f>IF(OR(COUNTA($FN$4:$GR$4)=0,$A49=""),"",IF('2.ชื่อนักเรียน'!R55="ย้าย","-",COUNTIF($FN49:$GR49,"ป")))</f>
        <v/>
      </c>
      <c r="HX49" s="430" t="str">
        <f>IF(OR(COUNTA($FN$4:$GR$4)=0,A49=""),"",IF('2.ชื่อนักเรียน'!R55="ย้าย","-",COUNTIF($FN49:$GR49,"ล")))</f>
        <v/>
      </c>
      <c r="HY49" s="430" t="str">
        <f>IF(OR(COUNTA($FN$4:$GR$4)=0,A49=""),"",IF('2.ชื่อนักเรียน'!R55="ย้าย","-",COUNTIF($FN49:$GR49,"ข")))</f>
        <v/>
      </c>
      <c r="HZ49" s="428" t="str">
        <f>IF(OR(COUNTA($GU$3:$HS$3,$HU$3)=0,$A49=""),"",IF('2.ชื่อนักเรียน'!R55="ย้าย","-",SUM(GU49,GZ49,HE49,HJ49,HO49,HU49)))</f>
        <v/>
      </c>
      <c r="IA49" s="429" t="str">
        <f>IF(OR(COUNTA($GU$3:$HS$3,$HU$3)=0,$A49=""),"",IF('2.ชื่อนักเรียน'!R55="ย้าย","-",SUM(GV49,HA49,HF49,HK49,HP49,HV49)))</f>
        <v/>
      </c>
      <c r="IB49" s="430" t="str">
        <f>IF(OR(COUNTA($GU$3:$HS$3,$HU$3)=0,$A49=""),"",IF('2.ชื่อนักเรียน'!R55="ย้าย","-",SUM(GW49,HB49,HG49,HL49,HQ49,HW49)))</f>
        <v/>
      </c>
      <c r="IC49" s="430" t="str">
        <f>IF(OR(COUNTA($GU$3:$HS$3,$HU$3)=0,$A49=""),"",IF('2.ชื่อนักเรียน'!R55="ย้าย","-",SUM(GX49,HC49,HH49,HM49,HR49,HX49)))</f>
        <v/>
      </c>
      <c r="ID49" s="436" t="str">
        <f>IF(OR(COUNTA($GU$3:$HS$3,$HU$3)=0,$A49=""),"",IF('2.ชื่อนักเรียน'!R55="ย้าย","-",SUM(GY49,HD49,HI49,HN49,HS49,HY49)))</f>
        <v/>
      </c>
      <c r="IE49" s="427" t="str">
        <f t="shared" si="0"/>
        <v/>
      </c>
      <c r="IF49" s="439" t="str">
        <f>IF(IE49="","",IF('2.ชื่อนักเรียน'!R55="ย้าย","ย้าย",(IE49*100)/COUNTA($E$4:$AI$4,$AL$4:$BP$4,$BS$4:$CW$4,$CZ$4:$ED$4,$EG$4:$FK$4,$FN$4:$GR$4)))</f>
        <v/>
      </c>
      <c r="IG49" s="451"/>
      <c r="IH49" s="452"/>
      <c r="II49" s="452"/>
      <c r="IJ49" s="452"/>
      <c r="IK49" s="452"/>
      <c r="IL49" s="452"/>
      <c r="IM49" s="452"/>
      <c r="IN49" s="452"/>
      <c r="IO49" s="452"/>
      <c r="IP49" s="452"/>
      <c r="IQ49" s="452"/>
      <c r="IR49" s="453"/>
    </row>
    <row r="50" spans="1:252" x14ac:dyDescent="0.4">
      <c r="E50" s="624" t="s">
        <v>651</v>
      </c>
      <c r="F50" s="624"/>
      <c r="G50" s="624"/>
      <c r="H50" s="624"/>
      <c r="I50" s="624"/>
      <c r="J50" s="624"/>
      <c r="K50" s="624"/>
      <c r="L50" s="624"/>
      <c r="M50" s="624"/>
      <c r="N50" s="624"/>
      <c r="O50" s="624"/>
      <c r="P50" s="624"/>
      <c r="Q50" s="624"/>
      <c r="R50" s="624"/>
      <c r="S50" s="624"/>
      <c r="T50" s="624"/>
      <c r="U50" s="624"/>
      <c r="V50" s="624"/>
      <c r="W50" s="624"/>
      <c r="X50" s="623" t="s">
        <v>652</v>
      </c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L50" s="624" t="s">
        <v>651</v>
      </c>
      <c r="AM50" s="624"/>
      <c r="AN50" s="624"/>
      <c r="AO50" s="624"/>
      <c r="AP50" s="624"/>
      <c r="AQ50" s="624"/>
      <c r="AR50" s="624"/>
      <c r="AS50" s="624"/>
      <c r="AT50" s="624"/>
      <c r="AU50" s="624"/>
      <c r="AV50" s="624"/>
      <c r="AW50" s="624"/>
      <c r="AX50" s="624"/>
      <c r="AY50" s="624"/>
      <c r="AZ50" s="624"/>
      <c r="BA50" s="624"/>
      <c r="BB50" s="624"/>
      <c r="BC50" s="624"/>
      <c r="BD50" s="624"/>
      <c r="BE50" s="623" t="s">
        <v>652</v>
      </c>
      <c r="BF50" s="623"/>
      <c r="BG50" s="623"/>
      <c r="BH50" s="623"/>
      <c r="BI50" s="623"/>
      <c r="BJ50" s="623"/>
      <c r="BK50" s="623"/>
      <c r="BL50" s="623"/>
      <c r="BM50" s="623"/>
      <c r="BN50" s="623"/>
      <c r="BO50" s="623"/>
      <c r="BP50" s="623"/>
      <c r="BQ50" s="623"/>
      <c r="BS50" s="624" t="s">
        <v>651</v>
      </c>
      <c r="BT50" s="624"/>
      <c r="BU50" s="624"/>
      <c r="BV50" s="624"/>
      <c r="BW50" s="624"/>
      <c r="BX50" s="624"/>
      <c r="BY50" s="624"/>
      <c r="BZ50" s="624"/>
      <c r="CA50" s="624"/>
      <c r="CB50" s="624"/>
      <c r="CC50" s="624"/>
      <c r="CD50" s="624"/>
      <c r="CE50" s="624"/>
      <c r="CF50" s="624"/>
      <c r="CG50" s="624"/>
      <c r="CH50" s="624"/>
      <c r="CI50" s="624"/>
      <c r="CJ50" s="624"/>
      <c r="CK50" s="624"/>
      <c r="CL50" s="623" t="s">
        <v>652</v>
      </c>
      <c r="CM50" s="623"/>
      <c r="CN50" s="623"/>
      <c r="CO50" s="623"/>
      <c r="CP50" s="623"/>
      <c r="CQ50" s="623"/>
      <c r="CR50" s="623"/>
      <c r="CS50" s="623"/>
      <c r="CT50" s="623"/>
      <c r="CU50" s="623"/>
      <c r="CV50" s="623"/>
      <c r="CW50" s="623"/>
      <c r="CX50" s="623"/>
      <c r="CZ50" s="624" t="s">
        <v>651</v>
      </c>
      <c r="DA50" s="624"/>
      <c r="DB50" s="624"/>
      <c r="DC50" s="624"/>
      <c r="DD50" s="624"/>
      <c r="DE50" s="624"/>
      <c r="DF50" s="624"/>
      <c r="DG50" s="624"/>
      <c r="DH50" s="624"/>
      <c r="DI50" s="624"/>
      <c r="DJ50" s="624"/>
      <c r="DK50" s="624"/>
      <c r="DL50" s="624"/>
      <c r="DM50" s="624"/>
      <c r="DN50" s="624"/>
      <c r="DO50" s="624"/>
      <c r="DP50" s="624"/>
      <c r="DQ50" s="624"/>
      <c r="DR50" s="624"/>
      <c r="DS50" s="623" t="s">
        <v>652</v>
      </c>
      <c r="DT50" s="623"/>
      <c r="DU50" s="623"/>
      <c r="DV50" s="623"/>
      <c r="DW50" s="623"/>
      <c r="DX50" s="623"/>
      <c r="DY50" s="623"/>
      <c r="DZ50" s="623"/>
      <c r="EA50" s="623"/>
      <c r="EB50" s="623"/>
      <c r="EC50" s="623"/>
      <c r="ED50" s="623"/>
      <c r="EE50" s="623"/>
      <c r="EG50" s="624" t="s">
        <v>651</v>
      </c>
      <c r="EH50" s="624"/>
      <c r="EI50" s="624"/>
      <c r="EJ50" s="624"/>
      <c r="EK50" s="624"/>
      <c r="EL50" s="624"/>
      <c r="EM50" s="624"/>
      <c r="EN50" s="624"/>
      <c r="EO50" s="624"/>
      <c r="EP50" s="624"/>
      <c r="EQ50" s="624"/>
      <c r="ER50" s="624"/>
      <c r="ES50" s="624"/>
      <c r="ET50" s="624"/>
      <c r="EU50" s="624"/>
      <c r="EV50" s="624"/>
      <c r="EW50" s="624"/>
      <c r="EX50" s="624"/>
      <c r="EY50" s="624"/>
      <c r="EZ50" s="623" t="s">
        <v>652</v>
      </c>
      <c r="FA50" s="623"/>
      <c r="FB50" s="623"/>
      <c r="FC50" s="623"/>
      <c r="FD50" s="623"/>
      <c r="FE50" s="623"/>
      <c r="FF50" s="623"/>
      <c r="FG50" s="623"/>
      <c r="FH50" s="623"/>
      <c r="FI50" s="623"/>
      <c r="FJ50" s="623"/>
      <c r="FK50" s="623"/>
      <c r="FL50" s="623"/>
      <c r="FN50" s="624" t="s">
        <v>651</v>
      </c>
      <c r="FO50" s="624"/>
      <c r="FP50" s="624"/>
      <c r="FQ50" s="624"/>
      <c r="FR50" s="624"/>
      <c r="FS50" s="624"/>
      <c r="FT50" s="624"/>
      <c r="FU50" s="624"/>
      <c r="FV50" s="624"/>
      <c r="FW50" s="624"/>
      <c r="FX50" s="624"/>
      <c r="FY50" s="624"/>
      <c r="FZ50" s="624"/>
      <c r="GA50" s="624"/>
      <c r="GB50" s="624"/>
      <c r="GC50" s="624"/>
      <c r="GD50" s="624"/>
      <c r="GE50" s="624"/>
      <c r="GF50" s="624"/>
      <c r="GG50" s="623" t="s">
        <v>652</v>
      </c>
      <c r="GH50" s="623"/>
      <c r="GI50" s="623"/>
      <c r="GJ50" s="623"/>
      <c r="GK50" s="623"/>
      <c r="GL50" s="623"/>
      <c r="GM50" s="623"/>
      <c r="GN50" s="623"/>
      <c r="GO50" s="623"/>
      <c r="GP50" s="623"/>
      <c r="GQ50" s="623"/>
      <c r="GR50" s="623"/>
      <c r="GS50" s="623"/>
      <c r="GU50" s="616" t="s">
        <v>651</v>
      </c>
      <c r="GV50" s="616"/>
      <c r="GW50" s="616"/>
      <c r="GX50" s="616"/>
      <c r="GY50" s="616"/>
      <c r="GZ50" s="616"/>
      <c r="HA50" s="616"/>
      <c r="HB50" s="616"/>
      <c r="HC50" s="616"/>
      <c r="HD50" s="616"/>
      <c r="HE50" s="616"/>
      <c r="HF50" s="616"/>
      <c r="HH50" s="616" t="s">
        <v>652</v>
      </c>
      <c r="HI50" s="616"/>
      <c r="HJ50" s="616"/>
      <c r="HK50" s="616"/>
      <c r="HL50" s="616"/>
      <c r="HM50" s="616"/>
      <c r="HN50" s="616"/>
      <c r="HO50" s="616"/>
      <c r="HP50" s="616"/>
      <c r="HQ50" s="616"/>
      <c r="HR50" s="616"/>
      <c r="HS50" s="616"/>
      <c r="HU50" s="616" t="s">
        <v>651</v>
      </c>
      <c r="HV50" s="616"/>
      <c r="HW50" s="616"/>
      <c r="HX50" s="616"/>
      <c r="HY50" s="616"/>
      <c r="HZ50" s="616"/>
      <c r="IA50" s="616"/>
      <c r="IB50" s="616"/>
      <c r="IC50" s="616"/>
      <c r="ID50" s="616"/>
      <c r="IE50" s="616"/>
      <c r="IF50" s="435"/>
      <c r="IG50" s="616" t="s">
        <v>652</v>
      </c>
      <c r="IH50" s="616"/>
      <c r="II50" s="616"/>
      <c r="IJ50" s="616"/>
      <c r="IK50" s="616"/>
      <c r="IL50" s="616"/>
      <c r="IM50" s="616"/>
      <c r="IN50" s="616"/>
      <c r="IO50" s="616"/>
      <c r="IP50" s="616"/>
      <c r="IQ50" s="616"/>
      <c r="IR50" s="616"/>
    </row>
  </sheetData>
  <sheetProtection algorithmName="SHA-512" hashValue="lghpcoki/SRJAMhWAFTx28B+Cr+1UkqjvjHYI863kwyzsX5UEJTkat0Gg+Cr21QwSqyNyIHVZyPXg5aNQLYKSw==" saltValue="FlaH3l2b+IcCrgWu6/ZD4Q==" spinCount="100000" sheet="1"/>
  <dataConsolidate link="1"/>
  <mergeCells count="98">
    <mergeCell ref="GT1:HS1"/>
    <mergeCell ref="HT1:IR1"/>
    <mergeCell ref="D2:AJ2"/>
    <mergeCell ref="AK2:BQ2"/>
    <mergeCell ref="BR2:CX2"/>
    <mergeCell ref="CY2:EE2"/>
    <mergeCell ref="EF2:FL2"/>
    <mergeCell ref="FM2:GS2"/>
    <mergeCell ref="D1:AJ1"/>
    <mergeCell ref="AK1:BQ1"/>
    <mergeCell ref="BR1:CX1"/>
    <mergeCell ref="CY1:EE1"/>
    <mergeCell ref="EF1:FL1"/>
    <mergeCell ref="FM1:GS1"/>
    <mergeCell ref="HZ3:ID3"/>
    <mergeCell ref="GU3:GY3"/>
    <mergeCell ref="GZ3:HD3"/>
    <mergeCell ref="AJ3:AJ4"/>
    <mergeCell ref="BQ3:BQ4"/>
    <mergeCell ref="CX3:CX4"/>
    <mergeCell ref="EE3:EE4"/>
    <mergeCell ref="FL3:FL4"/>
    <mergeCell ref="GS3:GS4"/>
    <mergeCell ref="GT2:GT4"/>
    <mergeCell ref="GU2:HS2"/>
    <mergeCell ref="HT2:HT4"/>
    <mergeCell ref="HE3:HI3"/>
    <mergeCell ref="HJ3:HN3"/>
    <mergeCell ref="HO3:HS3"/>
    <mergeCell ref="HU3:HY3"/>
    <mergeCell ref="AL50:BD50"/>
    <mergeCell ref="BE50:BQ50"/>
    <mergeCell ref="BS50:CK50"/>
    <mergeCell ref="CL50:CX50"/>
    <mergeCell ref="CZ50:DR50"/>
    <mergeCell ref="A1:B4"/>
    <mergeCell ref="IT4:IW4"/>
    <mergeCell ref="IT5:IU5"/>
    <mergeCell ref="IV5:IW5"/>
    <mergeCell ref="GU50:HF50"/>
    <mergeCell ref="HH50:HS50"/>
    <mergeCell ref="IG2:IR4"/>
    <mergeCell ref="HU50:IE50"/>
    <mergeCell ref="IG50:IR50"/>
    <mergeCell ref="DS50:EE50"/>
    <mergeCell ref="EG50:EY50"/>
    <mergeCell ref="EZ50:FL50"/>
    <mergeCell ref="FN50:GF50"/>
    <mergeCell ref="GG50:GS50"/>
    <mergeCell ref="E50:W50"/>
    <mergeCell ref="X50:AJ50"/>
    <mergeCell ref="IH16:IQ16"/>
    <mergeCell ref="IH5:IQ5"/>
    <mergeCell ref="IH6:IQ6"/>
    <mergeCell ref="IH7:IQ7"/>
    <mergeCell ref="IH8:IQ8"/>
    <mergeCell ref="IH9:IQ9"/>
    <mergeCell ref="IH10:IQ10"/>
    <mergeCell ref="IH11:IQ11"/>
    <mergeCell ref="IH12:IQ12"/>
    <mergeCell ref="IH13:IQ13"/>
    <mergeCell ref="IH14:IQ14"/>
    <mergeCell ref="IH15:IQ15"/>
    <mergeCell ref="IH28:IQ28"/>
    <mergeCell ref="IH17:IQ17"/>
    <mergeCell ref="IH18:IQ18"/>
    <mergeCell ref="IH19:IQ19"/>
    <mergeCell ref="IH20:IQ20"/>
    <mergeCell ref="IH21:IQ21"/>
    <mergeCell ref="IH22:IQ22"/>
    <mergeCell ref="IH23:IQ23"/>
    <mergeCell ref="IH24:IQ24"/>
    <mergeCell ref="IH25:IQ25"/>
    <mergeCell ref="IH26:IQ26"/>
    <mergeCell ref="IH27:IQ27"/>
    <mergeCell ref="IH40:IQ40"/>
    <mergeCell ref="IH29:IQ29"/>
    <mergeCell ref="IH30:IQ30"/>
    <mergeCell ref="IH31:IQ31"/>
    <mergeCell ref="IH32:IQ32"/>
    <mergeCell ref="IH33:IQ33"/>
    <mergeCell ref="IH34:IQ34"/>
    <mergeCell ref="IH47:IQ47"/>
    <mergeCell ref="IH48:IQ48"/>
    <mergeCell ref="IE3:IE4"/>
    <mergeCell ref="HU2:IF2"/>
    <mergeCell ref="IF3:IF4"/>
    <mergeCell ref="IH41:IQ41"/>
    <mergeCell ref="IH42:IQ42"/>
    <mergeCell ref="IH43:IQ43"/>
    <mergeCell ref="IH44:IQ44"/>
    <mergeCell ref="IH45:IQ45"/>
    <mergeCell ref="IH46:IQ46"/>
    <mergeCell ref="IH35:IQ35"/>
    <mergeCell ref="IH36:IQ36"/>
    <mergeCell ref="IH37:IQ37"/>
    <mergeCell ref="IH38:IQ38"/>
    <mergeCell ref="IH39:IQ39"/>
  </mergeCells>
  <dataValidations count="2">
    <dataValidation type="list" allowBlank="1" showInputMessage="1" showErrorMessage="1" sqref="FN4:GR4 E4:AI4 AL4:BP4 BS4:CW4 CZ4:ED4 EG4:FK4" xr:uid="{00000000-0002-0000-0200-000000000000}">
      <formula1>"จ,อ,พ,พฤ,ศ,ส,อา"</formula1>
    </dataValidation>
    <dataValidation type="list" allowBlank="1" showInputMessage="1" showErrorMessage="1" sqref="E5:AI49 AL5:BP49 BS5:CW49 CZ5:ED49 FN5:GR49 EH7:EH41 EG5:FK5 EG42:FK49 EG6:EG41 EI6:FK41" xr:uid="{00000000-0002-0000-0200-000001000000}">
      <formula1>"/,ส,ป,ล,ข"</formula1>
    </dataValidation>
  </dataValidations>
  <printOptions horizontalCentered="1"/>
  <pageMargins left="0.23622047244094499" right="0.23622047244094499" top="0.74803149606299202" bottom="0.15" header="0.31496062992126" footer="0.31496062992126"/>
  <pageSetup paperSize="5" scale="89" orientation="portrait" horizontalDpi="4294967293" r:id="rId1"/>
  <colBreaks count="7" manualBreakCount="7">
    <brk id="36" max="44" man="1"/>
    <brk id="69" max="44" man="1"/>
    <brk id="102" max="44" man="1"/>
    <brk id="135" max="44" man="1"/>
    <brk id="168" max="44" man="1"/>
    <brk id="201" max="1048575" man="1"/>
    <brk id="227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D483"/>
  <sheetViews>
    <sheetView zoomScale="52" zoomScaleNormal="52" workbookViewId="0">
      <pane xSplit="3" ySplit="4" topLeftCell="CH6" activePane="bottomRight" state="frozen"/>
      <selection pane="topRight" activeCell="D1" sqref="D1"/>
      <selection pane="bottomLeft" activeCell="A4" sqref="A4"/>
      <selection pane="bottomRight" activeCell="BQ5" activeCellId="3" sqref="BE5:BE39 BI5:BI41 BM5:BM40 BQ5:BQ39"/>
    </sheetView>
  </sheetViews>
  <sheetFormatPr defaultColWidth="9.33203125" defaultRowHeight="13.8" x14ac:dyDescent="0.3"/>
  <cols>
    <col min="1" max="1" width="24.44140625" style="294" customWidth="1"/>
    <col min="2" max="2" width="12.44140625" style="294" customWidth="1"/>
    <col min="3" max="3" width="31.44140625" style="6" customWidth="1"/>
    <col min="4" max="4" width="23.6640625" style="298" customWidth="1"/>
    <col min="5" max="5" width="28.44140625" style="294" customWidth="1"/>
    <col min="6" max="6" width="12.6640625" style="294" customWidth="1"/>
    <col min="7" max="7" width="35.44140625" style="6" customWidth="1"/>
    <col min="8" max="8" width="9.33203125" style="294"/>
    <col min="9" max="9" width="10.44140625" style="298" bestFit="1" customWidth="1"/>
    <col min="10" max="10" width="12.6640625" style="294" customWidth="1"/>
    <col min="11" max="11" width="35.44140625" style="6" customWidth="1"/>
    <col min="12" max="12" width="9.33203125" style="294"/>
    <col min="13" max="13" width="9.33203125" style="298"/>
    <col min="14" max="14" width="12.6640625" style="294" customWidth="1"/>
    <col min="15" max="15" width="35.44140625" style="6" customWidth="1"/>
    <col min="16" max="16" width="9.33203125" style="294"/>
    <col min="17" max="17" width="9.33203125" style="298"/>
    <col min="18" max="18" width="12.6640625" style="294" customWidth="1"/>
    <col min="19" max="19" width="35.44140625" style="6" customWidth="1"/>
    <col min="20" max="20" width="9.33203125" style="294"/>
    <col min="21" max="21" width="9.33203125" style="298"/>
    <col min="22" max="22" width="12.6640625" style="294" customWidth="1"/>
    <col min="23" max="23" width="35.44140625" style="6" customWidth="1"/>
    <col min="24" max="24" width="9.33203125" style="294"/>
    <col min="25" max="25" width="9.33203125" style="298"/>
    <col min="26" max="26" width="12.6640625" style="294" customWidth="1"/>
    <col min="27" max="27" width="35.44140625" style="6" customWidth="1"/>
    <col min="28" max="28" width="9.33203125" style="294"/>
    <col min="29" max="29" width="10.44140625" style="298" bestFit="1" customWidth="1"/>
    <col min="30" max="30" width="12.6640625" style="294" customWidth="1"/>
    <col min="31" max="31" width="35.44140625" style="6" customWidth="1"/>
    <col min="32" max="32" width="9.33203125" style="294"/>
    <col min="33" max="33" width="9.44140625" style="298" bestFit="1" customWidth="1"/>
    <col min="34" max="34" width="12.6640625" style="294" customWidth="1"/>
    <col min="35" max="35" width="35.44140625" style="6" customWidth="1"/>
    <col min="36" max="36" width="9.33203125" style="294"/>
    <col min="37" max="37" width="9.33203125" style="298"/>
    <col min="38" max="38" width="12.6640625" style="294" customWidth="1"/>
    <col min="39" max="39" width="35.44140625" style="6" customWidth="1"/>
    <col min="40" max="40" width="9.33203125" style="294"/>
    <col min="41" max="41" width="10.44140625" style="298" bestFit="1" customWidth="1"/>
    <col min="42" max="42" width="12.6640625" style="294" customWidth="1"/>
    <col min="43" max="43" width="35.44140625" style="6" customWidth="1"/>
    <col min="44" max="44" width="9.33203125" style="294"/>
    <col min="45" max="45" width="9.33203125" style="298"/>
    <col min="46" max="46" width="12.6640625" style="294" customWidth="1"/>
    <col min="47" max="47" width="35.44140625" style="6" customWidth="1"/>
    <col min="48" max="48" width="9.33203125" style="294"/>
    <col min="49" max="49" width="9.33203125" style="298"/>
    <col min="50" max="50" width="12.6640625" style="294" customWidth="1"/>
    <col min="51" max="51" width="35.44140625" style="6" customWidth="1"/>
    <col min="52" max="52" width="9.33203125" style="294"/>
    <col min="53" max="53" width="9.33203125" style="298"/>
    <col min="54" max="54" width="12.6640625" style="294" customWidth="1"/>
    <col min="55" max="55" width="35.44140625" style="6" customWidth="1"/>
    <col min="56" max="56" width="9.33203125" style="294"/>
    <col min="57" max="57" width="9.33203125" style="298"/>
    <col min="58" max="58" width="12.6640625" style="294" customWidth="1"/>
    <col min="59" max="59" width="35.44140625" style="6" customWidth="1"/>
    <col min="60" max="60" width="9.33203125" style="294"/>
    <col min="61" max="61" width="9.33203125" style="298"/>
    <col min="62" max="62" width="12.6640625" style="294" customWidth="1"/>
    <col min="63" max="63" width="35.44140625" style="6" customWidth="1"/>
    <col min="64" max="64" width="9.33203125" style="294"/>
    <col min="65" max="65" width="9.33203125" style="298"/>
    <col min="66" max="66" width="12.6640625" style="294" customWidth="1"/>
    <col min="67" max="67" width="35.44140625" style="6" customWidth="1"/>
    <col min="68" max="68" width="9.33203125" style="294"/>
    <col min="69" max="69" width="9.33203125" style="298"/>
    <col min="70" max="70" width="12.6640625" style="294" customWidth="1"/>
    <col min="71" max="71" width="35.44140625" style="6" customWidth="1"/>
    <col min="72" max="72" width="9.33203125" style="294"/>
    <col min="73" max="73" width="9.33203125" style="298"/>
    <col min="74" max="74" width="12.6640625" style="294" customWidth="1"/>
    <col min="75" max="75" width="35.44140625" style="6" customWidth="1"/>
    <col min="76" max="76" width="9.33203125" style="294"/>
    <col min="77" max="77" width="9.33203125" style="298"/>
    <col min="78" max="78" width="12.6640625" style="294" customWidth="1"/>
    <col min="79" max="79" width="35.44140625" style="6" customWidth="1"/>
    <col min="80" max="80" width="9.33203125" style="294"/>
    <col min="81" max="81" width="9.33203125" style="298"/>
    <col min="82" max="82" width="12.6640625" style="294" customWidth="1"/>
    <col min="83" max="83" width="35.44140625" style="6" customWidth="1"/>
    <col min="84" max="84" width="9.33203125" style="294"/>
    <col min="85" max="85" width="9.33203125" style="298"/>
    <col min="86" max="86" width="12.6640625" style="294" customWidth="1"/>
    <col min="87" max="87" width="35.44140625" style="6" customWidth="1"/>
    <col min="88" max="88" width="9.33203125" style="294"/>
    <col min="89" max="89" width="9.33203125" style="298"/>
    <col min="90" max="90" width="12.6640625" style="294" customWidth="1"/>
    <col min="91" max="91" width="35.44140625" style="6" customWidth="1"/>
    <col min="92" max="92" width="9.33203125" style="294"/>
    <col min="93" max="93" width="9.33203125" style="298"/>
    <col min="94" max="94" width="12.6640625" style="294" customWidth="1"/>
    <col min="95" max="95" width="35.44140625" style="6" customWidth="1"/>
    <col min="96" max="96" width="9.33203125" style="294"/>
    <col min="97" max="97" width="9.33203125" style="298"/>
    <col min="98" max="98" width="12.6640625" style="294" customWidth="1"/>
    <col min="99" max="99" width="35.44140625" style="6" customWidth="1"/>
    <col min="100" max="100" width="9.33203125" style="294"/>
    <col min="101" max="101" width="9.33203125" style="298"/>
    <col min="102" max="102" width="12.6640625" style="294" customWidth="1"/>
    <col min="103" max="103" width="35.44140625" style="6" customWidth="1"/>
    <col min="104" max="104" width="9.33203125" style="294"/>
    <col min="105" max="105" width="9.33203125" style="298"/>
    <col min="106" max="106" width="9.33203125" style="294"/>
    <col min="107" max="107" width="9.33203125" style="6"/>
    <col min="108" max="108" width="9.33203125" style="298"/>
    <col min="109" max="16384" width="9.33203125" style="6"/>
  </cols>
  <sheetData>
    <row r="1" spans="1:108" ht="23.4" x14ac:dyDescent="0.3">
      <c r="A1" s="299" t="str">
        <f>CONCATENATE("แบบกรอกคะแนนกลางภาคเรียนที่ ",Semester,"/",Year,"  ชั้นมัธยมศึกษาปีที่ ",Class)</f>
        <v xml:space="preserve">แบบกรอกคะแนนกลางภาคเรียนที่ /  ชั้นมัธยมศึกษาปีที่ </v>
      </c>
      <c r="B1" s="299"/>
      <c r="C1" s="299"/>
      <c r="D1" s="299"/>
      <c r="E1" s="299"/>
      <c r="F1" s="299"/>
      <c r="G1" s="299"/>
      <c r="H1" s="299"/>
      <c r="I1" s="284"/>
      <c r="J1" s="299"/>
      <c r="K1" s="299"/>
      <c r="L1" s="299"/>
      <c r="M1" s="284"/>
      <c r="N1" s="299"/>
      <c r="O1" s="299"/>
      <c r="P1" s="299"/>
      <c r="Q1" s="284"/>
      <c r="R1" s="299"/>
      <c r="S1" s="299"/>
      <c r="T1" s="299"/>
      <c r="U1" s="284"/>
      <c r="V1" s="299"/>
      <c r="W1" s="299"/>
      <c r="X1" s="299"/>
      <c r="Y1" s="284"/>
      <c r="Z1" s="299"/>
      <c r="AA1" s="299"/>
      <c r="AB1" s="299"/>
      <c r="AC1" s="284"/>
      <c r="AD1" s="299"/>
      <c r="AE1" s="299"/>
      <c r="AF1" s="299"/>
      <c r="AG1" s="284"/>
      <c r="AH1" s="299"/>
      <c r="AI1" s="299"/>
      <c r="AJ1" s="299"/>
      <c r="AK1" s="284"/>
      <c r="AL1" s="299"/>
      <c r="AM1" s="299"/>
      <c r="AN1" s="299"/>
      <c r="AO1" s="284"/>
      <c r="AP1" s="299"/>
      <c r="AQ1" s="299"/>
      <c r="AR1" s="299"/>
      <c r="AS1" s="284"/>
      <c r="AT1" s="299"/>
      <c r="AU1" s="299"/>
      <c r="AV1" s="299"/>
      <c r="AW1" s="284"/>
      <c r="AX1" s="299"/>
      <c r="AY1" s="299"/>
      <c r="AZ1" s="299"/>
      <c r="BA1" s="284"/>
      <c r="BB1" s="299"/>
      <c r="BC1" s="299"/>
      <c r="BD1" s="299"/>
      <c r="BE1" s="284"/>
      <c r="BF1" s="299"/>
      <c r="BG1" s="299"/>
      <c r="BH1" s="299"/>
      <c r="BI1" s="284"/>
      <c r="BJ1" s="299"/>
      <c r="BK1" s="299"/>
      <c r="BL1" s="299"/>
      <c r="BM1" s="284"/>
      <c r="BN1" s="299"/>
      <c r="BO1" s="299"/>
      <c r="BP1" s="299"/>
      <c r="BQ1" s="284"/>
      <c r="BR1" s="299"/>
      <c r="BS1" s="299"/>
      <c r="BT1" s="299"/>
      <c r="BU1" s="284"/>
      <c r="BV1" s="299"/>
      <c r="BW1" s="299"/>
      <c r="BX1" s="299"/>
      <c r="BY1" s="284"/>
      <c r="BZ1" s="299"/>
      <c r="CA1" s="299"/>
      <c r="CB1" s="299"/>
      <c r="CC1" s="284"/>
      <c r="CD1" s="299"/>
      <c r="CE1" s="299"/>
      <c r="CF1" s="299"/>
      <c r="CG1" s="284"/>
      <c r="CH1" s="299"/>
      <c r="CI1" s="299"/>
      <c r="CJ1" s="299"/>
      <c r="CK1" s="284"/>
      <c r="CL1" s="299"/>
      <c r="CM1" s="299"/>
      <c r="CN1" s="299"/>
      <c r="CO1" s="284"/>
      <c r="CP1" s="299"/>
      <c r="CQ1" s="299"/>
      <c r="CR1" s="299"/>
      <c r="CS1" s="284"/>
      <c r="CT1" s="299"/>
      <c r="CU1" s="299"/>
      <c r="CV1" s="299"/>
      <c r="CW1" s="284"/>
      <c r="CX1" s="299"/>
      <c r="CY1" s="299"/>
      <c r="CZ1" s="299"/>
      <c r="DA1" s="284"/>
    </row>
    <row r="2" spans="1:108" s="298" customFormat="1" ht="23.4" hidden="1" x14ac:dyDescent="0.3">
      <c r="A2" s="284"/>
      <c r="B2" s="284">
        <v>1</v>
      </c>
      <c r="C2" s="284">
        <v>2</v>
      </c>
      <c r="D2" s="284">
        <v>3</v>
      </c>
      <c r="E2" s="284">
        <v>4</v>
      </c>
      <c r="F2" s="284">
        <v>5</v>
      </c>
      <c r="G2" s="284">
        <v>6</v>
      </c>
      <c r="H2" s="284">
        <v>7</v>
      </c>
      <c r="I2" s="284">
        <v>8</v>
      </c>
      <c r="J2" s="284">
        <v>9</v>
      </c>
      <c r="K2" s="284">
        <v>10</v>
      </c>
      <c r="L2" s="284">
        <v>11</v>
      </c>
      <c r="M2" s="284">
        <v>12</v>
      </c>
      <c r="N2" s="284">
        <v>13</v>
      </c>
      <c r="O2" s="284">
        <v>14</v>
      </c>
      <c r="P2" s="284">
        <v>15</v>
      </c>
      <c r="Q2" s="284">
        <v>16</v>
      </c>
      <c r="R2" s="284">
        <v>17</v>
      </c>
      <c r="S2" s="284">
        <v>18</v>
      </c>
      <c r="T2" s="284">
        <v>19</v>
      </c>
      <c r="U2" s="284">
        <v>20</v>
      </c>
      <c r="V2" s="284">
        <v>21</v>
      </c>
      <c r="W2" s="284">
        <v>22</v>
      </c>
      <c r="X2" s="284">
        <v>23</v>
      </c>
      <c r="Y2" s="284">
        <v>24</v>
      </c>
      <c r="Z2" s="284">
        <v>25</v>
      </c>
      <c r="AA2" s="284">
        <v>26</v>
      </c>
      <c r="AB2" s="284">
        <v>27</v>
      </c>
      <c r="AC2" s="284">
        <v>28</v>
      </c>
      <c r="AD2" s="284">
        <v>29</v>
      </c>
      <c r="AE2" s="284">
        <v>30</v>
      </c>
      <c r="AF2" s="284">
        <v>31</v>
      </c>
      <c r="AG2" s="284">
        <v>32</v>
      </c>
      <c r="AH2" s="284">
        <v>33</v>
      </c>
      <c r="AI2" s="284">
        <v>34</v>
      </c>
      <c r="AJ2" s="284">
        <v>35</v>
      </c>
      <c r="AK2" s="284">
        <v>36</v>
      </c>
      <c r="AL2" s="284">
        <v>37</v>
      </c>
      <c r="AM2" s="284">
        <v>38</v>
      </c>
      <c r="AN2" s="284">
        <v>39</v>
      </c>
      <c r="AO2" s="284">
        <v>40</v>
      </c>
      <c r="AP2" s="284">
        <v>41</v>
      </c>
      <c r="AQ2" s="284">
        <v>42</v>
      </c>
      <c r="AR2" s="284">
        <v>43</v>
      </c>
      <c r="AS2" s="284">
        <v>44</v>
      </c>
      <c r="AT2" s="284">
        <v>45</v>
      </c>
      <c r="AU2" s="284">
        <v>46</v>
      </c>
      <c r="AV2" s="284">
        <v>47</v>
      </c>
      <c r="AW2" s="284">
        <v>48</v>
      </c>
      <c r="AX2" s="284">
        <v>49</v>
      </c>
      <c r="AY2" s="284">
        <v>50</v>
      </c>
      <c r="AZ2" s="284">
        <v>51</v>
      </c>
      <c r="BA2" s="284">
        <v>52</v>
      </c>
      <c r="BB2" s="284">
        <v>53</v>
      </c>
      <c r="BC2" s="284">
        <v>54</v>
      </c>
      <c r="BD2" s="284">
        <v>55</v>
      </c>
      <c r="BE2" s="284">
        <v>56</v>
      </c>
      <c r="BF2" s="284">
        <v>57</v>
      </c>
      <c r="BG2" s="284">
        <v>58</v>
      </c>
      <c r="BH2" s="284">
        <v>59</v>
      </c>
      <c r="BI2" s="284">
        <v>60</v>
      </c>
      <c r="BJ2" s="284">
        <v>61</v>
      </c>
      <c r="BK2" s="284">
        <v>62</v>
      </c>
      <c r="BL2" s="284">
        <v>63</v>
      </c>
      <c r="BM2" s="284">
        <v>64</v>
      </c>
      <c r="BN2" s="284">
        <v>65</v>
      </c>
      <c r="BO2" s="284">
        <v>66</v>
      </c>
      <c r="BP2" s="284">
        <v>67</v>
      </c>
      <c r="BQ2" s="284">
        <v>68</v>
      </c>
      <c r="BR2" s="284">
        <v>69</v>
      </c>
      <c r="BS2" s="284">
        <v>70</v>
      </c>
      <c r="BT2" s="284">
        <v>71</v>
      </c>
      <c r="BU2" s="284">
        <v>72</v>
      </c>
      <c r="BV2" s="284">
        <v>73</v>
      </c>
      <c r="BW2" s="284">
        <v>74</v>
      </c>
      <c r="BX2" s="284">
        <v>75</v>
      </c>
      <c r="BY2" s="284">
        <v>76</v>
      </c>
      <c r="BZ2" s="284">
        <v>77</v>
      </c>
      <c r="CA2" s="284">
        <v>78</v>
      </c>
      <c r="CB2" s="284">
        <v>79</v>
      </c>
      <c r="CC2" s="284">
        <v>80</v>
      </c>
      <c r="CD2" s="284">
        <v>81</v>
      </c>
      <c r="CE2" s="284">
        <v>82</v>
      </c>
      <c r="CF2" s="284">
        <v>83</v>
      </c>
      <c r="CG2" s="284">
        <v>84</v>
      </c>
      <c r="CH2" s="284">
        <v>85</v>
      </c>
      <c r="CI2" s="284">
        <v>86</v>
      </c>
      <c r="CJ2" s="284">
        <v>87</v>
      </c>
      <c r="CK2" s="284">
        <v>88</v>
      </c>
      <c r="CL2" s="284">
        <v>89</v>
      </c>
      <c r="CM2" s="284">
        <v>90</v>
      </c>
      <c r="CN2" s="284">
        <v>91</v>
      </c>
      <c r="CO2" s="284">
        <v>92</v>
      </c>
      <c r="CP2" s="284">
        <v>93</v>
      </c>
      <c r="CQ2" s="284">
        <v>94</v>
      </c>
      <c r="CR2" s="284">
        <v>95</v>
      </c>
      <c r="CS2" s="284">
        <v>96</v>
      </c>
      <c r="CT2" s="284">
        <v>97</v>
      </c>
      <c r="CU2" s="284">
        <v>98</v>
      </c>
      <c r="CV2" s="284">
        <v>99</v>
      </c>
      <c r="CW2" s="284">
        <v>96</v>
      </c>
      <c r="CX2" s="284">
        <v>97</v>
      </c>
      <c r="CY2" s="284">
        <v>98</v>
      </c>
      <c r="CZ2" s="284">
        <v>99</v>
      </c>
      <c r="DA2" s="284">
        <v>100</v>
      </c>
      <c r="DB2" s="284">
        <v>101</v>
      </c>
      <c r="DC2" s="284">
        <v>102</v>
      </c>
      <c r="DD2" s="284">
        <v>103</v>
      </c>
    </row>
    <row r="3" spans="1:108" s="15" customFormat="1" ht="21" x14ac:dyDescent="0.4">
      <c r="A3" s="637" t="s">
        <v>625</v>
      </c>
      <c r="B3" s="637" t="s">
        <v>24</v>
      </c>
      <c r="C3" s="637" t="s">
        <v>53</v>
      </c>
      <c r="D3" s="637" t="s">
        <v>16</v>
      </c>
      <c r="E3" s="637" t="s">
        <v>12</v>
      </c>
      <c r="F3" s="637" t="s">
        <v>19</v>
      </c>
      <c r="G3" s="637" t="s">
        <v>167</v>
      </c>
      <c r="H3" s="637" t="s">
        <v>39</v>
      </c>
      <c r="I3" s="303" t="s">
        <v>601</v>
      </c>
      <c r="J3" s="637" t="s">
        <v>19</v>
      </c>
      <c r="K3" s="637" t="s">
        <v>167</v>
      </c>
      <c r="L3" s="637" t="s">
        <v>39</v>
      </c>
      <c r="M3" s="303" t="s">
        <v>601</v>
      </c>
      <c r="N3" s="637" t="s">
        <v>19</v>
      </c>
      <c r="O3" s="637" t="s">
        <v>167</v>
      </c>
      <c r="P3" s="637" t="s">
        <v>39</v>
      </c>
      <c r="Q3" s="303" t="s">
        <v>601</v>
      </c>
      <c r="R3" s="637" t="s">
        <v>19</v>
      </c>
      <c r="S3" s="637" t="s">
        <v>167</v>
      </c>
      <c r="T3" s="637" t="s">
        <v>39</v>
      </c>
      <c r="U3" s="303" t="s">
        <v>601</v>
      </c>
      <c r="V3" s="637" t="s">
        <v>19</v>
      </c>
      <c r="W3" s="637" t="s">
        <v>167</v>
      </c>
      <c r="X3" s="637" t="s">
        <v>39</v>
      </c>
      <c r="Y3" s="303" t="s">
        <v>601</v>
      </c>
      <c r="Z3" s="637" t="s">
        <v>19</v>
      </c>
      <c r="AA3" s="637" t="s">
        <v>167</v>
      </c>
      <c r="AB3" s="637" t="s">
        <v>39</v>
      </c>
      <c r="AC3" s="303" t="s">
        <v>601</v>
      </c>
      <c r="AD3" s="637" t="s">
        <v>19</v>
      </c>
      <c r="AE3" s="637" t="s">
        <v>167</v>
      </c>
      <c r="AF3" s="637" t="s">
        <v>39</v>
      </c>
      <c r="AG3" s="303" t="s">
        <v>601</v>
      </c>
      <c r="AH3" s="637" t="s">
        <v>19</v>
      </c>
      <c r="AI3" s="637" t="s">
        <v>167</v>
      </c>
      <c r="AJ3" s="637" t="s">
        <v>39</v>
      </c>
      <c r="AK3" s="303" t="s">
        <v>601</v>
      </c>
      <c r="AL3" s="637" t="s">
        <v>19</v>
      </c>
      <c r="AM3" s="637" t="s">
        <v>167</v>
      </c>
      <c r="AN3" s="637" t="s">
        <v>39</v>
      </c>
      <c r="AO3" s="303" t="s">
        <v>601</v>
      </c>
      <c r="AP3" s="637" t="s">
        <v>19</v>
      </c>
      <c r="AQ3" s="637" t="s">
        <v>167</v>
      </c>
      <c r="AR3" s="637" t="s">
        <v>39</v>
      </c>
      <c r="AS3" s="303" t="s">
        <v>601</v>
      </c>
      <c r="AT3" s="637" t="s">
        <v>19</v>
      </c>
      <c r="AU3" s="637" t="s">
        <v>167</v>
      </c>
      <c r="AV3" s="637" t="s">
        <v>39</v>
      </c>
      <c r="AW3" s="303" t="s">
        <v>601</v>
      </c>
      <c r="AX3" s="637" t="s">
        <v>19</v>
      </c>
      <c r="AY3" s="637" t="s">
        <v>167</v>
      </c>
      <c r="AZ3" s="637" t="s">
        <v>39</v>
      </c>
      <c r="BA3" s="303" t="s">
        <v>601</v>
      </c>
      <c r="BB3" s="637" t="s">
        <v>19</v>
      </c>
      <c r="BC3" s="637" t="s">
        <v>167</v>
      </c>
      <c r="BD3" s="637" t="s">
        <v>39</v>
      </c>
      <c r="BE3" s="303" t="s">
        <v>601</v>
      </c>
      <c r="BF3" s="637" t="s">
        <v>19</v>
      </c>
      <c r="BG3" s="637" t="s">
        <v>167</v>
      </c>
      <c r="BH3" s="637" t="s">
        <v>39</v>
      </c>
      <c r="BI3" s="303" t="s">
        <v>601</v>
      </c>
      <c r="BJ3" s="637" t="s">
        <v>19</v>
      </c>
      <c r="BK3" s="637" t="s">
        <v>167</v>
      </c>
      <c r="BL3" s="637" t="s">
        <v>39</v>
      </c>
      <c r="BM3" s="303" t="s">
        <v>601</v>
      </c>
      <c r="BN3" s="637" t="s">
        <v>19</v>
      </c>
      <c r="BO3" s="637" t="s">
        <v>167</v>
      </c>
      <c r="BP3" s="637" t="s">
        <v>39</v>
      </c>
      <c r="BQ3" s="303" t="s">
        <v>601</v>
      </c>
      <c r="BR3" s="637" t="s">
        <v>19</v>
      </c>
      <c r="BS3" s="637" t="s">
        <v>167</v>
      </c>
      <c r="BT3" s="637" t="s">
        <v>39</v>
      </c>
      <c r="BU3" s="303" t="s">
        <v>601</v>
      </c>
      <c r="BV3" s="637" t="s">
        <v>19</v>
      </c>
      <c r="BW3" s="637" t="s">
        <v>167</v>
      </c>
      <c r="BX3" s="637" t="s">
        <v>39</v>
      </c>
      <c r="BY3" s="303" t="s">
        <v>601</v>
      </c>
      <c r="BZ3" s="637" t="s">
        <v>19</v>
      </c>
      <c r="CA3" s="637" t="s">
        <v>167</v>
      </c>
      <c r="CB3" s="637" t="s">
        <v>39</v>
      </c>
      <c r="CC3" s="303" t="s">
        <v>601</v>
      </c>
      <c r="CD3" s="637" t="s">
        <v>19</v>
      </c>
      <c r="CE3" s="637" t="s">
        <v>167</v>
      </c>
      <c r="CF3" s="637" t="s">
        <v>39</v>
      </c>
      <c r="CG3" s="303" t="s">
        <v>601</v>
      </c>
      <c r="CH3" s="637" t="s">
        <v>19</v>
      </c>
      <c r="CI3" s="637" t="s">
        <v>167</v>
      </c>
      <c r="CJ3" s="637" t="s">
        <v>39</v>
      </c>
      <c r="CK3" s="303" t="s">
        <v>601</v>
      </c>
      <c r="CL3" s="637" t="s">
        <v>19</v>
      </c>
      <c r="CM3" s="637" t="s">
        <v>167</v>
      </c>
      <c r="CN3" s="637" t="s">
        <v>39</v>
      </c>
      <c r="CO3" s="303" t="s">
        <v>601</v>
      </c>
      <c r="CP3" s="637" t="s">
        <v>19</v>
      </c>
      <c r="CQ3" s="637" t="s">
        <v>167</v>
      </c>
      <c r="CR3" s="637" t="s">
        <v>39</v>
      </c>
      <c r="CS3" s="303" t="s">
        <v>601</v>
      </c>
      <c r="CT3" s="637" t="s">
        <v>19</v>
      </c>
      <c r="CU3" s="637" t="s">
        <v>167</v>
      </c>
      <c r="CV3" s="637" t="s">
        <v>39</v>
      </c>
      <c r="CW3" s="303" t="s">
        <v>601</v>
      </c>
      <c r="CX3" s="637" t="s">
        <v>19</v>
      </c>
      <c r="CY3" s="637" t="s">
        <v>167</v>
      </c>
      <c r="CZ3" s="637" t="s">
        <v>39</v>
      </c>
      <c r="DA3" s="303" t="s">
        <v>601</v>
      </c>
      <c r="DB3" s="308" t="s">
        <v>4</v>
      </c>
      <c r="DC3" s="639" t="s">
        <v>5</v>
      </c>
      <c r="DD3" s="308" t="s">
        <v>628</v>
      </c>
    </row>
    <row r="4" spans="1:108" s="15" customFormat="1" ht="21" x14ac:dyDescent="0.4">
      <c r="A4" s="638"/>
      <c r="B4" s="638"/>
      <c r="C4" s="638"/>
      <c r="D4" s="638"/>
      <c r="E4" s="638"/>
      <c r="F4" s="638"/>
      <c r="G4" s="638"/>
      <c r="H4" s="638"/>
      <c r="I4" s="310" t="str">
        <f>IF(F5="","",20)</f>
        <v/>
      </c>
      <c r="J4" s="638"/>
      <c r="K4" s="638"/>
      <c r="L4" s="638"/>
      <c r="M4" s="310" t="str">
        <f>IF(J5="","",20)</f>
        <v/>
      </c>
      <c r="N4" s="638"/>
      <c r="O4" s="638"/>
      <c r="P4" s="638"/>
      <c r="Q4" s="310" t="str">
        <f>IF(N5="","",20)</f>
        <v/>
      </c>
      <c r="R4" s="638"/>
      <c r="S4" s="638"/>
      <c r="T4" s="638"/>
      <c r="U4" s="310" t="str">
        <f>IF(R5="","",20)</f>
        <v/>
      </c>
      <c r="V4" s="638"/>
      <c r="W4" s="638"/>
      <c r="X4" s="638"/>
      <c r="Y4" s="310" t="str">
        <f>IF(V5="","",20)</f>
        <v/>
      </c>
      <c r="Z4" s="638"/>
      <c r="AA4" s="638"/>
      <c r="AB4" s="638"/>
      <c r="AC4" s="310" t="str">
        <f>IF(Z5="","",20)</f>
        <v/>
      </c>
      <c r="AD4" s="638"/>
      <c r="AE4" s="638"/>
      <c r="AF4" s="638"/>
      <c r="AG4" s="310" t="str">
        <f>IF(AD5="","",20)</f>
        <v/>
      </c>
      <c r="AH4" s="638"/>
      <c r="AI4" s="638"/>
      <c r="AJ4" s="638"/>
      <c r="AK4" s="310" t="str">
        <f>IF(AH5="","",20)</f>
        <v/>
      </c>
      <c r="AL4" s="638"/>
      <c r="AM4" s="638"/>
      <c r="AN4" s="638"/>
      <c r="AO4" s="310" t="str">
        <f>IF(AL5="","",20)</f>
        <v/>
      </c>
      <c r="AP4" s="638"/>
      <c r="AQ4" s="638"/>
      <c r="AR4" s="638"/>
      <c r="AS4" s="310" t="str">
        <f>IF(AP5="","",20)</f>
        <v/>
      </c>
      <c r="AT4" s="638"/>
      <c r="AU4" s="638"/>
      <c r="AV4" s="638"/>
      <c r="AW4" s="310" t="str">
        <f>IF(AT5="","",20)</f>
        <v/>
      </c>
      <c r="AX4" s="638"/>
      <c r="AY4" s="638"/>
      <c r="AZ4" s="638"/>
      <c r="BA4" s="310" t="str">
        <f>IF(AX5="","",20)</f>
        <v/>
      </c>
      <c r="BB4" s="638"/>
      <c r="BC4" s="638"/>
      <c r="BD4" s="638"/>
      <c r="BE4" s="310" t="str">
        <f>IF(BB5="","",20)</f>
        <v/>
      </c>
      <c r="BF4" s="638"/>
      <c r="BG4" s="638"/>
      <c r="BH4" s="638"/>
      <c r="BI4" s="310" t="str">
        <f>IF(BF5="","",20)</f>
        <v/>
      </c>
      <c r="BJ4" s="638"/>
      <c r="BK4" s="638"/>
      <c r="BL4" s="638"/>
      <c r="BM4" s="310" t="str">
        <f>IF(BJ5="","",20)</f>
        <v/>
      </c>
      <c r="BN4" s="638"/>
      <c r="BO4" s="638"/>
      <c r="BP4" s="638"/>
      <c r="BQ4" s="310" t="str">
        <f>IF(BN5="","",20)</f>
        <v/>
      </c>
      <c r="BR4" s="638"/>
      <c r="BS4" s="638"/>
      <c r="BT4" s="638"/>
      <c r="BU4" s="310" t="str">
        <f>IF(BR5="","",20)</f>
        <v/>
      </c>
      <c r="BV4" s="638"/>
      <c r="BW4" s="638"/>
      <c r="BX4" s="638"/>
      <c r="BY4" s="310" t="str">
        <f>IF(BV5="","",20)</f>
        <v/>
      </c>
      <c r="BZ4" s="638"/>
      <c r="CA4" s="638"/>
      <c r="CB4" s="638"/>
      <c r="CC4" s="310" t="str">
        <f>IF(BZ5="","",20)</f>
        <v/>
      </c>
      <c r="CD4" s="638"/>
      <c r="CE4" s="638"/>
      <c r="CF4" s="638"/>
      <c r="CG4" s="310" t="str">
        <f>IF(CD5="","",20)</f>
        <v/>
      </c>
      <c r="CH4" s="638"/>
      <c r="CI4" s="638"/>
      <c r="CJ4" s="638"/>
      <c r="CK4" s="310" t="str">
        <f>IF(CH5="","",20)</f>
        <v/>
      </c>
      <c r="CL4" s="638"/>
      <c r="CM4" s="638"/>
      <c r="CN4" s="638"/>
      <c r="CO4" s="310" t="str">
        <f>IF(CL5="","",20)</f>
        <v/>
      </c>
      <c r="CP4" s="638"/>
      <c r="CQ4" s="638"/>
      <c r="CR4" s="638"/>
      <c r="CS4" s="310" t="str">
        <f>IF(CP5="","",20)</f>
        <v/>
      </c>
      <c r="CT4" s="638"/>
      <c r="CU4" s="638"/>
      <c r="CV4" s="638"/>
      <c r="CW4" s="310" t="str">
        <f>IF(CT5="","",20)</f>
        <v/>
      </c>
      <c r="CX4" s="638"/>
      <c r="CY4" s="638"/>
      <c r="CZ4" s="638"/>
      <c r="DA4" s="310" t="str">
        <f>IF(CT5="","",20)</f>
        <v/>
      </c>
      <c r="DB4" s="309" t="str">
        <f>IF(DD4="","",DD4*20)</f>
        <v/>
      </c>
      <c r="DC4" s="639"/>
      <c r="DD4" s="309" t="str">
        <f>IF(COUNT(DD5:DD49)=0,"",MODE(DD5:DD49))</f>
        <v/>
      </c>
    </row>
    <row r="5" spans="1:108" s="501" customFormat="1" ht="21" x14ac:dyDescent="0.4">
      <c r="A5" s="496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B5" s="496" t="str">
        <f>IF(IDstu1="","",IDstu1)</f>
        <v/>
      </c>
      <c r="C5" s="497" t="str">
        <f>CONCATENATE(TRIM(Name1),"  ",Surname1)</f>
        <v xml:space="preserve">  </v>
      </c>
      <c r="D5" s="498" t="str">
        <f t="shared" ref="D5:D49" si="0">IF(A5="","",CONCATENATE("มัธยมศึกษาปีที่ ",Class))</f>
        <v/>
      </c>
      <c r="E5" s="496" t="str">
        <f t="shared" ref="E5:E49" si="1">IF(A5="","",Advisor)</f>
        <v/>
      </c>
      <c r="F5" s="496" t="str">
        <f t="shared" ref="F5:F49" si="2">IF(codegen1="","",IF($A5="","",codegen1))</f>
        <v/>
      </c>
      <c r="G5" s="497" t="str">
        <f t="shared" ref="G5:G49" si="3">IF(SubGen1="","",IF($A5="","",SubGen1))</f>
        <v/>
      </c>
      <c r="H5" s="496" t="str">
        <f t="shared" ref="H5:H49" si="4">IF(CreditGen1="","",IF($A5="","",CreditGen1))</f>
        <v/>
      </c>
      <c r="I5" s="499"/>
      <c r="J5" s="496" t="str">
        <f t="shared" ref="J5:J49" si="5">IF(codegen2="","",IF($A5="","",codegen2))</f>
        <v/>
      </c>
      <c r="K5" s="497" t="str">
        <f t="shared" ref="K5:K49" si="6">IF(SubGen2="","",IF($A5="","",SubGen2))</f>
        <v/>
      </c>
      <c r="L5" s="496" t="str">
        <f t="shared" ref="L5:L49" si="7">IF(CreditGen2="","",IF($A5="","",CreditGen2))</f>
        <v/>
      </c>
      <c r="M5" s="500"/>
      <c r="N5" s="496" t="str">
        <f t="shared" ref="N5:N49" si="8">IF(codegen3="","",IF($A5="","",codegen3))</f>
        <v/>
      </c>
      <c r="O5" s="497" t="str">
        <f t="shared" ref="O5:O49" si="9">IF(SubGen3="","",IF($A5="","",SubGen3))</f>
        <v/>
      </c>
      <c r="P5" s="496" t="str">
        <f t="shared" ref="P5:P49" si="10">IF(CreditGen3="","",IF($A5="","",CreditGen3))</f>
        <v/>
      </c>
      <c r="Q5" s="499"/>
      <c r="R5" s="496" t="str">
        <f t="shared" ref="R5:R49" si="11">IF(codegen4="","",IF($A5="","",codegen4))</f>
        <v/>
      </c>
      <c r="S5" s="497" t="str">
        <f t="shared" ref="S5:S49" si="12">IF(SubGen4="","",IF($A5="","",SubGen4))</f>
        <v/>
      </c>
      <c r="T5" s="496" t="str">
        <f t="shared" ref="T5:T49" si="13">IF(CreditGen4="","",IF($A5="","",CreditGen4))</f>
        <v/>
      </c>
      <c r="U5" s="499"/>
      <c r="V5" s="496" t="str">
        <f t="shared" ref="V5:V49" si="14">IF(codegen5="","",IF($A5="","",codegen5))</f>
        <v/>
      </c>
      <c r="W5" s="497" t="str">
        <f t="shared" ref="W5:W49" si="15">IF(SubGen5="","",IF($A5="","",SubGen5))</f>
        <v/>
      </c>
      <c r="X5" s="496" t="str">
        <f t="shared" ref="X5:X49" si="16">IF(CreditGen5="","",IF($A5="","",CreditGen5))</f>
        <v/>
      </c>
      <c r="Y5" s="499"/>
      <c r="Z5" s="496" t="str">
        <f t="shared" ref="Z5:Z49" si="17">IF(codegen6="","",IF($A5="","",codegen6))</f>
        <v/>
      </c>
      <c r="AA5" s="497" t="str">
        <f t="shared" ref="AA5:AA49" si="18">IF(SubGen6="","",IF($A5="","",SubGen6))</f>
        <v/>
      </c>
      <c r="AB5" s="496" t="str">
        <f t="shared" ref="AB5:AB49" si="19">IF(CreditGen6="","",IF($A5="","",CreditGen6))</f>
        <v/>
      </c>
      <c r="AC5" s="500"/>
      <c r="AD5" s="496" t="str">
        <f t="shared" ref="AD5:AD49" si="20">IF(codegen7="","",IF($A5="","",codegen7))</f>
        <v/>
      </c>
      <c r="AE5" s="497" t="str">
        <f t="shared" ref="AE5:AE49" si="21">IF(SubGen7="","",IF($A5="","",SubGen7))</f>
        <v/>
      </c>
      <c r="AF5" s="496" t="str">
        <f t="shared" ref="AF5:AF49" si="22">IF(CreditGen7="","",IF($A5="","",CreditGen7))</f>
        <v/>
      </c>
      <c r="AG5" s="500"/>
      <c r="AH5" s="496" t="str">
        <f t="shared" ref="AH5:AH49" si="23">IF(codegen8="","",IF($A5="","",codegen8))</f>
        <v/>
      </c>
      <c r="AI5" s="497" t="str">
        <f t="shared" ref="AI5:AI49" si="24">IF(SubGen8="","",IF($A5="","",SubGen8))</f>
        <v/>
      </c>
      <c r="AJ5" s="496" t="str">
        <f t="shared" ref="AJ5:AJ49" si="25">IF(CreditGen8="","",IF($A5="","",CreditGen8))</f>
        <v/>
      </c>
      <c r="AK5" s="500"/>
      <c r="AL5" s="496" t="str">
        <f t="shared" ref="AL5:AL49" si="26">IF(codegen9="","",IF($A5="","",codegen9))</f>
        <v/>
      </c>
      <c r="AM5" s="497" t="str">
        <f t="shared" ref="AM5:AM49" si="27">IF(SubGen9="","",IF($A5="","",SubGen9))</f>
        <v/>
      </c>
      <c r="AN5" s="496" t="str">
        <f t="shared" ref="AN5:AN49" si="28">IF(CreditGen9="","",IF($A5="","",CreditGen9))</f>
        <v/>
      </c>
      <c r="AO5" s="499"/>
      <c r="AP5" s="496" t="str">
        <f t="shared" ref="AP5:AP49" si="29">IF(codegen10="","",IF($A5="","",codegen10))</f>
        <v/>
      </c>
      <c r="AQ5" s="497" t="str">
        <f t="shared" ref="AQ5:AQ49" si="30">IF(SubGen10="","",IF($A5="","",SubGen10))</f>
        <v/>
      </c>
      <c r="AR5" s="496" t="str">
        <f t="shared" ref="AR5:AR49" si="31">IF(CreditGen10="","",IF($A5="","",CreditGen10))</f>
        <v/>
      </c>
      <c r="AS5" s="499"/>
      <c r="AT5" s="496" t="str">
        <f t="shared" ref="AT5:AT49" si="32">IF(codegen11="","",IF($A5="","",codegen11))</f>
        <v/>
      </c>
      <c r="AU5" s="497" t="str">
        <f t="shared" ref="AU5:AU49" si="33">IF(SubGen11="","",IF($A5="","",SubGen11))</f>
        <v/>
      </c>
      <c r="AV5" s="496" t="str">
        <f t="shared" ref="AV5:AV49" si="34">IF(CreditGen11="","",IF($A5="","",CreditGen11))</f>
        <v/>
      </c>
      <c r="AW5" s="499"/>
      <c r="AX5" s="496" t="str">
        <f t="shared" ref="AX5:AX49" si="35">IF(codegen12="","",IF($A5="","",codegen12))</f>
        <v/>
      </c>
      <c r="AY5" s="497" t="str">
        <f t="shared" ref="AY5:AY49" si="36">IF(SubGen12="","",IF($A5="","",SubGen12))</f>
        <v/>
      </c>
      <c r="AZ5" s="496" t="str">
        <f t="shared" ref="AZ5:AZ49" si="37">IF(CreditGen12="","",IF($A5="","",CreditGen12))</f>
        <v/>
      </c>
      <c r="BA5" s="499"/>
      <c r="BB5" s="496" t="str">
        <f t="shared" ref="BB5:BB49" si="38">IF(CodeEle1="","",IF($A5="","",CodeEle1))</f>
        <v/>
      </c>
      <c r="BC5" s="497" t="str">
        <f t="shared" ref="BC5:BC49" si="39">IF(SubEle1="","",IF($A5="","",SubEle1))</f>
        <v/>
      </c>
      <c r="BD5" s="496" t="str">
        <f t="shared" ref="BD5:BD49" si="40">IF(CreditEle1="","",IF($A5="","",CreditEle1))</f>
        <v/>
      </c>
      <c r="BE5" s="499"/>
      <c r="BF5" s="496" t="str">
        <f t="shared" ref="BF5:BF49" si="41">IF(CodeEle2="","",IF($A5="","",CodeEle2))</f>
        <v/>
      </c>
      <c r="BG5" s="497" t="str">
        <f t="shared" ref="BG5:BG49" si="42">IF(SubEle2="","",IF($A5="","",SubEle2))</f>
        <v/>
      </c>
      <c r="BH5" s="496" t="str">
        <f t="shared" ref="BH5:BH49" si="43">IF(CreditEle2="","",IF($A5="","",CreditEle2))</f>
        <v/>
      </c>
      <c r="BI5" s="499"/>
      <c r="BJ5" s="496" t="str">
        <f t="shared" ref="BJ5:BJ49" si="44">IF(CodeEle3="","",IF($A5="","",CodeEle3))</f>
        <v/>
      </c>
      <c r="BK5" s="497" t="str">
        <f t="shared" ref="BK5:BK49" si="45">IF(SubEle3="","",IF($A5="","",SubEle3))</f>
        <v/>
      </c>
      <c r="BL5" s="496" t="str">
        <f t="shared" ref="BL5:BL49" si="46">IF(CreditEle3="","",IF($A5="","",CreditEle3))</f>
        <v/>
      </c>
      <c r="BM5" s="499"/>
      <c r="BN5" s="496" t="str">
        <f t="shared" ref="BN5:BN49" si="47">IF(CodeEle4="","",IF($A5="","",CodeEle4))</f>
        <v/>
      </c>
      <c r="BO5" s="497" t="str">
        <f t="shared" ref="BO5:BO49" si="48">IF(SubEle4="","",IF($A5="","",SubEle4))</f>
        <v/>
      </c>
      <c r="BP5" s="496" t="str">
        <f t="shared" ref="BP5:BP49" si="49">IF(CreditEle4="","",IF($A5="","",CreditEle4))</f>
        <v/>
      </c>
      <c r="BQ5" s="499"/>
      <c r="BR5" s="496" t="str">
        <f t="shared" ref="BR5:BR49" si="50">IF(CodeEle5="","",IF($A5="","",CodeEle5))</f>
        <v/>
      </c>
      <c r="BS5" s="497" t="str">
        <f t="shared" ref="BS5:BS49" si="51">IF(SubEle5="","",IF($A5="","",SubEle5))</f>
        <v/>
      </c>
      <c r="BT5" s="496" t="str">
        <f t="shared" ref="BT5:BT49" si="52">IF(CreditEle5="","",IF($A5="","",CreditEle5))</f>
        <v/>
      </c>
      <c r="BU5" s="499"/>
      <c r="BV5" s="496" t="str">
        <f t="shared" ref="BV5:BV49" si="53">IF(CodeEle6="","",IF($A5="","",CodeEle6))</f>
        <v/>
      </c>
      <c r="BW5" s="497" t="str">
        <f t="shared" ref="BW5:BW49" si="54">IF(SubEle6="","",IF($A5="","",SubEle6))</f>
        <v/>
      </c>
      <c r="BX5" s="496" t="str">
        <f t="shared" ref="BX5:BX49" si="55">IF(CreditEle6="","",IF($A5="","",CreditEle6))</f>
        <v/>
      </c>
      <c r="BY5" s="499"/>
      <c r="BZ5" s="496" t="str">
        <f t="shared" ref="BZ5:BZ49" si="56">IF(CodeEle7="","",IF($A5="","",CodeEle7))</f>
        <v/>
      </c>
      <c r="CA5" s="497" t="str">
        <f t="shared" ref="CA5:CA49" si="57">IF(SubEle7="","",IF($A5="","",SubEle7))</f>
        <v/>
      </c>
      <c r="CB5" s="496" t="str">
        <f t="shared" ref="CB5:CB49" si="58">IF(CreditEle7="","",IF($A5="","",CreditEle7))</f>
        <v/>
      </c>
      <c r="CC5" s="499"/>
      <c r="CD5" s="496" t="str">
        <f t="shared" ref="CD5:CD49" si="59">IF(CodeEle8="","",IF($A5="","",CodeEle8))</f>
        <v/>
      </c>
      <c r="CE5" s="497" t="str">
        <f t="shared" ref="CE5:CE49" si="60">IF(SubEle8="","",IF($A5="","",SubEle8))</f>
        <v/>
      </c>
      <c r="CF5" s="496" t="str">
        <f t="shared" ref="CF5:CF49" si="61">IF(CreditEle8="","",IF($A5="","",CreditEle8))</f>
        <v/>
      </c>
      <c r="CG5" s="499"/>
      <c r="CH5" s="496" t="str">
        <f t="shared" ref="CH5:CH49" si="62">IF(CodeEle9="","",IF($A5="","",CodeEle9))</f>
        <v/>
      </c>
      <c r="CI5" s="497" t="str">
        <f t="shared" ref="CI5:CI49" si="63">IF(SubEle9="","",IF($A5="","",SubEle9))</f>
        <v/>
      </c>
      <c r="CJ5" s="496" t="str">
        <f t="shared" ref="CJ5:CJ49" si="64">IF(CreditEle9="","",IF($A5="","",CreditEle9))</f>
        <v/>
      </c>
      <c r="CK5" s="499"/>
      <c r="CL5" s="496" t="str">
        <f t="shared" ref="CL5:CL49" si="65">IF(CodeEle10="","",IF($A5="","",CodeEle10))</f>
        <v/>
      </c>
      <c r="CM5" s="497" t="str">
        <f t="shared" ref="CM5:CM49" si="66">IF(SubEle10="","",IF($A5="","",SubEle10))</f>
        <v/>
      </c>
      <c r="CN5" s="496" t="str">
        <f t="shared" ref="CN5:CN49" si="67">IF(CreditEle10="","",IF($A5="","",CreditEle10))</f>
        <v/>
      </c>
      <c r="CO5" s="499"/>
      <c r="CP5" s="496" t="str">
        <f t="shared" ref="CP5:CP49" si="68">IF(CodeEle11="","",IF($A5="","",CodeEle11))</f>
        <v/>
      </c>
      <c r="CQ5" s="497" t="str">
        <f t="shared" ref="CQ5:CQ49" si="69">IF(SubEle11="","",IF($A5="","",SubEle11))</f>
        <v/>
      </c>
      <c r="CR5" s="496" t="str">
        <f t="shared" ref="CR5:CR49" si="70">IF(CreditEle11="","",IF($A5="","",CreditEle11))</f>
        <v/>
      </c>
      <c r="CS5" s="499"/>
      <c r="CT5" s="496" t="str">
        <f t="shared" ref="CT5:CT49" si="71">IF(CodeEle12="","",IF($A5="","",CodeEle12))</f>
        <v/>
      </c>
      <c r="CU5" s="497" t="str">
        <f t="shared" ref="CU5:CU49" si="72">IF(SubEle12="","",IF($A5="","",SubEle12))</f>
        <v/>
      </c>
      <c r="CV5" s="496" t="str">
        <f t="shared" ref="CV5:CV49" si="73">IF(CreditEle12="","",IF($A5="","",CreditEle12))</f>
        <v/>
      </c>
      <c r="CW5" s="499"/>
      <c r="CX5" s="496" t="str">
        <f>IF('1.ข้อมูลเบื้องต้น'!$B$32="","",IF($A5="","",'1.ข้อมูลเบื้องต้น'!$B$32))</f>
        <v/>
      </c>
      <c r="CY5" s="497" t="str">
        <f>IF('1.ข้อมูลเบื้องต้น'!$C$32="","",IF($A5="","",'1.ข้อมูลเบื้องต้น'!$C$32))</f>
        <v/>
      </c>
      <c r="CZ5" s="496" t="str">
        <f>IF('1.ข้อมูลเบื้องต้น'!$D$32="","",IF($A5="","",'1.ข้อมูลเบื้องต้น'!$D$32))</f>
        <v/>
      </c>
      <c r="DA5" s="499"/>
      <c r="DB5" s="496" t="str">
        <f>IF(OR(I5&gt;$I$4,M5&gt;$M$4,Q5&gt;$Q$4,U5&gt;$U$4,Y5&gt;$Y$4,AC5&gt;$AC$4,AG5&gt;$AG$4,AK5&gt;$AK$4,AO5&gt;$AO$4,AS5&gt;$AS$4,AW5&gt;$AW$4,BA5&gt;$BA$4,BE5&gt;$BE$4,BI5&gt;$BI$4,BM5&gt;$BM$4,BQ5&gt;$BQ$4,BU5&gt;$BU$4,BY5&gt;$BY$4,CC5&gt;$CC$4,CG5&gt;$CG$4,CK5&gt;$CK$4,CO5&gt;$CO$4,CS5&gt;$CS$4,CW5&gt;$CW$4,DA5&gt;$DA$4),"",IF(COUNT($I$4,$M$4,$Q$4,$U$4,$Y$4,$AC$4,$AG$4,$AK$4,$AO$4,$AS$4,$AW$4,$BA$4,$BE$5,$BI$4,$BM$4,$BQ$4,$BU$4,$BY$4,$CC$4,$CG$4,$CK$4,$CO$4,$CS$4,$CW$4,$DA$4)=0,"",IF(COUNT(I5,M5,Q5,U5,Y5,AC5,AG5,AK5,AO5,AS5,AW5,BA5,BE5,BI5,BM5,BQ5,BU5,BY5,CC5,CG5,CK5,CO5,CS5,CW5,DA5)=0,"",(SUM(I5,M5,Q5,U5,Y5,AC5,AG5,AK5,AO5,AS5,AW5,BA5,BE5,BI5,BM5,BQ5,BU5,BY5,CC5,CG5,CK5,CO5,CS5,CW5,DA5)))))</f>
        <v/>
      </c>
      <c r="DC5" s="498" t="str">
        <f>IF('2.ชื่อนักเรียน'!R11="มส","มส",IF('2.ชื่อนักเรียน'!R11="ย้าย","ย้าย",IF('2.ชื่อนักเรียน'!R11="ร","ร",IF(DB5="","",RANK(DB5,$DB$5:$DB$49,0)))))</f>
        <v/>
      </c>
      <c r="DD5" s="496" t="str">
        <f>IF(COUNT(I5,M5,Q5,U5,Y5,AC5,AG5,AK5,AO5,AS5,AW5,BA5,BE5,BI5,BM5,BQ5,BU5,BY5,CC5,CG5,CK5,CO5,CS5,CW5,DA5)=0,"",COUNT(I5,M5,Q5,U5,Y5,AC5,AG5,AK5,AO5,AS5,AW5,BA5,BE5,BI5,BM5,BQ5,BU5,BY5,CC5,CG5,CK5,CO5,CS5,CW5,DA5))</f>
        <v/>
      </c>
    </row>
    <row r="6" spans="1:108" s="501" customFormat="1" ht="21" x14ac:dyDescent="0.4">
      <c r="A6" s="496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B6" s="496" t="str">
        <f>IF(IDstu2="","",IDstu2)</f>
        <v/>
      </c>
      <c r="C6" s="497" t="str">
        <f>CONCATENATE(TRIM(Name2),"  ",Surname2)</f>
        <v xml:space="preserve">  </v>
      </c>
      <c r="D6" s="498" t="str">
        <f t="shared" si="0"/>
        <v/>
      </c>
      <c r="E6" s="496" t="str">
        <f t="shared" si="1"/>
        <v/>
      </c>
      <c r="F6" s="496" t="str">
        <f t="shared" si="2"/>
        <v/>
      </c>
      <c r="G6" s="497" t="str">
        <f t="shared" si="3"/>
        <v/>
      </c>
      <c r="H6" s="496" t="str">
        <f t="shared" si="4"/>
        <v/>
      </c>
      <c r="I6" s="499"/>
      <c r="J6" s="496" t="str">
        <f t="shared" si="5"/>
        <v/>
      </c>
      <c r="K6" s="497" t="str">
        <f t="shared" si="6"/>
        <v/>
      </c>
      <c r="L6" s="496" t="str">
        <f t="shared" si="7"/>
        <v/>
      </c>
      <c r="M6" s="500"/>
      <c r="N6" s="496" t="str">
        <f t="shared" si="8"/>
        <v/>
      </c>
      <c r="O6" s="497" t="str">
        <f t="shared" si="9"/>
        <v/>
      </c>
      <c r="P6" s="496" t="str">
        <f t="shared" si="10"/>
        <v/>
      </c>
      <c r="Q6" s="499"/>
      <c r="R6" s="496" t="str">
        <f t="shared" si="11"/>
        <v/>
      </c>
      <c r="S6" s="497" t="str">
        <f t="shared" si="12"/>
        <v/>
      </c>
      <c r="T6" s="496" t="str">
        <f t="shared" si="13"/>
        <v/>
      </c>
      <c r="U6" s="499"/>
      <c r="V6" s="496" t="str">
        <f t="shared" si="14"/>
        <v/>
      </c>
      <c r="W6" s="497" t="str">
        <f t="shared" si="15"/>
        <v/>
      </c>
      <c r="X6" s="496" t="str">
        <f t="shared" si="16"/>
        <v/>
      </c>
      <c r="Y6" s="499"/>
      <c r="Z6" s="496" t="str">
        <f t="shared" si="17"/>
        <v/>
      </c>
      <c r="AA6" s="497" t="str">
        <f t="shared" si="18"/>
        <v/>
      </c>
      <c r="AB6" s="496" t="str">
        <f t="shared" si="19"/>
        <v/>
      </c>
      <c r="AC6" s="500"/>
      <c r="AD6" s="496" t="str">
        <f t="shared" si="20"/>
        <v/>
      </c>
      <c r="AE6" s="497" t="str">
        <f t="shared" si="21"/>
        <v/>
      </c>
      <c r="AF6" s="496" t="str">
        <f t="shared" si="22"/>
        <v/>
      </c>
      <c r="AG6" s="500"/>
      <c r="AH6" s="496" t="str">
        <f t="shared" si="23"/>
        <v/>
      </c>
      <c r="AI6" s="497" t="str">
        <f t="shared" si="24"/>
        <v/>
      </c>
      <c r="AJ6" s="496" t="str">
        <f t="shared" si="25"/>
        <v/>
      </c>
      <c r="AK6" s="500"/>
      <c r="AL6" s="496" t="str">
        <f t="shared" si="26"/>
        <v/>
      </c>
      <c r="AM6" s="497" t="str">
        <f t="shared" si="27"/>
        <v/>
      </c>
      <c r="AN6" s="496" t="str">
        <f t="shared" si="28"/>
        <v/>
      </c>
      <c r="AO6" s="499"/>
      <c r="AP6" s="496" t="str">
        <f t="shared" si="29"/>
        <v/>
      </c>
      <c r="AQ6" s="497" t="str">
        <f t="shared" si="30"/>
        <v/>
      </c>
      <c r="AR6" s="496" t="str">
        <f t="shared" si="31"/>
        <v/>
      </c>
      <c r="AS6" s="499"/>
      <c r="AT6" s="496" t="str">
        <f t="shared" si="32"/>
        <v/>
      </c>
      <c r="AU6" s="497" t="str">
        <f t="shared" si="33"/>
        <v/>
      </c>
      <c r="AV6" s="496" t="str">
        <f t="shared" si="34"/>
        <v/>
      </c>
      <c r="AW6" s="499"/>
      <c r="AX6" s="496" t="str">
        <f t="shared" si="35"/>
        <v/>
      </c>
      <c r="AY6" s="497" t="str">
        <f t="shared" si="36"/>
        <v/>
      </c>
      <c r="AZ6" s="496" t="str">
        <f t="shared" si="37"/>
        <v/>
      </c>
      <c r="BA6" s="499"/>
      <c r="BB6" s="496" t="str">
        <f t="shared" si="38"/>
        <v/>
      </c>
      <c r="BC6" s="497" t="str">
        <f t="shared" si="39"/>
        <v/>
      </c>
      <c r="BD6" s="496" t="str">
        <f t="shared" si="40"/>
        <v/>
      </c>
      <c r="BE6" s="499"/>
      <c r="BF6" s="496" t="str">
        <f t="shared" si="41"/>
        <v/>
      </c>
      <c r="BG6" s="497" t="str">
        <f t="shared" si="42"/>
        <v/>
      </c>
      <c r="BH6" s="496" t="str">
        <f t="shared" si="43"/>
        <v/>
      </c>
      <c r="BI6" s="499"/>
      <c r="BJ6" s="496" t="str">
        <f t="shared" si="44"/>
        <v/>
      </c>
      <c r="BK6" s="497" t="str">
        <f t="shared" si="45"/>
        <v/>
      </c>
      <c r="BL6" s="496" t="str">
        <f t="shared" si="46"/>
        <v/>
      </c>
      <c r="BM6" s="499"/>
      <c r="BN6" s="496" t="str">
        <f t="shared" si="47"/>
        <v/>
      </c>
      <c r="BO6" s="497" t="str">
        <f t="shared" si="48"/>
        <v/>
      </c>
      <c r="BP6" s="496" t="str">
        <f t="shared" si="49"/>
        <v/>
      </c>
      <c r="BQ6" s="499"/>
      <c r="BR6" s="496" t="str">
        <f t="shared" si="50"/>
        <v/>
      </c>
      <c r="BS6" s="497" t="str">
        <f t="shared" si="51"/>
        <v/>
      </c>
      <c r="BT6" s="496" t="str">
        <f t="shared" si="52"/>
        <v/>
      </c>
      <c r="BU6" s="499"/>
      <c r="BV6" s="496" t="str">
        <f t="shared" si="53"/>
        <v/>
      </c>
      <c r="BW6" s="497" t="str">
        <f t="shared" si="54"/>
        <v/>
      </c>
      <c r="BX6" s="496" t="str">
        <f t="shared" si="55"/>
        <v/>
      </c>
      <c r="BY6" s="499"/>
      <c r="BZ6" s="496" t="str">
        <f t="shared" si="56"/>
        <v/>
      </c>
      <c r="CA6" s="497" t="str">
        <f t="shared" si="57"/>
        <v/>
      </c>
      <c r="CB6" s="496" t="str">
        <f t="shared" si="58"/>
        <v/>
      </c>
      <c r="CC6" s="499"/>
      <c r="CD6" s="496" t="str">
        <f t="shared" si="59"/>
        <v/>
      </c>
      <c r="CE6" s="497" t="str">
        <f t="shared" si="60"/>
        <v/>
      </c>
      <c r="CF6" s="496" t="str">
        <f t="shared" si="61"/>
        <v/>
      </c>
      <c r="CG6" s="499"/>
      <c r="CH6" s="496" t="str">
        <f t="shared" si="62"/>
        <v/>
      </c>
      <c r="CI6" s="497" t="str">
        <f t="shared" si="63"/>
        <v/>
      </c>
      <c r="CJ6" s="496" t="str">
        <f t="shared" si="64"/>
        <v/>
      </c>
      <c r="CK6" s="499"/>
      <c r="CL6" s="496" t="str">
        <f t="shared" si="65"/>
        <v/>
      </c>
      <c r="CM6" s="497" t="str">
        <f t="shared" si="66"/>
        <v/>
      </c>
      <c r="CN6" s="496" t="str">
        <f t="shared" si="67"/>
        <v/>
      </c>
      <c r="CO6" s="499"/>
      <c r="CP6" s="496" t="str">
        <f t="shared" si="68"/>
        <v/>
      </c>
      <c r="CQ6" s="497" t="str">
        <f t="shared" si="69"/>
        <v/>
      </c>
      <c r="CR6" s="496" t="str">
        <f t="shared" si="70"/>
        <v/>
      </c>
      <c r="CS6" s="499"/>
      <c r="CT6" s="496" t="str">
        <f t="shared" si="71"/>
        <v/>
      </c>
      <c r="CU6" s="497" t="str">
        <f t="shared" si="72"/>
        <v/>
      </c>
      <c r="CV6" s="496" t="str">
        <f t="shared" si="73"/>
        <v/>
      </c>
      <c r="CW6" s="499"/>
      <c r="CX6" s="496" t="str">
        <f>IF('1.ข้อมูลเบื้องต้น'!$B$32="","",IF($A6="","",'1.ข้อมูลเบื้องต้น'!$B$32))</f>
        <v/>
      </c>
      <c r="CY6" s="497" t="str">
        <f>IF('1.ข้อมูลเบื้องต้น'!$C$32="","",IF($A6="","",'1.ข้อมูลเบื้องต้น'!$C$32))</f>
        <v/>
      </c>
      <c r="CZ6" s="496" t="str">
        <f>IF('1.ข้อมูลเบื้องต้น'!$D$32="","",IF($A6="","",'1.ข้อมูลเบื้องต้น'!$D$32))</f>
        <v/>
      </c>
      <c r="DA6" s="499"/>
      <c r="DB6" s="496" t="str">
        <f t="shared" ref="DB6:DB49" si="74">IF(OR(I6&gt;$I$4,M6&gt;$M$4,Q6&gt;$Q$4,U6&gt;$U$4,Y6&gt;$Y$4,AC6&gt;$AC$4,AG6&gt;$AG$4,AK6&gt;$AK$4,AO6&gt;$AO$4,AS6&gt;$AS$4,AW6&gt;$AW$4,BA6&gt;$BA$4,BE6&gt;$BE$4,BI6&gt;$BI$4,BM6&gt;$BM$4,BQ6&gt;$BQ$4,BU6&gt;$BU$4,BY6&gt;$BY$4,CC6&gt;$CC$4,CG6&gt;$CG$4,CK6&gt;$CK$4,CO6&gt;$CO$4,CS6&gt;$CS$4,CW6&gt;$CW$4,DA6&gt;$DA$4),"",IF(COUNT($I$4,$M$4,$Q$4,$U$4,$Y$4,$AC$4,$AG$4,$AK$4,$AO$4,$AS$4,$AW$4,$BA$4,$BE$5,$BI$4,$BM$4,$BQ$4,$BU$4,$BY$4,$CC$4,$CG$4,$CK$4,$CO$4,$CS$4,$CW$4,$DA$4)=0,"",IF(COUNT(I6,M6,Q6,U6,Y6,AC6,AG6,AK6,AO6,AS6,AW6,BA6,BE6,BI6,BM6,BQ6,BU6,BY6,CC6,CG6,CK6,CO6,CS6,CW6,DA6)=0,"",(SUM(I6,M6,Q6,U6,Y6,AC6,AG6,AK6,AO6,AS6,AW6,BA6,BE6,BI6,BM6,BQ6,BU6,BY6,CC6,CG6,CK6,CO6,CS6,CW6,DA6)))))</f>
        <v/>
      </c>
      <c r="DC6" s="498" t="str">
        <f>IF('2.ชื่อนักเรียน'!R12="มส","มส",IF('2.ชื่อนักเรียน'!R12="ย้าย","ย้าย",IF('2.ชื่อนักเรียน'!R12="ร","ร",IF(DB6="","",RANK(DB6,$DB$5:$DB$49,0)))))</f>
        <v/>
      </c>
      <c r="DD6" s="496" t="str">
        <f t="shared" ref="DD6:DD49" si="75">IF(COUNT(I6,M6,Q6,U6,Y6,AC6,AG6,AK6,AO6,AS6,AW6,BA6,BE6,BI6,BM6,BQ6,BU6,BY6,CC6,CG6,CK6,CO6,CS6,CW6,DA6)=0,"",COUNT(I6,M6,Q6,U6,Y6,AC6,AG6,AK6,AO6,AS6,AW6,BA6,BE6,BI6,BM6,BQ6,BU6,BY6,CC6,CG6,CK6,CO6,CS6,CW6,DA6))</f>
        <v/>
      </c>
    </row>
    <row r="7" spans="1:108" s="501" customFormat="1" ht="21" x14ac:dyDescent="0.4">
      <c r="A7" s="496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B7" s="496" t="str">
        <f>IF(IDstu3="","",IDstu3)</f>
        <v/>
      </c>
      <c r="C7" s="497" t="str">
        <f>CONCATENATE(TRIM(Name3),"  ",Surname3)</f>
        <v xml:space="preserve">  </v>
      </c>
      <c r="D7" s="498" t="str">
        <f t="shared" si="0"/>
        <v/>
      </c>
      <c r="E7" s="496" t="str">
        <f t="shared" si="1"/>
        <v/>
      </c>
      <c r="F7" s="496" t="str">
        <f t="shared" si="2"/>
        <v/>
      </c>
      <c r="G7" s="497" t="str">
        <f t="shared" si="3"/>
        <v/>
      </c>
      <c r="H7" s="496" t="str">
        <f t="shared" si="4"/>
        <v/>
      </c>
      <c r="I7" s="499"/>
      <c r="J7" s="496" t="str">
        <f t="shared" si="5"/>
        <v/>
      </c>
      <c r="K7" s="497" t="str">
        <f t="shared" si="6"/>
        <v/>
      </c>
      <c r="L7" s="496" t="str">
        <f t="shared" si="7"/>
        <v/>
      </c>
      <c r="M7" s="500"/>
      <c r="N7" s="496" t="str">
        <f t="shared" si="8"/>
        <v/>
      </c>
      <c r="O7" s="497" t="str">
        <f t="shared" si="9"/>
        <v/>
      </c>
      <c r="P7" s="496" t="str">
        <f t="shared" si="10"/>
        <v/>
      </c>
      <c r="Q7" s="499"/>
      <c r="R7" s="496" t="str">
        <f t="shared" si="11"/>
        <v/>
      </c>
      <c r="S7" s="497" t="str">
        <f t="shared" si="12"/>
        <v/>
      </c>
      <c r="T7" s="496" t="str">
        <f t="shared" si="13"/>
        <v/>
      </c>
      <c r="U7" s="499"/>
      <c r="V7" s="496" t="str">
        <f t="shared" si="14"/>
        <v/>
      </c>
      <c r="W7" s="497" t="str">
        <f t="shared" si="15"/>
        <v/>
      </c>
      <c r="X7" s="496" t="str">
        <f t="shared" si="16"/>
        <v/>
      </c>
      <c r="Y7" s="499"/>
      <c r="Z7" s="496" t="str">
        <f t="shared" si="17"/>
        <v/>
      </c>
      <c r="AA7" s="497" t="str">
        <f t="shared" si="18"/>
        <v/>
      </c>
      <c r="AB7" s="496" t="str">
        <f t="shared" si="19"/>
        <v/>
      </c>
      <c r="AC7" s="500"/>
      <c r="AD7" s="496" t="str">
        <f t="shared" si="20"/>
        <v/>
      </c>
      <c r="AE7" s="497" t="str">
        <f t="shared" si="21"/>
        <v/>
      </c>
      <c r="AF7" s="496" t="str">
        <f t="shared" si="22"/>
        <v/>
      </c>
      <c r="AG7" s="500"/>
      <c r="AH7" s="496" t="str">
        <f t="shared" si="23"/>
        <v/>
      </c>
      <c r="AI7" s="497" t="str">
        <f t="shared" si="24"/>
        <v/>
      </c>
      <c r="AJ7" s="496" t="str">
        <f t="shared" si="25"/>
        <v/>
      </c>
      <c r="AK7" s="500"/>
      <c r="AL7" s="496" t="str">
        <f t="shared" si="26"/>
        <v/>
      </c>
      <c r="AM7" s="497" t="str">
        <f t="shared" si="27"/>
        <v/>
      </c>
      <c r="AN7" s="496" t="str">
        <f t="shared" si="28"/>
        <v/>
      </c>
      <c r="AO7" s="499"/>
      <c r="AP7" s="496" t="str">
        <f t="shared" si="29"/>
        <v/>
      </c>
      <c r="AQ7" s="497" t="str">
        <f t="shared" si="30"/>
        <v/>
      </c>
      <c r="AR7" s="496" t="str">
        <f t="shared" si="31"/>
        <v/>
      </c>
      <c r="AS7" s="499"/>
      <c r="AT7" s="496" t="str">
        <f t="shared" si="32"/>
        <v/>
      </c>
      <c r="AU7" s="497" t="str">
        <f t="shared" si="33"/>
        <v/>
      </c>
      <c r="AV7" s="496" t="str">
        <f t="shared" si="34"/>
        <v/>
      </c>
      <c r="AW7" s="499"/>
      <c r="AX7" s="496" t="str">
        <f t="shared" si="35"/>
        <v/>
      </c>
      <c r="AY7" s="497" t="str">
        <f t="shared" si="36"/>
        <v/>
      </c>
      <c r="AZ7" s="496" t="str">
        <f t="shared" si="37"/>
        <v/>
      </c>
      <c r="BA7" s="499"/>
      <c r="BB7" s="496" t="str">
        <f t="shared" si="38"/>
        <v/>
      </c>
      <c r="BC7" s="497" t="str">
        <f t="shared" si="39"/>
        <v/>
      </c>
      <c r="BD7" s="496" t="str">
        <f t="shared" si="40"/>
        <v/>
      </c>
      <c r="BE7" s="499"/>
      <c r="BF7" s="496" t="str">
        <f t="shared" si="41"/>
        <v/>
      </c>
      <c r="BG7" s="497" t="str">
        <f t="shared" si="42"/>
        <v/>
      </c>
      <c r="BH7" s="496" t="str">
        <f t="shared" si="43"/>
        <v/>
      </c>
      <c r="BI7" s="499"/>
      <c r="BJ7" s="496" t="str">
        <f t="shared" si="44"/>
        <v/>
      </c>
      <c r="BK7" s="497" t="str">
        <f t="shared" si="45"/>
        <v/>
      </c>
      <c r="BL7" s="496" t="str">
        <f t="shared" si="46"/>
        <v/>
      </c>
      <c r="BM7" s="499"/>
      <c r="BN7" s="496" t="str">
        <f t="shared" si="47"/>
        <v/>
      </c>
      <c r="BO7" s="497" t="str">
        <f t="shared" si="48"/>
        <v/>
      </c>
      <c r="BP7" s="496" t="str">
        <f t="shared" si="49"/>
        <v/>
      </c>
      <c r="BQ7" s="499"/>
      <c r="BR7" s="496" t="str">
        <f t="shared" si="50"/>
        <v/>
      </c>
      <c r="BS7" s="497" t="str">
        <f t="shared" si="51"/>
        <v/>
      </c>
      <c r="BT7" s="496" t="str">
        <f t="shared" si="52"/>
        <v/>
      </c>
      <c r="BU7" s="499"/>
      <c r="BV7" s="496" t="str">
        <f t="shared" si="53"/>
        <v/>
      </c>
      <c r="BW7" s="497" t="str">
        <f t="shared" si="54"/>
        <v/>
      </c>
      <c r="BX7" s="496" t="str">
        <f t="shared" si="55"/>
        <v/>
      </c>
      <c r="BY7" s="499"/>
      <c r="BZ7" s="496" t="str">
        <f t="shared" si="56"/>
        <v/>
      </c>
      <c r="CA7" s="497" t="str">
        <f t="shared" si="57"/>
        <v/>
      </c>
      <c r="CB7" s="496" t="str">
        <f t="shared" si="58"/>
        <v/>
      </c>
      <c r="CC7" s="499"/>
      <c r="CD7" s="496" t="str">
        <f t="shared" si="59"/>
        <v/>
      </c>
      <c r="CE7" s="497" t="str">
        <f t="shared" si="60"/>
        <v/>
      </c>
      <c r="CF7" s="496" t="str">
        <f t="shared" si="61"/>
        <v/>
      </c>
      <c r="CG7" s="499"/>
      <c r="CH7" s="496" t="str">
        <f t="shared" si="62"/>
        <v/>
      </c>
      <c r="CI7" s="497" t="str">
        <f t="shared" si="63"/>
        <v/>
      </c>
      <c r="CJ7" s="496" t="str">
        <f t="shared" si="64"/>
        <v/>
      </c>
      <c r="CK7" s="499"/>
      <c r="CL7" s="496" t="str">
        <f t="shared" si="65"/>
        <v/>
      </c>
      <c r="CM7" s="497" t="str">
        <f t="shared" si="66"/>
        <v/>
      </c>
      <c r="CN7" s="496" t="str">
        <f t="shared" si="67"/>
        <v/>
      </c>
      <c r="CO7" s="499"/>
      <c r="CP7" s="496" t="str">
        <f t="shared" si="68"/>
        <v/>
      </c>
      <c r="CQ7" s="497" t="str">
        <f t="shared" si="69"/>
        <v/>
      </c>
      <c r="CR7" s="496" t="str">
        <f t="shared" si="70"/>
        <v/>
      </c>
      <c r="CS7" s="499"/>
      <c r="CT7" s="496" t="str">
        <f t="shared" si="71"/>
        <v/>
      </c>
      <c r="CU7" s="497" t="str">
        <f t="shared" si="72"/>
        <v/>
      </c>
      <c r="CV7" s="496" t="str">
        <f t="shared" si="73"/>
        <v/>
      </c>
      <c r="CW7" s="499"/>
      <c r="CX7" s="496" t="str">
        <f>IF('1.ข้อมูลเบื้องต้น'!$B$32="","",IF($A7="","",'1.ข้อมูลเบื้องต้น'!$B$32))</f>
        <v/>
      </c>
      <c r="CY7" s="497" t="str">
        <f>IF('1.ข้อมูลเบื้องต้น'!$C$32="","",IF($A7="","",'1.ข้อมูลเบื้องต้น'!$C$32))</f>
        <v/>
      </c>
      <c r="CZ7" s="496" t="str">
        <f>IF('1.ข้อมูลเบื้องต้น'!$D$32="","",IF($A7="","",'1.ข้อมูลเบื้องต้น'!$D$32))</f>
        <v/>
      </c>
      <c r="DA7" s="499"/>
      <c r="DB7" s="496" t="str">
        <f t="shared" si="74"/>
        <v/>
      </c>
      <c r="DC7" s="498" t="str">
        <f>IF('2.ชื่อนักเรียน'!R13="มส","มส",IF('2.ชื่อนักเรียน'!R13="ย้าย","ย้าย",IF('2.ชื่อนักเรียน'!R13="ร","ร",IF(DB7="","",RANK(DB7,$DB$5:$DB$49,0)))))</f>
        <v/>
      </c>
      <c r="DD7" s="496" t="str">
        <f t="shared" si="75"/>
        <v/>
      </c>
    </row>
    <row r="8" spans="1:108" s="501" customFormat="1" ht="21" x14ac:dyDescent="0.4">
      <c r="A8" s="496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B8" s="496" t="str">
        <f>IF(IDstu4="","",IDstu4)</f>
        <v/>
      </c>
      <c r="C8" s="497" t="str">
        <f>CONCATENATE(TRIM(Name4),"  ",Surname4)</f>
        <v xml:space="preserve">  </v>
      </c>
      <c r="D8" s="498" t="str">
        <f t="shared" si="0"/>
        <v/>
      </c>
      <c r="E8" s="496" t="str">
        <f t="shared" si="1"/>
        <v/>
      </c>
      <c r="F8" s="496" t="str">
        <f t="shared" si="2"/>
        <v/>
      </c>
      <c r="G8" s="497" t="str">
        <f t="shared" si="3"/>
        <v/>
      </c>
      <c r="H8" s="496" t="str">
        <f t="shared" si="4"/>
        <v/>
      </c>
      <c r="I8" s="499"/>
      <c r="J8" s="496" t="str">
        <f t="shared" si="5"/>
        <v/>
      </c>
      <c r="K8" s="497" t="str">
        <f t="shared" si="6"/>
        <v/>
      </c>
      <c r="L8" s="496" t="str">
        <f t="shared" si="7"/>
        <v/>
      </c>
      <c r="M8" s="500"/>
      <c r="N8" s="496" t="str">
        <f t="shared" si="8"/>
        <v/>
      </c>
      <c r="O8" s="497" t="str">
        <f t="shared" si="9"/>
        <v/>
      </c>
      <c r="P8" s="496" t="str">
        <f t="shared" si="10"/>
        <v/>
      </c>
      <c r="Q8" s="499"/>
      <c r="R8" s="496" t="str">
        <f t="shared" si="11"/>
        <v/>
      </c>
      <c r="S8" s="497" t="str">
        <f t="shared" si="12"/>
        <v/>
      </c>
      <c r="T8" s="496" t="str">
        <f t="shared" si="13"/>
        <v/>
      </c>
      <c r="U8" s="499"/>
      <c r="V8" s="496" t="str">
        <f t="shared" si="14"/>
        <v/>
      </c>
      <c r="W8" s="497" t="str">
        <f t="shared" si="15"/>
        <v/>
      </c>
      <c r="X8" s="496" t="str">
        <f t="shared" si="16"/>
        <v/>
      </c>
      <c r="Y8" s="499"/>
      <c r="Z8" s="496" t="str">
        <f t="shared" si="17"/>
        <v/>
      </c>
      <c r="AA8" s="497" t="str">
        <f t="shared" si="18"/>
        <v/>
      </c>
      <c r="AB8" s="496" t="str">
        <f t="shared" si="19"/>
        <v/>
      </c>
      <c r="AC8" s="500"/>
      <c r="AD8" s="496" t="str">
        <f t="shared" si="20"/>
        <v/>
      </c>
      <c r="AE8" s="497" t="str">
        <f t="shared" si="21"/>
        <v/>
      </c>
      <c r="AF8" s="496" t="str">
        <f t="shared" si="22"/>
        <v/>
      </c>
      <c r="AG8" s="500"/>
      <c r="AH8" s="496" t="str">
        <f t="shared" si="23"/>
        <v/>
      </c>
      <c r="AI8" s="497" t="str">
        <f t="shared" si="24"/>
        <v/>
      </c>
      <c r="AJ8" s="496" t="str">
        <f t="shared" si="25"/>
        <v/>
      </c>
      <c r="AK8" s="500"/>
      <c r="AL8" s="496" t="str">
        <f t="shared" si="26"/>
        <v/>
      </c>
      <c r="AM8" s="497" t="str">
        <f t="shared" si="27"/>
        <v/>
      </c>
      <c r="AN8" s="496" t="str">
        <f t="shared" si="28"/>
        <v/>
      </c>
      <c r="AO8" s="499"/>
      <c r="AP8" s="496" t="str">
        <f t="shared" si="29"/>
        <v/>
      </c>
      <c r="AQ8" s="497" t="str">
        <f t="shared" si="30"/>
        <v/>
      </c>
      <c r="AR8" s="496" t="str">
        <f t="shared" si="31"/>
        <v/>
      </c>
      <c r="AS8" s="499"/>
      <c r="AT8" s="496" t="str">
        <f t="shared" si="32"/>
        <v/>
      </c>
      <c r="AU8" s="497" t="str">
        <f t="shared" si="33"/>
        <v/>
      </c>
      <c r="AV8" s="496" t="str">
        <f t="shared" si="34"/>
        <v/>
      </c>
      <c r="AW8" s="499"/>
      <c r="AX8" s="496" t="str">
        <f t="shared" si="35"/>
        <v/>
      </c>
      <c r="AY8" s="497" t="str">
        <f t="shared" si="36"/>
        <v/>
      </c>
      <c r="AZ8" s="496" t="str">
        <f t="shared" si="37"/>
        <v/>
      </c>
      <c r="BA8" s="499"/>
      <c r="BB8" s="496" t="str">
        <f t="shared" si="38"/>
        <v/>
      </c>
      <c r="BC8" s="497" t="str">
        <f t="shared" si="39"/>
        <v/>
      </c>
      <c r="BD8" s="496" t="str">
        <f t="shared" si="40"/>
        <v/>
      </c>
      <c r="BE8" s="499"/>
      <c r="BF8" s="496" t="str">
        <f t="shared" si="41"/>
        <v/>
      </c>
      <c r="BG8" s="497" t="str">
        <f t="shared" si="42"/>
        <v/>
      </c>
      <c r="BH8" s="496" t="str">
        <f t="shared" si="43"/>
        <v/>
      </c>
      <c r="BI8" s="499"/>
      <c r="BJ8" s="496" t="str">
        <f t="shared" si="44"/>
        <v/>
      </c>
      <c r="BK8" s="497" t="str">
        <f t="shared" si="45"/>
        <v/>
      </c>
      <c r="BL8" s="496" t="str">
        <f t="shared" si="46"/>
        <v/>
      </c>
      <c r="BM8" s="499"/>
      <c r="BN8" s="496" t="str">
        <f t="shared" si="47"/>
        <v/>
      </c>
      <c r="BO8" s="497" t="str">
        <f t="shared" si="48"/>
        <v/>
      </c>
      <c r="BP8" s="496" t="str">
        <f t="shared" si="49"/>
        <v/>
      </c>
      <c r="BQ8" s="499"/>
      <c r="BR8" s="496" t="str">
        <f t="shared" si="50"/>
        <v/>
      </c>
      <c r="BS8" s="497" t="str">
        <f t="shared" si="51"/>
        <v/>
      </c>
      <c r="BT8" s="496" t="str">
        <f t="shared" si="52"/>
        <v/>
      </c>
      <c r="BU8" s="499"/>
      <c r="BV8" s="496" t="str">
        <f t="shared" si="53"/>
        <v/>
      </c>
      <c r="BW8" s="497" t="str">
        <f t="shared" si="54"/>
        <v/>
      </c>
      <c r="BX8" s="496" t="str">
        <f t="shared" si="55"/>
        <v/>
      </c>
      <c r="BY8" s="499"/>
      <c r="BZ8" s="496" t="str">
        <f t="shared" si="56"/>
        <v/>
      </c>
      <c r="CA8" s="497" t="str">
        <f t="shared" si="57"/>
        <v/>
      </c>
      <c r="CB8" s="496" t="str">
        <f t="shared" si="58"/>
        <v/>
      </c>
      <c r="CC8" s="499"/>
      <c r="CD8" s="496" t="str">
        <f t="shared" si="59"/>
        <v/>
      </c>
      <c r="CE8" s="497" t="str">
        <f t="shared" si="60"/>
        <v/>
      </c>
      <c r="CF8" s="496" t="str">
        <f t="shared" si="61"/>
        <v/>
      </c>
      <c r="CG8" s="499"/>
      <c r="CH8" s="496" t="str">
        <f t="shared" si="62"/>
        <v/>
      </c>
      <c r="CI8" s="497" t="str">
        <f t="shared" si="63"/>
        <v/>
      </c>
      <c r="CJ8" s="496" t="str">
        <f t="shared" si="64"/>
        <v/>
      </c>
      <c r="CK8" s="499"/>
      <c r="CL8" s="496" t="str">
        <f t="shared" si="65"/>
        <v/>
      </c>
      <c r="CM8" s="497" t="str">
        <f t="shared" si="66"/>
        <v/>
      </c>
      <c r="CN8" s="496" t="str">
        <f t="shared" si="67"/>
        <v/>
      </c>
      <c r="CO8" s="499"/>
      <c r="CP8" s="496" t="str">
        <f t="shared" si="68"/>
        <v/>
      </c>
      <c r="CQ8" s="497" t="str">
        <f t="shared" si="69"/>
        <v/>
      </c>
      <c r="CR8" s="496" t="str">
        <f t="shared" si="70"/>
        <v/>
      </c>
      <c r="CS8" s="499"/>
      <c r="CT8" s="496" t="str">
        <f t="shared" si="71"/>
        <v/>
      </c>
      <c r="CU8" s="497" t="str">
        <f t="shared" si="72"/>
        <v/>
      </c>
      <c r="CV8" s="496" t="str">
        <f t="shared" si="73"/>
        <v/>
      </c>
      <c r="CW8" s="499"/>
      <c r="CX8" s="496" t="str">
        <f>IF('1.ข้อมูลเบื้องต้น'!$B$32="","",IF($A8="","",'1.ข้อมูลเบื้องต้น'!$B$32))</f>
        <v/>
      </c>
      <c r="CY8" s="497" t="str">
        <f>IF('1.ข้อมูลเบื้องต้น'!$C$32="","",IF($A8="","",'1.ข้อมูลเบื้องต้น'!$C$32))</f>
        <v/>
      </c>
      <c r="CZ8" s="496" t="str">
        <f>IF('1.ข้อมูลเบื้องต้น'!$D$32="","",IF($A8="","",'1.ข้อมูลเบื้องต้น'!$D$32))</f>
        <v/>
      </c>
      <c r="DA8" s="499"/>
      <c r="DB8" s="496" t="str">
        <f t="shared" si="74"/>
        <v/>
      </c>
      <c r="DC8" s="498" t="str">
        <f>IF('2.ชื่อนักเรียน'!R14="มส","มส",IF('2.ชื่อนักเรียน'!R14="ย้าย","ย้าย",IF('2.ชื่อนักเรียน'!R14="ร","ร",IF(DB8="","",RANK(DB8,$DB$5:$DB$49,0)))))</f>
        <v/>
      </c>
      <c r="DD8" s="496" t="str">
        <f t="shared" si="75"/>
        <v/>
      </c>
    </row>
    <row r="9" spans="1:108" s="501" customFormat="1" ht="21" x14ac:dyDescent="0.4">
      <c r="A9" s="496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B9" s="496" t="str">
        <f>IF(IDstu5="","",IDstu5)</f>
        <v/>
      </c>
      <c r="C9" s="497" t="str">
        <f>CONCATENATE(TRIM(Name5),"  ",Surname5)</f>
        <v xml:space="preserve">  </v>
      </c>
      <c r="D9" s="498" t="str">
        <f t="shared" si="0"/>
        <v/>
      </c>
      <c r="E9" s="496" t="str">
        <f t="shared" si="1"/>
        <v/>
      </c>
      <c r="F9" s="496" t="str">
        <f t="shared" si="2"/>
        <v/>
      </c>
      <c r="G9" s="497" t="str">
        <f t="shared" si="3"/>
        <v/>
      </c>
      <c r="H9" s="496" t="str">
        <f t="shared" si="4"/>
        <v/>
      </c>
      <c r="I9" s="499"/>
      <c r="J9" s="496" t="str">
        <f t="shared" si="5"/>
        <v/>
      </c>
      <c r="K9" s="497" t="str">
        <f t="shared" si="6"/>
        <v/>
      </c>
      <c r="L9" s="496" t="str">
        <f t="shared" si="7"/>
        <v/>
      </c>
      <c r="M9" s="500"/>
      <c r="N9" s="496" t="str">
        <f t="shared" si="8"/>
        <v/>
      </c>
      <c r="O9" s="497" t="str">
        <f t="shared" si="9"/>
        <v/>
      </c>
      <c r="P9" s="496" t="str">
        <f t="shared" si="10"/>
        <v/>
      </c>
      <c r="Q9" s="499"/>
      <c r="R9" s="496" t="str">
        <f t="shared" si="11"/>
        <v/>
      </c>
      <c r="S9" s="497" t="str">
        <f t="shared" si="12"/>
        <v/>
      </c>
      <c r="T9" s="496" t="str">
        <f t="shared" si="13"/>
        <v/>
      </c>
      <c r="U9" s="499"/>
      <c r="V9" s="496" t="str">
        <f t="shared" si="14"/>
        <v/>
      </c>
      <c r="W9" s="497" t="str">
        <f t="shared" si="15"/>
        <v/>
      </c>
      <c r="X9" s="496" t="str">
        <f t="shared" si="16"/>
        <v/>
      </c>
      <c r="Y9" s="499"/>
      <c r="Z9" s="496" t="str">
        <f t="shared" si="17"/>
        <v/>
      </c>
      <c r="AA9" s="497" t="str">
        <f t="shared" si="18"/>
        <v/>
      </c>
      <c r="AB9" s="496" t="str">
        <f t="shared" si="19"/>
        <v/>
      </c>
      <c r="AC9" s="500"/>
      <c r="AD9" s="496" t="str">
        <f t="shared" si="20"/>
        <v/>
      </c>
      <c r="AE9" s="497" t="str">
        <f t="shared" si="21"/>
        <v/>
      </c>
      <c r="AF9" s="496" t="str">
        <f t="shared" si="22"/>
        <v/>
      </c>
      <c r="AG9" s="500"/>
      <c r="AH9" s="496" t="str">
        <f t="shared" si="23"/>
        <v/>
      </c>
      <c r="AI9" s="497" t="str">
        <f t="shared" si="24"/>
        <v/>
      </c>
      <c r="AJ9" s="496" t="str">
        <f t="shared" si="25"/>
        <v/>
      </c>
      <c r="AK9" s="500"/>
      <c r="AL9" s="496" t="str">
        <f t="shared" si="26"/>
        <v/>
      </c>
      <c r="AM9" s="497" t="str">
        <f t="shared" si="27"/>
        <v/>
      </c>
      <c r="AN9" s="496" t="str">
        <f t="shared" si="28"/>
        <v/>
      </c>
      <c r="AO9" s="499"/>
      <c r="AP9" s="496" t="str">
        <f t="shared" si="29"/>
        <v/>
      </c>
      <c r="AQ9" s="497" t="str">
        <f t="shared" si="30"/>
        <v/>
      </c>
      <c r="AR9" s="496" t="str">
        <f t="shared" si="31"/>
        <v/>
      </c>
      <c r="AS9" s="499"/>
      <c r="AT9" s="496" t="str">
        <f t="shared" si="32"/>
        <v/>
      </c>
      <c r="AU9" s="497" t="str">
        <f t="shared" si="33"/>
        <v/>
      </c>
      <c r="AV9" s="496" t="str">
        <f t="shared" si="34"/>
        <v/>
      </c>
      <c r="AW9" s="499"/>
      <c r="AX9" s="496" t="str">
        <f t="shared" si="35"/>
        <v/>
      </c>
      <c r="AY9" s="497" t="str">
        <f t="shared" si="36"/>
        <v/>
      </c>
      <c r="AZ9" s="496" t="str">
        <f t="shared" si="37"/>
        <v/>
      </c>
      <c r="BA9" s="499"/>
      <c r="BB9" s="496" t="str">
        <f t="shared" si="38"/>
        <v/>
      </c>
      <c r="BC9" s="497" t="str">
        <f t="shared" si="39"/>
        <v/>
      </c>
      <c r="BD9" s="496" t="str">
        <f t="shared" si="40"/>
        <v/>
      </c>
      <c r="BE9" s="499"/>
      <c r="BF9" s="496" t="str">
        <f t="shared" si="41"/>
        <v/>
      </c>
      <c r="BG9" s="497" t="str">
        <f t="shared" si="42"/>
        <v/>
      </c>
      <c r="BH9" s="496" t="str">
        <f t="shared" si="43"/>
        <v/>
      </c>
      <c r="BI9" s="499"/>
      <c r="BJ9" s="496" t="str">
        <f t="shared" si="44"/>
        <v/>
      </c>
      <c r="BK9" s="497" t="str">
        <f t="shared" si="45"/>
        <v/>
      </c>
      <c r="BL9" s="496" t="str">
        <f t="shared" si="46"/>
        <v/>
      </c>
      <c r="BM9" s="499"/>
      <c r="BN9" s="496" t="str">
        <f t="shared" si="47"/>
        <v/>
      </c>
      <c r="BO9" s="497" t="str">
        <f t="shared" si="48"/>
        <v/>
      </c>
      <c r="BP9" s="496" t="str">
        <f t="shared" si="49"/>
        <v/>
      </c>
      <c r="BQ9" s="499"/>
      <c r="BR9" s="496" t="str">
        <f t="shared" si="50"/>
        <v/>
      </c>
      <c r="BS9" s="497" t="str">
        <f t="shared" si="51"/>
        <v/>
      </c>
      <c r="BT9" s="496" t="str">
        <f t="shared" si="52"/>
        <v/>
      </c>
      <c r="BU9" s="499"/>
      <c r="BV9" s="496" t="str">
        <f t="shared" si="53"/>
        <v/>
      </c>
      <c r="BW9" s="497" t="str">
        <f t="shared" si="54"/>
        <v/>
      </c>
      <c r="BX9" s="496" t="str">
        <f t="shared" si="55"/>
        <v/>
      </c>
      <c r="BY9" s="499"/>
      <c r="BZ9" s="496" t="str">
        <f t="shared" si="56"/>
        <v/>
      </c>
      <c r="CA9" s="497" t="str">
        <f t="shared" si="57"/>
        <v/>
      </c>
      <c r="CB9" s="496" t="str">
        <f t="shared" si="58"/>
        <v/>
      </c>
      <c r="CC9" s="499"/>
      <c r="CD9" s="496" t="str">
        <f t="shared" si="59"/>
        <v/>
      </c>
      <c r="CE9" s="497" t="str">
        <f t="shared" si="60"/>
        <v/>
      </c>
      <c r="CF9" s="496" t="str">
        <f t="shared" si="61"/>
        <v/>
      </c>
      <c r="CG9" s="499"/>
      <c r="CH9" s="496" t="str">
        <f t="shared" si="62"/>
        <v/>
      </c>
      <c r="CI9" s="497" t="str">
        <f t="shared" si="63"/>
        <v/>
      </c>
      <c r="CJ9" s="496" t="str">
        <f t="shared" si="64"/>
        <v/>
      </c>
      <c r="CK9" s="499"/>
      <c r="CL9" s="496" t="str">
        <f t="shared" si="65"/>
        <v/>
      </c>
      <c r="CM9" s="497" t="str">
        <f t="shared" si="66"/>
        <v/>
      </c>
      <c r="CN9" s="496" t="str">
        <f t="shared" si="67"/>
        <v/>
      </c>
      <c r="CO9" s="499"/>
      <c r="CP9" s="496" t="str">
        <f t="shared" si="68"/>
        <v/>
      </c>
      <c r="CQ9" s="497" t="str">
        <f t="shared" si="69"/>
        <v/>
      </c>
      <c r="CR9" s="496" t="str">
        <f t="shared" si="70"/>
        <v/>
      </c>
      <c r="CS9" s="499"/>
      <c r="CT9" s="496" t="str">
        <f t="shared" si="71"/>
        <v/>
      </c>
      <c r="CU9" s="497" t="str">
        <f t="shared" si="72"/>
        <v/>
      </c>
      <c r="CV9" s="496" t="str">
        <f t="shared" si="73"/>
        <v/>
      </c>
      <c r="CW9" s="499"/>
      <c r="CX9" s="496" t="str">
        <f>IF('1.ข้อมูลเบื้องต้น'!$B$32="","",IF($A9="","",'1.ข้อมูลเบื้องต้น'!$B$32))</f>
        <v/>
      </c>
      <c r="CY9" s="497" t="str">
        <f>IF('1.ข้อมูลเบื้องต้น'!$C$32="","",IF($A9="","",'1.ข้อมูลเบื้องต้น'!$C$32))</f>
        <v/>
      </c>
      <c r="CZ9" s="496" t="str">
        <f>IF('1.ข้อมูลเบื้องต้น'!$D$32="","",IF($A9="","",'1.ข้อมูลเบื้องต้น'!$D$32))</f>
        <v/>
      </c>
      <c r="DA9" s="499"/>
      <c r="DB9" s="496" t="str">
        <f t="shared" si="74"/>
        <v/>
      </c>
      <c r="DC9" s="498" t="str">
        <f>IF('2.ชื่อนักเรียน'!R15="มส","มส",IF('2.ชื่อนักเรียน'!R15="ย้าย","ย้าย",IF('2.ชื่อนักเรียน'!R15="ร","ร",IF(DB9="","",RANK(DB9,$DB$5:$DB$49,0)))))</f>
        <v/>
      </c>
      <c r="DD9" s="496" t="str">
        <f t="shared" si="75"/>
        <v/>
      </c>
    </row>
    <row r="10" spans="1:108" s="501" customFormat="1" ht="21" x14ac:dyDescent="0.4">
      <c r="A10" s="496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B10" s="496" t="str">
        <f>IF(IDstu6="","",IDstu6)</f>
        <v/>
      </c>
      <c r="C10" s="497" t="str">
        <f>CONCATENATE(TRIM(Name6),"  ",Surname6)</f>
        <v xml:space="preserve">  </v>
      </c>
      <c r="D10" s="498" t="str">
        <f t="shared" si="0"/>
        <v/>
      </c>
      <c r="E10" s="496" t="str">
        <f t="shared" si="1"/>
        <v/>
      </c>
      <c r="F10" s="496" t="str">
        <f t="shared" si="2"/>
        <v/>
      </c>
      <c r="G10" s="497" t="str">
        <f t="shared" si="3"/>
        <v/>
      </c>
      <c r="H10" s="496" t="str">
        <f t="shared" si="4"/>
        <v/>
      </c>
      <c r="I10" s="499"/>
      <c r="J10" s="496" t="str">
        <f t="shared" si="5"/>
        <v/>
      </c>
      <c r="K10" s="497" t="str">
        <f t="shared" si="6"/>
        <v/>
      </c>
      <c r="L10" s="496" t="str">
        <f t="shared" si="7"/>
        <v/>
      </c>
      <c r="M10" s="500"/>
      <c r="N10" s="496" t="str">
        <f t="shared" si="8"/>
        <v/>
      </c>
      <c r="O10" s="497" t="str">
        <f t="shared" si="9"/>
        <v/>
      </c>
      <c r="P10" s="496" t="str">
        <f t="shared" si="10"/>
        <v/>
      </c>
      <c r="Q10" s="499"/>
      <c r="R10" s="496" t="str">
        <f t="shared" si="11"/>
        <v/>
      </c>
      <c r="S10" s="497" t="str">
        <f t="shared" si="12"/>
        <v/>
      </c>
      <c r="T10" s="496" t="str">
        <f t="shared" si="13"/>
        <v/>
      </c>
      <c r="U10" s="499"/>
      <c r="V10" s="496" t="str">
        <f t="shared" si="14"/>
        <v/>
      </c>
      <c r="W10" s="497" t="str">
        <f t="shared" si="15"/>
        <v/>
      </c>
      <c r="X10" s="496" t="str">
        <f t="shared" si="16"/>
        <v/>
      </c>
      <c r="Y10" s="499"/>
      <c r="Z10" s="496" t="str">
        <f t="shared" si="17"/>
        <v/>
      </c>
      <c r="AA10" s="497" t="str">
        <f t="shared" si="18"/>
        <v/>
      </c>
      <c r="AB10" s="496" t="str">
        <f t="shared" si="19"/>
        <v/>
      </c>
      <c r="AC10" s="500"/>
      <c r="AD10" s="496" t="str">
        <f t="shared" si="20"/>
        <v/>
      </c>
      <c r="AE10" s="497" t="str">
        <f t="shared" si="21"/>
        <v/>
      </c>
      <c r="AF10" s="496" t="str">
        <f t="shared" si="22"/>
        <v/>
      </c>
      <c r="AG10" s="500"/>
      <c r="AH10" s="496" t="str">
        <f t="shared" si="23"/>
        <v/>
      </c>
      <c r="AI10" s="497" t="str">
        <f t="shared" si="24"/>
        <v/>
      </c>
      <c r="AJ10" s="496" t="str">
        <f t="shared" si="25"/>
        <v/>
      </c>
      <c r="AK10" s="500"/>
      <c r="AL10" s="496" t="str">
        <f t="shared" si="26"/>
        <v/>
      </c>
      <c r="AM10" s="497" t="str">
        <f t="shared" si="27"/>
        <v/>
      </c>
      <c r="AN10" s="496" t="str">
        <f t="shared" si="28"/>
        <v/>
      </c>
      <c r="AO10" s="499"/>
      <c r="AP10" s="496" t="str">
        <f t="shared" si="29"/>
        <v/>
      </c>
      <c r="AQ10" s="497" t="str">
        <f t="shared" si="30"/>
        <v/>
      </c>
      <c r="AR10" s="496" t="str">
        <f t="shared" si="31"/>
        <v/>
      </c>
      <c r="AS10" s="499"/>
      <c r="AT10" s="496" t="str">
        <f t="shared" si="32"/>
        <v/>
      </c>
      <c r="AU10" s="497" t="str">
        <f t="shared" si="33"/>
        <v/>
      </c>
      <c r="AV10" s="496" t="str">
        <f t="shared" si="34"/>
        <v/>
      </c>
      <c r="AW10" s="499"/>
      <c r="AX10" s="496" t="str">
        <f t="shared" si="35"/>
        <v/>
      </c>
      <c r="AY10" s="497" t="str">
        <f t="shared" si="36"/>
        <v/>
      </c>
      <c r="AZ10" s="496" t="str">
        <f t="shared" si="37"/>
        <v/>
      </c>
      <c r="BA10" s="499"/>
      <c r="BB10" s="496" t="str">
        <f t="shared" si="38"/>
        <v/>
      </c>
      <c r="BC10" s="497" t="str">
        <f t="shared" si="39"/>
        <v/>
      </c>
      <c r="BD10" s="496" t="str">
        <f t="shared" si="40"/>
        <v/>
      </c>
      <c r="BE10" s="499"/>
      <c r="BF10" s="496" t="str">
        <f t="shared" si="41"/>
        <v/>
      </c>
      <c r="BG10" s="497" t="str">
        <f t="shared" si="42"/>
        <v/>
      </c>
      <c r="BH10" s="496" t="str">
        <f t="shared" si="43"/>
        <v/>
      </c>
      <c r="BI10" s="499"/>
      <c r="BJ10" s="496" t="str">
        <f t="shared" si="44"/>
        <v/>
      </c>
      <c r="BK10" s="497" t="str">
        <f t="shared" si="45"/>
        <v/>
      </c>
      <c r="BL10" s="496" t="str">
        <f t="shared" si="46"/>
        <v/>
      </c>
      <c r="BM10" s="499"/>
      <c r="BN10" s="496" t="str">
        <f t="shared" si="47"/>
        <v/>
      </c>
      <c r="BO10" s="497" t="str">
        <f t="shared" si="48"/>
        <v/>
      </c>
      <c r="BP10" s="496" t="str">
        <f t="shared" si="49"/>
        <v/>
      </c>
      <c r="BQ10" s="499"/>
      <c r="BR10" s="496" t="str">
        <f t="shared" si="50"/>
        <v/>
      </c>
      <c r="BS10" s="497" t="str">
        <f t="shared" si="51"/>
        <v/>
      </c>
      <c r="BT10" s="496" t="str">
        <f t="shared" si="52"/>
        <v/>
      </c>
      <c r="BU10" s="499"/>
      <c r="BV10" s="496" t="str">
        <f t="shared" si="53"/>
        <v/>
      </c>
      <c r="BW10" s="497" t="str">
        <f t="shared" si="54"/>
        <v/>
      </c>
      <c r="BX10" s="496" t="str">
        <f t="shared" si="55"/>
        <v/>
      </c>
      <c r="BY10" s="499"/>
      <c r="BZ10" s="496" t="str">
        <f t="shared" si="56"/>
        <v/>
      </c>
      <c r="CA10" s="497" t="str">
        <f t="shared" si="57"/>
        <v/>
      </c>
      <c r="CB10" s="496" t="str">
        <f t="shared" si="58"/>
        <v/>
      </c>
      <c r="CC10" s="499"/>
      <c r="CD10" s="496" t="str">
        <f t="shared" si="59"/>
        <v/>
      </c>
      <c r="CE10" s="497" t="str">
        <f t="shared" si="60"/>
        <v/>
      </c>
      <c r="CF10" s="496" t="str">
        <f t="shared" si="61"/>
        <v/>
      </c>
      <c r="CG10" s="499"/>
      <c r="CH10" s="496" t="str">
        <f t="shared" si="62"/>
        <v/>
      </c>
      <c r="CI10" s="497" t="str">
        <f t="shared" si="63"/>
        <v/>
      </c>
      <c r="CJ10" s="496" t="str">
        <f t="shared" si="64"/>
        <v/>
      </c>
      <c r="CK10" s="499"/>
      <c r="CL10" s="496" t="str">
        <f t="shared" si="65"/>
        <v/>
      </c>
      <c r="CM10" s="497" t="str">
        <f t="shared" si="66"/>
        <v/>
      </c>
      <c r="CN10" s="496" t="str">
        <f t="shared" si="67"/>
        <v/>
      </c>
      <c r="CO10" s="499"/>
      <c r="CP10" s="496" t="str">
        <f t="shared" si="68"/>
        <v/>
      </c>
      <c r="CQ10" s="497" t="str">
        <f t="shared" si="69"/>
        <v/>
      </c>
      <c r="CR10" s="496" t="str">
        <f t="shared" si="70"/>
        <v/>
      </c>
      <c r="CS10" s="499"/>
      <c r="CT10" s="496" t="str">
        <f t="shared" si="71"/>
        <v/>
      </c>
      <c r="CU10" s="497" t="str">
        <f t="shared" si="72"/>
        <v/>
      </c>
      <c r="CV10" s="496" t="str">
        <f t="shared" si="73"/>
        <v/>
      </c>
      <c r="CW10" s="499"/>
      <c r="CX10" s="496" t="str">
        <f>IF('1.ข้อมูลเบื้องต้น'!$B$32="","",IF($A10="","",'1.ข้อมูลเบื้องต้น'!$B$32))</f>
        <v/>
      </c>
      <c r="CY10" s="497" t="str">
        <f>IF('1.ข้อมูลเบื้องต้น'!$C$32="","",IF($A10="","",'1.ข้อมูลเบื้องต้น'!$C$32))</f>
        <v/>
      </c>
      <c r="CZ10" s="496" t="str">
        <f>IF('1.ข้อมูลเบื้องต้น'!$D$32="","",IF($A10="","",'1.ข้อมูลเบื้องต้น'!$D$32))</f>
        <v/>
      </c>
      <c r="DA10" s="499"/>
      <c r="DB10" s="496" t="str">
        <f t="shared" si="74"/>
        <v/>
      </c>
      <c r="DC10" s="498" t="str">
        <f>IF('2.ชื่อนักเรียน'!R16="มส","มส",IF('2.ชื่อนักเรียน'!R16="ย้าย","ย้าย",IF('2.ชื่อนักเรียน'!R16="ร","ร",IF(DB10="","",RANK(DB10,$DB$5:$DB$49,0)))))</f>
        <v/>
      </c>
      <c r="DD10" s="496" t="str">
        <f t="shared" si="75"/>
        <v/>
      </c>
    </row>
    <row r="11" spans="1:108" s="501" customFormat="1" ht="21" x14ac:dyDescent="0.4">
      <c r="A11" s="496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B11" s="496" t="str">
        <f>IF(IDstu7="","",IDstu7)</f>
        <v/>
      </c>
      <c r="C11" s="497" t="str">
        <f>CONCATENATE(TRIM(Name7),"  ",Surname7)</f>
        <v xml:space="preserve">  </v>
      </c>
      <c r="D11" s="498" t="str">
        <f t="shared" si="0"/>
        <v/>
      </c>
      <c r="E11" s="496" t="str">
        <f t="shared" si="1"/>
        <v/>
      </c>
      <c r="F11" s="496" t="str">
        <f t="shared" si="2"/>
        <v/>
      </c>
      <c r="G11" s="497" t="str">
        <f t="shared" si="3"/>
        <v/>
      </c>
      <c r="H11" s="496" t="str">
        <f t="shared" si="4"/>
        <v/>
      </c>
      <c r="I11" s="499"/>
      <c r="J11" s="496" t="str">
        <f t="shared" si="5"/>
        <v/>
      </c>
      <c r="K11" s="497" t="str">
        <f t="shared" si="6"/>
        <v/>
      </c>
      <c r="L11" s="496" t="str">
        <f t="shared" si="7"/>
        <v/>
      </c>
      <c r="M11" s="500"/>
      <c r="N11" s="496" t="str">
        <f t="shared" si="8"/>
        <v/>
      </c>
      <c r="O11" s="497" t="str">
        <f t="shared" si="9"/>
        <v/>
      </c>
      <c r="P11" s="496" t="str">
        <f t="shared" si="10"/>
        <v/>
      </c>
      <c r="Q11" s="499"/>
      <c r="R11" s="496" t="str">
        <f t="shared" si="11"/>
        <v/>
      </c>
      <c r="S11" s="497" t="str">
        <f t="shared" si="12"/>
        <v/>
      </c>
      <c r="T11" s="496" t="str">
        <f t="shared" si="13"/>
        <v/>
      </c>
      <c r="U11" s="499"/>
      <c r="V11" s="496" t="str">
        <f t="shared" si="14"/>
        <v/>
      </c>
      <c r="W11" s="497" t="str">
        <f t="shared" si="15"/>
        <v/>
      </c>
      <c r="X11" s="496" t="str">
        <f t="shared" si="16"/>
        <v/>
      </c>
      <c r="Y11" s="499"/>
      <c r="Z11" s="496" t="str">
        <f t="shared" si="17"/>
        <v/>
      </c>
      <c r="AA11" s="497" t="str">
        <f t="shared" si="18"/>
        <v/>
      </c>
      <c r="AB11" s="496" t="str">
        <f t="shared" si="19"/>
        <v/>
      </c>
      <c r="AC11" s="500"/>
      <c r="AD11" s="496" t="str">
        <f t="shared" si="20"/>
        <v/>
      </c>
      <c r="AE11" s="497" t="str">
        <f t="shared" si="21"/>
        <v/>
      </c>
      <c r="AF11" s="496" t="str">
        <f t="shared" si="22"/>
        <v/>
      </c>
      <c r="AG11" s="500"/>
      <c r="AH11" s="496" t="str">
        <f t="shared" si="23"/>
        <v/>
      </c>
      <c r="AI11" s="497" t="str">
        <f t="shared" si="24"/>
        <v/>
      </c>
      <c r="AJ11" s="496" t="str">
        <f t="shared" si="25"/>
        <v/>
      </c>
      <c r="AK11" s="500"/>
      <c r="AL11" s="496" t="str">
        <f t="shared" si="26"/>
        <v/>
      </c>
      <c r="AM11" s="497" t="str">
        <f t="shared" si="27"/>
        <v/>
      </c>
      <c r="AN11" s="496" t="str">
        <f t="shared" si="28"/>
        <v/>
      </c>
      <c r="AO11" s="499"/>
      <c r="AP11" s="496" t="str">
        <f t="shared" si="29"/>
        <v/>
      </c>
      <c r="AQ11" s="497" t="str">
        <f t="shared" si="30"/>
        <v/>
      </c>
      <c r="AR11" s="496" t="str">
        <f t="shared" si="31"/>
        <v/>
      </c>
      <c r="AS11" s="499"/>
      <c r="AT11" s="496" t="str">
        <f t="shared" si="32"/>
        <v/>
      </c>
      <c r="AU11" s="497" t="str">
        <f t="shared" si="33"/>
        <v/>
      </c>
      <c r="AV11" s="496" t="str">
        <f t="shared" si="34"/>
        <v/>
      </c>
      <c r="AW11" s="499"/>
      <c r="AX11" s="496" t="str">
        <f t="shared" si="35"/>
        <v/>
      </c>
      <c r="AY11" s="497" t="str">
        <f t="shared" si="36"/>
        <v/>
      </c>
      <c r="AZ11" s="496" t="str">
        <f t="shared" si="37"/>
        <v/>
      </c>
      <c r="BA11" s="499"/>
      <c r="BB11" s="496" t="str">
        <f t="shared" si="38"/>
        <v/>
      </c>
      <c r="BC11" s="497" t="str">
        <f t="shared" si="39"/>
        <v/>
      </c>
      <c r="BD11" s="496" t="str">
        <f t="shared" si="40"/>
        <v/>
      </c>
      <c r="BE11" s="499"/>
      <c r="BF11" s="496" t="str">
        <f t="shared" si="41"/>
        <v/>
      </c>
      <c r="BG11" s="497" t="str">
        <f t="shared" si="42"/>
        <v/>
      </c>
      <c r="BH11" s="496" t="str">
        <f t="shared" si="43"/>
        <v/>
      </c>
      <c r="BI11" s="499"/>
      <c r="BJ11" s="496" t="str">
        <f t="shared" si="44"/>
        <v/>
      </c>
      <c r="BK11" s="497" t="str">
        <f t="shared" si="45"/>
        <v/>
      </c>
      <c r="BL11" s="496" t="str">
        <f t="shared" si="46"/>
        <v/>
      </c>
      <c r="BM11" s="499"/>
      <c r="BN11" s="496" t="str">
        <f t="shared" si="47"/>
        <v/>
      </c>
      <c r="BO11" s="497" t="str">
        <f t="shared" si="48"/>
        <v/>
      </c>
      <c r="BP11" s="496" t="str">
        <f t="shared" si="49"/>
        <v/>
      </c>
      <c r="BQ11" s="499"/>
      <c r="BR11" s="496" t="str">
        <f t="shared" si="50"/>
        <v/>
      </c>
      <c r="BS11" s="497" t="str">
        <f t="shared" si="51"/>
        <v/>
      </c>
      <c r="BT11" s="496" t="str">
        <f t="shared" si="52"/>
        <v/>
      </c>
      <c r="BU11" s="499"/>
      <c r="BV11" s="496" t="str">
        <f t="shared" si="53"/>
        <v/>
      </c>
      <c r="BW11" s="497" t="str">
        <f t="shared" si="54"/>
        <v/>
      </c>
      <c r="BX11" s="496" t="str">
        <f t="shared" si="55"/>
        <v/>
      </c>
      <c r="BY11" s="499"/>
      <c r="BZ11" s="496" t="str">
        <f t="shared" si="56"/>
        <v/>
      </c>
      <c r="CA11" s="497" t="str">
        <f t="shared" si="57"/>
        <v/>
      </c>
      <c r="CB11" s="496" t="str">
        <f t="shared" si="58"/>
        <v/>
      </c>
      <c r="CC11" s="499"/>
      <c r="CD11" s="496" t="str">
        <f t="shared" si="59"/>
        <v/>
      </c>
      <c r="CE11" s="497" t="str">
        <f t="shared" si="60"/>
        <v/>
      </c>
      <c r="CF11" s="496" t="str">
        <f t="shared" si="61"/>
        <v/>
      </c>
      <c r="CG11" s="499"/>
      <c r="CH11" s="496" t="str">
        <f t="shared" si="62"/>
        <v/>
      </c>
      <c r="CI11" s="497" t="str">
        <f t="shared" si="63"/>
        <v/>
      </c>
      <c r="CJ11" s="496" t="str">
        <f t="shared" si="64"/>
        <v/>
      </c>
      <c r="CK11" s="499"/>
      <c r="CL11" s="496" t="str">
        <f t="shared" si="65"/>
        <v/>
      </c>
      <c r="CM11" s="497" t="str">
        <f t="shared" si="66"/>
        <v/>
      </c>
      <c r="CN11" s="496" t="str">
        <f t="shared" si="67"/>
        <v/>
      </c>
      <c r="CO11" s="499"/>
      <c r="CP11" s="496" t="str">
        <f t="shared" si="68"/>
        <v/>
      </c>
      <c r="CQ11" s="497" t="str">
        <f t="shared" si="69"/>
        <v/>
      </c>
      <c r="CR11" s="496" t="str">
        <f t="shared" si="70"/>
        <v/>
      </c>
      <c r="CS11" s="499"/>
      <c r="CT11" s="496" t="str">
        <f t="shared" si="71"/>
        <v/>
      </c>
      <c r="CU11" s="497" t="str">
        <f t="shared" si="72"/>
        <v/>
      </c>
      <c r="CV11" s="496" t="str">
        <f t="shared" si="73"/>
        <v/>
      </c>
      <c r="CW11" s="499"/>
      <c r="CX11" s="496" t="str">
        <f>IF('1.ข้อมูลเบื้องต้น'!$B$32="","",IF($A11="","",'1.ข้อมูลเบื้องต้น'!$B$32))</f>
        <v/>
      </c>
      <c r="CY11" s="497" t="str">
        <f>IF('1.ข้อมูลเบื้องต้น'!$C$32="","",IF($A11="","",'1.ข้อมูลเบื้องต้น'!$C$32))</f>
        <v/>
      </c>
      <c r="CZ11" s="496" t="str">
        <f>IF('1.ข้อมูลเบื้องต้น'!$D$32="","",IF($A11="","",'1.ข้อมูลเบื้องต้น'!$D$32))</f>
        <v/>
      </c>
      <c r="DA11" s="499"/>
      <c r="DB11" s="496" t="str">
        <f t="shared" si="74"/>
        <v/>
      </c>
      <c r="DC11" s="498" t="str">
        <f>IF('2.ชื่อนักเรียน'!R17="มส","มส",IF('2.ชื่อนักเรียน'!R17="ย้าย","ย้าย",IF('2.ชื่อนักเรียน'!R17="ร","ร",IF(DB11="","",RANK(DB11,$DB$5:$DB$49,0)))))</f>
        <v/>
      </c>
      <c r="DD11" s="496" t="str">
        <f t="shared" si="75"/>
        <v/>
      </c>
    </row>
    <row r="12" spans="1:108" s="501" customFormat="1" ht="21" x14ac:dyDescent="0.4">
      <c r="A12" s="496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B12" s="496" t="str">
        <f>IF(IDstu8="","",IDstu8)</f>
        <v/>
      </c>
      <c r="C12" s="497" t="str">
        <f>CONCATENATE(TRIM(Name8),"  ",Surname8)</f>
        <v xml:space="preserve">  </v>
      </c>
      <c r="D12" s="498" t="str">
        <f t="shared" si="0"/>
        <v/>
      </c>
      <c r="E12" s="496" t="str">
        <f t="shared" si="1"/>
        <v/>
      </c>
      <c r="F12" s="496" t="str">
        <f t="shared" si="2"/>
        <v/>
      </c>
      <c r="G12" s="497" t="str">
        <f t="shared" si="3"/>
        <v/>
      </c>
      <c r="H12" s="496" t="str">
        <f t="shared" si="4"/>
        <v/>
      </c>
      <c r="I12" s="499"/>
      <c r="J12" s="496" t="str">
        <f t="shared" si="5"/>
        <v/>
      </c>
      <c r="K12" s="497" t="str">
        <f t="shared" si="6"/>
        <v/>
      </c>
      <c r="L12" s="496" t="str">
        <f t="shared" si="7"/>
        <v/>
      </c>
      <c r="M12" s="500"/>
      <c r="N12" s="496" t="str">
        <f t="shared" si="8"/>
        <v/>
      </c>
      <c r="O12" s="497" t="str">
        <f t="shared" si="9"/>
        <v/>
      </c>
      <c r="P12" s="496" t="str">
        <f t="shared" si="10"/>
        <v/>
      </c>
      <c r="Q12" s="499"/>
      <c r="R12" s="496" t="str">
        <f t="shared" si="11"/>
        <v/>
      </c>
      <c r="S12" s="497" t="str">
        <f t="shared" si="12"/>
        <v/>
      </c>
      <c r="T12" s="496" t="str">
        <f t="shared" si="13"/>
        <v/>
      </c>
      <c r="U12" s="499"/>
      <c r="V12" s="496" t="str">
        <f t="shared" si="14"/>
        <v/>
      </c>
      <c r="W12" s="497" t="str">
        <f t="shared" si="15"/>
        <v/>
      </c>
      <c r="X12" s="496" t="str">
        <f t="shared" si="16"/>
        <v/>
      </c>
      <c r="Y12" s="499"/>
      <c r="Z12" s="496" t="str">
        <f t="shared" si="17"/>
        <v/>
      </c>
      <c r="AA12" s="497" t="str">
        <f t="shared" si="18"/>
        <v/>
      </c>
      <c r="AB12" s="496" t="str">
        <f t="shared" si="19"/>
        <v/>
      </c>
      <c r="AC12" s="500"/>
      <c r="AD12" s="496" t="str">
        <f t="shared" si="20"/>
        <v/>
      </c>
      <c r="AE12" s="497" t="str">
        <f t="shared" si="21"/>
        <v/>
      </c>
      <c r="AF12" s="496" t="str">
        <f t="shared" si="22"/>
        <v/>
      </c>
      <c r="AG12" s="500"/>
      <c r="AH12" s="496" t="str">
        <f t="shared" si="23"/>
        <v/>
      </c>
      <c r="AI12" s="497" t="str">
        <f t="shared" si="24"/>
        <v/>
      </c>
      <c r="AJ12" s="496" t="str">
        <f t="shared" si="25"/>
        <v/>
      </c>
      <c r="AK12" s="500"/>
      <c r="AL12" s="496" t="str">
        <f t="shared" si="26"/>
        <v/>
      </c>
      <c r="AM12" s="497" t="str">
        <f t="shared" si="27"/>
        <v/>
      </c>
      <c r="AN12" s="496" t="str">
        <f t="shared" si="28"/>
        <v/>
      </c>
      <c r="AO12" s="499"/>
      <c r="AP12" s="496" t="str">
        <f t="shared" si="29"/>
        <v/>
      </c>
      <c r="AQ12" s="497" t="str">
        <f t="shared" si="30"/>
        <v/>
      </c>
      <c r="AR12" s="496" t="str">
        <f t="shared" si="31"/>
        <v/>
      </c>
      <c r="AS12" s="499"/>
      <c r="AT12" s="496" t="str">
        <f t="shared" si="32"/>
        <v/>
      </c>
      <c r="AU12" s="497" t="str">
        <f t="shared" si="33"/>
        <v/>
      </c>
      <c r="AV12" s="496" t="str">
        <f t="shared" si="34"/>
        <v/>
      </c>
      <c r="AW12" s="499"/>
      <c r="AX12" s="496" t="str">
        <f t="shared" si="35"/>
        <v/>
      </c>
      <c r="AY12" s="497" t="str">
        <f t="shared" si="36"/>
        <v/>
      </c>
      <c r="AZ12" s="496" t="str">
        <f t="shared" si="37"/>
        <v/>
      </c>
      <c r="BA12" s="499"/>
      <c r="BB12" s="496" t="str">
        <f t="shared" si="38"/>
        <v/>
      </c>
      <c r="BC12" s="497" t="str">
        <f t="shared" si="39"/>
        <v/>
      </c>
      <c r="BD12" s="496" t="str">
        <f t="shared" si="40"/>
        <v/>
      </c>
      <c r="BE12" s="499"/>
      <c r="BF12" s="496" t="str">
        <f t="shared" si="41"/>
        <v/>
      </c>
      <c r="BG12" s="497" t="str">
        <f t="shared" si="42"/>
        <v/>
      </c>
      <c r="BH12" s="496" t="str">
        <f t="shared" si="43"/>
        <v/>
      </c>
      <c r="BI12" s="499"/>
      <c r="BJ12" s="496" t="str">
        <f t="shared" si="44"/>
        <v/>
      </c>
      <c r="BK12" s="497" t="str">
        <f t="shared" si="45"/>
        <v/>
      </c>
      <c r="BL12" s="496" t="str">
        <f t="shared" si="46"/>
        <v/>
      </c>
      <c r="BM12" s="499"/>
      <c r="BN12" s="496" t="str">
        <f t="shared" si="47"/>
        <v/>
      </c>
      <c r="BO12" s="497" t="str">
        <f t="shared" si="48"/>
        <v/>
      </c>
      <c r="BP12" s="496" t="str">
        <f t="shared" si="49"/>
        <v/>
      </c>
      <c r="BQ12" s="499"/>
      <c r="BR12" s="496" t="str">
        <f t="shared" si="50"/>
        <v/>
      </c>
      <c r="BS12" s="497" t="str">
        <f t="shared" si="51"/>
        <v/>
      </c>
      <c r="BT12" s="496" t="str">
        <f t="shared" si="52"/>
        <v/>
      </c>
      <c r="BU12" s="499"/>
      <c r="BV12" s="496" t="str">
        <f t="shared" si="53"/>
        <v/>
      </c>
      <c r="BW12" s="497" t="str">
        <f t="shared" si="54"/>
        <v/>
      </c>
      <c r="BX12" s="496" t="str">
        <f t="shared" si="55"/>
        <v/>
      </c>
      <c r="BY12" s="499"/>
      <c r="BZ12" s="496" t="str">
        <f t="shared" si="56"/>
        <v/>
      </c>
      <c r="CA12" s="497" t="str">
        <f t="shared" si="57"/>
        <v/>
      </c>
      <c r="CB12" s="496" t="str">
        <f t="shared" si="58"/>
        <v/>
      </c>
      <c r="CC12" s="499"/>
      <c r="CD12" s="496" t="str">
        <f t="shared" si="59"/>
        <v/>
      </c>
      <c r="CE12" s="497" t="str">
        <f t="shared" si="60"/>
        <v/>
      </c>
      <c r="CF12" s="496" t="str">
        <f t="shared" si="61"/>
        <v/>
      </c>
      <c r="CG12" s="499"/>
      <c r="CH12" s="496" t="str">
        <f t="shared" si="62"/>
        <v/>
      </c>
      <c r="CI12" s="497" t="str">
        <f t="shared" si="63"/>
        <v/>
      </c>
      <c r="CJ12" s="496" t="str">
        <f t="shared" si="64"/>
        <v/>
      </c>
      <c r="CK12" s="499"/>
      <c r="CL12" s="496" t="str">
        <f t="shared" si="65"/>
        <v/>
      </c>
      <c r="CM12" s="497" t="str">
        <f t="shared" si="66"/>
        <v/>
      </c>
      <c r="CN12" s="496" t="str">
        <f t="shared" si="67"/>
        <v/>
      </c>
      <c r="CO12" s="499"/>
      <c r="CP12" s="496" t="str">
        <f t="shared" si="68"/>
        <v/>
      </c>
      <c r="CQ12" s="497" t="str">
        <f t="shared" si="69"/>
        <v/>
      </c>
      <c r="CR12" s="496" t="str">
        <f t="shared" si="70"/>
        <v/>
      </c>
      <c r="CS12" s="499"/>
      <c r="CT12" s="496" t="str">
        <f t="shared" si="71"/>
        <v/>
      </c>
      <c r="CU12" s="497" t="str">
        <f t="shared" si="72"/>
        <v/>
      </c>
      <c r="CV12" s="496" t="str">
        <f t="shared" si="73"/>
        <v/>
      </c>
      <c r="CW12" s="499"/>
      <c r="CX12" s="496" t="str">
        <f>IF('1.ข้อมูลเบื้องต้น'!$B$32="","",IF($A12="","",'1.ข้อมูลเบื้องต้น'!$B$32))</f>
        <v/>
      </c>
      <c r="CY12" s="497" t="str">
        <f>IF('1.ข้อมูลเบื้องต้น'!$C$32="","",IF($A12="","",'1.ข้อมูลเบื้องต้น'!$C$32))</f>
        <v/>
      </c>
      <c r="CZ12" s="496" t="str">
        <f>IF('1.ข้อมูลเบื้องต้น'!$D$32="","",IF($A12="","",'1.ข้อมูลเบื้องต้น'!$D$32))</f>
        <v/>
      </c>
      <c r="DA12" s="499"/>
      <c r="DB12" s="496" t="str">
        <f t="shared" si="74"/>
        <v/>
      </c>
      <c r="DC12" s="498" t="str">
        <f>IF('2.ชื่อนักเรียน'!R18="มส","มส",IF('2.ชื่อนักเรียน'!R18="ย้าย","ย้าย",IF('2.ชื่อนักเรียน'!R18="ร","ร",IF(DB12="","",RANK(DB12,$DB$5:$DB$49,0)))))</f>
        <v/>
      </c>
      <c r="DD12" s="496" t="str">
        <f t="shared" si="75"/>
        <v/>
      </c>
    </row>
    <row r="13" spans="1:108" s="501" customFormat="1" ht="21" x14ac:dyDescent="0.4">
      <c r="A13" s="496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B13" s="496" t="str">
        <f>IF(IDstu9="","",IDstu9)</f>
        <v/>
      </c>
      <c r="C13" s="497" t="str">
        <f>CONCATENATE(TRIM(Name9),"  ",Surname9)</f>
        <v xml:space="preserve">  </v>
      </c>
      <c r="D13" s="498" t="str">
        <f t="shared" si="0"/>
        <v/>
      </c>
      <c r="E13" s="496" t="str">
        <f t="shared" si="1"/>
        <v/>
      </c>
      <c r="F13" s="496" t="str">
        <f t="shared" si="2"/>
        <v/>
      </c>
      <c r="G13" s="497" t="str">
        <f t="shared" si="3"/>
        <v/>
      </c>
      <c r="H13" s="496" t="str">
        <f t="shared" si="4"/>
        <v/>
      </c>
      <c r="I13" s="499"/>
      <c r="J13" s="496" t="str">
        <f t="shared" si="5"/>
        <v/>
      </c>
      <c r="K13" s="497" t="str">
        <f t="shared" si="6"/>
        <v/>
      </c>
      <c r="L13" s="496" t="str">
        <f t="shared" si="7"/>
        <v/>
      </c>
      <c r="M13" s="500"/>
      <c r="N13" s="496" t="str">
        <f t="shared" si="8"/>
        <v/>
      </c>
      <c r="O13" s="497" t="str">
        <f t="shared" si="9"/>
        <v/>
      </c>
      <c r="P13" s="496" t="str">
        <f t="shared" si="10"/>
        <v/>
      </c>
      <c r="Q13" s="499"/>
      <c r="R13" s="496" t="str">
        <f t="shared" si="11"/>
        <v/>
      </c>
      <c r="S13" s="497" t="str">
        <f t="shared" si="12"/>
        <v/>
      </c>
      <c r="T13" s="496" t="str">
        <f t="shared" si="13"/>
        <v/>
      </c>
      <c r="U13" s="499"/>
      <c r="V13" s="496" t="str">
        <f t="shared" si="14"/>
        <v/>
      </c>
      <c r="W13" s="497" t="str">
        <f t="shared" si="15"/>
        <v/>
      </c>
      <c r="X13" s="496" t="str">
        <f t="shared" si="16"/>
        <v/>
      </c>
      <c r="Y13" s="499"/>
      <c r="Z13" s="496" t="str">
        <f t="shared" si="17"/>
        <v/>
      </c>
      <c r="AA13" s="497" t="str">
        <f t="shared" si="18"/>
        <v/>
      </c>
      <c r="AB13" s="496" t="str">
        <f t="shared" si="19"/>
        <v/>
      </c>
      <c r="AC13" s="500"/>
      <c r="AD13" s="496" t="str">
        <f t="shared" si="20"/>
        <v/>
      </c>
      <c r="AE13" s="497" t="str">
        <f t="shared" si="21"/>
        <v/>
      </c>
      <c r="AF13" s="496" t="str">
        <f t="shared" si="22"/>
        <v/>
      </c>
      <c r="AG13" s="500"/>
      <c r="AH13" s="496" t="str">
        <f t="shared" si="23"/>
        <v/>
      </c>
      <c r="AI13" s="497" t="str">
        <f t="shared" si="24"/>
        <v/>
      </c>
      <c r="AJ13" s="496" t="str">
        <f t="shared" si="25"/>
        <v/>
      </c>
      <c r="AK13" s="500"/>
      <c r="AL13" s="496" t="str">
        <f t="shared" si="26"/>
        <v/>
      </c>
      <c r="AM13" s="497" t="str">
        <f t="shared" si="27"/>
        <v/>
      </c>
      <c r="AN13" s="496" t="str">
        <f t="shared" si="28"/>
        <v/>
      </c>
      <c r="AO13" s="499"/>
      <c r="AP13" s="496" t="str">
        <f t="shared" si="29"/>
        <v/>
      </c>
      <c r="AQ13" s="497" t="str">
        <f t="shared" si="30"/>
        <v/>
      </c>
      <c r="AR13" s="496" t="str">
        <f t="shared" si="31"/>
        <v/>
      </c>
      <c r="AS13" s="499"/>
      <c r="AT13" s="496" t="str">
        <f t="shared" si="32"/>
        <v/>
      </c>
      <c r="AU13" s="497" t="str">
        <f t="shared" si="33"/>
        <v/>
      </c>
      <c r="AV13" s="496" t="str">
        <f t="shared" si="34"/>
        <v/>
      </c>
      <c r="AW13" s="499"/>
      <c r="AX13" s="496" t="str">
        <f t="shared" si="35"/>
        <v/>
      </c>
      <c r="AY13" s="497" t="str">
        <f t="shared" si="36"/>
        <v/>
      </c>
      <c r="AZ13" s="496" t="str">
        <f t="shared" si="37"/>
        <v/>
      </c>
      <c r="BA13" s="499"/>
      <c r="BB13" s="496" t="str">
        <f t="shared" si="38"/>
        <v/>
      </c>
      <c r="BC13" s="497" t="str">
        <f t="shared" si="39"/>
        <v/>
      </c>
      <c r="BD13" s="496" t="str">
        <f t="shared" si="40"/>
        <v/>
      </c>
      <c r="BE13" s="499"/>
      <c r="BF13" s="496" t="str">
        <f t="shared" si="41"/>
        <v/>
      </c>
      <c r="BG13" s="497" t="str">
        <f t="shared" si="42"/>
        <v/>
      </c>
      <c r="BH13" s="496" t="str">
        <f t="shared" si="43"/>
        <v/>
      </c>
      <c r="BI13" s="499"/>
      <c r="BJ13" s="496" t="str">
        <f t="shared" si="44"/>
        <v/>
      </c>
      <c r="BK13" s="497" t="str">
        <f t="shared" si="45"/>
        <v/>
      </c>
      <c r="BL13" s="496" t="str">
        <f t="shared" si="46"/>
        <v/>
      </c>
      <c r="BM13" s="499"/>
      <c r="BN13" s="496" t="str">
        <f t="shared" si="47"/>
        <v/>
      </c>
      <c r="BO13" s="497" t="str">
        <f t="shared" si="48"/>
        <v/>
      </c>
      <c r="BP13" s="496" t="str">
        <f t="shared" si="49"/>
        <v/>
      </c>
      <c r="BQ13" s="499"/>
      <c r="BR13" s="496" t="str">
        <f t="shared" si="50"/>
        <v/>
      </c>
      <c r="BS13" s="497" t="str">
        <f t="shared" si="51"/>
        <v/>
      </c>
      <c r="BT13" s="496" t="str">
        <f t="shared" si="52"/>
        <v/>
      </c>
      <c r="BU13" s="499"/>
      <c r="BV13" s="496" t="str">
        <f t="shared" si="53"/>
        <v/>
      </c>
      <c r="BW13" s="497" t="str">
        <f t="shared" si="54"/>
        <v/>
      </c>
      <c r="BX13" s="496" t="str">
        <f t="shared" si="55"/>
        <v/>
      </c>
      <c r="BY13" s="499"/>
      <c r="BZ13" s="496" t="str">
        <f t="shared" si="56"/>
        <v/>
      </c>
      <c r="CA13" s="497" t="str">
        <f t="shared" si="57"/>
        <v/>
      </c>
      <c r="CB13" s="496" t="str">
        <f t="shared" si="58"/>
        <v/>
      </c>
      <c r="CC13" s="499"/>
      <c r="CD13" s="496" t="str">
        <f t="shared" si="59"/>
        <v/>
      </c>
      <c r="CE13" s="497" t="str">
        <f t="shared" si="60"/>
        <v/>
      </c>
      <c r="CF13" s="496" t="str">
        <f t="shared" si="61"/>
        <v/>
      </c>
      <c r="CG13" s="499"/>
      <c r="CH13" s="496" t="str">
        <f t="shared" si="62"/>
        <v/>
      </c>
      <c r="CI13" s="497" t="str">
        <f t="shared" si="63"/>
        <v/>
      </c>
      <c r="CJ13" s="496" t="str">
        <f t="shared" si="64"/>
        <v/>
      </c>
      <c r="CK13" s="499"/>
      <c r="CL13" s="496" t="str">
        <f t="shared" si="65"/>
        <v/>
      </c>
      <c r="CM13" s="497" t="str">
        <f t="shared" si="66"/>
        <v/>
      </c>
      <c r="CN13" s="496" t="str">
        <f t="shared" si="67"/>
        <v/>
      </c>
      <c r="CO13" s="499"/>
      <c r="CP13" s="496" t="str">
        <f t="shared" si="68"/>
        <v/>
      </c>
      <c r="CQ13" s="497" t="str">
        <f t="shared" si="69"/>
        <v/>
      </c>
      <c r="CR13" s="496" t="str">
        <f t="shared" si="70"/>
        <v/>
      </c>
      <c r="CS13" s="499"/>
      <c r="CT13" s="496" t="str">
        <f t="shared" si="71"/>
        <v/>
      </c>
      <c r="CU13" s="497" t="str">
        <f t="shared" si="72"/>
        <v/>
      </c>
      <c r="CV13" s="496" t="str">
        <f t="shared" si="73"/>
        <v/>
      </c>
      <c r="CW13" s="499"/>
      <c r="CX13" s="496" t="str">
        <f>IF('1.ข้อมูลเบื้องต้น'!$B$32="","",IF($A13="","",'1.ข้อมูลเบื้องต้น'!$B$32))</f>
        <v/>
      </c>
      <c r="CY13" s="497" t="str">
        <f>IF('1.ข้อมูลเบื้องต้น'!$C$32="","",IF($A13="","",'1.ข้อมูลเบื้องต้น'!$C$32))</f>
        <v/>
      </c>
      <c r="CZ13" s="496" t="str">
        <f>IF('1.ข้อมูลเบื้องต้น'!$D$32="","",IF($A13="","",'1.ข้อมูลเบื้องต้น'!$D$32))</f>
        <v/>
      </c>
      <c r="DA13" s="499"/>
      <c r="DB13" s="496" t="str">
        <f t="shared" si="74"/>
        <v/>
      </c>
      <c r="DC13" s="498" t="str">
        <f>IF('2.ชื่อนักเรียน'!R19="มส","มส",IF('2.ชื่อนักเรียน'!R19="ย้าย","ย้าย",IF('2.ชื่อนักเรียน'!R19="ร","ร",IF(DB13="","",RANK(DB13,$DB$5:$DB$49,0)))))</f>
        <v/>
      </c>
      <c r="DD13" s="496" t="str">
        <f t="shared" si="75"/>
        <v/>
      </c>
    </row>
    <row r="14" spans="1:108" s="501" customFormat="1" ht="21" x14ac:dyDescent="0.4">
      <c r="A14" s="496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B14" s="496" t="str">
        <f>IF(IDstu10="","",IDstu10)</f>
        <v/>
      </c>
      <c r="C14" s="497" t="str">
        <f>CONCATENATE(TRIM(Name10),"  ",Surname10)</f>
        <v xml:space="preserve">  </v>
      </c>
      <c r="D14" s="498" t="str">
        <f t="shared" si="0"/>
        <v/>
      </c>
      <c r="E14" s="496" t="str">
        <f t="shared" si="1"/>
        <v/>
      </c>
      <c r="F14" s="496" t="str">
        <f t="shared" si="2"/>
        <v/>
      </c>
      <c r="G14" s="497" t="str">
        <f t="shared" si="3"/>
        <v/>
      </c>
      <c r="H14" s="496" t="str">
        <f t="shared" si="4"/>
        <v/>
      </c>
      <c r="I14" s="499"/>
      <c r="J14" s="496" t="str">
        <f t="shared" si="5"/>
        <v/>
      </c>
      <c r="K14" s="497" t="str">
        <f t="shared" si="6"/>
        <v/>
      </c>
      <c r="L14" s="496" t="str">
        <f t="shared" si="7"/>
        <v/>
      </c>
      <c r="M14" s="500"/>
      <c r="N14" s="496" t="str">
        <f t="shared" si="8"/>
        <v/>
      </c>
      <c r="O14" s="497" t="str">
        <f t="shared" si="9"/>
        <v/>
      </c>
      <c r="P14" s="496" t="str">
        <f t="shared" si="10"/>
        <v/>
      </c>
      <c r="Q14" s="499"/>
      <c r="R14" s="496" t="str">
        <f t="shared" si="11"/>
        <v/>
      </c>
      <c r="S14" s="497" t="str">
        <f t="shared" si="12"/>
        <v/>
      </c>
      <c r="T14" s="496" t="str">
        <f t="shared" si="13"/>
        <v/>
      </c>
      <c r="U14" s="499"/>
      <c r="V14" s="496" t="str">
        <f t="shared" si="14"/>
        <v/>
      </c>
      <c r="W14" s="497" t="str">
        <f t="shared" si="15"/>
        <v/>
      </c>
      <c r="X14" s="496" t="str">
        <f t="shared" si="16"/>
        <v/>
      </c>
      <c r="Y14" s="499"/>
      <c r="Z14" s="496" t="str">
        <f t="shared" si="17"/>
        <v/>
      </c>
      <c r="AA14" s="497" t="str">
        <f t="shared" si="18"/>
        <v/>
      </c>
      <c r="AB14" s="496" t="str">
        <f t="shared" si="19"/>
        <v/>
      </c>
      <c r="AC14" s="500"/>
      <c r="AD14" s="496" t="str">
        <f t="shared" si="20"/>
        <v/>
      </c>
      <c r="AE14" s="497" t="str">
        <f t="shared" si="21"/>
        <v/>
      </c>
      <c r="AF14" s="496" t="str">
        <f t="shared" si="22"/>
        <v/>
      </c>
      <c r="AG14" s="500"/>
      <c r="AH14" s="496" t="str">
        <f t="shared" si="23"/>
        <v/>
      </c>
      <c r="AI14" s="497" t="str">
        <f t="shared" si="24"/>
        <v/>
      </c>
      <c r="AJ14" s="496" t="str">
        <f t="shared" si="25"/>
        <v/>
      </c>
      <c r="AK14" s="500"/>
      <c r="AL14" s="496" t="str">
        <f t="shared" si="26"/>
        <v/>
      </c>
      <c r="AM14" s="497" t="str">
        <f t="shared" si="27"/>
        <v/>
      </c>
      <c r="AN14" s="496" t="str">
        <f t="shared" si="28"/>
        <v/>
      </c>
      <c r="AO14" s="499"/>
      <c r="AP14" s="496" t="str">
        <f t="shared" si="29"/>
        <v/>
      </c>
      <c r="AQ14" s="497" t="str">
        <f t="shared" si="30"/>
        <v/>
      </c>
      <c r="AR14" s="496" t="str">
        <f t="shared" si="31"/>
        <v/>
      </c>
      <c r="AS14" s="499"/>
      <c r="AT14" s="496" t="str">
        <f t="shared" si="32"/>
        <v/>
      </c>
      <c r="AU14" s="497" t="str">
        <f t="shared" si="33"/>
        <v/>
      </c>
      <c r="AV14" s="496" t="str">
        <f t="shared" si="34"/>
        <v/>
      </c>
      <c r="AW14" s="499"/>
      <c r="AX14" s="496" t="str">
        <f t="shared" si="35"/>
        <v/>
      </c>
      <c r="AY14" s="497" t="str">
        <f t="shared" si="36"/>
        <v/>
      </c>
      <c r="AZ14" s="496" t="str">
        <f t="shared" si="37"/>
        <v/>
      </c>
      <c r="BA14" s="499"/>
      <c r="BB14" s="496" t="str">
        <f t="shared" si="38"/>
        <v/>
      </c>
      <c r="BC14" s="497" t="str">
        <f t="shared" si="39"/>
        <v/>
      </c>
      <c r="BD14" s="496" t="str">
        <f t="shared" si="40"/>
        <v/>
      </c>
      <c r="BE14" s="499"/>
      <c r="BF14" s="496" t="str">
        <f t="shared" si="41"/>
        <v/>
      </c>
      <c r="BG14" s="497" t="str">
        <f t="shared" si="42"/>
        <v/>
      </c>
      <c r="BH14" s="496" t="str">
        <f t="shared" si="43"/>
        <v/>
      </c>
      <c r="BI14" s="499"/>
      <c r="BJ14" s="496" t="str">
        <f t="shared" si="44"/>
        <v/>
      </c>
      <c r="BK14" s="497" t="str">
        <f t="shared" si="45"/>
        <v/>
      </c>
      <c r="BL14" s="496" t="str">
        <f t="shared" si="46"/>
        <v/>
      </c>
      <c r="BM14" s="499"/>
      <c r="BN14" s="496" t="str">
        <f t="shared" si="47"/>
        <v/>
      </c>
      <c r="BO14" s="497" t="str">
        <f t="shared" si="48"/>
        <v/>
      </c>
      <c r="BP14" s="496" t="str">
        <f t="shared" si="49"/>
        <v/>
      </c>
      <c r="BQ14" s="499"/>
      <c r="BR14" s="496" t="str">
        <f t="shared" si="50"/>
        <v/>
      </c>
      <c r="BS14" s="497" t="str">
        <f t="shared" si="51"/>
        <v/>
      </c>
      <c r="BT14" s="496" t="str">
        <f t="shared" si="52"/>
        <v/>
      </c>
      <c r="BU14" s="499"/>
      <c r="BV14" s="496" t="str">
        <f t="shared" si="53"/>
        <v/>
      </c>
      <c r="BW14" s="497" t="str">
        <f t="shared" si="54"/>
        <v/>
      </c>
      <c r="BX14" s="496" t="str">
        <f t="shared" si="55"/>
        <v/>
      </c>
      <c r="BY14" s="499"/>
      <c r="BZ14" s="496" t="str">
        <f t="shared" si="56"/>
        <v/>
      </c>
      <c r="CA14" s="497" t="str">
        <f t="shared" si="57"/>
        <v/>
      </c>
      <c r="CB14" s="496" t="str">
        <f t="shared" si="58"/>
        <v/>
      </c>
      <c r="CC14" s="499"/>
      <c r="CD14" s="496" t="str">
        <f t="shared" si="59"/>
        <v/>
      </c>
      <c r="CE14" s="497" t="str">
        <f t="shared" si="60"/>
        <v/>
      </c>
      <c r="CF14" s="496" t="str">
        <f t="shared" si="61"/>
        <v/>
      </c>
      <c r="CG14" s="499"/>
      <c r="CH14" s="496" t="str">
        <f t="shared" si="62"/>
        <v/>
      </c>
      <c r="CI14" s="497" t="str">
        <f t="shared" si="63"/>
        <v/>
      </c>
      <c r="CJ14" s="496" t="str">
        <f t="shared" si="64"/>
        <v/>
      </c>
      <c r="CK14" s="499"/>
      <c r="CL14" s="496" t="str">
        <f t="shared" si="65"/>
        <v/>
      </c>
      <c r="CM14" s="497" t="str">
        <f t="shared" si="66"/>
        <v/>
      </c>
      <c r="CN14" s="496" t="str">
        <f t="shared" si="67"/>
        <v/>
      </c>
      <c r="CO14" s="499"/>
      <c r="CP14" s="496" t="str">
        <f t="shared" si="68"/>
        <v/>
      </c>
      <c r="CQ14" s="497" t="str">
        <f t="shared" si="69"/>
        <v/>
      </c>
      <c r="CR14" s="496" t="str">
        <f t="shared" si="70"/>
        <v/>
      </c>
      <c r="CS14" s="499"/>
      <c r="CT14" s="496" t="str">
        <f t="shared" si="71"/>
        <v/>
      </c>
      <c r="CU14" s="497" t="str">
        <f t="shared" si="72"/>
        <v/>
      </c>
      <c r="CV14" s="496" t="str">
        <f t="shared" si="73"/>
        <v/>
      </c>
      <c r="CW14" s="499"/>
      <c r="CX14" s="496" t="str">
        <f>IF('1.ข้อมูลเบื้องต้น'!$B$32="","",IF($A14="","",'1.ข้อมูลเบื้องต้น'!$B$32))</f>
        <v/>
      </c>
      <c r="CY14" s="497" t="str">
        <f>IF('1.ข้อมูลเบื้องต้น'!$C$32="","",IF($A14="","",'1.ข้อมูลเบื้องต้น'!$C$32))</f>
        <v/>
      </c>
      <c r="CZ14" s="496" t="str">
        <f>IF('1.ข้อมูลเบื้องต้น'!$D$32="","",IF($A14="","",'1.ข้อมูลเบื้องต้น'!$D$32))</f>
        <v/>
      </c>
      <c r="DA14" s="499"/>
      <c r="DB14" s="496" t="str">
        <f t="shared" si="74"/>
        <v/>
      </c>
      <c r="DC14" s="498" t="str">
        <f>IF('2.ชื่อนักเรียน'!R20="มส","มส",IF('2.ชื่อนักเรียน'!R20="ย้าย","ย้าย",IF('2.ชื่อนักเรียน'!R20="ร","ร",IF(DB14="","",RANK(DB14,$DB$5:$DB$49,0)))))</f>
        <v/>
      </c>
      <c r="DD14" s="496" t="str">
        <f t="shared" si="75"/>
        <v/>
      </c>
    </row>
    <row r="15" spans="1:108" s="501" customFormat="1" ht="21" x14ac:dyDescent="0.4">
      <c r="A15" s="496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B15" s="496" t="str">
        <f>IF(IDstu11="","",IDstu11)</f>
        <v/>
      </c>
      <c r="C15" s="497" t="str">
        <f>CONCATENATE(TRIM(Name11),"  ",Surname11)</f>
        <v xml:space="preserve">  </v>
      </c>
      <c r="D15" s="498" t="str">
        <f t="shared" si="0"/>
        <v/>
      </c>
      <c r="E15" s="496" t="str">
        <f t="shared" si="1"/>
        <v/>
      </c>
      <c r="F15" s="496" t="str">
        <f t="shared" si="2"/>
        <v/>
      </c>
      <c r="G15" s="497" t="str">
        <f t="shared" si="3"/>
        <v/>
      </c>
      <c r="H15" s="496" t="str">
        <f t="shared" si="4"/>
        <v/>
      </c>
      <c r="I15" s="499"/>
      <c r="J15" s="496" t="str">
        <f t="shared" si="5"/>
        <v/>
      </c>
      <c r="K15" s="497" t="str">
        <f t="shared" si="6"/>
        <v/>
      </c>
      <c r="L15" s="496" t="str">
        <f t="shared" si="7"/>
        <v/>
      </c>
      <c r="M15" s="500"/>
      <c r="N15" s="496" t="str">
        <f t="shared" si="8"/>
        <v/>
      </c>
      <c r="O15" s="497" t="str">
        <f t="shared" si="9"/>
        <v/>
      </c>
      <c r="P15" s="496" t="str">
        <f t="shared" si="10"/>
        <v/>
      </c>
      <c r="Q15" s="499"/>
      <c r="R15" s="496" t="str">
        <f t="shared" si="11"/>
        <v/>
      </c>
      <c r="S15" s="497" t="str">
        <f t="shared" si="12"/>
        <v/>
      </c>
      <c r="T15" s="496" t="str">
        <f t="shared" si="13"/>
        <v/>
      </c>
      <c r="U15" s="499"/>
      <c r="V15" s="496" t="str">
        <f t="shared" si="14"/>
        <v/>
      </c>
      <c r="W15" s="497" t="str">
        <f t="shared" si="15"/>
        <v/>
      </c>
      <c r="X15" s="496" t="str">
        <f t="shared" si="16"/>
        <v/>
      </c>
      <c r="Y15" s="499"/>
      <c r="Z15" s="496" t="str">
        <f t="shared" si="17"/>
        <v/>
      </c>
      <c r="AA15" s="497" t="str">
        <f t="shared" si="18"/>
        <v/>
      </c>
      <c r="AB15" s="496" t="str">
        <f t="shared" si="19"/>
        <v/>
      </c>
      <c r="AC15" s="500"/>
      <c r="AD15" s="496" t="str">
        <f t="shared" si="20"/>
        <v/>
      </c>
      <c r="AE15" s="497" t="str">
        <f t="shared" si="21"/>
        <v/>
      </c>
      <c r="AF15" s="496" t="str">
        <f t="shared" si="22"/>
        <v/>
      </c>
      <c r="AG15" s="500"/>
      <c r="AH15" s="496" t="str">
        <f t="shared" si="23"/>
        <v/>
      </c>
      <c r="AI15" s="497" t="str">
        <f t="shared" si="24"/>
        <v/>
      </c>
      <c r="AJ15" s="496" t="str">
        <f t="shared" si="25"/>
        <v/>
      </c>
      <c r="AK15" s="500"/>
      <c r="AL15" s="496" t="str">
        <f t="shared" si="26"/>
        <v/>
      </c>
      <c r="AM15" s="497" t="str">
        <f t="shared" si="27"/>
        <v/>
      </c>
      <c r="AN15" s="496" t="str">
        <f t="shared" si="28"/>
        <v/>
      </c>
      <c r="AO15" s="499"/>
      <c r="AP15" s="496" t="str">
        <f t="shared" si="29"/>
        <v/>
      </c>
      <c r="AQ15" s="497" t="str">
        <f t="shared" si="30"/>
        <v/>
      </c>
      <c r="AR15" s="496" t="str">
        <f t="shared" si="31"/>
        <v/>
      </c>
      <c r="AS15" s="499"/>
      <c r="AT15" s="496" t="str">
        <f t="shared" si="32"/>
        <v/>
      </c>
      <c r="AU15" s="497" t="str">
        <f t="shared" si="33"/>
        <v/>
      </c>
      <c r="AV15" s="496" t="str">
        <f t="shared" si="34"/>
        <v/>
      </c>
      <c r="AW15" s="499"/>
      <c r="AX15" s="496" t="str">
        <f t="shared" si="35"/>
        <v/>
      </c>
      <c r="AY15" s="497" t="str">
        <f t="shared" si="36"/>
        <v/>
      </c>
      <c r="AZ15" s="496" t="str">
        <f t="shared" si="37"/>
        <v/>
      </c>
      <c r="BA15" s="499"/>
      <c r="BB15" s="496" t="str">
        <f t="shared" si="38"/>
        <v/>
      </c>
      <c r="BC15" s="497" t="str">
        <f t="shared" si="39"/>
        <v/>
      </c>
      <c r="BD15" s="496" t="str">
        <f t="shared" si="40"/>
        <v/>
      </c>
      <c r="BE15" s="499"/>
      <c r="BF15" s="496" t="str">
        <f t="shared" si="41"/>
        <v/>
      </c>
      <c r="BG15" s="497" t="str">
        <f t="shared" si="42"/>
        <v/>
      </c>
      <c r="BH15" s="496" t="str">
        <f t="shared" si="43"/>
        <v/>
      </c>
      <c r="BI15" s="499"/>
      <c r="BJ15" s="496" t="str">
        <f t="shared" si="44"/>
        <v/>
      </c>
      <c r="BK15" s="497" t="str">
        <f t="shared" si="45"/>
        <v/>
      </c>
      <c r="BL15" s="496" t="str">
        <f t="shared" si="46"/>
        <v/>
      </c>
      <c r="BM15" s="499"/>
      <c r="BN15" s="496" t="str">
        <f t="shared" si="47"/>
        <v/>
      </c>
      <c r="BO15" s="497" t="str">
        <f t="shared" si="48"/>
        <v/>
      </c>
      <c r="BP15" s="496" t="str">
        <f t="shared" si="49"/>
        <v/>
      </c>
      <c r="BQ15" s="499"/>
      <c r="BR15" s="496" t="str">
        <f t="shared" si="50"/>
        <v/>
      </c>
      <c r="BS15" s="497" t="str">
        <f t="shared" si="51"/>
        <v/>
      </c>
      <c r="BT15" s="496" t="str">
        <f t="shared" si="52"/>
        <v/>
      </c>
      <c r="BU15" s="499"/>
      <c r="BV15" s="496" t="str">
        <f t="shared" si="53"/>
        <v/>
      </c>
      <c r="BW15" s="497" t="str">
        <f t="shared" si="54"/>
        <v/>
      </c>
      <c r="BX15" s="496" t="str">
        <f t="shared" si="55"/>
        <v/>
      </c>
      <c r="BY15" s="499"/>
      <c r="BZ15" s="496" t="str">
        <f t="shared" si="56"/>
        <v/>
      </c>
      <c r="CA15" s="497" t="str">
        <f t="shared" si="57"/>
        <v/>
      </c>
      <c r="CB15" s="496" t="str">
        <f t="shared" si="58"/>
        <v/>
      </c>
      <c r="CC15" s="499"/>
      <c r="CD15" s="496" t="str">
        <f t="shared" si="59"/>
        <v/>
      </c>
      <c r="CE15" s="497" t="str">
        <f t="shared" si="60"/>
        <v/>
      </c>
      <c r="CF15" s="496" t="str">
        <f t="shared" si="61"/>
        <v/>
      </c>
      <c r="CG15" s="499"/>
      <c r="CH15" s="496" t="str">
        <f t="shared" si="62"/>
        <v/>
      </c>
      <c r="CI15" s="497" t="str">
        <f t="shared" si="63"/>
        <v/>
      </c>
      <c r="CJ15" s="496" t="str">
        <f t="shared" si="64"/>
        <v/>
      </c>
      <c r="CK15" s="499"/>
      <c r="CL15" s="496" t="str">
        <f t="shared" si="65"/>
        <v/>
      </c>
      <c r="CM15" s="497" t="str">
        <f t="shared" si="66"/>
        <v/>
      </c>
      <c r="CN15" s="496" t="str">
        <f t="shared" si="67"/>
        <v/>
      </c>
      <c r="CO15" s="499"/>
      <c r="CP15" s="496" t="str">
        <f t="shared" si="68"/>
        <v/>
      </c>
      <c r="CQ15" s="497" t="str">
        <f t="shared" si="69"/>
        <v/>
      </c>
      <c r="CR15" s="496" t="str">
        <f t="shared" si="70"/>
        <v/>
      </c>
      <c r="CS15" s="499"/>
      <c r="CT15" s="496" t="str">
        <f t="shared" si="71"/>
        <v/>
      </c>
      <c r="CU15" s="497" t="str">
        <f t="shared" si="72"/>
        <v/>
      </c>
      <c r="CV15" s="496" t="str">
        <f t="shared" si="73"/>
        <v/>
      </c>
      <c r="CW15" s="499"/>
      <c r="CX15" s="496" t="str">
        <f>IF('1.ข้อมูลเบื้องต้น'!$B$32="","",IF($A15="","",'1.ข้อมูลเบื้องต้น'!$B$32))</f>
        <v/>
      </c>
      <c r="CY15" s="497" t="str">
        <f>IF('1.ข้อมูลเบื้องต้น'!$C$32="","",IF($A15="","",'1.ข้อมูลเบื้องต้น'!$C$32))</f>
        <v/>
      </c>
      <c r="CZ15" s="496" t="str">
        <f>IF('1.ข้อมูลเบื้องต้น'!$D$32="","",IF($A15="","",'1.ข้อมูลเบื้องต้น'!$D$32))</f>
        <v/>
      </c>
      <c r="DA15" s="499"/>
      <c r="DB15" s="496" t="str">
        <f t="shared" si="74"/>
        <v/>
      </c>
      <c r="DC15" s="498" t="str">
        <f>IF('2.ชื่อนักเรียน'!R21="มส","มส",IF('2.ชื่อนักเรียน'!R21="ย้าย","ย้าย",IF('2.ชื่อนักเรียน'!R21="ร","ร",IF(DB15="","",RANK(DB15,$DB$5:$DB$49,0)))))</f>
        <v/>
      </c>
      <c r="DD15" s="496" t="str">
        <f t="shared" si="75"/>
        <v/>
      </c>
    </row>
    <row r="16" spans="1:108" s="501" customFormat="1" ht="21" x14ac:dyDescent="0.4">
      <c r="A16" s="496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B16" s="496" t="str">
        <f>IF(IDstu12="","",IDstu12)</f>
        <v/>
      </c>
      <c r="C16" s="497" t="str">
        <f>CONCATENATE(TRIM(Name12),"  ",Surname12)</f>
        <v xml:space="preserve">  </v>
      </c>
      <c r="D16" s="498" t="str">
        <f t="shared" si="0"/>
        <v/>
      </c>
      <c r="E16" s="496" t="str">
        <f t="shared" si="1"/>
        <v/>
      </c>
      <c r="F16" s="496" t="str">
        <f t="shared" si="2"/>
        <v/>
      </c>
      <c r="G16" s="497" t="str">
        <f t="shared" si="3"/>
        <v/>
      </c>
      <c r="H16" s="496" t="str">
        <f t="shared" si="4"/>
        <v/>
      </c>
      <c r="I16" s="499"/>
      <c r="J16" s="496" t="str">
        <f t="shared" si="5"/>
        <v/>
      </c>
      <c r="K16" s="497" t="str">
        <f t="shared" si="6"/>
        <v/>
      </c>
      <c r="L16" s="496" t="str">
        <f t="shared" si="7"/>
        <v/>
      </c>
      <c r="M16" s="500"/>
      <c r="N16" s="496" t="str">
        <f t="shared" si="8"/>
        <v/>
      </c>
      <c r="O16" s="497" t="str">
        <f t="shared" si="9"/>
        <v/>
      </c>
      <c r="P16" s="496" t="str">
        <f t="shared" si="10"/>
        <v/>
      </c>
      <c r="Q16" s="499"/>
      <c r="R16" s="496" t="str">
        <f t="shared" si="11"/>
        <v/>
      </c>
      <c r="S16" s="497" t="str">
        <f t="shared" si="12"/>
        <v/>
      </c>
      <c r="T16" s="496" t="str">
        <f t="shared" si="13"/>
        <v/>
      </c>
      <c r="U16" s="499"/>
      <c r="V16" s="496" t="str">
        <f t="shared" si="14"/>
        <v/>
      </c>
      <c r="W16" s="497" t="str">
        <f t="shared" si="15"/>
        <v/>
      </c>
      <c r="X16" s="496" t="str">
        <f t="shared" si="16"/>
        <v/>
      </c>
      <c r="Y16" s="499"/>
      <c r="Z16" s="496" t="str">
        <f t="shared" si="17"/>
        <v/>
      </c>
      <c r="AA16" s="497" t="str">
        <f t="shared" si="18"/>
        <v/>
      </c>
      <c r="AB16" s="496" t="str">
        <f t="shared" si="19"/>
        <v/>
      </c>
      <c r="AC16" s="500"/>
      <c r="AD16" s="496" t="str">
        <f t="shared" si="20"/>
        <v/>
      </c>
      <c r="AE16" s="497" t="str">
        <f t="shared" si="21"/>
        <v/>
      </c>
      <c r="AF16" s="496" t="str">
        <f t="shared" si="22"/>
        <v/>
      </c>
      <c r="AG16" s="500"/>
      <c r="AH16" s="496" t="str">
        <f t="shared" si="23"/>
        <v/>
      </c>
      <c r="AI16" s="497" t="str">
        <f t="shared" si="24"/>
        <v/>
      </c>
      <c r="AJ16" s="496" t="str">
        <f t="shared" si="25"/>
        <v/>
      </c>
      <c r="AK16" s="500"/>
      <c r="AL16" s="496" t="str">
        <f t="shared" si="26"/>
        <v/>
      </c>
      <c r="AM16" s="497" t="str">
        <f t="shared" si="27"/>
        <v/>
      </c>
      <c r="AN16" s="496" t="str">
        <f t="shared" si="28"/>
        <v/>
      </c>
      <c r="AO16" s="499"/>
      <c r="AP16" s="496" t="str">
        <f t="shared" si="29"/>
        <v/>
      </c>
      <c r="AQ16" s="497" t="str">
        <f t="shared" si="30"/>
        <v/>
      </c>
      <c r="AR16" s="496" t="str">
        <f t="shared" si="31"/>
        <v/>
      </c>
      <c r="AS16" s="499"/>
      <c r="AT16" s="496" t="str">
        <f t="shared" si="32"/>
        <v/>
      </c>
      <c r="AU16" s="497" t="str">
        <f t="shared" si="33"/>
        <v/>
      </c>
      <c r="AV16" s="496" t="str">
        <f t="shared" si="34"/>
        <v/>
      </c>
      <c r="AW16" s="499"/>
      <c r="AX16" s="496" t="str">
        <f t="shared" si="35"/>
        <v/>
      </c>
      <c r="AY16" s="497" t="str">
        <f t="shared" si="36"/>
        <v/>
      </c>
      <c r="AZ16" s="496" t="str">
        <f t="shared" si="37"/>
        <v/>
      </c>
      <c r="BA16" s="499"/>
      <c r="BB16" s="496" t="str">
        <f t="shared" si="38"/>
        <v/>
      </c>
      <c r="BC16" s="497" t="str">
        <f t="shared" si="39"/>
        <v/>
      </c>
      <c r="BD16" s="496" t="str">
        <f t="shared" si="40"/>
        <v/>
      </c>
      <c r="BE16" s="499"/>
      <c r="BF16" s="496" t="str">
        <f t="shared" si="41"/>
        <v/>
      </c>
      <c r="BG16" s="497" t="str">
        <f t="shared" si="42"/>
        <v/>
      </c>
      <c r="BH16" s="496" t="str">
        <f t="shared" si="43"/>
        <v/>
      </c>
      <c r="BI16" s="499"/>
      <c r="BJ16" s="496" t="str">
        <f t="shared" si="44"/>
        <v/>
      </c>
      <c r="BK16" s="497" t="str">
        <f t="shared" si="45"/>
        <v/>
      </c>
      <c r="BL16" s="496" t="str">
        <f t="shared" si="46"/>
        <v/>
      </c>
      <c r="BM16" s="499"/>
      <c r="BN16" s="496" t="str">
        <f t="shared" si="47"/>
        <v/>
      </c>
      <c r="BO16" s="497" t="str">
        <f t="shared" si="48"/>
        <v/>
      </c>
      <c r="BP16" s="496" t="str">
        <f t="shared" si="49"/>
        <v/>
      </c>
      <c r="BQ16" s="499"/>
      <c r="BR16" s="496" t="str">
        <f t="shared" si="50"/>
        <v/>
      </c>
      <c r="BS16" s="497" t="str">
        <f t="shared" si="51"/>
        <v/>
      </c>
      <c r="BT16" s="496" t="str">
        <f t="shared" si="52"/>
        <v/>
      </c>
      <c r="BU16" s="499"/>
      <c r="BV16" s="496" t="str">
        <f t="shared" si="53"/>
        <v/>
      </c>
      <c r="BW16" s="497" t="str">
        <f t="shared" si="54"/>
        <v/>
      </c>
      <c r="BX16" s="496" t="str">
        <f t="shared" si="55"/>
        <v/>
      </c>
      <c r="BY16" s="499"/>
      <c r="BZ16" s="496" t="str">
        <f t="shared" si="56"/>
        <v/>
      </c>
      <c r="CA16" s="497" t="str">
        <f t="shared" si="57"/>
        <v/>
      </c>
      <c r="CB16" s="496" t="str">
        <f t="shared" si="58"/>
        <v/>
      </c>
      <c r="CC16" s="499"/>
      <c r="CD16" s="496" t="str">
        <f t="shared" si="59"/>
        <v/>
      </c>
      <c r="CE16" s="497" t="str">
        <f t="shared" si="60"/>
        <v/>
      </c>
      <c r="CF16" s="496" t="str">
        <f t="shared" si="61"/>
        <v/>
      </c>
      <c r="CG16" s="499"/>
      <c r="CH16" s="496" t="str">
        <f t="shared" si="62"/>
        <v/>
      </c>
      <c r="CI16" s="497" t="str">
        <f t="shared" si="63"/>
        <v/>
      </c>
      <c r="CJ16" s="496" t="str">
        <f t="shared" si="64"/>
        <v/>
      </c>
      <c r="CK16" s="499"/>
      <c r="CL16" s="496" t="str">
        <f t="shared" si="65"/>
        <v/>
      </c>
      <c r="CM16" s="497" t="str">
        <f t="shared" si="66"/>
        <v/>
      </c>
      <c r="CN16" s="496" t="str">
        <f t="shared" si="67"/>
        <v/>
      </c>
      <c r="CO16" s="499"/>
      <c r="CP16" s="496" t="str">
        <f t="shared" si="68"/>
        <v/>
      </c>
      <c r="CQ16" s="497" t="str">
        <f t="shared" si="69"/>
        <v/>
      </c>
      <c r="CR16" s="496" t="str">
        <f t="shared" si="70"/>
        <v/>
      </c>
      <c r="CS16" s="499"/>
      <c r="CT16" s="496" t="str">
        <f t="shared" si="71"/>
        <v/>
      </c>
      <c r="CU16" s="497" t="str">
        <f t="shared" si="72"/>
        <v/>
      </c>
      <c r="CV16" s="496" t="str">
        <f t="shared" si="73"/>
        <v/>
      </c>
      <c r="CW16" s="499"/>
      <c r="CX16" s="496" t="str">
        <f>IF('1.ข้อมูลเบื้องต้น'!$B$32="","",IF($A16="","",'1.ข้อมูลเบื้องต้น'!$B$32))</f>
        <v/>
      </c>
      <c r="CY16" s="497" t="str">
        <f>IF('1.ข้อมูลเบื้องต้น'!$C$32="","",IF($A16="","",'1.ข้อมูลเบื้องต้น'!$C$32))</f>
        <v/>
      </c>
      <c r="CZ16" s="496" t="str">
        <f>IF('1.ข้อมูลเบื้องต้น'!$D$32="","",IF($A16="","",'1.ข้อมูลเบื้องต้น'!$D$32))</f>
        <v/>
      </c>
      <c r="DA16" s="499"/>
      <c r="DB16" s="496" t="str">
        <f t="shared" si="74"/>
        <v/>
      </c>
      <c r="DC16" s="498" t="str">
        <f>IF('2.ชื่อนักเรียน'!R22="มส","มส",IF('2.ชื่อนักเรียน'!R22="ย้าย","ย้าย",IF('2.ชื่อนักเรียน'!R22="ร","ร",IF(DB16="","",RANK(DB16,$DB$5:$DB$49,0)))))</f>
        <v/>
      </c>
      <c r="DD16" s="496" t="str">
        <f t="shared" si="75"/>
        <v/>
      </c>
    </row>
    <row r="17" spans="1:108" s="501" customFormat="1" ht="21" x14ac:dyDescent="0.4">
      <c r="A17" s="496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B17" s="496" t="str">
        <f>IF(IDstu13="","",IDstu13)</f>
        <v/>
      </c>
      <c r="C17" s="497" t="str">
        <f>CONCATENATE(TRIM(Name13),"  ",Surname13)</f>
        <v xml:space="preserve">  </v>
      </c>
      <c r="D17" s="498" t="str">
        <f t="shared" si="0"/>
        <v/>
      </c>
      <c r="E17" s="496" t="str">
        <f t="shared" si="1"/>
        <v/>
      </c>
      <c r="F17" s="496" t="str">
        <f t="shared" si="2"/>
        <v/>
      </c>
      <c r="G17" s="497" t="str">
        <f t="shared" si="3"/>
        <v/>
      </c>
      <c r="H17" s="496" t="str">
        <f t="shared" si="4"/>
        <v/>
      </c>
      <c r="I17" s="499"/>
      <c r="J17" s="496" t="str">
        <f t="shared" si="5"/>
        <v/>
      </c>
      <c r="K17" s="497" t="str">
        <f t="shared" si="6"/>
        <v/>
      </c>
      <c r="L17" s="496" t="str">
        <f t="shared" si="7"/>
        <v/>
      </c>
      <c r="M17" s="500"/>
      <c r="N17" s="496" t="str">
        <f t="shared" si="8"/>
        <v/>
      </c>
      <c r="O17" s="497" t="str">
        <f t="shared" si="9"/>
        <v/>
      </c>
      <c r="P17" s="496" t="str">
        <f t="shared" si="10"/>
        <v/>
      </c>
      <c r="Q17" s="499"/>
      <c r="R17" s="496" t="str">
        <f t="shared" si="11"/>
        <v/>
      </c>
      <c r="S17" s="497" t="str">
        <f t="shared" si="12"/>
        <v/>
      </c>
      <c r="T17" s="496" t="str">
        <f t="shared" si="13"/>
        <v/>
      </c>
      <c r="U17" s="499"/>
      <c r="V17" s="496" t="str">
        <f t="shared" si="14"/>
        <v/>
      </c>
      <c r="W17" s="497" t="str">
        <f t="shared" si="15"/>
        <v/>
      </c>
      <c r="X17" s="496" t="str">
        <f t="shared" si="16"/>
        <v/>
      </c>
      <c r="Y17" s="499"/>
      <c r="Z17" s="496" t="str">
        <f t="shared" si="17"/>
        <v/>
      </c>
      <c r="AA17" s="497" t="str">
        <f t="shared" si="18"/>
        <v/>
      </c>
      <c r="AB17" s="496" t="str">
        <f t="shared" si="19"/>
        <v/>
      </c>
      <c r="AC17" s="500"/>
      <c r="AD17" s="496" t="str">
        <f t="shared" si="20"/>
        <v/>
      </c>
      <c r="AE17" s="497" t="str">
        <f t="shared" si="21"/>
        <v/>
      </c>
      <c r="AF17" s="496" t="str">
        <f t="shared" si="22"/>
        <v/>
      </c>
      <c r="AG17" s="500"/>
      <c r="AH17" s="496" t="str">
        <f t="shared" si="23"/>
        <v/>
      </c>
      <c r="AI17" s="497" t="str">
        <f t="shared" si="24"/>
        <v/>
      </c>
      <c r="AJ17" s="496" t="str">
        <f t="shared" si="25"/>
        <v/>
      </c>
      <c r="AK17" s="500"/>
      <c r="AL17" s="496" t="str">
        <f t="shared" si="26"/>
        <v/>
      </c>
      <c r="AM17" s="497" t="str">
        <f t="shared" si="27"/>
        <v/>
      </c>
      <c r="AN17" s="496" t="str">
        <f t="shared" si="28"/>
        <v/>
      </c>
      <c r="AO17" s="499"/>
      <c r="AP17" s="496" t="str">
        <f t="shared" si="29"/>
        <v/>
      </c>
      <c r="AQ17" s="497" t="str">
        <f t="shared" si="30"/>
        <v/>
      </c>
      <c r="AR17" s="496" t="str">
        <f t="shared" si="31"/>
        <v/>
      </c>
      <c r="AS17" s="499"/>
      <c r="AT17" s="496" t="str">
        <f t="shared" si="32"/>
        <v/>
      </c>
      <c r="AU17" s="497" t="str">
        <f t="shared" si="33"/>
        <v/>
      </c>
      <c r="AV17" s="496" t="str">
        <f t="shared" si="34"/>
        <v/>
      </c>
      <c r="AW17" s="499"/>
      <c r="AX17" s="496" t="str">
        <f t="shared" si="35"/>
        <v/>
      </c>
      <c r="AY17" s="497" t="str">
        <f t="shared" si="36"/>
        <v/>
      </c>
      <c r="AZ17" s="496" t="str">
        <f t="shared" si="37"/>
        <v/>
      </c>
      <c r="BA17" s="499"/>
      <c r="BB17" s="496" t="str">
        <f t="shared" si="38"/>
        <v/>
      </c>
      <c r="BC17" s="497" t="str">
        <f t="shared" si="39"/>
        <v/>
      </c>
      <c r="BD17" s="496" t="str">
        <f t="shared" si="40"/>
        <v/>
      </c>
      <c r="BE17" s="499"/>
      <c r="BF17" s="496" t="str">
        <f t="shared" si="41"/>
        <v/>
      </c>
      <c r="BG17" s="497" t="str">
        <f t="shared" si="42"/>
        <v/>
      </c>
      <c r="BH17" s="496" t="str">
        <f t="shared" si="43"/>
        <v/>
      </c>
      <c r="BI17" s="499"/>
      <c r="BJ17" s="496" t="str">
        <f t="shared" si="44"/>
        <v/>
      </c>
      <c r="BK17" s="497" t="str">
        <f t="shared" si="45"/>
        <v/>
      </c>
      <c r="BL17" s="496" t="str">
        <f t="shared" si="46"/>
        <v/>
      </c>
      <c r="BM17" s="499"/>
      <c r="BN17" s="496" t="str">
        <f t="shared" si="47"/>
        <v/>
      </c>
      <c r="BO17" s="497" t="str">
        <f t="shared" si="48"/>
        <v/>
      </c>
      <c r="BP17" s="496" t="str">
        <f t="shared" si="49"/>
        <v/>
      </c>
      <c r="BQ17" s="499"/>
      <c r="BR17" s="496" t="str">
        <f t="shared" si="50"/>
        <v/>
      </c>
      <c r="BS17" s="497" t="str">
        <f t="shared" si="51"/>
        <v/>
      </c>
      <c r="BT17" s="496" t="str">
        <f t="shared" si="52"/>
        <v/>
      </c>
      <c r="BU17" s="499"/>
      <c r="BV17" s="496" t="str">
        <f t="shared" si="53"/>
        <v/>
      </c>
      <c r="BW17" s="497" t="str">
        <f t="shared" si="54"/>
        <v/>
      </c>
      <c r="BX17" s="496" t="str">
        <f t="shared" si="55"/>
        <v/>
      </c>
      <c r="BY17" s="499"/>
      <c r="BZ17" s="496" t="str">
        <f t="shared" si="56"/>
        <v/>
      </c>
      <c r="CA17" s="497" t="str">
        <f t="shared" si="57"/>
        <v/>
      </c>
      <c r="CB17" s="496" t="str">
        <f t="shared" si="58"/>
        <v/>
      </c>
      <c r="CC17" s="499"/>
      <c r="CD17" s="496" t="str">
        <f t="shared" si="59"/>
        <v/>
      </c>
      <c r="CE17" s="497" t="str">
        <f t="shared" si="60"/>
        <v/>
      </c>
      <c r="CF17" s="496" t="str">
        <f t="shared" si="61"/>
        <v/>
      </c>
      <c r="CG17" s="499"/>
      <c r="CH17" s="496" t="str">
        <f t="shared" si="62"/>
        <v/>
      </c>
      <c r="CI17" s="497" t="str">
        <f t="shared" si="63"/>
        <v/>
      </c>
      <c r="CJ17" s="496" t="str">
        <f t="shared" si="64"/>
        <v/>
      </c>
      <c r="CK17" s="499"/>
      <c r="CL17" s="496" t="str">
        <f t="shared" si="65"/>
        <v/>
      </c>
      <c r="CM17" s="497" t="str">
        <f t="shared" si="66"/>
        <v/>
      </c>
      <c r="CN17" s="496" t="str">
        <f t="shared" si="67"/>
        <v/>
      </c>
      <c r="CO17" s="499"/>
      <c r="CP17" s="496" t="str">
        <f t="shared" si="68"/>
        <v/>
      </c>
      <c r="CQ17" s="497" t="str">
        <f t="shared" si="69"/>
        <v/>
      </c>
      <c r="CR17" s="496" t="str">
        <f t="shared" si="70"/>
        <v/>
      </c>
      <c r="CS17" s="499"/>
      <c r="CT17" s="496" t="str">
        <f t="shared" si="71"/>
        <v/>
      </c>
      <c r="CU17" s="497" t="str">
        <f t="shared" si="72"/>
        <v/>
      </c>
      <c r="CV17" s="496" t="str">
        <f t="shared" si="73"/>
        <v/>
      </c>
      <c r="CW17" s="499"/>
      <c r="CX17" s="496" t="str">
        <f>IF('1.ข้อมูลเบื้องต้น'!$B$32="","",IF($A17="","",'1.ข้อมูลเบื้องต้น'!$B$32))</f>
        <v/>
      </c>
      <c r="CY17" s="497" t="str">
        <f>IF('1.ข้อมูลเบื้องต้น'!$C$32="","",IF($A17="","",'1.ข้อมูลเบื้องต้น'!$C$32))</f>
        <v/>
      </c>
      <c r="CZ17" s="496" t="str">
        <f>IF('1.ข้อมูลเบื้องต้น'!$D$32="","",IF($A17="","",'1.ข้อมูลเบื้องต้น'!$D$32))</f>
        <v/>
      </c>
      <c r="DA17" s="499"/>
      <c r="DB17" s="496" t="str">
        <f t="shared" si="74"/>
        <v/>
      </c>
      <c r="DC17" s="498" t="str">
        <f>IF('2.ชื่อนักเรียน'!R23="มส","มส",IF('2.ชื่อนักเรียน'!R23="ย้าย","ย้าย",IF('2.ชื่อนักเรียน'!R23="ร","ร",IF(DB17="","",RANK(DB17,$DB$5:$DB$49,0)))))</f>
        <v/>
      </c>
      <c r="DD17" s="496" t="str">
        <f t="shared" si="75"/>
        <v/>
      </c>
    </row>
    <row r="18" spans="1:108" s="501" customFormat="1" ht="21" x14ac:dyDescent="0.4">
      <c r="A18" s="496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B18" s="496" t="str">
        <f>IF(IDstu14="","",IDstu14)</f>
        <v/>
      </c>
      <c r="C18" s="497" t="str">
        <f>CONCATENATE(TRIM(Name14),"  ",Surname14)</f>
        <v xml:space="preserve">  </v>
      </c>
      <c r="D18" s="498" t="str">
        <f t="shared" si="0"/>
        <v/>
      </c>
      <c r="E18" s="496" t="str">
        <f t="shared" si="1"/>
        <v/>
      </c>
      <c r="F18" s="496" t="str">
        <f t="shared" si="2"/>
        <v/>
      </c>
      <c r="G18" s="497" t="str">
        <f t="shared" si="3"/>
        <v/>
      </c>
      <c r="H18" s="496" t="str">
        <f t="shared" si="4"/>
        <v/>
      </c>
      <c r="I18" s="499"/>
      <c r="J18" s="496" t="str">
        <f t="shared" si="5"/>
        <v/>
      </c>
      <c r="K18" s="497" t="str">
        <f t="shared" si="6"/>
        <v/>
      </c>
      <c r="L18" s="496" t="str">
        <f t="shared" si="7"/>
        <v/>
      </c>
      <c r="M18" s="500"/>
      <c r="N18" s="496" t="str">
        <f t="shared" si="8"/>
        <v/>
      </c>
      <c r="O18" s="497" t="str">
        <f t="shared" si="9"/>
        <v/>
      </c>
      <c r="P18" s="496" t="str">
        <f t="shared" si="10"/>
        <v/>
      </c>
      <c r="Q18" s="499"/>
      <c r="R18" s="496" t="str">
        <f t="shared" si="11"/>
        <v/>
      </c>
      <c r="S18" s="497" t="str">
        <f t="shared" si="12"/>
        <v/>
      </c>
      <c r="T18" s="496" t="str">
        <f t="shared" si="13"/>
        <v/>
      </c>
      <c r="U18" s="499"/>
      <c r="V18" s="496" t="str">
        <f t="shared" si="14"/>
        <v/>
      </c>
      <c r="W18" s="497" t="str">
        <f t="shared" si="15"/>
        <v/>
      </c>
      <c r="X18" s="496" t="str">
        <f t="shared" si="16"/>
        <v/>
      </c>
      <c r="Y18" s="499"/>
      <c r="Z18" s="496" t="str">
        <f t="shared" si="17"/>
        <v/>
      </c>
      <c r="AA18" s="497" t="str">
        <f t="shared" si="18"/>
        <v/>
      </c>
      <c r="AB18" s="496" t="str">
        <f t="shared" si="19"/>
        <v/>
      </c>
      <c r="AC18" s="500"/>
      <c r="AD18" s="496" t="str">
        <f t="shared" si="20"/>
        <v/>
      </c>
      <c r="AE18" s="497" t="str">
        <f t="shared" si="21"/>
        <v/>
      </c>
      <c r="AF18" s="496" t="str">
        <f t="shared" si="22"/>
        <v/>
      </c>
      <c r="AG18" s="500"/>
      <c r="AH18" s="496" t="str">
        <f t="shared" si="23"/>
        <v/>
      </c>
      <c r="AI18" s="497" t="str">
        <f t="shared" si="24"/>
        <v/>
      </c>
      <c r="AJ18" s="496" t="str">
        <f t="shared" si="25"/>
        <v/>
      </c>
      <c r="AK18" s="500"/>
      <c r="AL18" s="496" t="str">
        <f t="shared" si="26"/>
        <v/>
      </c>
      <c r="AM18" s="497" t="str">
        <f t="shared" si="27"/>
        <v/>
      </c>
      <c r="AN18" s="496" t="str">
        <f t="shared" si="28"/>
        <v/>
      </c>
      <c r="AO18" s="499"/>
      <c r="AP18" s="496" t="str">
        <f t="shared" si="29"/>
        <v/>
      </c>
      <c r="AQ18" s="497" t="str">
        <f t="shared" si="30"/>
        <v/>
      </c>
      <c r="AR18" s="496" t="str">
        <f t="shared" si="31"/>
        <v/>
      </c>
      <c r="AS18" s="499"/>
      <c r="AT18" s="496" t="str">
        <f t="shared" si="32"/>
        <v/>
      </c>
      <c r="AU18" s="497" t="str">
        <f t="shared" si="33"/>
        <v/>
      </c>
      <c r="AV18" s="496" t="str">
        <f t="shared" si="34"/>
        <v/>
      </c>
      <c r="AW18" s="499"/>
      <c r="AX18" s="496" t="str">
        <f t="shared" si="35"/>
        <v/>
      </c>
      <c r="AY18" s="497" t="str">
        <f t="shared" si="36"/>
        <v/>
      </c>
      <c r="AZ18" s="496" t="str">
        <f t="shared" si="37"/>
        <v/>
      </c>
      <c r="BA18" s="499"/>
      <c r="BB18" s="496" t="str">
        <f t="shared" si="38"/>
        <v/>
      </c>
      <c r="BC18" s="497" t="str">
        <f t="shared" si="39"/>
        <v/>
      </c>
      <c r="BD18" s="496" t="str">
        <f t="shared" si="40"/>
        <v/>
      </c>
      <c r="BE18" s="499"/>
      <c r="BF18" s="496" t="str">
        <f t="shared" si="41"/>
        <v/>
      </c>
      <c r="BG18" s="497" t="str">
        <f t="shared" si="42"/>
        <v/>
      </c>
      <c r="BH18" s="496" t="str">
        <f t="shared" si="43"/>
        <v/>
      </c>
      <c r="BI18" s="499"/>
      <c r="BJ18" s="496" t="str">
        <f t="shared" si="44"/>
        <v/>
      </c>
      <c r="BK18" s="497" t="str">
        <f t="shared" si="45"/>
        <v/>
      </c>
      <c r="BL18" s="496" t="str">
        <f t="shared" si="46"/>
        <v/>
      </c>
      <c r="BM18" s="499"/>
      <c r="BN18" s="496" t="str">
        <f t="shared" si="47"/>
        <v/>
      </c>
      <c r="BO18" s="497" t="str">
        <f t="shared" si="48"/>
        <v/>
      </c>
      <c r="BP18" s="496" t="str">
        <f t="shared" si="49"/>
        <v/>
      </c>
      <c r="BQ18" s="499"/>
      <c r="BR18" s="496" t="str">
        <f t="shared" si="50"/>
        <v/>
      </c>
      <c r="BS18" s="497" t="str">
        <f t="shared" si="51"/>
        <v/>
      </c>
      <c r="BT18" s="496" t="str">
        <f t="shared" si="52"/>
        <v/>
      </c>
      <c r="BU18" s="499"/>
      <c r="BV18" s="496" t="str">
        <f t="shared" si="53"/>
        <v/>
      </c>
      <c r="BW18" s="497" t="str">
        <f t="shared" si="54"/>
        <v/>
      </c>
      <c r="BX18" s="496" t="str">
        <f t="shared" si="55"/>
        <v/>
      </c>
      <c r="BY18" s="499"/>
      <c r="BZ18" s="496" t="str">
        <f t="shared" si="56"/>
        <v/>
      </c>
      <c r="CA18" s="497" t="str">
        <f t="shared" si="57"/>
        <v/>
      </c>
      <c r="CB18" s="496" t="str">
        <f t="shared" si="58"/>
        <v/>
      </c>
      <c r="CC18" s="499"/>
      <c r="CD18" s="496" t="str">
        <f t="shared" si="59"/>
        <v/>
      </c>
      <c r="CE18" s="497" t="str">
        <f t="shared" si="60"/>
        <v/>
      </c>
      <c r="CF18" s="496" t="str">
        <f t="shared" si="61"/>
        <v/>
      </c>
      <c r="CG18" s="499"/>
      <c r="CH18" s="496" t="str">
        <f t="shared" si="62"/>
        <v/>
      </c>
      <c r="CI18" s="497" t="str">
        <f t="shared" si="63"/>
        <v/>
      </c>
      <c r="CJ18" s="496" t="str">
        <f t="shared" si="64"/>
        <v/>
      </c>
      <c r="CK18" s="499"/>
      <c r="CL18" s="496" t="str">
        <f t="shared" si="65"/>
        <v/>
      </c>
      <c r="CM18" s="497" t="str">
        <f t="shared" si="66"/>
        <v/>
      </c>
      <c r="CN18" s="496" t="str">
        <f t="shared" si="67"/>
        <v/>
      </c>
      <c r="CO18" s="499"/>
      <c r="CP18" s="496" t="str">
        <f t="shared" si="68"/>
        <v/>
      </c>
      <c r="CQ18" s="497" t="str">
        <f t="shared" si="69"/>
        <v/>
      </c>
      <c r="CR18" s="496" t="str">
        <f t="shared" si="70"/>
        <v/>
      </c>
      <c r="CS18" s="499"/>
      <c r="CT18" s="496" t="str">
        <f t="shared" si="71"/>
        <v/>
      </c>
      <c r="CU18" s="497" t="str">
        <f t="shared" si="72"/>
        <v/>
      </c>
      <c r="CV18" s="496" t="str">
        <f t="shared" si="73"/>
        <v/>
      </c>
      <c r="CW18" s="499"/>
      <c r="CX18" s="496" t="str">
        <f>IF('1.ข้อมูลเบื้องต้น'!$B$32="","",IF($A18="","",'1.ข้อมูลเบื้องต้น'!$B$32))</f>
        <v/>
      </c>
      <c r="CY18" s="497" t="str">
        <f>IF('1.ข้อมูลเบื้องต้น'!$C$32="","",IF($A18="","",'1.ข้อมูลเบื้องต้น'!$C$32))</f>
        <v/>
      </c>
      <c r="CZ18" s="496" t="str">
        <f>IF('1.ข้อมูลเบื้องต้น'!$D$32="","",IF($A18="","",'1.ข้อมูลเบื้องต้น'!$D$32))</f>
        <v/>
      </c>
      <c r="DA18" s="499"/>
      <c r="DB18" s="496" t="str">
        <f t="shared" si="74"/>
        <v/>
      </c>
      <c r="DC18" s="498" t="str">
        <f>IF('2.ชื่อนักเรียน'!R24="มส","มส",IF('2.ชื่อนักเรียน'!R24="ย้าย","ย้าย",IF('2.ชื่อนักเรียน'!R24="ร","ร",IF(DB18="","",RANK(DB18,$DB$5:$DB$49,0)))))</f>
        <v/>
      </c>
      <c r="DD18" s="496" t="str">
        <f t="shared" si="75"/>
        <v/>
      </c>
    </row>
    <row r="19" spans="1:108" s="501" customFormat="1" ht="21" x14ac:dyDescent="0.4">
      <c r="A19" s="496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B19" s="496" t="str">
        <f>IF(IDstu15="","",IDstu15)</f>
        <v/>
      </c>
      <c r="C19" s="497" t="str">
        <f>CONCATENATE(TRIM(Name15),"  ",Surname15)</f>
        <v xml:space="preserve">  </v>
      </c>
      <c r="D19" s="498" t="str">
        <f t="shared" si="0"/>
        <v/>
      </c>
      <c r="E19" s="496" t="str">
        <f t="shared" si="1"/>
        <v/>
      </c>
      <c r="F19" s="496" t="str">
        <f t="shared" si="2"/>
        <v/>
      </c>
      <c r="G19" s="497" t="str">
        <f t="shared" si="3"/>
        <v/>
      </c>
      <c r="H19" s="496" t="str">
        <f t="shared" si="4"/>
        <v/>
      </c>
      <c r="I19" s="499"/>
      <c r="J19" s="496" t="str">
        <f t="shared" si="5"/>
        <v/>
      </c>
      <c r="K19" s="497" t="str">
        <f t="shared" si="6"/>
        <v/>
      </c>
      <c r="L19" s="496" t="str">
        <f t="shared" si="7"/>
        <v/>
      </c>
      <c r="M19" s="500"/>
      <c r="N19" s="496" t="str">
        <f t="shared" si="8"/>
        <v/>
      </c>
      <c r="O19" s="497" t="str">
        <f t="shared" si="9"/>
        <v/>
      </c>
      <c r="P19" s="496" t="str">
        <f t="shared" si="10"/>
        <v/>
      </c>
      <c r="Q19" s="499"/>
      <c r="R19" s="496" t="str">
        <f t="shared" si="11"/>
        <v/>
      </c>
      <c r="S19" s="497" t="str">
        <f t="shared" si="12"/>
        <v/>
      </c>
      <c r="T19" s="496" t="str">
        <f t="shared" si="13"/>
        <v/>
      </c>
      <c r="U19" s="499"/>
      <c r="V19" s="496" t="str">
        <f t="shared" si="14"/>
        <v/>
      </c>
      <c r="W19" s="497" t="str">
        <f t="shared" si="15"/>
        <v/>
      </c>
      <c r="X19" s="496" t="str">
        <f t="shared" si="16"/>
        <v/>
      </c>
      <c r="Y19" s="499"/>
      <c r="Z19" s="496" t="str">
        <f t="shared" si="17"/>
        <v/>
      </c>
      <c r="AA19" s="497" t="str">
        <f t="shared" si="18"/>
        <v/>
      </c>
      <c r="AB19" s="496" t="str">
        <f t="shared" si="19"/>
        <v/>
      </c>
      <c r="AC19" s="500"/>
      <c r="AD19" s="496" t="str">
        <f t="shared" si="20"/>
        <v/>
      </c>
      <c r="AE19" s="497" t="str">
        <f t="shared" si="21"/>
        <v/>
      </c>
      <c r="AF19" s="496" t="str">
        <f t="shared" si="22"/>
        <v/>
      </c>
      <c r="AG19" s="500"/>
      <c r="AH19" s="496" t="str">
        <f t="shared" si="23"/>
        <v/>
      </c>
      <c r="AI19" s="497" t="str">
        <f t="shared" si="24"/>
        <v/>
      </c>
      <c r="AJ19" s="496" t="str">
        <f t="shared" si="25"/>
        <v/>
      </c>
      <c r="AK19" s="500"/>
      <c r="AL19" s="496" t="str">
        <f t="shared" si="26"/>
        <v/>
      </c>
      <c r="AM19" s="497" t="str">
        <f t="shared" si="27"/>
        <v/>
      </c>
      <c r="AN19" s="496" t="str">
        <f t="shared" si="28"/>
        <v/>
      </c>
      <c r="AO19" s="499"/>
      <c r="AP19" s="496" t="str">
        <f t="shared" si="29"/>
        <v/>
      </c>
      <c r="AQ19" s="497" t="str">
        <f t="shared" si="30"/>
        <v/>
      </c>
      <c r="AR19" s="496" t="str">
        <f t="shared" si="31"/>
        <v/>
      </c>
      <c r="AS19" s="499"/>
      <c r="AT19" s="496" t="str">
        <f t="shared" si="32"/>
        <v/>
      </c>
      <c r="AU19" s="497" t="str">
        <f t="shared" si="33"/>
        <v/>
      </c>
      <c r="AV19" s="496" t="str">
        <f t="shared" si="34"/>
        <v/>
      </c>
      <c r="AW19" s="499"/>
      <c r="AX19" s="496" t="str">
        <f t="shared" si="35"/>
        <v/>
      </c>
      <c r="AY19" s="497" t="str">
        <f t="shared" si="36"/>
        <v/>
      </c>
      <c r="AZ19" s="496" t="str">
        <f t="shared" si="37"/>
        <v/>
      </c>
      <c r="BA19" s="499"/>
      <c r="BB19" s="496" t="str">
        <f t="shared" si="38"/>
        <v/>
      </c>
      <c r="BC19" s="497" t="str">
        <f t="shared" si="39"/>
        <v/>
      </c>
      <c r="BD19" s="496" t="str">
        <f t="shared" si="40"/>
        <v/>
      </c>
      <c r="BE19" s="499"/>
      <c r="BF19" s="496" t="str">
        <f t="shared" si="41"/>
        <v/>
      </c>
      <c r="BG19" s="497" t="str">
        <f t="shared" si="42"/>
        <v/>
      </c>
      <c r="BH19" s="496" t="str">
        <f t="shared" si="43"/>
        <v/>
      </c>
      <c r="BI19" s="499"/>
      <c r="BJ19" s="496" t="str">
        <f t="shared" si="44"/>
        <v/>
      </c>
      <c r="BK19" s="497" t="str">
        <f t="shared" si="45"/>
        <v/>
      </c>
      <c r="BL19" s="496" t="str">
        <f t="shared" si="46"/>
        <v/>
      </c>
      <c r="BM19" s="499"/>
      <c r="BN19" s="496" t="str">
        <f t="shared" si="47"/>
        <v/>
      </c>
      <c r="BO19" s="497" t="str">
        <f t="shared" si="48"/>
        <v/>
      </c>
      <c r="BP19" s="496" t="str">
        <f t="shared" si="49"/>
        <v/>
      </c>
      <c r="BQ19" s="499"/>
      <c r="BR19" s="496" t="str">
        <f t="shared" si="50"/>
        <v/>
      </c>
      <c r="BS19" s="497" t="str">
        <f t="shared" si="51"/>
        <v/>
      </c>
      <c r="BT19" s="496" t="str">
        <f t="shared" si="52"/>
        <v/>
      </c>
      <c r="BU19" s="499"/>
      <c r="BV19" s="496" t="str">
        <f t="shared" si="53"/>
        <v/>
      </c>
      <c r="BW19" s="497" t="str">
        <f t="shared" si="54"/>
        <v/>
      </c>
      <c r="BX19" s="496" t="str">
        <f t="shared" si="55"/>
        <v/>
      </c>
      <c r="BY19" s="499"/>
      <c r="BZ19" s="496" t="str">
        <f t="shared" si="56"/>
        <v/>
      </c>
      <c r="CA19" s="497" t="str">
        <f t="shared" si="57"/>
        <v/>
      </c>
      <c r="CB19" s="496" t="str">
        <f t="shared" si="58"/>
        <v/>
      </c>
      <c r="CC19" s="499"/>
      <c r="CD19" s="496" t="str">
        <f t="shared" si="59"/>
        <v/>
      </c>
      <c r="CE19" s="497" t="str">
        <f t="shared" si="60"/>
        <v/>
      </c>
      <c r="CF19" s="496" t="str">
        <f t="shared" si="61"/>
        <v/>
      </c>
      <c r="CG19" s="499"/>
      <c r="CH19" s="496" t="str">
        <f t="shared" si="62"/>
        <v/>
      </c>
      <c r="CI19" s="497" t="str">
        <f t="shared" si="63"/>
        <v/>
      </c>
      <c r="CJ19" s="496" t="str">
        <f t="shared" si="64"/>
        <v/>
      </c>
      <c r="CK19" s="499"/>
      <c r="CL19" s="496" t="str">
        <f t="shared" si="65"/>
        <v/>
      </c>
      <c r="CM19" s="497" t="str">
        <f t="shared" si="66"/>
        <v/>
      </c>
      <c r="CN19" s="496" t="str">
        <f t="shared" si="67"/>
        <v/>
      </c>
      <c r="CO19" s="499"/>
      <c r="CP19" s="496" t="str">
        <f t="shared" si="68"/>
        <v/>
      </c>
      <c r="CQ19" s="497" t="str">
        <f t="shared" si="69"/>
        <v/>
      </c>
      <c r="CR19" s="496" t="str">
        <f t="shared" si="70"/>
        <v/>
      </c>
      <c r="CS19" s="499"/>
      <c r="CT19" s="496" t="str">
        <f t="shared" si="71"/>
        <v/>
      </c>
      <c r="CU19" s="497" t="str">
        <f t="shared" si="72"/>
        <v/>
      </c>
      <c r="CV19" s="496" t="str">
        <f t="shared" si="73"/>
        <v/>
      </c>
      <c r="CW19" s="499"/>
      <c r="CX19" s="496" t="str">
        <f>IF('1.ข้อมูลเบื้องต้น'!$B$32="","",IF($A19="","",'1.ข้อมูลเบื้องต้น'!$B$32))</f>
        <v/>
      </c>
      <c r="CY19" s="497" t="str">
        <f>IF('1.ข้อมูลเบื้องต้น'!$C$32="","",IF($A19="","",'1.ข้อมูลเบื้องต้น'!$C$32))</f>
        <v/>
      </c>
      <c r="CZ19" s="496" t="str">
        <f>IF('1.ข้อมูลเบื้องต้น'!$D$32="","",IF($A19="","",'1.ข้อมูลเบื้องต้น'!$D$32))</f>
        <v/>
      </c>
      <c r="DA19" s="499"/>
      <c r="DB19" s="496" t="str">
        <f t="shared" si="74"/>
        <v/>
      </c>
      <c r="DC19" s="498" t="str">
        <f>IF('2.ชื่อนักเรียน'!R25="มส","มส",IF('2.ชื่อนักเรียน'!R25="ย้าย","ย้าย",IF('2.ชื่อนักเรียน'!R25="ร","ร",IF(DB19="","",RANK(DB19,$DB$5:$DB$49,0)))))</f>
        <v/>
      </c>
      <c r="DD19" s="496" t="str">
        <f t="shared" si="75"/>
        <v/>
      </c>
    </row>
    <row r="20" spans="1:108" s="501" customFormat="1" ht="21" x14ac:dyDescent="0.4">
      <c r="A20" s="496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B20" s="496" t="str">
        <f>IF(IDstu16="","",IDstu16)</f>
        <v/>
      </c>
      <c r="C20" s="497" t="str">
        <f>CONCATENATE(TRIM(Name16),"  ",Surname16)</f>
        <v xml:space="preserve">  </v>
      </c>
      <c r="D20" s="498" t="str">
        <f t="shared" si="0"/>
        <v/>
      </c>
      <c r="E20" s="496" t="str">
        <f t="shared" si="1"/>
        <v/>
      </c>
      <c r="F20" s="496" t="str">
        <f t="shared" si="2"/>
        <v/>
      </c>
      <c r="G20" s="497" t="str">
        <f t="shared" si="3"/>
        <v/>
      </c>
      <c r="H20" s="496" t="str">
        <f t="shared" si="4"/>
        <v/>
      </c>
      <c r="I20" s="499"/>
      <c r="J20" s="496" t="str">
        <f t="shared" si="5"/>
        <v/>
      </c>
      <c r="K20" s="497" t="str">
        <f t="shared" si="6"/>
        <v/>
      </c>
      <c r="L20" s="496" t="str">
        <f t="shared" si="7"/>
        <v/>
      </c>
      <c r="M20" s="500"/>
      <c r="N20" s="496" t="str">
        <f t="shared" si="8"/>
        <v/>
      </c>
      <c r="O20" s="497" t="str">
        <f t="shared" si="9"/>
        <v/>
      </c>
      <c r="P20" s="496" t="str">
        <f t="shared" si="10"/>
        <v/>
      </c>
      <c r="Q20" s="499"/>
      <c r="R20" s="496" t="str">
        <f t="shared" si="11"/>
        <v/>
      </c>
      <c r="S20" s="497" t="str">
        <f t="shared" si="12"/>
        <v/>
      </c>
      <c r="T20" s="496" t="str">
        <f t="shared" si="13"/>
        <v/>
      </c>
      <c r="U20" s="499"/>
      <c r="V20" s="496" t="str">
        <f t="shared" si="14"/>
        <v/>
      </c>
      <c r="W20" s="497" t="str">
        <f t="shared" si="15"/>
        <v/>
      </c>
      <c r="X20" s="496" t="str">
        <f t="shared" si="16"/>
        <v/>
      </c>
      <c r="Y20" s="499"/>
      <c r="Z20" s="496" t="str">
        <f t="shared" si="17"/>
        <v/>
      </c>
      <c r="AA20" s="497" t="str">
        <f t="shared" si="18"/>
        <v/>
      </c>
      <c r="AB20" s="496" t="str">
        <f t="shared" si="19"/>
        <v/>
      </c>
      <c r="AC20" s="500"/>
      <c r="AD20" s="496" t="str">
        <f t="shared" si="20"/>
        <v/>
      </c>
      <c r="AE20" s="497" t="str">
        <f t="shared" si="21"/>
        <v/>
      </c>
      <c r="AF20" s="496" t="str">
        <f t="shared" si="22"/>
        <v/>
      </c>
      <c r="AG20" s="500"/>
      <c r="AH20" s="496" t="str">
        <f t="shared" si="23"/>
        <v/>
      </c>
      <c r="AI20" s="497" t="str">
        <f t="shared" si="24"/>
        <v/>
      </c>
      <c r="AJ20" s="496" t="str">
        <f t="shared" si="25"/>
        <v/>
      </c>
      <c r="AK20" s="500"/>
      <c r="AL20" s="496" t="str">
        <f t="shared" si="26"/>
        <v/>
      </c>
      <c r="AM20" s="497" t="str">
        <f t="shared" si="27"/>
        <v/>
      </c>
      <c r="AN20" s="496" t="str">
        <f t="shared" si="28"/>
        <v/>
      </c>
      <c r="AO20" s="499"/>
      <c r="AP20" s="496" t="str">
        <f t="shared" si="29"/>
        <v/>
      </c>
      <c r="AQ20" s="497" t="str">
        <f t="shared" si="30"/>
        <v/>
      </c>
      <c r="AR20" s="496" t="str">
        <f t="shared" si="31"/>
        <v/>
      </c>
      <c r="AS20" s="499"/>
      <c r="AT20" s="496" t="str">
        <f t="shared" si="32"/>
        <v/>
      </c>
      <c r="AU20" s="497" t="str">
        <f t="shared" si="33"/>
        <v/>
      </c>
      <c r="AV20" s="496" t="str">
        <f t="shared" si="34"/>
        <v/>
      </c>
      <c r="AW20" s="499"/>
      <c r="AX20" s="496" t="str">
        <f t="shared" si="35"/>
        <v/>
      </c>
      <c r="AY20" s="497" t="str">
        <f t="shared" si="36"/>
        <v/>
      </c>
      <c r="AZ20" s="496" t="str">
        <f t="shared" si="37"/>
        <v/>
      </c>
      <c r="BA20" s="499"/>
      <c r="BB20" s="496" t="str">
        <f t="shared" si="38"/>
        <v/>
      </c>
      <c r="BC20" s="497" t="str">
        <f t="shared" si="39"/>
        <v/>
      </c>
      <c r="BD20" s="496" t="str">
        <f t="shared" si="40"/>
        <v/>
      </c>
      <c r="BE20" s="499"/>
      <c r="BF20" s="496" t="str">
        <f t="shared" si="41"/>
        <v/>
      </c>
      <c r="BG20" s="497" t="str">
        <f t="shared" si="42"/>
        <v/>
      </c>
      <c r="BH20" s="496" t="str">
        <f t="shared" si="43"/>
        <v/>
      </c>
      <c r="BI20" s="499"/>
      <c r="BJ20" s="496" t="str">
        <f t="shared" si="44"/>
        <v/>
      </c>
      <c r="BK20" s="497" t="str">
        <f t="shared" si="45"/>
        <v/>
      </c>
      <c r="BL20" s="496" t="str">
        <f t="shared" si="46"/>
        <v/>
      </c>
      <c r="BM20" s="499"/>
      <c r="BN20" s="496" t="str">
        <f t="shared" si="47"/>
        <v/>
      </c>
      <c r="BO20" s="497" t="str">
        <f t="shared" si="48"/>
        <v/>
      </c>
      <c r="BP20" s="496" t="str">
        <f t="shared" si="49"/>
        <v/>
      </c>
      <c r="BQ20" s="499"/>
      <c r="BR20" s="496" t="str">
        <f t="shared" si="50"/>
        <v/>
      </c>
      <c r="BS20" s="497" t="str">
        <f t="shared" si="51"/>
        <v/>
      </c>
      <c r="BT20" s="496" t="str">
        <f t="shared" si="52"/>
        <v/>
      </c>
      <c r="BU20" s="499"/>
      <c r="BV20" s="496" t="str">
        <f t="shared" si="53"/>
        <v/>
      </c>
      <c r="BW20" s="497" t="str">
        <f t="shared" si="54"/>
        <v/>
      </c>
      <c r="BX20" s="496" t="str">
        <f t="shared" si="55"/>
        <v/>
      </c>
      <c r="BY20" s="499"/>
      <c r="BZ20" s="496" t="str">
        <f t="shared" si="56"/>
        <v/>
      </c>
      <c r="CA20" s="497" t="str">
        <f t="shared" si="57"/>
        <v/>
      </c>
      <c r="CB20" s="496" t="str">
        <f t="shared" si="58"/>
        <v/>
      </c>
      <c r="CC20" s="499"/>
      <c r="CD20" s="496" t="str">
        <f t="shared" si="59"/>
        <v/>
      </c>
      <c r="CE20" s="497" t="str">
        <f t="shared" si="60"/>
        <v/>
      </c>
      <c r="CF20" s="496" t="str">
        <f t="shared" si="61"/>
        <v/>
      </c>
      <c r="CG20" s="499"/>
      <c r="CH20" s="496" t="str">
        <f t="shared" si="62"/>
        <v/>
      </c>
      <c r="CI20" s="497" t="str">
        <f t="shared" si="63"/>
        <v/>
      </c>
      <c r="CJ20" s="496" t="str">
        <f t="shared" si="64"/>
        <v/>
      </c>
      <c r="CK20" s="499"/>
      <c r="CL20" s="496" t="str">
        <f t="shared" si="65"/>
        <v/>
      </c>
      <c r="CM20" s="497" t="str">
        <f t="shared" si="66"/>
        <v/>
      </c>
      <c r="CN20" s="496" t="str">
        <f t="shared" si="67"/>
        <v/>
      </c>
      <c r="CO20" s="499"/>
      <c r="CP20" s="496" t="str">
        <f t="shared" si="68"/>
        <v/>
      </c>
      <c r="CQ20" s="497" t="str">
        <f t="shared" si="69"/>
        <v/>
      </c>
      <c r="CR20" s="496" t="str">
        <f t="shared" si="70"/>
        <v/>
      </c>
      <c r="CS20" s="499"/>
      <c r="CT20" s="496" t="str">
        <f t="shared" si="71"/>
        <v/>
      </c>
      <c r="CU20" s="497" t="str">
        <f t="shared" si="72"/>
        <v/>
      </c>
      <c r="CV20" s="496" t="str">
        <f t="shared" si="73"/>
        <v/>
      </c>
      <c r="CW20" s="499"/>
      <c r="CX20" s="496" t="str">
        <f>IF('1.ข้อมูลเบื้องต้น'!$B$32="","",IF($A20="","",'1.ข้อมูลเบื้องต้น'!$B$32))</f>
        <v/>
      </c>
      <c r="CY20" s="497" t="str">
        <f>IF('1.ข้อมูลเบื้องต้น'!$C$32="","",IF($A20="","",'1.ข้อมูลเบื้องต้น'!$C$32))</f>
        <v/>
      </c>
      <c r="CZ20" s="496" t="str">
        <f>IF('1.ข้อมูลเบื้องต้น'!$D$32="","",IF($A20="","",'1.ข้อมูลเบื้องต้น'!$D$32))</f>
        <v/>
      </c>
      <c r="DA20" s="499"/>
      <c r="DB20" s="496" t="str">
        <f t="shared" si="74"/>
        <v/>
      </c>
      <c r="DC20" s="498" t="str">
        <f>IF('2.ชื่อนักเรียน'!R26="มส","มส",IF('2.ชื่อนักเรียน'!R26="ย้าย","ย้าย",IF('2.ชื่อนักเรียน'!R26="ร","ร",IF(DB20="","",RANK(DB20,$DB$5:$DB$49,0)))))</f>
        <v/>
      </c>
      <c r="DD20" s="496" t="str">
        <f t="shared" si="75"/>
        <v/>
      </c>
    </row>
    <row r="21" spans="1:108" s="501" customFormat="1" ht="21" x14ac:dyDescent="0.4">
      <c r="A21" s="496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B21" s="496" t="str">
        <f>IF(IDstu17="","",IDstu17)</f>
        <v/>
      </c>
      <c r="C21" s="497" t="str">
        <f>CONCATENATE(TRIM(Name17),"  ",Surname17)</f>
        <v xml:space="preserve">  </v>
      </c>
      <c r="D21" s="498" t="str">
        <f t="shared" si="0"/>
        <v/>
      </c>
      <c r="E21" s="496" t="str">
        <f t="shared" si="1"/>
        <v/>
      </c>
      <c r="F21" s="496" t="str">
        <f t="shared" si="2"/>
        <v/>
      </c>
      <c r="G21" s="497" t="str">
        <f t="shared" si="3"/>
        <v/>
      </c>
      <c r="H21" s="496" t="str">
        <f t="shared" si="4"/>
        <v/>
      </c>
      <c r="I21" s="499"/>
      <c r="J21" s="496" t="str">
        <f t="shared" si="5"/>
        <v/>
      </c>
      <c r="K21" s="497" t="str">
        <f t="shared" si="6"/>
        <v/>
      </c>
      <c r="L21" s="496" t="str">
        <f t="shared" si="7"/>
        <v/>
      </c>
      <c r="M21" s="500"/>
      <c r="N21" s="496" t="str">
        <f t="shared" si="8"/>
        <v/>
      </c>
      <c r="O21" s="497" t="str">
        <f t="shared" si="9"/>
        <v/>
      </c>
      <c r="P21" s="496" t="str">
        <f t="shared" si="10"/>
        <v/>
      </c>
      <c r="Q21" s="499"/>
      <c r="R21" s="496" t="str">
        <f t="shared" si="11"/>
        <v/>
      </c>
      <c r="S21" s="497" t="str">
        <f t="shared" si="12"/>
        <v/>
      </c>
      <c r="T21" s="496" t="str">
        <f t="shared" si="13"/>
        <v/>
      </c>
      <c r="U21" s="499"/>
      <c r="V21" s="496" t="str">
        <f t="shared" si="14"/>
        <v/>
      </c>
      <c r="W21" s="497" t="str">
        <f t="shared" si="15"/>
        <v/>
      </c>
      <c r="X21" s="496" t="str">
        <f t="shared" si="16"/>
        <v/>
      </c>
      <c r="Y21" s="499"/>
      <c r="Z21" s="496" t="str">
        <f t="shared" si="17"/>
        <v/>
      </c>
      <c r="AA21" s="497" t="str">
        <f t="shared" si="18"/>
        <v/>
      </c>
      <c r="AB21" s="496" t="str">
        <f t="shared" si="19"/>
        <v/>
      </c>
      <c r="AC21" s="500"/>
      <c r="AD21" s="496" t="str">
        <f t="shared" si="20"/>
        <v/>
      </c>
      <c r="AE21" s="497" t="str">
        <f t="shared" si="21"/>
        <v/>
      </c>
      <c r="AF21" s="496" t="str">
        <f t="shared" si="22"/>
        <v/>
      </c>
      <c r="AG21" s="500"/>
      <c r="AH21" s="496" t="str">
        <f t="shared" si="23"/>
        <v/>
      </c>
      <c r="AI21" s="497" t="str">
        <f t="shared" si="24"/>
        <v/>
      </c>
      <c r="AJ21" s="496" t="str">
        <f t="shared" si="25"/>
        <v/>
      </c>
      <c r="AK21" s="500"/>
      <c r="AL21" s="496" t="str">
        <f t="shared" si="26"/>
        <v/>
      </c>
      <c r="AM21" s="497" t="str">
        <f t="shared" si="27"/>
        <v/>
      </c>
      <c r="AN21" s="496" t="str">
        <f t="shared" si="28"/>
        <v/>
      </c>
      <c r="AO21" s="499"/>
      <c r="AP21" s="496" t="str">
        <f t="shared" si="29"/>
        <v/>
      </c>
      <c r="AQ21" s="497" t="str">
        <f t="shared" si="30"/>
        <v/>
      </c>
      <c r="AR21" s="496" t="str">
        <f t="shared" si="31"/>
        <v/>
      </c>
      <c r="AS21" s="499"/>
      <c r="AT21" s="496" t="str">
        <f t="shared" si="32"/>
        <v/>
      </c>
      <c r="AU21" s="497" t="str">
        <f t="shared" si="33"/>
        <v/>
      </c>
      <c r="AV21" s="496" t="str">
        <f t="shared" si="34"/>
        <v/>
      </c>
      <c r="AW21" s="499"/>
      <c r="AX21" s="496" t="str">
        <f t="shared" si="35"/>
        <v/>
      </c>
      <c r="AY21" s="497" t="str">
        <f t="shared" si="36"/>
        <v/>
      </c>
      <c r="AZ21" s="496" t="str">
        <f t="shared" si="37"/>
        <v/>
      </c>
      <c r="BA21" s="499"/>
      <c r="BB21" s="496" t="str">
        <f t="shared" si="38"/>
        <v/>
      </c>
      <c r="BC21" s="497" t="str">
        <f t="shared" si="39"/>
        <v/>
      </c>
      <c r="BD21" s="496" t="str">
        <f t="shared" si="40"/>
        <v/>
      </c>
      <c r="BE21" s="499"/>
      <c r="BF21" s="496" t="str">
        <f t="shared" si="41"/>
        <v/>
      </c>
      <c r="BG21" s="497" t="str">
        <f t="shared" si="42"/>
        <v/>
      </c>
      <c r="BH21" s="496" t="str">
        <f t="shared" si="43"/>
        <v/>
      </c>
      <c r="BI21" s="499"/>
      <c r="BJ21" s="496" t="str">
        <f t="shared" si="44"/>
        <v/>
      </c>
      <c r="BK21" s="497" t="str">
        <f t="shared" si="45"/>
        <v/>
      </c>
      <c r="BL21" s="496" t="str">
        <f t="shared" si="46"/>
        <v/>
      </c>
      <c r="BM21" s="499"/>
      <c r="BN21" s="496" t="str">
        <f t="shared" si="47"/>
        <v/>
      </c>
      <c r="BO21" s="497" t="str">
        <f t="shared" si="48"/>
        <v/>
      </c>
      <c r="BP21" s="496" t="str">
        <f t="shared" si="49"/>
        <v/>
      </c>
      <c r="BQ21" s="499"/>
      <c r="BR21" s="496" t="str">
        <f t="shared" si="50"/>
        <v/>
      </c>
      <c r="BS21" s="497" t="str">
        <f t="shared" si="51"/>
        <v/>
      </c>
      <c r="BT21" s="496" t="str">
        <f t="shared" si="52"/>
        <v/>
      </c>
      <c r="BU21" s="499"/>
      <c r="BV21" s="496" t="str">
        <f t="shared" si="53"/>
        <v/>
      </c>
      <c r="BW21" s="497" t="str">
        <f t="shared" si="54"/>
        <v/>
      </c>
      <c r="BX21" s="496" t="str">
        <f t="shared" si="55"/>
        <v/>
      </c>
      <c r="BY21" s="499"/>
      <c r="BZ21" s="496" t="str">
        <f t="shared" si="56"/>
        <v/>
      </c>
      <c r="CA21" s="497" t="str">
        <f t="shared" si="57"/>
        <v/>
      </c>
      <c r="CB21" s="496" t="str">
        <f t="shared" si="58"/>
        <v/>
      </c>
      <c r="CC21" s="499"/>
      <c r="CD21" s="496" t="str">
        <f t="shared" si="59"/>
        <v/>
      </c>
      <c r="CE21" s="497" t="str">
        <f t="shared" si="60"/>
        <v/>
      </c>
      <c r="CF21" s="496" t="str">
        <f t="shared" si="61"/>
        <v/>
      </c>
      <c r="CG21" s="499"/>
      <c r="CH21" s="496" t="str">
        <f t="shared" si="62"/>
        <v/>
      </c>
      <c r="CI21" s="497" t="str">
        <f t="shared" si="63"/>
        <v/>
      </c>
      <c r="CJ21" s="496" t="str">
        <f t="shared" si="64"/>
        <v/>
      </c>
      <c r="CK21" s="499"/>
      <c r="CL21" s="496" t="str">
        <f t="shared" si="65"/>
        <v/>
      </c>
      <c r="CM21" s="497" t="str">
        <f t="shared" si="66"/>
        <v/>
      </c>
      <c r="CN21" s="496" t="str">
        <f t="shared" si="67"/>
        <v/>
      </c>
      <c r="CO21" s="499"/>
      <c r="CP21" s="496" t="str">
        <f t="shared" si="68"/>
        <v/>
      </c>
      <c r="CQ21" s="497" t="str">
        <f t="shared" si="69"/>
        <v/>
      </c>
      <c r="CR21" s="496" t="str">
        <f t="shared" si="70"/>
        <v/>
      </c>
      <c r="CS21" s="499"/>
      <c r="CT21" s="496" t="str">
        <f t="shared" si="71"/>
        <v/>
      </c>
      <c r="CU21" s="497" t="str">
        <f t="shared" si="72"/>
        <v/>
      </c>
      <c r="CV21" s="496" t="str">
        <f t="shared" si="73"/>
        <v/>
      </c>
      <c r="CW21" s="499"/>
      <c r="CX21" s="496" t="str">
        <f>IF('1.ข้อมูลเบื้องต้น'!$B$32="","",IF($A21="","",'1.ข้อมูลเบื้องต้น'!$B$32))</f>
        <v/>
      </c>
      <c r="CY21" s="497" t="str">
        <f>IF('1.ข้อมูลเบื้องต้น'!$C$32="","",IF($A21="","",'1.ข้อมูลเบื้องต้น'!$C$32))</f>
        <v/>
      </c>
      <c r="CZ21" s="496" t="str">
        <f>IF('1.ข้อมูลเบื้องต้น'!$D$32="","",IF($A21="","",'1.ข้อมูลเบื้องต้น'!$D$32))</f>
        <v/>
      </c>
      <c r="DA21" s="499"/>
      <c r="DB21" s="496" t="str">
        <f t="shared" si="74"/>
        <v/>
      </c>
      <c r="DC21" s="498" t="str">
        <f>IF('2.ชื่อนักเรียน'!R27="มส","มส",IF('2.ชื่อนักเรียน'!R27="ย้าย","ย้าย",IF('2.ชื่อนักเรียน'!R27="ร","ร",IF(DB21="","",RANK(DB21,$DB$5:$DB$49,0)))))</f>
        <v/>
      </c>
      <c r="DD21" s="496" t="str">
        <f t="shared" si="75"/>
        <v/>
      </c>
    </row>
    <row r="22" spans="1:108" s="501" customFormat="1" ht="21" x14ac:dyDescent="0.4">
      <c r="A22" s="496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B22" s="496" t="str">
        <f>IF(IDstu18="","",IDstu18)</f>
        <v/>
      </c>
      <c r="C22" s="497" t="str">
        <f>CONCATENATE(TRIM(Name18),"  ",Surname18)</f>
        <v xml:space="preserve">  </v>
      </c>
      <c r="D22" s="498" t="str">
        <f t="shared" si="0"/>
        <v/>
      </c>
      <c r="E22" s="496" t="str">
        <f t="shared" si="1"/>
        <v/>
      </c>
      <c r="F22" s="496" t="str">
        <f t="shared" si="2"/>
        <v/>
      </c>
      <c r="G22" s="497" t="str">
        <f t="shared" si="3"/>
        <v/>
      </c>
      <c r="H22" s="496" t="str">
        <f t="shared" si="4"/>
        <v/>
      </c>
      <c r="I22" s="499"/>
      <c r="J22" s="496" t="str">
        <f t="shared" si="5"/>
        <v/>
      </c>
      <c r="K22" s="497" t="str">
        <f t="shared" si="6"/>
        <v/>
      </c>
      <c r="L22" s="496" t="str">
        <f t="shared" si="7"/>
        <v/>
      </c>
      <c r="M22" s="500"/>
      <c r="N22" s="496" t="str">
        <f t="shared" si="8"/>
        <v/>
      </c>
      <c r="O22" s="497" t="str">
        <f t="shared" si="9"/>
        <v/>
      </c>
      <c r="P22" s="496" t="str">
        <f t="shared" si="10"/>
        <v/>
      </c>
      <c r="Q22" s="499"/>
      <c r="R22" s="496" t="str">
        <f t="shared" si="11"/>
        <v/>
      </c>
      <c r="S22" s="497" t="str">
        <f t="shared" si="12"/>
        <v/>
      </c>
      <c r="T22" s="496" t="str">
        <f t="shared" si="13"/>
        <v/>
      </c>
      <c r="U22" s="499"/>
      <c r="V22" s="496" t="str">
        <f t="shared" si="14"/>
        <v/>
      </c>
      <c r="W22" s="497" t="str">
        <f t="shared" si="15"/>
        <v/>
      </c>
      <c r="X22" s="496" t="str">
        <f t="shared" si="16"/>
        <v/>
      </c>
      <c r="Y22" s="499"/>
      <c r="Z22" s="496" t="str">
        <f t="shared" si="17"/>
        <v/>
      </c>
      <c r="AA22" s="497" t="str">
        <f t="shared" si="18"/>
        <v/>
      </c>
      <c r="AB22" s="496" t="str">
        <f t="shared" si="19"/>
        <v/>
      </c>
      <c r="AC22" s="500"/>
      <c r="AD22" s="496" t="str">
        <f t="shared" si="20"/>
        <v/>
      </c>
      <c r="AE22" s="497" t="str">
        <f t="shared" si="21"/>
        <v/>
      </c>
      <c r="AF22" s="496" t="str">
        <f t="shared" si="22"/>
        <v/>
      </c>
      <c r="AG22" s="500"/>
      <c r="AH22" s="496" t="str">
        <f t="shared" si="23"/>
        <v/>
      </c>
      <c r="AI22" s="497" t="str">
        <f t="shared" si="24"/>
        <v/>
      </c>
      <c r="AJ22" s="496" t="str">
        <f t="shared" si="25"/>
        <v/>
      </c>
      <c r="AK22" s="500"/>
      <c r="AL22" s="496" t="str">
        <f t="shared" si="26"/>
        <v/>
      </c>
      <c r="AM22" s="497" t="str">
        <f t="shared" si="27"/>
        <v/>
      </c>
      <c r="AN22" s="496" t="str">
        <f t="shared" si="28"/>
        <v/>
      </c>
      <c r="AO22" s="499"/>
      <c r="AP22" s="496" t="str">
        <f t="shared" si="29"/>
        <v/>
      </c>
      <c r="AQ22" s="497" t="str">
        <f t="shared" si="30"/>
        <v/>
      </c>
      <c r="AR22" s="496" t="str">
        <f t="shared" si="31"/>
        <v/>
      </c>
      <c r="AS22" s="499"/>
      <c r="AT22" s="496" t="str">
        <f t="shared" si="32"/>
        <v/>
      </c>
      <c r="AU22" s="497" t="str">
        <f t="shared" si="33"/>
        <v/>
      </c>
      <c r="AV22" s="496" t="str">
        <f t="shared" si="34"/>
        <v/>
      </c>
      <c r="AW22" s="499"/>
      <c r="AX22" s="496" t="str">
        <f t="shared" si="35"/>
        <v/>
      </c>
      <c r="AY22" s="497" t="str">
        <f t="shared" si="36"/>
        <v/>
      </c>
      <c r="AZ22" s="496" t="str">
        <f t="shared" si="37"/>
        <v/>
      </c>
      <c r="BA22" s="499"/>
      <c r="BB22" s="496" t="str">
        <f t="shared" si="38"/>
        <v/>
      </c>
      <c r="BC22" s="497" t="str">
        <f t="shared" si="39"/>
        <v/>
      </c>
      <c r="BD22" s="496" t="str">
        <f t="shared" si="40"/>
        <v/>
      </c>
      <c r="BE22" s="499"/>
      <c r="BF22" s="496" t="str">
        <f t="shared" si="41"/>
        <v/>
      </c>
      <c r="BG22" s="497" t="str">
        <f t="shared" si="42"/>
        <v/>
      </c>
      <c r="BH22" s="496" t="str">
        <f t="shared" si="43"/>
        <v/>
      </c>
      <c r="BI22" s="499"/>
      <c r="BJ22" s="496" t="str">
        <f t="shared" si="44"/>
        <v/>
      </c>
      <c r="BK22" s="497" t="str">
        <f t="shared" si="45"/>
        <v/>
      </c>
      <c r="BL22" s="496" t="str">
        <f t="shared" si="46"/>
        <v/>
      </c>
      <c r="BM22" s="499"/>
      <c r="BN22" s="496" t="str">
        <f t="shared" si="47"/>
        <v/>
      </c>
      <c r="BO22" s="497" t="str">
        <f t="shared" si="48"/>
        <v/>
      </c>
      <c r="BP22" s="496" t="str">
        <f t="shared" si="49"/>
        <v/>
      </c>
      <c r="BQ22" s="499"/>
      <c r="BR22" s="496" t="str">
        <f t="shared" si="50"/>
        <v/>
      </c>
      <c r="BS22" s="497" t="str">
        <f t="shared" si="51"/>
        <v/>
      </c>
      <c r="BT22" s="496" t="str">
        <f t="shared" si="52"/>
        <v/>
      </c>
      <c r="BU22" s="499"/>
      <c r="BV22" s="496" t="str">
        <f t="shared" si="53"/>
        <v/>
      </c>
      <c r="BW22" s="497" t="str">
        <f t="shared" si="54"/>
        <v/>
      </c>
      <c r="BX22" s="496" t="str">
        <f t="shared" si="55"/>
        <v/>
      </c>
      <c r="BY22" s="499"/>
      <c r="BZ22" s="496" t="str">
        <f t="shared" si="56"/>
        <v/>
      </c>
      <c r="CA22" s="497" t="str">
        <f t="shared" si="57"/>
        <v/>
      </c>
      <c r="CB22" s="496" t="str">
        <f t="shared" si="58"/>
        <v/>
      </c>
      <c r="CC22" s="499"/>
      <c r="CD22" s="496" t="str">
        <f t="shared" si="59"/>
        <v/>
      </c>
      <c r="CE22" s="497" t="str">
        <f t="shared" si="60"/>
        <v/>
      </c>
      <c r="CF22" s="496" t="str">
        <f t="shared" si="61"/>
        <v/>
      </c>
      <c r="CG22" s="499"/>
      <c r="CH22" s="496" t="str">
        <f t="shared" si="62"/>
        <v/>
      </c>
      <c r="CI22" s="497" t="str">
        <f t="shared" si="63"/>
        <v/>
      </c>
      <c r="CJ22" s="496" t="str">
        <f t="shared" si="64"/>
        <v/>
      </c>
      <c r="CK22" s="499"/>
      <c r="CL22" s="496" t="str">
        <f t="shared" si="65"/>
        <v/>
      </c>
      <c r="CM22" s="497" t="str">
        <f t="shared" si="66"/>
        <v/>
      </c>
      <c r="CN22" s="496" t="str">
        <f t="shared" si="67"/>
        <v/>
      </c>
      <c r="CO22" s="499"/>
      <c r="CP22" s="496" t="str">
        <f t="shared" si="68"/>
        <v/>
      </c>
      <c r="CQ22" s="497" t="str">
        <f t="shared" si="69"/>
        <v/>
      </c>
      <c r="CR22" s="496" t="str">
        <f t="shared" si="70"/>
        <v/>
      </c>
      <c r="CS22" s="499"/>
      <c r="CT22" s="496" t="str">
        <f t="shared" si="71"/>
        <v/>
      </c>
      <c r="CU22" s="497" t="str">
        <f t="shared" si="72"/>
        <v/>
      </c>
      <c r="CV22" s="496" t="str">
        <f t="shared" si="73"/>
        <v/>
      </c>
      <c r="CW22" s="499"/>
      <c r="CX22" s="496" t="str">
        <f>IF('1.ข้อมูลเบื้องต้น'!$B$32="","",IF($A22="","",'1.ข้อมูลเบื้องต้น'!$B$32))</f>
        <v/>
      </c>
      <c r="CY22" s="497" t="str">
        <f>IF('1.ข้อมูลเบื้องต้น'!$C$32="","",IF($A22="","",'1.ข้อมูลเบื้องต้น'!$C$32))</f>
        <v/>
      </c>
      <c r="CZ22" s="496" t="str">
        <f>IF('1.ข้อมูลเบื้องต้น'!$D$32="","",IF($A22="","",'1.ข้อมูลเบื้องต้น'!$D$32))</f>
        <v/>
      </c>
      <c r="DA22" s="499"/>
      <c r="DB22" s="496" t="str">
        <f t="shared" si="74"/>
        <v/>
      </c>
      <c r="DC22" s="498" t="str">
        <f>IF('2.ชื่อนักเรียน'!R28="มส","มส",IF('2.ชื่อนักเรียน'!R28="ย้าย","ย้าย",IF('2.ชื่อนักเรียน'!R28="ร","ร",IF(DB22="","",RANK(DB22,$DB$5:$DB$49,0)))))</f>
        <v/>
      </c>
      <c r="DD22" s="496" t="str">
        <f t="shared" si="75"/>
        <v/>
      </c>
    </row>
    <row r="23" spans="1:108" s="501" customFormat="1" ht="21" x14ac:dyDescent="0.4">
      <c r="A23" s="496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B23" s="496" t="str">
        <f>IF(IDstu19="","",IDstu19)</f>
        <v/>
      </c>
      <c r="C23" s="497" t="str">
        <f>CONCATENATE(TRIM(Name19),"  ",Surname19)</f>
        <v xml:space="preserve">  </v>
      </c>
      <c r="D23" s="498" t="str">
        <f t="shared" si="0"/>
        <v/>
      </c>
      <c r="E23" s="496" t="str">
        <f t="shared" si="1"/>
        <v/>
      </c>
      <c r="F23" s="496" t="str">
        <f t="shared" si="2"/>
        <v/>
      </c>
      <c r="G23" s="497" t="str">
        <f t="shared" si="3"/>
        <v/>
      </c>
      <c r="H23" s="496" t="str">
        <f t="shared" si="4"/>
        <v/>
      </c>
      <c r="I23" s="499"/>
      <c r="J23" s="496" t="str">
        <f t="shared" si="5"/>
        <v/>
      </c>
      <c r="K23" s="497" t="str">
        <f t="shared" si="6"/>
        <v/>
      </c>
      <c r="L23" s="496" t="str">
        <f t="shared" si="7"/>
        <v/>
      </c>
      <c r="M23" s="500"/>
      <c r="N23" s="496" t="str">
        <f t="shared" si="8"/>
        <v/>
      </c>
      <c r="O23" s="497" t="str">
        <f t="shared" si="9"/>
        <v/>
      </c>
      <c r="P23" s="496" t="str">
        <f t="shared" si="10"/>
        <v/>
      </c>
      <c r="Q23" s="499"/>
      <c r="R23" s="496" t="str">
        <f t="shared" si="11"/>
        <v/>
      </c>
      <c r="S23" s="497" t="str">
        <f t="shared" si="12"/>
        <v/>
      </c>
      <c r="T23" s="496" t="str">
        <f t="shared" si="13"/>
        <v/>
      </c>
      <c r="U23" s="499"/>
      <c r="V23" s="496" t="str">
        <f t="shared" si="14"/>
        <v/>
      </c>
      <c r="W23" s="497" t="str">
        <f t="shared" si="15"/>
        <v/>
      </c>
      <c r="X23" s="496" t="str">
        <f t="shared" si="16"/>
        <v/>
      </c>
      <c r="Y23" s="499"/>
      <c r="Z23" s="496" t="str">
        <f t="shared" si="17"/>
        <v/>
      </c>
      <c r="AA23" s="497" t="str">
        <f t="shared" si="18"/>
        <v/>
      </c>
      <c r="AB23" s="496" t="str">
        <f t="shared" si="19"/>
        <v/>
      </c>
      <c r="AC23" s="500"/>
      <c r="AD23" s="496" t="str">
        <f t="shared" si="20"/>
        <v/>
      </c>
      <c r="AE23" s="497" t="str">
        <f t="shared" si="21"/>
        <v/>
      </c>
      <c r="AF23" s="496" t="str">
        <f t="shared" si="22"/>
        <v/>
      </c>
      <c r="AG23" s="500"/>
      <c r="AH23" s="496" t="str">
        <f t="shared" si="23"/>
        <v/>
      </c>
      <c r="AI23" s="497" t="str">
        <f t="shared" si="24"/>
        <v/>
      </c>
      <c r="AJ23" s="496" t="str">
        <f t="shared" si="25"/>
        <v/>
      </c>
      <c r="AK23" s="500"/>
      <c r="AL23" s="496" t="str">
        <f t="shared" si="26"/>
        <v/>
      </c>
      <c r="AM23" s="497" t="str">
        <f t="shared" si="27"/>
        <v/>
      </c>
      <c r="AN23" s="496" t="str">
        <f t="shared" si="28"/>
        <v/>
      </c>
      <c r="AO23" s="499"/>
      <c r="AP23" s="496" t="str">
        <f t="shared" si="29"/>
        <v/>
      </c>
      <c r="AQ23" s="497" t="str">
        <f t="shared" si="30"/>
        <v/>
      </c>
      <c r="AR23" s="496" t="str">
        <f t="shared" si="31"/>
        <v/>
      </c>
      <c r="AS23" s="499"/>
      <c r="AT23" s="496" t="str">
        <f t="shared" si="32"/>
        <v/>
      </c>
      <c r="AU23" s="497" t="str">
        <f t="shared" si="33"/>
        <v/>
      </c>
      <c r="AV23" s="496" t="str">
        <f t="shared" si="34"/>
        <v/>
      </c>
      <c r="AW23" s="499"/>
      <c r="AX23" s="496" t="str">
        <f t="shared" si="35"/>
        <v/>
      </c>
      <c r="AY23" s="497" t="str">
        <f t="shared" si="36"/>
        <v/>
      </c>
      <c r="AZ23" s="496" t="str">
        <f t="shared" si="37"/>
        <v/>
      </c>
      <c r="BA23" s="499"/>
      <c r="BB23" s="496" t="str">
        <f t="shared" si="38"/>
        <v/>
      </c>
      <c r="BC23" s="497" t="str">
        <f t="shared" si="39"/>
        <v/>
      </c>
      <c r="BD23" s="496" t="str">
        <f t="shared" si="40"/>
        <v/>
      </c>
      <c r="BE23" s="499"/>
      <c r="BF23" s="496" t="str">
        <f t="shared" si="41"/>
        <v/>
      </c>
      <c r="BG23" s="497" t="str">
        <f t="shared" si="42"/>
        <v/>
      </c>
      <c r="BH23" s="496" t="str">
        <f t="shared" si="43"/>
        <v/>
      </c>
      <c r="BI23" s="499"/>
      <c r="BJ23" s="496" t="str">
        <f t="shared" si="44"/>
        <v/>
      </c>
      <c r="BK23" s="497" t="str">
        <f t="shared" si="45"/>
        <v/>
      </c>
      <c r="BL23" s="496" t="str">
        <f t="shared" si="46"/>
        <v/>
      </c>
      <c r="BM23" s="499"/>
      <c r="BN23" s="496" t="str">
        <f t="shared" si="47"/>
        <v/>
      </c>
      <c r="BO23" s="497" t="str">
        <f t="shared" si="48"/>
        <v/>
      </c>
      <c r="BP23" s="496" t="str">
        <f t="shared" si="49"/>
        <v/>
      </c>
      <c r="BQ23" s="499"/>
      <c r="BR23" s="496" t="str">
        <f t="shared" si="50"/>
        <v/>
      </c>
      <c r="BS23" s="497" t="str">
        <f t="shared" si="51"/>
        <v/>
      </c>
      <c r="BT23" s="496" t="str">
        <f t="shared" si="52"/>
        <v/>
      </c>
      <c r="BU23" s="499"/>
      <c r="BV23" s="496" t="str">
        <f t="shared" si="53"/>
        <v/>
      </c>
      <c r="BW23" s="497" t="str">
        <f t="shared" si="54"/>
        <v/>
      </c>
      <c r="BX23" s="496" t="str">
        <f t="shared" si="55"/>
        <v/>
      </c>
      <c r="BY23" s="499"/>
      <c r="BZ23" s="496" t="str">
        <f t="shared" si="56"/>
        <v/>
      </c>
      <c r="CA23" s="497" t="str">
        <f t="shared" si="57"/>
        <v/>
      </c>
      <c r="CB23" s="496" t="str">
        <f t="shared" si="58"/>
        <v/>
      </c>
      <c r="CC23" s="499"/>
      <c r="CD23" s="496" t="str">
        <f t="shared" si="59"/>
        <v/>
      </c>
      <c r="CE23" s="497" t="str">
        <f t="shared" si="60"/>
        <v/>
      </c>
      <c r="CF23" s="496" t="str">
        <f t="shared" si="61"/>
        <v/>
      </c>
      <c r="CG23" s="499"/>
      <c r="CH23" s="496" t="str">
        <f t="shared" si="62"/>
        <v/>
      </c>
      <c r="CI23" s="497" t="str">
        <f t="shared" si="63"/>
        <v/>
      </c>
      <c r="CJ23" s="496" t="str">
        <f t="shared" si="64"/>
        <v/>
      </c>
      <c r="CK23" s="499"/>
      <c r="CL23" s="496" t="str">
        <f t="shared" si="65"/>
        <v/>
      </c>
      <c r="CM23" s="497" t="str">
        <f t="shared" si="66"/>
        <v/>
      </c>
      <c r="CN23" s="496" t="str">
        <f t="shared" si="67"/>
        <v/>
      </c>
      <c r="CO23" s="499"/>
      <c r="CP23" s="496" t="str">
        <f t="shared" si="68"/>
        <v/>
      </c>
      <c r="CQ23" s="497" t="str">
        <f t="shared" si="69"/>
        <v/>
      </c>
      <c r="CR23" s="496" t="str">
        <f t="shared" si="70"/>
        <v/>
      </c>
      <c r="CS23" s="499"/>
      <c r="CT23" s="496" t="str">
        <f t="shared" si="71"/>
        <v/>
      </c>
      <c r="CU23" s="497" t="str">
        <f t="shared" si="72"/>
        <v/>
      </c>
      <c r="CV23" s="496" t="str">
        <f t="shared" si="73"/>
        <v/>
      </c>
      <c r="CW23" s="499"/>
      <c r="CX23" s="496" t="str">
        <f>IF('1.ข้อมูลเบื้องต้น'!$B$32="","",IF($A23="","",'1.ข้อมูลเบื้องต้น'!$B$32))</f>
        <v/>
      </c>
      <c r="CY23" s="497" t="str">
        <f>IF('1.ข้อมูลเบื้องต้น'!$C$32="","",IF($A23="","",'1.ข้อมูลเบื้องต้น'!$C$32))</f>
        <v/>
      </c>
      <c r="CZ23" s="496" t="str">
        <f>IF('1.ข้อมูลเบื้องต้น'!$D$32="","",IF($A23="","",'1.ข้อมูลเบื้องต้น'!$D$32))</f>
        <v/>
      </c>
      <c r="DA23" s="499"/>
      <c r="DB23" s="496" t="str">
        <f t="shared" si="74"/>
        <v/>
      </c>
      <c r="DC23" s="498" t="str">
        <f>IF('2.ชื่อนักเรียน'!R29="มส","มส",IF('2.ชื่อนักเรียน'!R29="ย้าย","ย้าย",IF('2.ชื่อนักเรียน'!R29="ร","ร",IF(DB23="","",RANK(DB23,$DB$5:$DB$49,0)))))</f>
        <v/>
      </c>
      <c r="DD23" s="496" t="str">
        <f t="shared" si="75"/>
        <v/>
      </c>
    </row>
    <row r="24" spans="1:108" s="501" customFormat="1" ht="21" x14ac:dyDescent="0.4">
      <c r="A24" s="496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B24" s="496" t="str">
        <f>IF(IDstu20="","",IDstu20)</f>
        <v/>
      </c>
      <c r="C24" s="497" t="str">
        <f>CONCATENATE(TRIM(Name20),"  ",Surname20)</f>
        <v xml:space="preserve">  </v>
      </c>
      <c r="D24" s="498" t="str">
        <f t="shared" si="0"/>
        <v/>
      </c>
      <c r="E24" s="496" t="str">
        <f t="shared" si="1"/>
        <v/>
      </c>
      <c r="F24" s="496" t="str">
        <f t="shared" si="2"/>
        <v/>
      </c>
      <c r="G24" s="497" t="str">
        <f t="shared" si="3"/>
        <v/>
      </c>
      <c r="H24" s="496" t="str">
        <f t="shared" si="4"/>
        <v/>
      </c>
      <c r="I24" s="499"/>
      <c r="J24" s="496" t="str">
        <f t="shared" si="5"/>
        <v/>
      </c>
      <c r="K24" s="497" t="str">
        <f t="shared" si="6"/>
        <v/>
      </c>
      <c r="L24" s="496" t="str">
        <f t="shared" si="7"/>
        <v/>
      </c>
      <c r="M24" s="500"/>
      <c r="N24" s="496" t="str">
        <f t="shared" si="8"/>
        <v/>
      </c>
      <c r="O24" s="497" t="str">
        <f t="shared" si="9"/>
        <v/>
      </c>
      <c r="P24" s="496" t="str">
        <f t="shared" si="10"/>
        <v/>
      </c>
      <c r="Q24" s="499"/>
      <c r="R24" s="496" t="str">
        <f t="shared" si="11"/>
        <v/>
      </c>
      <c r="S24" s="497" t="str">
        <f t="shared" si="12"/>
        <v/>
      </c>
      <c r="T24" s="496" t="str">
        <f t="shared" si="13"/>
        <v/>
      </c>
      <c r="U24" s="499"/>
      <c r="V24" s="496" t="str">
        <f t="shared" si="14"/>
        <v/>
      </c>
      <c r="W24" s="497" t="str">
        <f t="shared" si="15"/>
        <v/>
      </c>
      <c r="X24" s="496" t="str">
        <f t="shared" si="16"/>
        <v/>
      </c>
      <c r="Y24" s="499"/>
      <c r="Z24" s="496" t="str">
        <f t="shared" si="17"/>
        <v/>
      </c>
      <c r="AA24" s="497" t="str">
        <f t="shared" si="18"/>
        <v/>
      </c>
      <c r="AB24" s="496" t="str">
        <f t="shared" si="19"/>
        <v/>
      </c>
      <c r="AC24" s="500"/>
      <c r="AD24" s="496" t="str">
        <f t="shared" si="20"/>
        <v/>
      </c>
      <c r="AE24" s="497" t="str">
        <f t="shared" si="21"/>
        <v/>
      </c>
      <c r="AF24" s="496" t="str">
        <f t="shared" si="22"/>
        <v/>
      </c>
      <c r="AG24" s="500"/>
      <c r="AH24" s="496" t="str">
        <f t="shared" si="23"/>
        <v/>
      </c>
      <c r="AI24" s="497" t="str">
        <f t="shared" si="24"/>
        <v/>
      </c>
      <c r="AJ24" s="496" t="str">
        <f t="shared" si="25"/>
        <v/>
      </c>
      <c r="AK24" s="500"/>
      <c r="AL24" s="496" t="str">
        <f t="shared" si="26"/>
        <v/>
      </c>
      <c r="AM24" s="497" t="str">
        <f t="shared" si="27"/>
        <v/>
      </c>
      <c r="AN24" s="496" t="str">
        <f t="shared" si="28"/>
        <v/>
      </c>
      <c r="AO24" s="499"/>
      <c r="AP24" s="496" t="str">
        <f t="shared" si="29"/>
        <v/>
      </c>
      <c r="AQ24" s="497" t="str">
        <f t="shared" si="30"/>
        <v/>
      </c>
      <c r="AR24" s="496" t="str">
        <f t="shared" si="31"/>
        <v/>
      </c>
      <c r="AS24" s="499"/>
      <c r="AT24" s="496" t="str">
        <f t="shared" si="32"/>
        <v/>
      </c>
      <c r="AU24" s="497" t="str">
        <f t="shared" si="33"/>
        <v/>
      </c>
      <c r="AV24" s="496" t="str">
        <f t="shared" si="34"/>
        <v/>
      </c>
      <c r="AW24" s="499"/>
      <c r="AX24" s="496" t="str">
        <f t="shared" si="35"/>
        <v/>
      </c>
      <c r="AY24" s="497" t="str">
        <f t="shared" si="36"/>
        <v/>
      </c>
      <c r="AZ24" s="496" t="str">
        <f t="shared" si="37"/>
        <v/>
      </c>
      <c r="BA24" s="499"/>
      <c r="BB24" s="496" t="str">
        <f t="shared" si="38"/>
        <v/>
      </c>
      <c r="BC24" s="497" t="str">
        <f t="shared" si="39"/>
        <v/>
      </c>
      <c r="BD24" s="496" t="str">
        <f t="shared" si="40"/>
        <v/>
      </c>
      <c r="BE24" s="499"/>
      <c r="BF24" s="496" t="str">
        <f t="shared" si="41"/>
        <v/>
      </c>
      <c r="BG24" s="497" t="str">
        <f t="shared" si="42"/>
        <v/>
      </c>
      <c r="BH24" s="496" t="str">
        <f t="shared" si="43"/>
        <v/>
      </c>
      <c r="BI24" s="499"/>
      <c r="BJ24" s="496" t="str">
        <f t="shared" si="44"/>
        <v/>
      </c>
      <c r="BK24" s="497" t="str">
        <f t="shared" si="45"/>
        <v/>
      </c>
      <c r="BL24" s="496" t="str">
        <f t="shared" si="46"/>
        <v/>
      </c>
      <c r="BM24" s="499"/>
      <c r="BN24" s="496" t="str">
        <f t="shared" si="47"/>
        <v/>
      </c>
      <c r="BO24" s="497" t="str">
        <f t="shared" si="48"/>
        <v/>
      </c>
      <c r="BP24" s="496" t="str">
        <f t="shared" si="49"/>
        <v/>
      </c>
      <c r="BQ24" s="499"/>
      <c r="BR24" s="496" t="str">
        <f t="shared" si="50"/>
        <v/>
      </c>
      <c r="BS24" s="497" t="str">
        <f t="shared" si="51"/>
        <v/>
      </c>
      <c r="BT24" s="496" t="str">
        <f t="shared" si="52"/>
        <v/>
      </c>
      <c r="BU24" s="499"/>
      <c r="BV24" s="496" t="str">
        <f t="shared" si="53"/>
        <v/>
      </c>
      <c r="BW24" s="497" t="str">
        <f t="shared" si="54"/>
        <v/>
      </c>
      <c r="BX24" s="496" t="str">
        <f t="shared" si="55"/>
        <v/>
      </c>
      <c r="BY24" s="499"/>
      <c r="BZ24" s="496" t="str">
        <f t="shared" si="56"/>
        <v/>
      </c>
      <c r="CA24" s="497" t="str">
        <f t="shared" si="57"/>
        <v/>
      </c>
      <c r="CB24" s="496" t="str">
        <f t="shared" si="58"/>
        <v/>
      </c>
      <c r="CC24" s="499"/>
      <c r="CD24" s="496" t="str">
        <f t="shared" si="59"/>
        <v/>
      </c>
      <c r="CE24" s="497" t="str">
        <f t="shared" si="60"/>
        <v/>
      </c>
      <c r="CF24" s="496" t="str">
        <f t="shared" si="61"/>
        <v/>
      </c>
      <c r="CG24" s="499"/>
      <c r="CH24" s="496" t="str">
        <f t="shared" si="62"/>
        <v/>
      </c>
      <c r="CI24" s="497" t="str">
        <f t="shared" si="63"/>
        <v/>
      </c>
      <c r="CJ24" s="496" t="str">
        <f t="shared" si="64"/>
        <v/>
      </c>
      <c r="CK24" s="499"/>
      <c r="CL24" s="496" t="str">
        <f t="shared" si="65"/>
        <v/>
      </c>
      <c r="CM24" s="497" t="str">
        <f t="shared" si="66"/>
        <v/>
      </c>
      <c r="CN24" s="496" t="str">
        <f t="shared" si="67"/>
        <v/>
      </c>
      <c r="CO24" s="499"/>
      <c r="CP24" s="496" t="str">
        <f t="shared" si="68"/>
        <v/>
      </c>
      <c r="CQ24" s="497" t="str">
        <f t="shared" si="69"/>
        <v/>
      </c>
      <c r="CR24" s="496" t="str">
        <f t="shared" si="70"/>
        <v/>
      </c>
      <c r="CS24" s="499"/>
      <c r="CT24" s="496" t="str">
        <f t="shared" si="71"/>
        <v/>
      </c>
      <c r="CU24" s="497" t="str">
        <f t="shared" si="72"/>
        <v/>
      </c>
      <c r="CV24" s="496" t="str">
        <f t="shared" si="73"/>
        <v/>
      </c>
      <c r="CW24" s="499"/>
      <c r="CX24" s="496" t="str">
        <f>IF('1.ข้อมูลเบื้องต้น'!$B$32="","",IF($A24="","",'1.ข้อมูลเบื้องต้น'!$B$32))</f>
        <v/>
      </c>
      <c r="CY24" s="497" t="str">
        <f>IF('1.ข้อมูลเบื้องต้น'!$C$32="","",IF($A24="","",'1.ข้อมูลเบื้องต้น'!$C$32))</f>
        <v/>
      </c>
      <c r="CZ24" s="496" t="str">
        <f>IF('1.ข้อมูลเบื้องต้น'!$D$32="","",IF($A24="","",'1.ข้อมูลเบื้องต้น'!$D$32))</f>
        <v/>
      </c>
      <c r="DA24" s="499"/>
      <c r="DB24" s="496" t="str">
        <f t="shared" si="74"/>
        <v/>
      </c>
      <c r="DC24" s="498" t="str">
        <f>IF('2.ชื่อนักเรียน'!R30="มส","มส",IF('2.ชื่อนักเรียน'!R30="ย้าย","ย้าย",IF('2.ชื่อนักเรียน'!R30="ร","ร",IF(DB24="","",RANK(DB24,$DB$5:$DB$49,0)))))</f>
        <v/>
      </c>
      <c r="DD24" s="496" t="str">
        <f t="shared" si="75"/>
        <v/>
      </c>
    </row>
    <row r="25" spans="1:108" s="501" customFormat="1" ht="21" x14ac:dyDescent="0.4">
      <c r="A25" s="496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B25" s="496" t="str">
        <f>IF(IDstu21="","",IDstu21)</f>
        <v/>
      </c>
      <c r="C25" s="497" t="str">
        <f>CONCATENATE(TRIM(Name21),"  ",Surname21)</f>
        <v xml:space="preserve">  </v>
      </c>
      <c r="D25" s="498" t="str">
        <f t="shared" si="0"/>
        <v/>
      </c>
      <c r="E25" s="496" t="str">
        <f t="shared" si="1"/>
        <v/>
      </c>
      <c r="F25" s="496" t="str">
        <f t="shared" si="2"/>
        <v/>
      </c>
      <c r="G25" s="497" t="str">
        <f t="shared" si="3"/>
        <v/>
      </c>
      <c r="H25" s="496" t="str">
        <f t="shared" si="4"/>
        <v/>
      </c>
      <c r="I25" s="499"/>
      <c r="J25" s="496" t="str">
        <f t="shared" si="5"/>
        <v/>
      </c>
      <c r="K25" s="497" t="str">
        <f t="shared" si="6"/>
        <v/>
      </c>
      <c r="L25" s="496" t="str">
        <f t="shared" si="7"/>
        <v/>
      </c>
      <c r="M25" s="500"/>
      <c r="N25" s="496" t="str">
        <f t="shared" si="8"/>
        <v/>
      </c>
      <c r="O25" s="497" t="str">
        <f t="shared" si="9"/>
        <v/>
      </c>
      <c r="P25" s="496" t="str">
        <f t="shared" si="10"/>
        <v/>
      </c>
      <c r="Q25" s="499"/>
      <c r="R25" s="496" t="str">
        <f t="shared" si="11"/>
        <v/>
      </c>
      <c r="S25" s="497" t="str">
        <f t="shared" si="12"/>
        <v/>
      </c>
      <c r="T25" s="496" t="str">
        <f t="shared" si="13"/>
        <v/>
      </c>
      <c r="U25" s="499"/>
      <c r="V25" s="496" t="str">
        <f t="shared" si="14"/>
        <v/>
      </c>
      <c r="W25" s="497" t="str">
        <f t="shared" si="15"/>
        <v/>
      </c>
      <c r="X25" s="496" t="str">
        <f t="shared" si="16"/>
        <v/>
      </c>
      <c r="Y25" s="499"/>
      <c r="Z25" s="496" t="str">
        <f t="shared" si="17"/>
        <v/>
      </c>
      <c r="AA25" s="497" t="str">
        <f t="shared" si="18"/>
        <v/>
      </c>
      <c r="AB25" s="496" t="str">
        <f t="shared" si="19"/>
        <v/>
      </c>
      <c r="AC25" s="500"/>
      <c r="AD25" s="496" t="str">
        <f t="shared" si="20"/>
        <v/>
      </c>
      <c r="AE25" s="497" t="str">
        <f t="shared" si="21"/>
        <v/>
      </c>
      <c r="AF25" s="496" t="str">
        <f t="shared" si="22"/>
        <v/>
      </c>
      <c r="AG25" s="500"/>
      <c r="AH25" s="496" t="str">
        <f t="shared" si="23"/>
        <v/>
      </c>
      <c r="AI25" s="497" t="str">
        <f t="shared" si="24"/>
        <v/>
      </c>
      <c r="AJ25" s="496" t="str">
        <f t="shared" si="25"/>
        <v/>
      </c>
      <c r="AK25" s="500"/>
      <c r="AL25" s="496" t="str">
        <f t="shared" si="26"/>
        <v/>
      </c>
      <c r="AM25" s="497" t="str">
        <f t="shared" si="27"/>
        <v/>
      </c>
      <c r="AN25" s="496" t="str">
        <f t="shared" si="28"/>
        <v/>
      </c>
      <c r="AO25" s="499"/>
      <c r="AP25" s="496" t="str">
        <f t="shared" si="29"/>
        <v/>
      </c>
      <c r="AQ25" s="497" t="str">
        <f t="shared" si="30"/>
        <v/>
      </c>
      <c r="AR25" s="496" t="str">
        <f t="shared" si="31"/>
        <v/>
      </c>
      <c r="AS25" s="499"/>
      <c r="AT25" s="496" t="str">
        <f t="shared" si="32"/>
        <v/>
      </c>
      <c r="AU25" s="497" t="str">
        <f t="shared" si="33"/>
        <v/>
      </c>
      <c r="AV25" s="496" t="str">
        <f t="shared" si="34"/>
        <v/>
      </c>
      <c r="AW25" s="499"/>
      <c r="AX25" s="496" t="str">
        <f t="shared" si="35"/>
        <v/>
      </c>
      <c r="AY25" s="497" t="str">
        <f t="shared" si="36"/>
        <v/>
      </c>
      <c r="AZ25" s="496" t="str">
        <f t="shared" si="37"/>
        <v/>
      </c>
      <c r="BA25" s="499"/>
      <c r="BB25" s="496" t="str">
        <f t="shared" si="38"/>
        <v/>
      </c>
      <c r="BC25" s="497" t="str">
        <f t="shared" si="39"/>
        <v/>
      </c>
      <c r="BD25" s="496" t="str">
        <f t="shared" si="40"/>
        <v/>
      </c>
      <c r="BE25" s="499"/>
      <c r="BF25" s="496" t="str">
        <f t="shared" si="41"/>
        <v/>
      </c>
      <c r="BG25" s="497" t="str">
        <f t="shared" si="42"/>
        <v/>
      </c>
      <c r="BH25" s="496" t="str">
        <f t="shared" si="43"/>
        <v/>
      </c>
      <c r="BI25" s="499"/>
      <c r="BJ25" s="496" t="str">
        <f t="shared" si="44"/>
        <v/>
      </c>
      <c r="BK25" s="497" t="str">
        <f t="shared" si="45"/>
        <v/>
      </c>
      <c r="BL25" s="496" t="str">
        <f t="shared" si="46"/>
        <v/>
      </c>
      <c r="BM25" s="499"/>
      <c r="BN25" s="496" t="str">
        <f t="shared" si="47"/>
        <v/>
      </c>
      <c r="BO25" s="497" t="str">
        <f t="shared" si="48"/>
        <v/>
      </c>
      <c r="BP25" s="496" t="str">
        <f t="shared" si="49"/>
        <v/>
      </c>
      <c r="BQ25" s="499"/>
      <c r="BR25" s="496" t="str">
        <f t="shared" si="50"/>
        <v/>
      </c>
      <c r="BS25" s="497" t="str">
        <f t="shared" si="51"/>
        <v/>
      </c>
      <c r="BT25" s="496" t="str">
        <f t="shared" si="52"/>
        <v/>
      </c>
      <c r="BU25" s="499"/>
      <c r="BV25" s="496" t="str">
        <f t="shared" si="53"/>
        <v/>
      </c>
      <c r="BW25" s="497" t="str">
        <f t="shared" si="54"/>
        <v/>
      </c>
      <c r="BX25" s="496" t="str">
        <f t="shared" si="55"/>
        <v/>
      </c>
      <c r="BY25" s="499"/>
      <c r="BZ25" s="496" t="str">
        <f t="shared" si="56"/>
        <v/>
      </c>
      <c r="CA25" s="497" t="str">
        <f t="shared" si="57"/>
        <v/>
      </c>
      <c r="CB25" s="496" t="str">
        <f t="shared" si="58"/>
        <v/>
      </c>
      <c r="CC25" s="499"/>
      <c r="CD25" s="496" t="str">
        <f t="shared" si="59"/>
        <v/>
      </c>
      <c r="CE25" s="497" t="str">
        <f t="shared" si="60"/>
        <v/>
      </c>
      <c r="CF25" s="496" t="str">
        <f t="shared" si="61"/>
        <v/>
      </c>
      <c r="CG25" s="499"/>
      <c r="CH25" s="496" t="str">
        <f t="shared" si="62"/>
        <v/>
      </c>
      <c r="CI25" s="497" t="str">
        <f t="shared" si="63"/>
        <v/>
      </c>
      <c r="CJ25" s="496" t="str">
        <f t="shared" si="64"/>
        <v/>
      </c>
      <c r="CK25" s="499"/>
      <c r="CL25" s="496" t="str">
        <f t="shared" si="65"/>
        <v/>
      </c>
      <c r="CM25" s="497" t="str">
        <f t="shared" si="66"/>
        <v/>
      </c>
      <c r="CN25" s="496" t="str">
        <f t="shared" si="67"/>
        <v/>
      </c>
      <c r="CO25" s="499"/>
      <c r="CP25" s="496" t="str">
        <f t="shared" si="68"/>
        <v/>
      </c>
      <c r="CQ25" s="497" t="str">
        <f t="shared" si="69"/>
        <v/>
      </c>
      <c r="CR25" s="496" t="str">
        <f t="shared" si="70"/>
        <v/>
      </c>
      <c r="CS25" s="499"/>
      <c r="CT25" s="496" t="str">
        <f t="shared" si="71"/>
        <v/>
      </c>
      <c r="CU25" s="497" t="str">
        <f t="shared" si="72"/>
        <v/>
      </c>
      <c r="CV25" s="496" t="str">
        <f t="shared" si="73"/>
        <v/>
      </c>
      <c r="CW25" s="499"/>
      <c r="CX25" s="496" t="str">
        <f>IF('1.ข้อมูลเบื้องต้น'!$B$32="","",IF($A25="","",'1.ข้อมูลเบื้องต้น'!$B$32))</f>
        <v/>
      </c>
      <c r="CY25" s="497" t="str">
        <f>IF('1.ข้อมูลเบื้องต้น'!$C$32="","",IF($A25="","",'1.ข้อมูลเบื้องต้น'!$C$32))</f>
        <v/>
      </c>
      <c r="CZ25" s="496" t="str">
        <f>IF('1.ข้อมูลเบื้องต้น'!$D$32="","",IF($A25="","",'1.ข้อมูลเบื้องต้น'!$D$32))</f>
        <v/>
      </c>
      <c r="DA25" s="499"/>
      <c r="DB25" s="496" t="str">
        <f t="shared" si="74"/>
        <v/>
      </c>
      <c r="DC25" s="498" t="str">
        <f>IF('2.ชื่อนักเรียน'!R31="มส","มส",IF('2.ชื่อนักเรียน'!R31="ย้าย","ย้าย",IF('2.ชื่อนักเรียน'!R31="ร","ร",IF(DB25="","",RANK(DB25,$DB$5:$DB$49,0)))))</f>
        <v/>
      </c>
      <c r="DD25" s="496" t="str">
        <f t="shared" si="75"/>
        <v/>
      </c>
    </row>
    <row r="26" spans="1:108" s="501" customFormat="1" ht="21" x14ac:dyDescent="0.4">
      <c r="A26" s="496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B26" s="496" t="str">
        <f>IF(IDstu22="","",IDstu22)</f>
        <v/>
      </c>
      <c r="C26" s="497" t="str">
        <f>CONCATENATE(TRIM(Name22),"  ",Surname22)</f>
        <v xml:space="preserve">  </v>
      </c>
      <c r="D26" s="498" t="str">
        <f t="shared" si="0"/>
        <v/>
      </c>
      <c r="E26" s="496" t="str">
        <f t="shared" si="1"/>
        <v/>
      </c>
      <c r="F26" s="496" t="str">
        <f t="shared" si="2"/>
        <v/>
      </c>
      <c r="G26" s="497" t="str">
        <f t="shared" si="3"/>
        <v/>
      </c>
      <c r="H26" s="496" t="str">
        <f t="shared" si="4"/>
        <v/>
      </c>
      <c r="I26" s="499"/>
      <c r="J26" s="496" t="str">
        <f t="shared" si="5"/>
        <v/>
      </c>
      <c r="K26" s="497" t="str">
        <f t="shared" si="6"/>
        <v/>
      </c>
      <c r="L26" s="496" t="str">
        <f t="shared" si="7"/>
        <v/>
      </c>
      <c r="M26" s="500"/>
      <c r="N26" s="496" t="str">
        <f t="shared" si="8"/>
        <v/>
      </c>
      <c r="O26" s="497" t="str">
        <f t="shared" si="9"/>
        <v/>
      </c>
      <c r="P26" s="496" t="str">
        <f t="shared" si="10"/>
        <v/>
      </c>
      <c r="Q26" s="499"/>
      <c r="R26" s="496" t="str">
        <f t="shared" si="11"/>
        <v/>
      </c>
      <c r="S26" s="497" t="str">
        <f t="shared" si="12"/>
        <v/>
      </c>
      <c r="T26" s="496" t="str">
        <f t="shared" si="13"/>
        <v/>
      </c>
      <c r="U26" s="499"/>
      <c r="V26" s="496" t="str">
        <f t="shared" si="14"/>
        <v/>
      </c>
      <c r="W26" s="497" t="str">
        <f t="shared" si="15"/>
        <v/>
      </c>
      <c r="X26" s="496" t="str">
        <f t="shared" si="16"/>
        <v/>
      </c>
      <c r="Y26" s="499"/>
      <c r="Z26" s="496" t="str">
        <f t="shared" si="17"/>
        <v/>
      </c>
      <c r="AA26" s="497" t="str">
        <f t="shared" si="18"/>
        <v/>
      </c>
      <c r="AB26" s="496" t="str">
        <f t="shared" si="19"/>
        <v/>
      </c>
      <c r="AC26" s="500"/>
      <c r="AD26" s="496" t="str">
        <f t="shared" si="20"/>
        <v/>
      </c>
      <c r="AE26" s="497" t="str">
        <f t="shared" si="21"/>
        <v/>
      </c>
      <c r="AF26" s="496" t="str">
        <f t="shared" si="22"/>
        <v/>
      </c>
      <c r="AG26" s="500"/>
      <c r="AH26" s="496" t="str">
        <f t="shared" si="23"/>
        <v/>
      </c>
      <c r="AI26" s="497" t="str">
        <f t="shared" si="24"/>
        <v/>
      </c>
      <c r="AJ26" s="496" t="str">
        <f t="shared" si="25"/>
        <v/>
      </c>
      <c r="AK26" s="500"/>
      <c r="AL26" s="496" t="str">
        <f t="shared" si="26"/>
        <v/>
      </c>
      <c r="AM26" s="497" t="str">
        <f t="shared" si="27"/>
        <v/>
      </c>
      <c r="AN26" s="496" t="str">
        <f t="shared" si="28"/>
        <v/>
      </c>
      <c r="AO26" s="499"/>
      <c r="AP26" s="496" t="str">
        <f t="shared" si="29"/>
        <v/>
      </c>
      <c r="AQ26" s="497" t="str">
        <f t="shared" si="30"/>
        <v/>
      </c>
      <c r="AR26" s="496" t="str">
        <f t="shared" si="31"/>
        <v/>
      </c>
      <c r="AS26" s="499"/>
      <c r="AT26" s="496" t="str">
        <f t="shared" si="32"/>
        <v/>
      </c>
      <c r="AU26" s="497" t="str">
        <f t="shared" si="33"/>
        <v/>
      </c>
      <c r="AV26" s="496" t="str">
        <f t="shared" si="34"/>
        <v/>
      </c>
      <c r="AW26" s="499"/>
      <c r="AX26" s="496" t="str">
        <f t="shared" si="35"/>
        <v/>
      </c>
      <c r="AY26" s="497" t="str">
        <f t="shared" si="36"/>
        <v/>
      </c>
      <c r="AZ26" s="496" t="str">
        <f t="shared" si="37"/>
        <v/>
      </c>
      <c r="BA26" s="499"/>
      <c r="BB26" s="496" t="str">
        <f t="shared" si="38"/>
        <v/>
      </c>
      <c r="BC26" s="497" t="str">
        <f t="shared" si="39"/>
        <v/>
      </c>
      <c r="BD26" s="496" t="str">
        <f t="shared" si="40"/>
        <v/>
      </c>
      <c r="BE26" s="499"/>
      <c r="BF26" s="496" t="str">
        <f t="shared" si="41"/>
        <v/>
      </c>
      <c r="BG26" s="497" t="str">
        <f t="shared" si="42"/>
        <v/>
      </c>
      <c r="BH26" s="496" t="str">
        <f t="shared" si="43"/>
        <v/>
      </c>
      <c r="BI26" s="499"/>
      <c r="BJ26" s="496" t="str">
        <f t="shared" si="44"/>
        <v/>
      </c>
      <c r="BK26" s="497" t="str">
        <f t="shared" si="45"/>
        <v/>
      </c>
      <c r="BL26" s="496" t="str">
        <f t="shared" si="46"/>
        <v/>
      </c>
      <c r="BM26" s="499"/>
      <c r="BN26" s="496" t="str">
        <f t="shared" si="47"/>
        <v/>
      </c>
      <c r="BO26" s="497" t="str">
        <f t="shared" si="48"/>
        <v/>
      </c>
      <c r="BP26" s="496" t="str">
        <f t="shared" si="49"/>
        <v/>
      </c>
      <c r="BQ26" s="499"/>
      <c r="BR26" s="496" t="str">
        <f t="shared" si="50"/>
        <v/>
      </c>
      <c r="BS26" s="497" t="str">
        <f t="shared" si="51"/>
        <v/>
      </c>
      <c r="BT26" s="496" t="str">
        <f t="shared" si="52"/>
        <v/>
      </c>
      <c r="BU26" s="499"/>
      <c r="BV26" s="496" t="str">
        <f t="shared" si="53"/>
        <v/>
      </c>
      <c r="BW26" s="497" t="str">
        <f t="shared" si="54"/>
        <v/>
      </c>
      <c r="BX26" s="496" t="str">
        <f t="shared" si="55"/>
        <v/>
      </c>
      <c r="BY26" s="499"/>
      <c r="BZ26" s="496" t="str">
        <f t="shared" si="56"/>
        <v/>
      </c>
      <c r="CA26" s="497" t="str">
        <f t="shared" si="57"/>
        <v/>
      </c>
      <c r="CB26" s="496" t="str">
        <f t="shared" si="58"/>
        <v/>
      </c>
      <c r="CC26" s="499"/>
      <c r="CD26" s="496" t="str">
        <f t="shared" si="59"/>
        <v/>
      </c>
      <c r="CE26" s="497" t="str">
        <f t="shared" si="60"/>
        <v/>
      </c>
      <c r="CF26" s="496" t="str">
        <f t="shared" si="61"/>
        <v/>
      </c>
      <c r="CG26" s="499"/>
      <c r="CH26" s="496" t="str">
        <f t="shared" si="62"/>
        <v/>
      </c>
      <c r="CI26" s="497" t="str">
        <f t="shared" si="63"/>
        <v/>
      </c>
      <c r="CJ26" s="496" t="str">
        <f t="shared" si="64"/>
        <v/>
      </c>
      <c r="CK26" s="499"/>
      <c r="CL26" s="496" t="str">
        <f t="shared" si="65"/>
        <v/>
      </c>
      <c r="CM26" s="497" t="str">
        <f t="shared" si="66"/>
        <v/>
      </c>
      <c r="CN26" s="496" t="str">
        <f t="shared" si="67"/>
        <v/>
      </c>
      <c r="CO26" s="499"/>
      <c r="CP26" s="496" t="str">
        <f t="shared" si="68"/>
        <v/>
      </c>
      <c r="CQ26" s="497" t="str">
        <f t="shared" si="69"/>
        <v/>
      </c>
      <c r="CR26" s="496" t="str">
        <f t="shared" si="70"/>
        <v/>
      </c>
      <c r="CS26" s="499"/>
      <c r="CT26" s="496" t="str">
        <f t="shared" si="71"/>
        <v/>
      </c>
      <c r="CU26" s="497" t="str">
        <f t="shared" si="72"/>
        <v/>
      </c>
      <c r="CV26" s="496" t="str">
        <f t="shared" si="73"/>
        <v/>
      </c>
      <c r="CW26" s="499"/>
      <c r="CX26" s="496" t="str">
        <f>IF('1.ข้อมูลเบื้องต้น'!$B$32="","",IF($A26="","",'1.ข้อมูลเบื้องต้น'!$B$32))</f>
        <v/>
      </c>
      <c r="CY26" s="497" t="str">
        <f>IF('1.ข้อมูลเบื้องต้น'!$C$32="","",IF($A26="","",'1.ข้อมูลเบื้องต้น'!$C$32))</f>
        <v/>
      </c>
      <c r="CZ26" s="496" t="str">
        <f>IF('1.ข้อมูลเบื้องต้น'!$D$32="","",IF($A26="","",'1.ข้อมูลเบื้องต้น'!$D$32))</f>
        <v/>
      </c>
      <c r="DA26" s="499"/>
      <c r="DB26" s="496" t="str">
        <f t="shared" si="74"/>
        <v/>
      </c>
      <c r="DC26" s="498" t="str">
        <f>IF('2.ชื่อนักเรียน'!R32="มส","มส",IF('2.ชื่อนักเรียน'!R32="ย้าย","ย้าย",IF('2.ชื่อนักเรียน'!R32="ร","ร",IF(DB26="","",RANK(DB26,$DB$5:$DB$49,0)))))</f>
        <v/>
      </c>
      <c r="DD26" s="496" t="str">
        <f t="shared" si="75"/>
        <v/>
      </c>
    </row>
    <row r="27" spans="1:108" s="501" customFormat="1" ht="21" x14ac:dyDescent="0.4">
      <c r="A27" s="496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B27" s="496" t="str">
        <f>IF(IDstu23="","",IDstu23)</f>
        <v/>
      </c>
      <c r="C27" s="497" t="str">
        <f>CONCATENATE(TRIM(Name23),"  ",Surname23)</f>
        <v xml:space="preserve">  </v>
      </c>
      <c r="D27" s="498" t="str">
        <f t="shared" si="0"/>
        <v/>
      </c>
      <c r="E27" s="496" t="str">
        <f t="shared" si="1"/>
        <v/>
      </c>
      <c r="F27" s="496" t="str">
        <f t="shared" si="2"/>
        <v/>
      </c>
      <c r="G27" s="497" t="str">
        <f t="shared" si="3"/>
        <v/>
      </c>
      <c r="H27" s="496" t="str">
        <f t="shared" si="4"/>
        <v/>
      </c>
      <c r="I27" s="499"/>
      <c r="J27" s="496" t="str">
        <f t="shared" si="5"/>
        <v/>
      </c>
      <c r="K27" s="497" t="str">
        <f t="shared" si="6"/>
        <v/>
      </c>
      <c r="L27" s="496" t="str">
        <f t="shared" si="7"/>
        <v/>
      </c>
      <c r="M27" s="500"/>
      <c r="N27" s="496" t="str">
        <f t="shared" si="8"/>
        <v/>
      </c>
      <c r="O27" s="497" t="str">
        <f t="shared" si="9"/>
        <v/>
      </c>
      <c r="P27" s="496" t="str">
        <f t="shared" si="10"/>
        <v/>
      </c>
      <c r="Q27" s="499"/>
      <c r="R27" s="496" t="str">
        <f t="shared" si="11"/>
        <v/>
      </c>
      <c r="S27" s="497" t="str">
        <f t="shared" si="12"/>
        <v/>
      </c>
      <c r="T27" s="496" t="str">
        <f t="shared" si="13"/>
        <v/>
      </c>
      <c r="U27" s="499"/>
      <c r="V27" s="496" t="str">
        <f t="shared" si="14"/>
        <v/>
      </c>
      <c r="W27" s="497" t="str">
        <f t="shared" si="15"/>
        <v/>
      </c>
      <c r="X27" s="496" t="str">
        <f t="shared" si="16"/>
        <v/>
      </c>
      <c r="Y27" s="499"/>
      <c r="Z27" s="496" t="str">
        <f t="shared" si="17"/>
        <v/>
      </c>
      <c r="AA27" s="497" t="str">
        <f t="shared" si="18"/>
        <v/>
      </c>
      <c r="AB27" s="496" t="str">
        <f t="shared" si="19"/>
        <v/>
      </c>
      <c r="AC27" s="500"/>
      <c r="AD27" s="496" t="str">
        <f t="shared" si="20"/>
        <v/>
      </c>
      <c r="AE27" s="497" t="str">
        <f t="shared" si="21"/>
        <v/>
      </c>
      <c r="AF27" s="496" t="str">
        <f t="shared" si="22"/>
        <v/>
      </c>
      <c r="AG27" s="500"/>
      <c r="AH27" s="496" t="str">
        <f t="shared" si="23"/>
        <v/>
      </c>
      <c r="AI27" s="497" t="str">
        <f t="shared" si="24"/>
        <v/>
      </c>
      <c r="AJ27" s="496" t="str">
        <f t="shared" si="25"/>
        <v/>
      </c>
      <c r="AK27" s="500"/>
      <c r="AL27" s="496" t="str">
        <f t="shared" si="26"/>
        <v/>
      </c>
      <c r="AM27" s="497" t="str">
        <f t="shared" si="27"/>
        <v/>
      </c>
      <c r="AN27" s="496" t="str">
        <f t="shared" si="28"/>
        <v/>
      </c>
      <c r="AO27" s="499"/>
      <c r="AP27" s="496" t="str">
        <f t="shared" si="29"/>
        <v/>
      </c>
      <c r="AQ27" s="497" t="str">
        <f t="shared" si="30"/>
        <v/>
      </c>
      <c r="AR27" s="496" t="str">
        <f t="shared" si="31"/>
        <v/>
      </c>
      <c r="AS27" s="499"/>
      <c r="AT27" s="496" t="str">
        <f t="shared" si="32"/>
        <v/>
      </c>
      <c r="AU27" s="497" t="str">
        <f t="shared" si="33"/>
        <v/>
      </c>
      <c r="AV27" s="496" t="str">
        <f t="shared" si="34"/>
        <v/>
      </c>
      <c r="AW27" s="499"/>
      <c r="AX27" s="496" t="str">
        <f t="shared" si="35"/>
        <v/>
      </c>
      <c r="AY27" s="497" t="str">
        <f t="shared" si="36"/>
        <v/>
      </c>
      <c r="AZ27" s="496" t="str">
        <f t="shared" si="37"/>
        <v/>
      </c>
      <c r="BA27" s="499"/>
      <c r="BB27" s="496" t="str">
        <f t="shared" si="38"/>
        <v/>
      </c>
      <c r="BC27" s="497" t="str">
        <f t="shared" si="39"/>
        <v/>
      </c>
      <c r="BD27" s="496" t="str">
        <f t="shared" si="40"/>
        <v/>
      </c>
      <c r="BE27" s="499"/>
      <c r="BF27" s="496" t="str">
        <f t="shared" si="41"/>
        <v/>
      </c>
      <c r="BG27" s="497" t="str">
        <f t="shared" si="42"/>
        <v/>
      </c>
      <c r="BH27" s="496" t="str">
        <f t="shared" si="43"/>
        <v/>
      </c>
      <c r="BI27" s="499"/>
      <c r="BJ27" s="496" t="str">
        <f t="shared" si="44"/>
        <v/>
      </c>
      <c r="BK27" s="497" t="str">
        <f t="shared" si="45"/>
        <v/>
      </c>
      <c r="BL27" s="496" t="str">
        <f t="shared" si="46"/>
        <v/>
      </c>
      <c r="BM27" s="499"/>
      <c r="BN27" s="496" t="str">
        <f t="shared" si="47"/>
        <v/>
      </c>
      <c r="BO27" s="497" t="str">
        <f t="shared" si="48"/>
        <v/>
      </c>
      <c r="BP27" s="496" t="str">
        <f t="shared" si="49"/>
        <v/>
      </c>
      <c r="BQ27" s="499"/>
      <c r="BR27" s="496" t="str">
        <f t="shared" si="50"/>
        <v/>
      </c>
      <c r="BS27" s="497" t="str">
        <f t="shared" si="51"/>
        <v/>
      </c>
      <c r="BT27" s="496" t="str">
        <f t="shared" si="52"/>
        <v/>
      </c>
      <c r="BU27" s="499"/>
      <c r="BV27" s="496" t="str">
        <f t="shared" si="53"/>
        <v/>
      </c>
      <c r="BW27" s="497" t="str">
        <f t="shared" si="54"/>
        <v/>
      </c>
      <c r="BX27" s="496" t="str">
        <f t="shared" si="55"/>
        <v/>
      </c>
      <c r="BY27" s="499"/>
      <c r="BZ27" s="496" t="str">
        <f t="shared" si="56"/>
        <v/>
      </c>
      <c r="CA27" s="497" t="str">
        <f t="shared" si="57"/>
        <v/>
      </c>
      <c r="CB27" s="496" t="str">
        <f t="shared" si="58"/>
        <v/>
      </c>
      <c r="CC27" s="499"/>
      <c r="CD27" s="496" t="str">
        <f t="shared" si="59"/>
        <v/>
      </c>
      <c r="CE27" s="497" t="str">
        <f t="shared" si="60"/>
        <v/>
      </c>
      <c r="CF27" s="496" t="str">
        <f t="shared" si="61"/>
        <v/>
      </c>
      <c r="CG27" s="499"/>
      <c r="CH27" s="496" t="str">
        <f t="shared" si="62"/>
        <v/>
      </c>
      <c r="CI27" s="497" t="str">
        <f t="shared" si="63"/>
        <v/>
      </c>
      <c r="CJ27" s="496" t="str">
        <f t="shared" si="64"/>
        <v/>
      </c>
      <c r="CK27" s="499"/>
      <c r="CL27" s="496" t="str">
        <f t="shared" si="65"/>
        <v/>
      </c>
      <c r="CM27" s="497" t="str">
        <f t="shared" si="66"/>
        <v/>
      </c>
      <c r="CN27" s="496" t="str">
        <f t="shared" si="67"/>
        <v/>
      </c>
      <c r="CO27" s="499"/>
      <c r="CP27" s="496" t="str">
        <f t="shared" si="68"/>
        <v/>
      </c>
      <c r="CQ27" s="497" t="str">
        <f t="shared" si="69"/>
        <v/>
      </c>
      <c r="CR27" s="496" t="str">
        <f t="shared" si="70"/>
        <v/>
      </c>
      <c r="CS27" s="499"/>
      <c r="CT27" s="496" t="str">
        <f t="shared" si="71"/>
        <v/>
      </c>
      <c r="CU27" s="497" t="str">
        <f t="shared" si="72"/>
        <v/>
      </c>
      <c r="CV27" s="496" t="str">
        <f t="shared" si="73"/>
        <v/>
      </c>
      <c r="CW27" s="499"/>
      <c r="CX27" s="496" t="str">
        <f>IF('1.ข้อมูลเบื้องต้น'!$B$32="","",IF($A27="","",'1.ข้อมูลเบื้องต้น'!$B$32))</f>
        <v/>
      </c>
      <c r="CY27" s="497" t="str">
        <f>IF('1.ข้อมูลเบื้องต้น'!$C$32="","",IF($A27="","",'1.ข้อมูลเบื้องต้น'!$C$32))</f>
        <v/>
      </c>
      <c r="CZ27" s="496" t="str">
        <f>IF('1.ข้อมูลเบื้องต้น'!$D$32="","",IF($A27="","",'1.ข้อมูลเบื้องต้น'!$D$32))</f>
        <v/>
      </c>
      <c r="DA27" s="499"/>
      <c r="DB27" s="496" t="str">
        <f t="shared" si="74"/>
        <v/>
      </c>
      <c r="DC27" s="498" t="str">
        <f>IF('2.ชื่อนักเรียน'!R33="มส","มส",IF('2.ชื่อนักเรียน'!R33="ย้าย","ย้าย",IF('2.ชื่อนักเรียน'!R33="ร","ร",IF(DB27="","",RANK(DB27,$DB$5:$DB$49,0)))))</f>
        <v/>
      </c>
      <c r="DD27" s="496" t="str">
        <f t="shared" si="75"/>
        <v/>
      </c>
    </row>
    <row r="28" spans="1:108" s="501" customFormat="1" ht="21" x14ac:dyDescent="0.4">
      <c r="A28" s="496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B28" s="496" t="str">
        <f>IF(IDstu24="","",IDstu24)</f>
        <v/>
      </c>
      <c r="C28" s="497" t="str">
        <f>CONCATENATE(TRIM(Name24),"  ",Surname24)</f>
        <v xml:space="preserve">  </v>
      </c>
      <c r="D28" s="498" t="str">
        <f t="shared" si="0"/>
        <v/>
      </c>
      <c r="E28" s="496" t="str">
        <f t="shared" si="1"/>
        <v/>
      </c>
      <c r="F28" s="496" t="str">
        <f t="shared" si="2"/>
        <v/>
      </c>
      <c r="G28" s="497" t="str">
        <f t="shared" si="3"/>
        <v/>
      </c>
      <c r="H28" s="496" t="str">
        <f t="shared" si="4"/>
        <v/>
      </c>
      <c r="I28" s="499"/>
      <c r="J28" s="496" t="str">
        <f t="shared" si="5"/>
        <v/>
      </c>
      <c r="K28" s="497" t="str">
        <f t="shared" si="6"/>
        <v/>
      </c>
      <c r="L28" s="496" t="str">
        <f t="shared" si="7"/>
        <v/>
      </c>
      <c r="M28" s="500"/>
      <c r="N28" s="496" t="str">
        <f t="shared" si="8"/>
        <v/>
      </c>
      <c r="O28" s="497" t="str">
        <f t="shared" si="9"/>
        <v/>
      </c>
      <c r="P28" s="496" t="str">
        <f t="shared" si="10"/>
        <v/>
      </c>
      <c r="Q28" s="499"/>
      <c r="R28" s="496" t="str">
        <f t="shared" si="11"/>
        <v/>
      </c>
      <c r="S28" s="497" t="str">
        <f t="shared" si="12"/>
        <v/>
      </c>
      <c r="T28" s="496" t="str">
        <f t="shared" si="13"/>
        <v/>
      </c>
      <c r="U28" s="499"/>
      <c r="V28" s="496" t="str">
        <f t="shared" si="14"/>
        <v/>
      </c>
      <c r="W28" s="497" t="str">
        <f t="shared" si="15"/>
        <v/>
      </c>
      <c r="X28" s="496" t="str">
        <f t="shared" si="16"/>
        <v/>
      </c>
      <c r="Y28" s="499"/>
      <c r="Z28" s="496" t="str">
        <f t="shared" si="17"/>
        <v/>
      </c>
      <c r="AA28" s="497" t="str">
        <f t="shared" si="18"/>
        <v/>
      </c>
      <c r="AB28" s="496" t="str">
        <f t="shared" si="19"/>
        <v/>
      </c>
      <c r="AC28" s="500"/>
      <c r="AD28" s="496" t="str">
        <f t="shared" si="20"/>
        <v/>
      </c>
      <c r="AE28" s="497" t="str">
        <f t="shared" si="21"/>
        <v/>
      </c>
      <c r="AF28" s="496" t="str">
        <f t="shared" si="22"/>
        <v/>
      </c>
      <c r="AG28" s="500"/>
      <c r="AH28" s="496" t="str">
        <f t="shared" si="23"/>
        <v/>
      </c>
      <c r="AI28" s="497" t="str">
        <f t="shared" si="24"/>
        <v/>
      </c>
      <c r="AJ28" s="496" t="str">
        <f t="shared" si="25"/>
        <v/>
      </c>
      <c r="AK28" s="500"/>
      <c r="AL28" s="496" t="str">
        <f t="shared" si="26"/>
        <v/>
      </c>
      <c r="AM28" s="497" t="str">
        <f t="shared" si="27"/>
        <v/>
      </c>
      <c r="AN28" s="496" t="str">
        <f t="shared" si="28"/>
        <v/>
      </c>
      <c r="AO28" s="499"/>
      <c r="AP28" s="496" t="str">
        <f t="shared" si="29"/>
        <v/>
      </c>
      <c r="AQ28" s="497" t="str">
        <f t="shared" si="30"/>
        <v/>
      </c>
      <c r="AR28" s="496" t="str">
        <f t="shared" si="31"/>
        <v/>
      </c>
      <c r="AS28" s="499"/>
      <c r="AT28" s="496" t="str">
        <f t="shared" si="32"/>
        <v/>
      </c>
      <c r="AU28" s="497" t="str">
        <f t="shared" si="33"/>
        <v/>
      </c>
      <c r="AV28" s="496" t="str">
        <f t="shared" si="34"/>
        <v/>
      </c>
      <c r="AW28" s="499"/>
      <c r="AX28" s="496" t="str">
        <f t="shared" si="35"/>
        <v/>
      </c>
      <c r="AY28" s="497" t="str">
        <f t="shared" si="36"/>
        <v/>
      </c>
      <c r="AZ28" s="496" t="str">
        <f t="shared" si="37"/>
        <v/>
      </c>
      <c r="BA28" s="499"/>
      <c r="BB28" s="496" t="str">
        <f t="shared" si="38"/>
        <v/>
      </c>
      <c r="BC28" s="497" t="str">
        <f t="shared" si="39"/>
        <v/>
      </c>
      <c r="BD28" s="496" t="str">
        <f t="shared" si="40"/>
        <v/>
      </c>
      <c r="BE28" s="499"/>
      <c r="BF28" s="496" t="str">
        <f t="shared" si="41"/>
        <v/>
      </c>
      <c r="BG28" s="497" t="str">
        <f t="shared" si="42"/>
        <v/>
      </c>
      <c r="BH28" s="496" t="str">
        <f t="shared" si="43"/>
        <v/>
      </c>
      <c r="BI28" s="499"/>
      <c r="BJ28" s="496" t="str">
        <f t="shared" si="44"/>
        <v/>
      </c>
      <c r="BK28" s="497" t="str">
        <f t="shared" si="45"/>
        <v/>
      </c>
      <c r="BL28" s="496" t="str">
        <f t="shared" si="46"/>
        <v/>
      </c>
      <c r="BM28" s="499"/>
      <c r="BN28" s="496" t="str">
        <f t="shared" si="47"/>
        <v/>
      </c>
      <c r="BO28" s="497" t="str">
        <f t="shared" si="48"/>
        <v/>
      </c>
      <c r="BP28" s="496" t="str">
        <f t="shared" si="49"/>
        <v/>
      </c>
      <c r="BQ28" s="499"/>
      <c r="BR28" s="496" t="str">
        <f t="shared" si="50"/>
        <v/>
      </c>
      <c r="BS28" s="497" t="str">
        <f t="shared" si="51"/>
        <v/>
      </c>
      <c r="BT28" s="496" t="str">
        <f t="shared" si="52"/>
        <v/>
      </c>
      <c r="BU28" s="499"/>
      <c r="BV28" s="496" t="str">
        <f t="shared" si="53"/>
        <v/>
      </c>
      <c r="BW28" s="497" t="str">
        <f t="shared" si="54"/>
        <v/>
      </c>
      <c r="BX28" s="496" t="str">
        <f t="shared" si="55"/>
        <v/>
      </c>
      <c r="BY28" s="499"/>
      <c r="BZ28" s="496" t="str">
        <f t="shared" si="56"/>
        <v/>
      </c>
      <c r="CA28" s="497" t="str">
        <f t="shared" si="57"/>
        <v/>
      </c>
      <c r="CB28" s="496" t="str">
        <f t="shared" si="58"/>
        <v/>
      </c>
      <c r="CC28" s="499"/>
      <c r="CD28" s="496" t="str">
        <f t="shared" si="59"/>
        <v/>
      </c>
      <c r="CE28" s="497" t="str">
        <f t="shared" si="60"/>
        <v/>
      </c>
      <c r="CF28" s="496" t="str">
        <f t="shared" si="61"/>
        <v/>
      </c>
      <c r="CG28" s="499"/>
      <c r="CH28" s="496" t="str">
        <f t="shared" si="62"/>
        <v/>
      </c>
      <c r="CI28" s="497" t="str">
        <f t="shared" si="63"/>
        <v/>
      </c>
      <c r="CJ28" s="496" t="str">
        <f t="shared" si="64"/>
        <v/>
      </c>
      <c r="CK28" s="499"/>
      <c r="CL28" s="496" t="str">
        <f t="shared" si="65"/>
        <v/>
      </c>
      <c r="CM28" s="497" t="str">
        <f t="shared" si="66"/>
        <v/>
      </c>
      <c r="CN28" s="496" t="str">
        <f t="shared" si="67"/>
        <v/>
      </c>
      <c r="CO28" s="499"/>
      <c r="CP28" s="496" t="str">
        <f t="shared" si="68"/>
        <v/>
      </c>
      <c r="CQ28" s="497" t="str">
        <f t="shared" si="69"/>
        <v/>
      </c>
      <c r="CR28" s="496" t="str">
        <f t="shared" si="70"/>
        <v/>
      </c>
      <c r="CS28" s="499"/>
      <c r="CT28" s="496" t="str">
        <f t="shared" si="71"/>
        <v/>
      </c>
      <c r="CU28" s="497" t="str">
        <f t="shared" si="72"/>
        <v/>
      </c>
      <c r="CV28" s="496" t="str">
        <f t="shared" si="73"/>
        <v/>
      </c>
      <c r="CW28" s="499"/>
      <c r="CX28" s="496" t="str">
        <f>IF('1.ข้อมูลเบื้องต้น'!$B$32="","",IF($A28="","",'1.ข้อมูลเบื้องต้น'!$B$32))</f>
        <v/>
      </c>
      <c r="CY28" s="497" t="str">
        <f>IF('1.ข้อมูลเบื้องต้น'!$C$32="","",IF($A28="","",'1.ข้อมูลเบื้องต้น'!$C$32))</f>
        <v/>
      </c>
      <c r="CZ28" s="496" t="str">
        <f>IF('1.ข้อมูลเบื้องต้น'!$D$32="","",IF($A28="","",'1.ข้อมูลเบื้องต้น'!$D$32))</f>
        <v/>
      </c>
      <c r="DA28" s="499"/>
      <c r="DB28" s="496" t="str">
        <f t="shared" si="74"/>
        <v/>
      </c>
      <c r="DC28" s="498" t="str">
        <f>IF('2.ชื่อนักเรียน'!R34="มส","มส",IF('2.ชื่อนักเรียน'!R34="ย้าย","ย้าย",IF('2.ชื่อนักเรียน'!R34="ร","ร",IF(DB28="","",RANK(DB28,$DB$5:$DB$49,0)))))</f>
        <v/>
      </c>
      <c r="DD28" s="496" t="str">
        <f t="shared" si="75"/>
        <v/>
      </c>
    </row>
    <row r="29" spans="1:108" s="501" customFormat="1" ht="21" x14ac:dyDescent="0.4">
      <c r="A29" s="496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B29" s="496" t="str">
        <f>IF(IDstu25="","",IDstu25)</f>
        <v/>
      </c>
      <c r="C29" s="497" t="str">
        <f>CONCATENATE(TRIM(Name25),"  ",Surname25)</f>
        <v xml:space="preserve">  </v>
      </c>
      <c r="D29" s="498" t="str">
        <f t="shared" si="0"/>
        <v/>
      </c>
      <c r="E29" s="496" t="str">
        <f t="shared" si="1"/>
        <v/>
      </c>
      <c r="F29" s="496" t="str">
        <f t="shared" si="2"/>
        <v/>
      </c>
      <c r="G29" s="497" t="str">
        <f t="shared" si="3"/>
        <v/>
      </c>
      <c r="H29" s="496" t="str">
        <f t="shared" si="4"/>
        <v/>
      </c>
      <c r="I29" s="499"/>
      <c r="J29" s="496" t="str">
        <f t="shared" si="5"/>
        <v/>
      </c>
      <c r="K29" s="497" t="str">
        <f t="shared" si="6"/>
        <v/>
      </c>
      <c r="L29" s="496" t="str">
        <f t="shared" si="7"/>
        <v/>
      </c>
      <c r="M29" s="500"/>
      <c r="N29" s="496" t="str">
        <f t="shared" si="8"/>
        <v/>
      </c>
      <c r="O29" s="497" t="str">
        <f t="shared" si="9"/>
        <v/>
      </c>
      <c r="P29" s="496" t="str">
        <f t="shared" si="10"/>
        <v/>
      </c>
      <c r="Q29" s="499"/>
      <c r="R29" s="496" t="str">
        <f t="shared" si="11"/>
        <v/>
      </c>
      <c r="S29" s="497" t="str">
        <f t="shared" si="12"/>
        <v/>
      </c>
      <c r="T29" s="496" t="str">
        <f t="shared" si="13"/>
        <v/>
      </c>
      <c r="U29" s="499"/>
      <c r="V29" s="496" t="str">
        <f t="shared" si="14"/>
        <v/>
      </c>
      <c r="W29" s="497" t="str">
        <f t="shared" si="15"/>
        <v/>
      </c>
      <c r="X29" s="496" t="str">
        <f t="shared" si="16"/>
        <v/>
      </c>
      <c r="Y29" s="499"/>
      <c r="Z29" s="496" t="str">
        <f t="shared" si="17"/>
        <v/>
      </c>
      <c r="AA29" s="497" t="str">
        <f t="shared" si="18"/>
        <v/>
      </c>
      <c r="AB29" s="496" t="str">
        <f t="shared" si="19"/>
        <v/>
      </c>
      <c r="AC29" s="499"/>
      <c r="AD29" s="496" t="str">
        <f t="shared" si="20"/>
        <v/>
      </c>
      <c r="AE29" s="497" t="str">
        <f t="shared" si="21"/>
        <v/>
      </c>
      <c r="AF29" s="496" t="str">
        <f t="shared" si="22"/>
        <v/>
      </c>
      <c r="AG29" s="499"/>
      <c r="AH29" s="496" t="str">
        <f t="shared" si="23"/>
        <v/>
      </c>
      <c r="AI29" s="497" t="str">
        <f t="shared" si="24"/>
        <v/>
      </c>
      <c r="AJ29" s="496" t="str">
        <f t="shared" si="25"/>
        <v/>
      </c>
      <c r="AK29" s="500"/>
      <c r="AL29" s="496" t="str">
        <f t="shared" si="26"/>
        <v/>
      </c>
      <c r="AM29" s="497" t="str">
        <f t="shared" si="27"/>
        <v/>
      </c>
      <c r="AN29" s="496" t="str">
        <f t="shared" si="28"/>
        <v/>
      </c>
      <c r="AO29" s="499"/>
      <c r="AP29" s="496" t="str">
        <f t="shared" si="29"/>
        <v/>
      </c>
      <c r="AQ29" s="497" t="str">
        <f t="shared" si="30"/>
        <v/>
      </c>
      <c r="AR29" s="496" t="str">
        <f t="shared" si="31"/>
        <v/>
      </c>
      <c r="AS29" s="499"/>
      <c r="AT29" s="496" t="str">
        <f t="shared" si="32"/>
        <v/>
      </c>
      <c r="AU29" s="497" t="str">
        <f t="shared" si="33"/>
        <v/>
      </c>
      <c r="AV29" s="496" t="str">
        <f t="shared" si="34"/>
        <v/>
      </c>
      <c r="AW29" s="499"/>
      <c r="AX29" s="496" t="str">
        <f t="shared" si="35"/>
        <v/>
      </c>
      <c r="AY29" s="497" t="str">
        <f t="shared" si="36"/>
        <v/>
      </c>
      <c r="AZ29" s="496" t="str">
        <f t="shared" si="37"/>
        <v/>
      </c>
      <c r="BA29" s="499"/>
      <c r="BB29" s="496" t="str">
        <f t="shared" si="38"/>
        <v/>
      </c>
      <c r="BC29" s="497" t="str">
        <f t="shared" si="39"/>
        <v/>
      </c>
      <c r="BD29" s="496" t="str">
        <f t="shared" si="40"/>
        <v/>
      </c>
      <c r="BE29" s="499"/>
      <c r="BF29" s="496" t="str">
        <f t="shared" si="41"/>
        <v/>
      </c>
      <c r="BG29" s="497" t="str">
        <f t="shared" si="42"/>
        <v/>
      </c>
      <c r="BH29" s="496" t="str">
        <f t="shared" si="43"/>
        <v/>
      </c>
      <c r="BI29" s="499"/>
      <c r="BJ29" s="496" t="str">
        <f t="shared" si="44"/>
        <v/>
      </c>
      <c r="BK29" s="497" t="str">
        <f t="shared" si="45"/>
        <v/>
      </c>
      <c r="BL29" s="496" t="str">
        <f t="shared" si="46"/>
        <v/>
      </c>
      <c r="BM29" s="499"/>
      <c r="BN29" s="496" t="str">
        <f t="shared" si="47"/>
        <v/>
      </c>
      <c r="BO29" s="497" t="str">
        <f t="shared" si="48"/>
        <v/>
      </c>
      <c r="BP29" s="496" t="str">
        <f t="shared" si="49"/>
        <v/>
      </c>
      <c r="BQ29" s="499"/>
      <c r="BR29" s="496" t="str">
        <f t="shared" si="50"/>
        <v/>
      </c>
      <c r="BS29" s="497" t="str">
        <f t="shared" si="51"/>
        <v/>
      </c>
      <c r="BT29" s="496" t="str">
        <f t="shared" si="52"/>
        <v/>
      </c>
      <c r="BU29" s="499"/>
      <c r="BV29" s="496" t="str">
        <f t="shared" si="53"/>
        <v/>
      </c>
      <c r="BW29" s="497" t="str">
        <f t="shared" si="54"/>
        <v/>
      </c>
      <c r="BX29" s="496" t="str">
        <f t="shared" si="55"/>
        <v/>
      </c>
      <c r="BY29" s="499"/>
      <c r="BZ29" s="496" t="str">
        <f t="shared" si="56"/>
        <v/>
      </c>
      <c r="CA29" s="497" t="str">
        <f t="shared" si="57"/>
        <v/>
      </c>
      <c r="CB29" s="496" t="str">
        <f t="shared" si="58"/>
        <v/>
      </c>
      <c r="CC29" s="499"/>
      <c r="CD29" s="496" t="str">
        <f t="shared" si="59"/>
        <v/>
      </c>
      <c r="CE29" s="497" t="str">
        <f t="shared" si="60"/>
        <v/>
      </c>
      <c r="CF29" s="496" t="str">
        <f t="shared" si="61"/>
        <v/>
      </c>
      <c r="CG29" s="499"/>
      <c r="CH29" s="496" t="str">
        <f t="shared" si="62"/>
        <v/>
      </c>
      <c r="CI29" s="497" t="str">
        <f t="shared" si="63"/>
        <v/>
      </c>
      <c r="CJ29" s="496" t="str">
        <f t="shared" si="64"/>
        <v/>
      </c>
      <c r="CK29" s="499"/>
      <c r="CL29" s="496" t="str">
        <f t="shared" si="65"/>
        <v/>
      </c>
      <c r="CM29" s="497" t="str">
        <f t="shared" si="66"/>
        <v/>
      </c>
      <c r="CN29" s="496" t="str">
        <f t="shared" si="67"/>
        <v/>
      </c>
      <c r="CO29" s="499"/>
      <c r="CP29" s="496" t="str">
        <f t="shared" si="68"/>
        <v/>
      </c>
      <c r="CQ29" s="497" t="str">
        <f t="shared" si="69"/>
        <v/>
      </c>
      <c r="CR29" s="496" t="str">
        <f t="shared" si="70"/>
        <v/>
      </c>
      <c r="CS29" s="499"/>
      <c r="CT29" s="496" t="str">
        <f t="shared" si="71"/>
        <v/>
      </c>
      <c r="CU29" s="497" t="str">
        <f t="shared" si="72"/>
        <v/>
      </c>
      <c r="CV29" s="496" t="str">
        <f t="shared" si="73"/>
        <v/>
      </c>
      <c r="CW29" s="499"/>
      <c r="CX29" s="496" t="str">
        <f>IF('1.ข้อมูลเบื้องต้น'!$B$32="","",IF($A29="","",'1.ข้อมูลเบื้องต้น'!$B$32))</f>
        <v/>
      </c>
      <c r="CY29" s="497" t="str">
        <f>IF('1.ข้อมูลเบื้องต้น'!$C$32="","",IF($A29="","",'1.ข้อมูลเบื้องต้น'!$C$32))</f>
        <v/>
      </c>
      <c r="CZ29" s="496" t="str">
        <f>IF('1.ข้อมูลเบื้องต้น'!$D$32="","",IF($A29="","",'1.ข้อมูลเบื้องต้น'!$D$32))</f>
        <v/>
      </c>
      <c r="DA29" s="499"/>
      <c r="DB29" s="496" t="str">
        <f t="shared" si="74"/>
        <v/>
      </c>
      <c r="DC29" s="498" t="str">
        <f>IF('2.ชื่อนักเรียน'!R35="มส","มส",IF('2.ชื่อนักเรียน'!R35="ย้าย","ย้าย",IF('2.ชื่อนักเรียน'!R35="ร","ร",IF(DB29="","",RANK(DB29,$DB$5:$DB$49,0)))))</f>
        <v/>
      </c>
      <c r="DD29" s="496" t="str">
        <f t="shared" si="75"/>
        <v/>
      </c>
    </row>
    <row r="30" spans="1:108" s="501" customFormat="1" ht="21" x14ac:dyDescent="0.4">
      <c r="A30" s="496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B30" s="496" t="str">
        <f>IF(IDstu26="","",IDstu26)</f>
        <v/>
      </c>
      <c r="C30" s="497" t="str">
        <f>CONCATENATE(TRIM(Name26),"  ",Surname26)</f>
        <v xml:space="preserve">  </v>
      </c>
      <c r="D30" s="498" t="str">
        <f t="shared" si="0"/>
        <v/>
      </c>
      <c r="E30" s="496" t="str">
        <f t="shared" si="1"/>
        <v/>
      </c>
      <c r="F30" s="496" t="str">
        <f t="shared" si="2"/>
        <v/>
      </c>
      <c r="G30" s="497" t="str">
        <f t="shared" si="3"/>
        <v/>
      </c>
      <c r="H30" s="496" t="str">
        <f t="shared" si="4"/>
        <v/>
      </c>
      <c r="I30" s="499"/>
      <c r="J30" s="496" t="str">
        <f t="shared" si="5"/>
        <v/>
      </c>
      <c r="K30" s="497" t="str">
        <f t="shared" si="6"/>
        <v/>
      </c>
      <c r="L30" s="496" t="str">
        <f t="shared" si="7"/>
        <v/>
      </c>
      <c r="M30" s="500"/>
      <c r="N30" s="496" t="str">
        <f t="shared" si="8"/>
        <v/>
      </c>
      <c r="O30" s="497" t="str">
        <f t="shared" si="9"/>
        <v/>
      </c>
      <c r="P30" s="496" t="str">
        <f t="shared" si="10"/>
        <v/>
      </c>
      <c r="Q30" s="499"/>
      <c r="R30" s="496" t="str">
        <f t="shared" si="11"/>
        <v/>
      </c>
      <c r="S30" s="497" t="str">
        <f t="shared" si="12"/>
        <v/>
      </c>
      <c r="T30" s="496" t="str">
        <f t="shared" si="13"/>
        <v/>
      </c>
      <c r="U30" s="499"/>
      <c r="V30" s="496" t="str">
        <f t="shared" si="14"/>
        <v/>
      </c>
      <c r="W30" s="497" t="str">
        <f t="shared" si="15"/>
        <v/>
      </c>
      <c r="X30" s="496" t="str">
        <f t="shared" si="16"/>
        <v/>
      </c>
      <c r="Y30" s="499"/>
      <c r="Z30" s="496" t="str">
        <f t="shared" si="17"/>
        <v/>
      </c>
      <c r="AA30" s="497" t="str">
        <f t="shared" si="18"/>
        <v/>
      </c>
      <c r="AB30" s="496" t="str">
        <f t="shared" si="19"/>
        <v/>
      </c>
      <c r="AC30" s="499"/>
      <c r="AD30" s="496" t="str">
        <f t="shared" si="20"/>
        <v/>
      </c>
      <c r="AE30" s="497" t="str">
        <f t="shared" si="21"/>
        <v/>
      </c>
      <c r="AF30" s="496" t="str">
        <f t="shared" si="22"/>
        <v/>
      </c>
      <c r="AG30" s="499"/>
      <c r="AH30" s="496" t="str">
        <f t="shared" si="23"/>
        <v/>
      </c>
      <c r="AI30" s="497" t="str">
        <f t="shared" si="24"/>
        <v/>
      </c>
      <c r="AJ30" s="496" t="str">
        <f t="shared" si="25"/>
        <v/>
      </c>
      <c r="AK30" s="500"/>
      <c r="AL30" s="496" t="str">
        <f t="shared" si="26"/>
        <v/>
      </c>
      <c r="AM30" s="497" t="str">
        <f t="shared" si="27"/>
        <v/>
      </c>
      <c r="AN30" s="496" t="str">
        <f t="shared" si="28"/>
        <v/>
      </c>
      <c r="AO30" s="499"/>
      <c r="AP30" s="496" t="str">
        <f t="shared" si="29"/>
        <v/>
      </c>
      <c r="AQ30" s="497" t="str">
        <f t="shared" si="30"/>
        <v/>
      </c>
      <c r="AR30" s="496" t="str">
        <f t="shared" si="31"/>
        <v/>
      </c>
      <c r="AS30" s="499"/>
      <c r="AT30" s="496" t="str">
        <f t="shared" si="32"/>
        <v/>
      </c>
      <c r="AU30" s="497" t="str">
        <f t="shared" si="33"/>
        <v/>
      </c>
      <c r="AV30" s="496" t="str">
        <f t="shared" si="34"/>
        <v/>
      </c>
      <c r="AW30" s="499"/>
      <c r="AX30" s="496" t="str">
        <f t="shared" si="35"/>
        <v/>
      </c>
      <c r="AY30" s="497" t="str">
        <f t="shared" si="36"/>
        <v/>
      </c>
      <c r="AZ30" s="496" t="str">
        <f t="shared" si="37"/>
        <v/>
      </c>
      <c r="BA30" s="499"/>
      <c r="BB30" s="496" t="str">
        <f t="shared" si="38"/>
        <v/>
      </c>
      <c r="BC30" s="497" t="str">
        <f t="shared" si="39"/>
        <v/>
      </c>
      <c r="BD30" s="496" t="str">
        <f t="shared" si="40"/>
        <v/>
      </c>
      <c r="BE30" s="499"/>
      <c r="BF30" s="496" t="str">
        <f t="shared" si="41"/>
        <v/>
      </c>
      <c r="BG30" s="497" t="str">
        <f t="shared" si="42"/>
        <v/>
      </c>
      <c r="BH30" s="496" t="str">
        <f t="shared" si="43"/>
        <v/>
      </c>
      <c r="BI30" s="499"/>
      <c r="BJ30" s="496" t="str">
        <f t="shared" si="44"/>
        <v/>
      </c>
      <c r="BK30" s="497" t="str">
        <f t="shared" si="45"/>
        <v/>
      </c>
      <c r="BL30" s="496" t="str">
        <f t="shared" si="46"/>
        <v/>
      </c>
      <c r="BM30" s="499"/>
      <c r="BN30" s="496" t="str">
        <f t="shared" si="47"/>
        <v/>
      </c>
      <c r="BO30" s="497" t="str">
        <f t="shared" si="48"/>
        <v/>
      </c>
      <c r="BP30" s="496" t="str">
        <f t="shared" si="49"/>
        <v/>
      </c>
      <c r="BQ30" s="499"/>
      <c r="BR30" s="496" t="str">
        <f t="shared" si="50"/>
        <v/>
      </c>
      <c r="BS30" s="497" t="str">
        <f t="shared" si="51"/>
        <v/>
      </c>
      <c r="BT30" s="496" t="str">
        <f t="shared" si="52"/>
        <v/>
      </c>
      <c r="BU30" s="500"/>
      <c r="BV30" s="496" t="str">
        <f t="shared" si="53"/>
        <v/>
      </c>
      <c r="BW30" s="497" t="str">
        <f t="shared" si="54"/>
        <v/>
      </c>
      <c r="BX30" s="496" t="str">
        <f t="shared" si="55"/>
        <v/>
      </c>
      <c r="BY30" s="499"/>
      <c r="BZ30" s="496" t="str">
        <f t="shared" si="56"/>
        <v/>
      </c>
      <c r="CA30" s="497" t="str">
        <f t="shared" si="57"/>
        <v/>
      </c>
      <c r="CB30" s="496" t="str">
        <f t="shared" si="58"/>
        <v/>
      </c>
      <c r="CC30" s="499"/>
      <c r="CD30" s="496" t="str">
        <f t="shared" si="59"/>
        <v/>
      </c>
      <c r="CE30" s="497" t="str">
        <f t="shared" si="60"/>
        <v/>
      </c>
      <c r="CF30" s="496" t="str">
        <f t="shared" si="61"/>
        <v/>
      </c>
      <c r="CG30" s="499"/>
      <c r="CH30" s="496" t="str">
        <f t="shared" si="62"/>
        <v/>
      </c>
      <c r="CI30" s="497" t="str">
        <f t="shared" si="63"/>
        <v/>
      </c>
      <c r="CJ30" s="496" t="str">
        <f t="shared" si="64"/>
        <v/>
      </c>
      <c r="CK30" s="499"/>
      <c r="CL30" s="496" t="str">
        <f t="shared" si="65"/>
        <v/>
      </c>
      <c r="CM30" s="497" t="str">
        <f t="shared" si="66"/>
        <v/>
      </c>
      <c r="CN30" s="496" t="str">
        <f t="shared" si="67"/>
        <v/>
      </c>
      <c r="CO30" s="499"/>
      <c r="CP30" s="496" t="str">
        <f t="shared" si="68"/>
        <v/>
      </c>
      <c r="CQ30" s="497" t="str">
        <f t="shared" si="69"/>
        <v/>
      </c>
      <c r="CR30" s="496" t="str">
        <f t="shared" si="70"/>
        <v/>
      </c>
      <c r="CS30" s="499"/>
      <c r="CT30" s="496" t="str">
        <f t="shared" si="71"/>
        <v/>
      </c>
      <c r="CU30" s="497" t="str">
        <f t="shared" si="72"/>
        <v/>
      </c>
      <c r="CV30" s="496" t="str">
        <f t="shared" si="73"/>
        <v/>
      </c>
      <c r="CW30" s="499"/>
      <c r="CX30" s="496" t="str">
        <f>IF('1.ข้อมูลเบื้องต้น'!$B$32="","",IF($A30="","",'1.ข้อมูลเบื้องต้น'!$B$32))</f>
        <v/>
      </c>
      <c r="CY30" s="497" t="str">
        <f>IF('1.ข้อมูลเบื้องต้น'!$C$32="","",IF($A30="","",'1.ข้อมูลเบื้องต้น'!$C$32))</f>
        <v/>
      </c>
      <c r="CZ30" s="496" t="str">
        <f>IF('1.ข้อมูลเบื้องต้น'!$D$32="","",IF($A30="","",'1.ข้อมูลเบื้องต้น'!$D$32))</f>
        <v/>
      </c>
      <c r="DA30" s="499"/>
      <c r="DB30" s="496" t="str">
        <f t="shared" si="74"/>
        <v/>
      </c>
      <c r="DC30" s="498" t="str">
        <f>IF('2.ชื่อนักเรียน'!R36="มส","มส",IF('2.ชื่อนักเรียน'!R36="ย้าย","ย้าย",IF('2.ชื่อนักเรียน'!R36="ร","ร",IF(DB30="","",RANK(DB30,$DB$5:$DB$49,0)))))</f>
        <v/>
      </c>
      <c r="DD30" s="496" t="str">
        <f t="shared" si="75"/>
        <v/>
      </c>
    </row>
    <row r="31" spans="1:108" s="501" customFormat="1" ht="21" x14ac:dyDescent="0.4">
      <c r="A31" s="496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B31" s="496" t="str">
        <f>IF(IDstu27="","",IDstu27)</f>
        <v/>
      </c>
      <c r="C31" s="497" t="str">
        <f>CONCATENATE(TRIM(Name27),"  ",Surname27)</f>
        <v xml:space="preserve">  </v>
      </c>
      <c r="D31" s="498" t="str">
        <f t="shared" si="0"/>
        <v/>
      </c>
      <c r="E31" s="496" t="str">
        <f t="shared" si="1"/>
        <v/>
      </c>
      <c r="F31" s="496" t="str">
        <f t="shared" si="2"/>
        <v/>
      </c>
      <c r="G31" s="497" t="str">
        <f t="shared" si="3"/>
        <v/>
      </c>
      <c r="H31" s="496" t="str">
        <f t="shared" si="4"/>
        <v/>
      </c>
      <c r="I31" s="499"/>
      <c r="J31" s="496" t="str">
        <f t="shared" si="5"/>
        <v/>
      </c>
      <c r="K31" s="497" t="str">
        <f t="shared" si="6"/>
        <v/>
      </c>
      <c r="L31" s="496" t="str">
        <f t="shared" si="7"/>
        <v/>
      </c>
      <c r="M31" s="500"/>
      <c r="N31" s="496" t="str">
        <f t="shared" si="8"/>
        <v/>
      </c>
      <c r="O31" s="497" t="str">
        <f t="shared" si="9"/>
        <v/>
      </c>
      <c r="P31" s="496" t="str">
        <f t="shared" si="10"/>
        <v/>
      </c>
      <c r="Q31" s="499"/>
      <c r="R31" s="496" t="str">
        <f t="shared" si="11"/>
        <v/>
      </c>
      <c r="S31" s="497" t="str">
        <f t="shared" si="12"/>
        <v/>
      </c>
      <c r="T31" s="496" t="str">
        <f t="shared" si="13"/>
        <v/>
      </c>
      <c r="U31" s="499"/>
      <c r="V31" s="496" t="str">
        <f t="shared" si="14"/>
        <v/>
      </c>
      <c r="W31" s="497" t="str">
        <f t="shared" si="15"/>
        <v/>
      </c>
      <c r="X31" s="496" t="str">
        <f t="shared" si="16"/>
        <v/>
      </c>
      <c r="Y31" s="499"/>
      <c r="Z31" s="496" t="str">
        <f t="shared" si="17"/>
        <v/>
      </c>
      <c r="AA31" s="497" t="str">
        <f t="shared" si="18"/>
        <v/>
      </c>
      <c r="AB31" s="496" t="str">
        <f t="shared" si="19"/>
        <v/>
      </c>
      <c r="AC31" s="499"/>
      <c r="AD31" s="496" t="str">
        <f t="shared" si="20"/>
        <v/>
      </c>
      <c r="AE31" s="497" t="str">
        <f t="shared" si="21"/>
        <v/>
      </c>
      <c r="AF31" s="496" t="str">
        <f t="shared" si="22"/>
        <v/>
      </c>
      <c r="AG31" s="499"/>
      <c r="AH31" s="496" t="str">
        <f t="shared" si="23"/>
        <v/>
      </c>
      <c r="AI31" s="497" t="str">
        <f t="shared" si="24"/>
        <v/>
      </c>
      <c r="AJ31" s="496" t="str">
        <f t="shared" si="25"/>
        <v/>
      </c>
      <c r="AK31" s="500"/>
      <c r="AL31" s="496" t="str">
        <f t="shared" si="26"/>
        <v/>
      </c>
      <c r="AM31" s="497" t="str">
        <f t="shared" si="27"/>
        <v/>
      </c>
      <c r="AN31" s="496" t="str">
        <f t="shared" si="28"/>
        <v/>
      </c>
      <c r="AO31" s="499"/>
      <c r="AP31" s="496" t="str">
        <f t="shared" si="29"/>
        <v/>
      </c>
      <c r="AQ31" s="497" t="str">
        <f t="shared" si="30"/>
        <v/>
      </c>
      <c r="AR31" s="496" t="str">
        <f t="shared" si="31"/>
        <v/>
      </c>
      <c r="AS31" s="499"/>
      <c r="AT31" s="496" t="str">
        <f t="shared" si="32"/>
        <v/>
      </c>
      <c r="AU31" s="497" t="str">
        <f t="shared" si="33"/>
        <v/>
      </c>
      <c r="AV31" s="496" t="str">
        <f t="shared" si="34"/>
        <v/>
      </c>
      <c r="AW31" s="499"/>
      <c r="AX31" s="496" t="str">
        <f t="shared" si="35"/>
        <v/>
      </c>
      <c r="AY31" s="497" t="str">
        <f t="shared" si="36"/>
        <v/>
      </c>
      <c r="AZ31" s="496" t="str">
        <f t="shared" si="37"/>
        <v/>
      </c>
      <c r="BA31" s="499"/>
      <c r="BB31" s="496" t="str">
        <f t="shared" si="38"/>
        <v/>
      </c>
      <c r="BC31" s="497" t="str">
        <f t="shared" si="39"/>
        <v/>
      </c>
      <c r="BD31" s="496" t="str">
        <f t="shared" si="40"/>
        <v/>
      </c>
      <c r="BE31" s="499"/>
      <c r="BF31" s="496" t="str">
        <f t="shared" si="41"/>
        <v/>
      </c>
      <c r="BG31" s="497" t="str">
        <f t="shared" si="42"/>
        <v/>
      </c>
      <c r="BH31" s="496" t="str">
        <f t="shared" si="43"/>
        <v/>
      </c>
      <c r="BI31" s="499"/>
      <c r="BJ31" s="496" t="str">
        <f t="shared" si="44"/>
        <v/>
      </c>
      <c r="BK31" s="497" t="str">
        <f t="shared" si="45"/>
        <v/>
      </c>
      <c r="BL31" s="496" t="str">
        <f t="shared" si="46"/>
        <v/>
      </c>
      <c r="BM31" s="499"/>
      <c r="BN31" s="496" t="str">
        <f t="shared" si="47"/>
        <v/>
      </c>
      <c r="BO31" s="497" t="str">
        <f t="shared" si="48"/>
        <v/>
      </c>
      <c r="BP31" s="496" t="str">
        <f t="shared" si="49"/>
        <v/>
      </c>
      <c r="BQ31" s="499"/>
      <c r="BR31" s="496" t="str">
        <f t="shared" si="50"/>
        <v/>
      </c>
      <c r="BS31" s="497" t="str">
        <f t="shared" si="51"/>
        <v/>
      </c>
      <c r="BT31" s="496" t="str">
        <f t="shared" si="52"/>
        <v/>
      </c>
      <c r="BU31" s="499"/>
      <c r="BV31" s="496" t="str">
        <f t="shared" si="53"/>
        <v/>
      </c>
      <c r="BW31" s="497" t="str">
        <f t="shared" si="54"/>
        <v/>
      </c>
      <c r="BX31" s="496" t="str">
        <f t="shared" si="55"/>
        <v/>
      </c>
      <c r="BY31" s="499"/>
      <c r="BZ31" s="496" t="str">
        <f t="shared" si="56"/>
        <v/>
      </c>
      <c r="CA31" s="497" t="str">
        <f t="shared" si="57"/>
        <v/>
      </c>
      <c r="CB31" s="496" t="str">
        <f t="shared" si="58"/>
        <v/>
      </c>
      <c r="CC31" s="499"/>
      <c r="CD31" s="496" t="str">
        <f t="shared" si="59"/>
        <v/>
      </c>
      <c r="CE31" s="497" t="str">
        <f t="shared" si="60"/>
        <v/>
      </c>
      <c r="CF31" s="496" t="str">
        <f t="shared" si="61"/>
        <v/>
      </c>
      <c r="CG31" s="499"/>
      <c r="CH31" s="496" t="str">
        <f t="shared" si="62"/>
        <v/>
      </c>
      <c r="CI31" s="497" t="str">
        <f t="shared" si="63"/>
        <v/>
      </c>
      <c r="CJ31" s="496" t="str">
        <f t="shared" si="64"/>
        <v/>
      </c>
      <c r="CK31" s="499"/>
      <c r="CL31" s="496" t="str">
        <f t="shared" si="65"/>
        <v/>
      </c>
      <c r="CM31" s="497" t="str">
        <f t="shared" si="66"/>
        <v/>
      </c>
      <c r="CN31" s="496" t="str">
        <f t="shared" si="67"/>
        <v/>
      </c>
      <c r="CO31" s="499"/>
      <c r="CP31" s="496" t="str">
        <f t="shared" si="68"/>
        <v/>
      </c>
      <c r="CQ31" s="497" t="str">
        <f t="shared" si="69"/>
        <v/>
      </c>
      <c r="CR31" s="496" t="str">
        <f t="shared" si="70"/>
        <v/>
      </c>
      <c r="CS31" s="499"/>
      <c r="CT31" s="496" t="str">
        <f t="shared" si="71"/>
        <v/>
      </c>
      <c r="CU31" s="497" t="str">
        <f t="shared" si="72"/>
        <v/>
      </c>
      <c r="CV31" s="496" t="str">
        <f t="shared" si="73"/>
        <v/>
      </c>
      <c r="CW31" s="499"/>
      <c r="CX31" s="496" t="str">
        <f>IF('1.ข้อมูลเบื้องต้น'!$B$32="","",IF($A31="","",'1.ข้อมูลเบื้องต้น'!$B$32))</f>
        <v/>
      </c>
      <c r="CY31" s="497" t="str">
        <f>IF('1.ข้อมูลเบื้องต้น'!$C$32="","",IF($A31="","",'1.ข้อมูลเบื้องต้น'!$C$32))</f>
        <v/>
      </c>
      <c r="CZ31" s="496" t="str">
        <f>IF('1.ข้อมูลเบื้องต้น'!$D$32="","",IF($A31="","",'1.ข้อมูลเบื้องต้น'!$D$32))</f>
        <v/>
      </c>
      <c r="DA31" s="499"/>
      <c r="DB31" s="496" t="str">
        <f t="shared" si="74"/>
        <v/>
      </c>
      <c r="DC31" s="498" t="str">
        <f>IF('2.ชื่อนักเรียน'!R37="มส","มส",IF('2.ชื่อนักเรียน'!R37="ย้าย","ย้าย",IF('2.ชื่อนักเรียน'!R37="ร","ร",IF(DB31="","",RANK(DB31,$DB$5:$DB$49,0)))))</f>
        <v/>
      </c>
      <c r="DD31" s="496" t="str">
        <f t="shared" si="75"/>
        <v/>
      </c>
    </row>
    <row r="32" spans="1:108" s="501" customFormat="1" ht="21" x14ac:dyDescent="0.4">
      <c r="A32" s="496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B32" s="496" t="str">
        <f>IF(IDstu28="","",IDstu28)</f>
        <v/>
      </c>
      <c r="C32" s="497" t="str">
        <f>CONCATENATE(TRIM(Name28),"  ",Surname28)</f>
        <v xml:space="preserve">  </v>
      </c>
      <c r="D32" s="498" t="str">
        <f t="shared" si="0"/>
        <v/>
      </c>
      <c r="E32" s="496" t="str">
        <f t="shared" si="1"/>
        <v/>
      </c>
      <c r="F32" s="496" t="str">
        <f t="shared" si="2"/>
        <v/>
      </c>
      <c r="G32" s="497" t="str">
        <f t="shared" si="3"/>
        <v/>
      </c>
      <c r="H32" s="496" t="str">
        <f t="shared" si="4"/>
        <v/>
      </c>
      <c r="I32" s="499"/>
      <c r="J32" s="496" t="str">
        <f t="shared" si="5"/>
        <v/>
      </c>
      <c r="K32" s="497" t="str">
        <f t="shared" si="6"/>
        <v/>
      </c>
      <c r="L32" s="496" t="str">
        <f t="shared" si="7"/>
        <v/>
      </c>
      <c r="M32" s="500"/>
      <c r="N32" s="496" t="str">
        <f t="shared" si="8"/>
        <v/>
      </c>
      <c r="O32" s="497" t="str">
        <f t="shared" si="9"/>
        <v/>
      </c>
      <c r="P32" s="496" t="str">
        <f t="shared" si="10"/>
        <v/>
      </c>
      <c r="Q32" s="499"/>
      <c r="R32" s="496" t="str">
        <f t="shared" si="11"/>
        <v/>
      </c>
      <c r="S32" s="497" t="str">
        <f t="shared" si="12"/>
        <v/>
      </c>
      <c r="T32" s="496" t="str">
        <f t="shared" si="13"/>
        <v/>
      </c>
      <c r="U32" s="499"/>
      <c r="V32" s="496" t="str">
        <f t="shared" si="14"/>
        <v/>
      </c>
      <c r="W32" s="497" t="str">
        <f t="shared" si="15"/>
        <v/>
      </c>
      <c r="X32" s="496" t="str">
        <f t="shared" si="16"/>
        <v/>
      </c>
      <c r="Y32" s="499"/>
      <c r="Z32" s="496" t="str">
        <f t="shared" si="17"/>
        <v/>
      </c>
      <c r="AA32" s="497" t="str">
        <f t="shared" si="18"/>
        <v/>
      </c>
      <c r="AB32" s="496" t="str">
        <f t="shared" si="19"/>
        <v/>
      </c>
      <c r="AC32" s="499"/>
      <c r="AD32" s="496" t="str">
        <f t="shared" si="20"/>
        <v/>
      </c>
      <c r="AE32" s="497" t="str">
        <f t="shared" si="21"/>
        <v/>
      </c>
      <c r="AF32" s="496" t="str">
        <f t="shared" si="22"/>
        <v/>
      </c>
      <c r="AG32" s="499"/>
      <c r="AH32" s="496" t="str">
        <f t="shared" si="23"/>
        <v/>
      </c>
      <c r="AI32" s="497" t="str">
        <f t="shared" si="24"/>
        <v/>
      </c>
      <c r="AJ32" s="496" t="str">
        <f t="shared" si="25"/>
        <v/>
      </c>
      <c r="AK32" s="500"/>
      <c r="AL32" s="496" t="str">
        <f t="shared" si="26"/>
        <v/>
      </c>
      <c r="AM32" s="497" t="str">
        <f t="shared" si="27"/>
        <v/>
      </c>
      <c r="AN32" s="496" t="str">
        <f t="shared" si="28"/>
        <v/>
      </c>
      <c r="AO32" s="499"/>
      <c r="AP32" s="496" t="str">
        <f t="shared" si="29"/>
        <v/>
      </c>
      <c r="AQ32" s="497" t="str">
        <f t="shared" si="30"/>
        <v/>
      </c>
      <c r="AR32" s="496" t="str">
        <f t="shared" si="31"/>
        <v/>
      </c>
      <c r="AS32" s="499"/>
      <c r="AT32" s="496" t="str">
        <f t="shared" si="32"/>
        <v/>
      </c>
      <c r="AU32" s="497" t="str">
        <f t="shared" si="33"/>
        <v/>
      </c>
      <c r="AV32" s="496" t="str">
        <f t="shared" si="34"/>
        <v/>
      </c>
      <c r="AW32" s="499"/>
      <c r="AX32" s="496" t="str">
        <f t="shared" si="35"/>
        <v/>
      </c>
      <c r="AY32" s="497" t="str">
        <f t="shared" si="36"/>
        <v/>
      </c>
      <c r="AZ32" s="496" t="str">
        <f t="shared" si="37"/>
        <v/>
      </c>
      <c r="BA32" s="499"/>
      <c r="BB32" s="496" t="str">
        <f t="shared" si="38"/>
        <v/>
      </c>
      <c r="BC32" s="497" t="str">
        <f t="shared" si="39"/>
        <v/>
      </c>
      <c r="BD32" s="496" t="str">
        <f t="shared" si="40"/>
        <v/>
      </c>
      <c r="BE32" s="499"/>
      <c r="BF32" s="496" t="str">
        <f t="shared" si="41"/>
        <v/>
      </c>
      <c r="BG32" s="497" t="str">
        <f t="shared" si="42"/>
        <v/>
      </c>
      <c r="BH32" s="496" t="str">
        <f t="shared" si="43"/>
        <v/>
      </c>
      <c r="BI32" s="499"/>
      <c r="BJ32" s="496" t="str">
        <f t="shared" si="44"/>
        <v/>
      </c>
      <c r="BK32" s="497" t="str">
        <f t="shared" si="45"/>
        <v/>
      </c>
      <c r="BL32" s="496" t="str">
        <f t="shared" si="46"/>
        <v/>
      </c>
      <c r="BM32" s="499"/>
      <c r="BN32" s="496" t="str">
        <f t="shared" si="47"/>
        <v/>
      </c>
      <c r="BO32" s="497" t="str">
        <f t="shared" si="48"/>
        <v/>
      </c>
      <c r="BP32" s="496" t="str">
        <f t="shared" si="49"/>
        <v/>
      </c>
      <c r="BQ32" s="499"/>
      <c r="BR32" s="496" t="str">
        <f t="shared" si="50"/>
        <v/>
      </c>
      <c r="BS32" s="497" t="str">
        <f t="shared" si="51"/>
        <v/>
      </c>
      <c r="BT32" s="496" t="str">
        <f t="shared" si="52"/>
        <v/>
      </c>
      <c r="BU32" s="499"/>
      <c r="BV32" s="496" t="str">
        <f t="shared" si="53"/>
        <v/>
      </c>
      <c r="BW32" s="497" t="str">
        <f t="shared" si="54"/>
        <v/>
      </c>
      <c r="BX32" s="496" t="str">
        <f t="shared" si="55"/>
        <v/>
      </c>
      <c r="BY32" s="499"/>
      <c r="BZ32" s="496" t="str">
        <f t="shared" si="56"/>
        <v/>
      </c>
      <c r="CA32" s="497" t="str">
        <f t="shared" si="57"/>
        <v/>
      </c>
      <c r="CB32" s="496" t="str">
        <f t="shared" si="58"/>
        <v/>
      </c>
      <c r="CC32" s="499"/>
      <c r="CD32" s="496" t="str">
        <f t="shared" si="59"/>
        <v/>
      </c>
      <c r="CE32" s="497" t="str">
        <f t="shared" si="60"/>
        <v/>
      </c>
      <c r="CF32" s="496" t="str">
        <f t="shared" si="61"/>
        <v/>
      </c>
      <c r="CG32" s="499"/>
      <c r="CH32" s="496" t="str">
        <f t="shared" si="62"/>
        <v/>
      </c>
      <c r="CI32" s="497" t="str">
        <f t="shared" si="63"/>
        <v/>
      </c>
      <c r="CJ32" s="496" t="str">
        <f t="shared" si="64"/>
        <v/>
      </c>
      <c r="CK32" s="499"/>
      <c r="CL32" s="496" t="str">
        <f t="shared" si="65"/>
        <v/>
      </c>
      <c r="CM32" s="497" t="str">
        <f t="shared" si="66"/>
        <v/>
      </c>
      <c r="CN32" s="496" t="str">
        <f t="shared" si="67"/>
        <v/>
      </c>
      <c r="CO32" s="499"/>
      <c r="CP32" s="496" t="str">
        <f t="shared" si="68"/>
        <v/>
      </c>
      <c r="CQ32" s="497" t="str">
        <f t="shared" si="69"/>
        <v/>
      </c>
      <c r="CR32" s="496" t="str">
        <f t="shared" si="70"/>
        <v/>
      </c>
      <c r="CS32" s="499"/>
      <c r="CT32" s="496" t="str">
        <f t="shared" si="71"/>
        <v/>
      </c>
      <c r="CU32" s="497" t="str">
        <f t="shared" si="72"/>
        <v/>
      </c>
      <c r="CV32" s="496" t="str">
        <f t="shared" si="73"/>
        <v/>
      </c>
      <c r="CW32" s="499"/>
      <c r="CX32" s="496" t="str">
        <f>IF('1.ข้อมูลเบื้องต้น'!$B$32="","",IF($A32="","",'1.ข้อมูลเบื้องต้น'!$B$32))</f>
        <v/>
      </c>
      <c r="CY32" s="497" t="str">
        <f>IF('1.ข้อมูลเบื้องต้น'!$C$32="","",IF($A32="","",'1.ข้อมูลเบื้องต้น'!$C$32))</f>
        <v/>
      </c>
      <c r="CZ32" s="496" t="str">
        <f>IF('1.ข้อมูลเบื้องต้น'!$D$32="","",IF($A32="","",'1.ข้อมูลเบื้องต้น'!$D$32))</f>
        <v/>
      </c>
      <c r="DA32" s="499"/>
      <c r="DB32" s="496" t="str">
        <f t="shared" si="74"/>
        <v/>
      </c>
      <c r="DC32" s="498" t="str">
        <f>IF('2.ชื่อนักเรียน'!R38="มส","มส",IF('2.ชื่อนักเรียน'!R38="ย้าย","ย้าย",IF('2.ชื่อนักเรียน'!R38="ร","ร",IF(DB32="","",RANK(DB32,$DB$5:$DB$49,0)))))</f>
        <v/>
      </c>
      <c r="DD32" s="496" t="str">
        <f t="shared" si="75"/>
        <v/>
      </c>
    </row>
    <row r="33" spans="1:108" s="501" customFormat="1" ht="21" x14ac:dyDescent="0.4">
      <c r="A33" s="496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B33" s="496" t="str">
        <f>IF(IDstu29="","",IDstu29)</f>
        <v/>
      </c>
      <c r="C33" s="497" t="str">
        <f>CONCATENATE(TRIM(Name29),"  ",Surname29)</f>
        <v xml:space="preserve">  </v>
      </c>
      <c r="D33" s="498" t="str">
        <f t="shared" si="0"/>
        <v/>
      </c>
      <c r="E33" s="496" t="str">
        <f t="shared" si="1"/>
        <v/>
      </c>
      <c r="F33" s="496" t="str">
        <f t="shared" si="2"/>
        <v/>
      </c>
      <c r="G33" s="497" t="str">
        <f t="shared" si="3"/>
        <v/>
      </c>
      <c r="H33" s="496" t="str">
        <f t="shared" si="4"/>
        <v/>
      </c>
      <c r="I33" s="499"/>
      <c r="J33" s="496" t="str">
        <f t="shared" si="5"/>
        <v/>
      </c>
      <c r="K33" s="497" t="str">
        <f t="shared" si="6"/>
        <v/>
      </c>
      <c r="L33" s="496" t="str">
        <f t="shared" si="7"/>
        <v/>
      </c>
      <c r="M33" s="499"/>
      <c r="N33" s="496" t="str">
        <f t="shared" si="8"/>
        <v/>
      </c>
      <c r="O33" s="497" t="str">
        <f t="shared" si="9"/>
        <v/>
      </c>
      <c r="P33" s="496" t="str">
        <f t="shared" si="10"/>
        <v/>
      </c>
      <c r="Q33" s="499"/>
      <c r="R33" s="496" t="str">
        <f t="shared" si="11"/>
        <v/>
      </c>
      <c r="S33" s="497" t="str">
        <f t="shared" si="12"/>
        <v/>
      </c>
      <c r="T33" s="496" t="str">
        <f t="shared" si="13"/>
        <v/>
      </c>
      <c r="U33" s="499"/>
      <c r="V33" s="496" t="str">
        <f t="shared" si="14"/>
        <v/>
      </c>
      <c r="W33" s="497" t="str">
        <f t="shared" si="15"/>
        <v/>
      </c>
      <c r="X33" s="496" t="str">
        <f t="shared" si="16"/>
        <v/>
      </c>
      <c r="Y33" s="499"/>
      <c r="Z33" s="496" t="str">
        <f t="shared" si="17"/>
        <v/>
      </c>
      <c r="AA33" s="497" t="str">
        <f t="shared" si="18"/>
        <v/>
      </c>
      <c r="AB33" s="496" t="str">
        <f t="shared" si="19"/>
        <v/>
      </c>
      <c r="AC33" s="499"/>
      <c r="AD33" s="496" t="str">
        <f t="shared" si="20"/>
        <v/>
      </c>
      <c r="AE33" s="497" t="str">
        <f t="shared" si="21"/>
        <v/>
      </c>
      <c r="AF33" s="496" t="str">
        <f t="shared" si="22"/>
        <v/>
      </c>
      <c r="AG33" s="499"/>
      <c r="AH33" s="496" t="str">
        <f t="shared" si="23"/>
        <v/>
      </c>
      <c r="AI33" s="497" t="str">
        <f t="shared" si="24"/>
        <v/>
      </c>
      <c r="AJ33" s="496" t="str">
        <f t="shared" si="25"/>
        <v/>
      </c>
      <c r="AK33" s="499"/>
      <c r="AL33" s="496" t="str">
        <f t="shared" si="26"/>
        <v/>
      </c>
      <c r="AM33" s="497" t="str">
        <f t="shared" si="27"/>
        <v/>
      </c>
      <c r="AN33" s="496" t="str">
        <f t="shared" si="28"/>
        <v/>
      </c>
      <c r="AO33" s="499"/>
      <c r="AP33" s="496" t="str">
        <f t="shared" si="29"/>
        <v/>
      </c>
      <c r="AQ33" s="497" t="str">
        <f t="shared" si="30"/>
        <v/>
      </c>
      <c r="AR33" s="496" t="str">
        <f t="shared" si="31"/>
        <v/>
      </c>
      <c r="AS33" s="499"/>
      <c r="AT33" s="496" t="str">
        <f t="shared" si="32"/>
        <v/>
      </c>
      <c r="AU33" s="497" t="str">
        <f t="shared" si="33"/>
        <v/>
      </c>
      <c r="AV33" s="496" t="str">
        <f t="shared" si="34"/>
        <v/>
      </c>
      <c r="AW33" s="499"/>
      <c r="AX33" s="496" t="str">
        <f t="shared" si="35"/>
        <v/>
      </c>
      <c r="AY33" s="497" t="str">
        <f t="shared" si="36"/>
        <v/>
      </c>
      <c r="AZ33" s="496" t="str">
        <f t="shared" si="37"/>
        <v/>
      </c>
      <c r="BA33" s="499"/>
      <c r="BB33" s="496" t="str">
        <f t="shared" si="38"/>
        <v/>
      </c>
      <c r="BC33" s="497" t="str">
        <f t="shared" si="39"/>
        <v/>
      </c>
      <c r="BD33" s="496" t="str">
        <f t="shared" si="40"/>
        <v/>
      </c>
      <c r="BE33" s="499"/>
      <c r="BF33" s="496" t="str">
        <f t="shared" si="41"/>
        <v/>
      </c>
      <c r="BG33" s="497" t="str">
        <f t="shared" si="42"/>
        <v/>
      </c>
      <c r="BH33" s="496" t="str">
        <f t="shared" si="43"/>
        <v/>
      </c>
      <c r="BI33" s="499"/>
      <c r="BJ33" s="496" t="str">
        <f t="shared" si="44"/>
        <v/>
      </c>
      <c r="BK33" s="497" t="str">
        <f t="shared" si="45"/>
        <v/>
      </c>
      <c r="BL33" s="496" t="str">
        <f t="shared" si="46"/>
        <v/>
      </c>
      <c r="BM33" s="499"/>
      <c r="BN33" s="496" t="str">
        <f t="shared" si="47"/>
        <v/>
      </c>
      <c r="BO33" s="497" t="str">
        <f t="shared" si="48"/>
        <v/>
      </c>
      <c r="BP33" s="496" t="str">
        <f t="shared" si="49"/>
        <v/>
      </c>
      <c r="BQ33" s="499"/>
      <c r="BR33" s="496" t="str">
        <f t="shared" si="50"/>
        <v/>
      </c>
      <c r="BS33" s="497" t="str">
        <f t="shared" si="51"/>
        <v/>
      </c>
      <c r="BT33" s="496" t="str">
        <f t="shared" si="52"/>
        <v/>
      </c>
      <c r="BU33" s="499"/>
      <c r="BV33" s="496" t="str">
        <f t="shared" si="53"/>
        <v/>
      </c>
      <c r="BW33" s="497" t="str">
        <f t="shared" si="54"/>
        <v/>
      </c>
      <c r="BX33" s="496" t="str">
        <f t="shared" si="55"/>
        <v/>
      </c>
      <c r="BY33" s="499"/>
      <c r="BZ33" s="496" t="str">
        <f t="shared" si="56"/>
        <v/>
      </c>
      <c r="CA33" s="497" t="str">
        <f t="shared" si="57"/>
        <v/>
      </c>
      <c r="CB33" s="496" t="str">
        <f t="shared" si="58"/>
        <v/>
      </c>
      <c r="CC33" s="499"/>
      <c r="CD33" s="496" t="str">
        <f t="shared" si="59"/>
        <v/>
      </c>
      <c r="CE33" s="497" t="str">
        <f t="shared" si="60"/>
        <v/>
      </c>
      <c r="CF33" s="496" t="str">
        <f t="shared" si="61"/>
        <v/>
      </c>
      <c r="CG33" s="499"/>
      <c r="CH33" s="496" t="str">
        <f t="shared" si="62"/>
        <v/>
      </c>
      <c r="CI33" s="497" t="str">
        <f t="shared" si="63"/>
        <v/>
      </c>
      <c r="CJ33" s="496" t="str">
        <f t="shared" si="64"/>
        <v/>
      </c>
      <c r="CK33" s="499"/>
      <c r="CL33" s="496" t="str">
        <f t="shared" si="65"/>
        <v/>
      </c>
      <c r="CM33" s="497" t="str">
        <f t="shared" si="66"/>
        <v/>
      </c>
      <c r="CN33" s="496" t="str">
        <f t="shared" si="67"/>
        <v/>
      </c>
      <c r="CO33" s="499"/>
      <c r="CP33" s="496" t="str">
        <f t="shared" si="68"/>
        <v/>
      </c>
      <c r="CQ33" s="497" t="str">
        <f t="shared" si="69"/>
        <v/>
      </c>
      <c r="CR33" s="496" t="str">
        <f t="shared" si="70"/>
        <v/>
      </c>
      <c r="CS33" s="499"/>
      <c r="CT33" s="496" t="str">
        <f t="shared" si="71"/>
        <v/>
      </c>
      <c r="CU33" s="497" t="str">
        <f t="shared" si="72"/>
        <v/>
      </c>
      <c r="CV33" s="496" t="str">
        <f t="shared" si="73"/>
        <v/>
      </c>
      <c r="CW33" s="499"/>
      <c r="CX33" s="496" t="str">
        <f>IF('1.ข้อมูลเบื้องต้น'!$B$32="","",IF($A33="","",'1.ข้อมูลเบื้องต้น'!$B$32))</f>
        <v/>
      </c>
      <c r="CY33" s="497" t="str">
        <f>IF('1.ข้อมูลเบื้องต้น'!$C$32="","",IF($A33="","",'1.ข้อมูลเบื้องต้น'!$C$32))</f>
        <v/>
      </c>
      <c r="CZ33" s="496" t="str">
        <f>IF('1.ข้อมูลเบื้องต้น'!$D$32="","",IF($A33="","",'1.ข้อมูลเบื้องต้น'!$D$32))</f>
        <v/>
      </c>
      <c r="DA33" s="499"/>
      <c r="DB33" s="496" t="str">
        <f t="shared" si="74"/>
        <v/>
      </c>
      <c r="DC33" s="498" t="str">
        <f>IF('2.ชื่อนักเรียน'!R39="มส","มส",IF('2.ชื่อนักเรียน'!R39="ย้าย","ย้าย",IF('2.ชื่อนักเรียน'!R39="ร","ร",IF(DB33="","",RANK(DB33,$DB$5:$DB$49,0)))))</f>
        <v/>
      </c>
      <c r="DD33" s="496" t="str">
        <f t="shared" si="75"/>
        <v/>
      </c>
    </row>
    <row r="34" spans="1:108" s="501" customFormat="1" ht="21" x14ac:dyDescent="0.4">
      <c r="A34" s="496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B34" s="496" t="str">
        <f>IF(IDstu30="","",IDstu30)</f>
        <v/>
      </c>
      <c r="C34" s="497" t="str">
        <f>CONCATENATE(TRIM(Name30),"  ",Surname30)</f>
        <v xml:space="preserve">  </v>
      </c>
      <c r="D34" s="498" t="str">
        <f t="shared" si="0"/>
        <v/>
      </c>
      <c r="E34" s="496" t="str">
        <f t="shared" si="1"/>
        <v/>
      </c>
      <c r="F34" s="496" t="str">
        <f t="shared" si="2"/>
        <v/>
      </c>
      <c r="G34" s="497" t="str">
        <f t="shared" si="3"/>
        <v/>
      </c>
      <c r="H34" s="496" t="str">
        <f t="shared" si="4"/>
        <v/>
      </c>
      <c r="I34" s="499"/>
      <c r="J34" s="496" t="str">
        <f t="shared" si="5"/>
        <v/>
      </c>
      <c r="K34" s="497" t="str">
        <f t="shared" si="6"/>
        <v/>
      </c>
      <c r="L34" s="496" t="str">
        <f t="shared" si="7"/>
        <v/>
      </c>
      <c r="M34" s="499"/>
      <c r="N34" s="496" t="str">
        <f t="shared" si="8"/>
        <v/>
      </c>
      <c r="O34" s="497" t="str">
        <f t="shared" si="9"/>
        <v/>
      </c>
      <c r="P34" s="496" t="str">
        <f t="shared" si="10"/>
        <v/>
      </c>
      <c r="Q34" s="499"/>
      <c r="R34" s="496" t="str">
        <f t="shared" si="11"/>
        <v/>
      </c>
      <c r="S34" s="497" t="str">
        <f t="shared" si="12"/>
        <v/>
      </c>
      <c r="T34" s="496" t="str">
        <f t="shared" si="13"/>
        <v/>
      </c>
      <c r="U34" s="499"/>
      <c r="V34" s="496" t="str">
        <f t="shared" si="14"/>
        <v/>
      </c>
      <c r="W34" s="497" t="str">
        <f t="shared" si="15"/>
        <v/>
      </c>
      <c r="X34" s="496" t="str">
        <f t="shared" si="16"/>
        <v/>
      </c>
      <c r="Y34" s="499"/>
      <c r="Z34" s="496" t="str">
        <f t="shared" si="17"/>
        <v/>
      </c>
      <c r="AA34" s="497" t="str">
        <f t="shared" si="18"/>
        <v/>
      </c>
      <c r="AB34" s="496" t="str">
        <f t="shared" si="19"/>
        <v/>
      </c>
      <c r="AC34" s="499"/>
      <c r="AD34" s="496" t="str">
        <f t="shared" si="20"/>
        <v/>
      </c>
      <c r="AE34" s="497" t="str">
        <f t="shared" si="21"/>
        <v/>
      </c>
      <c r="AF34" s="496" t="str">
        <f t="shared" si="22"/>
        <v/>
      </c>
      <c r="AG34" s="499"/>
      <c r="AH34" s="496" t="str">
        <f t="shared" si="23"/>
        <v/>
      </c>
      <c r="AI34" s="497" t="str">
        <f t="shared" si="24"/>
        <v/>
      </c>
      <c r="AJ34" s="496" t="str">
        <f t="shared" si="25"/>
        <v/>
      </c>
      <c r="AK34" s="499"/>
      <c r="AL34" s="496" t="str">
        <f t="shared" si="26"/>
        <v/>
      </c>
      <c r="AM34" s="497" t="str">
        <f t="shared" si="27"/>
        <v/>
      </c>
      <c r="AN34" s="496" t="str">
        <f t="shared" si="28"/>
        <v/>
      </c>
      <c r="AO34" s="499"/>
      <c r="AP34" s="496" t="str">
        <f t="shared" si="29"/>
        <v/>
      </c>
      <c r="AQ34" s="497" t="str">
        <f t="shared" si="30"/>
        <v/>
      </c>
      <c r="AR34" s="496" t="str">
        <f t="shared" si="31"/>
        <v/>
      </c>
      <c r="AS34" s="499"/>
      <c r="AT34" s="496" t="str">
        <f t="shared" si="32"/>
        <v/>
      </c>
      <c r="AU34" s="497" t="str">
        <f t="shared" si="33"/>
        <v/>
      </c>
      <c r="AV34" s="496" t="str">
        <f t="shared" si="34"/>
        <v/>
      </c>
      <c r="AW34" s="499"/>
      <c r="AX34" s="496" t="str">
        <f t="shared" si="35"/>
        <v/>
      </c>
      <c r="AY34" s="497" t="str">
        <f t="shared" si="36"/>
        <v/>
      </c>
      <c r="AZ34" s="496" t="str">
        <f t="shared" si="37"/>
        <v/>
      </c>
      <c r="BA34" s="499"/>
      <c r="BB34" s="496" t="str">
        <f t="shared" si="38"/>
        <v/>
      </c>
      <c r="BC34" s="497" t="str">
        <f t="shared" si="39"/>
        <v/>
      </c>
      <c r="BD34" s="496" t="str">
        <f t="shared" si="40"/>
        <v/>
      </c>
      <c r="BE34" s="499"/>
      <c r="BF34" s="496" t="str">
        <f t="shared" si="41"/>
        <v/>
      </c>
      <c r="BG34" s="497" t="str">
        <f t="shared" si="42"/>
        <v/>
      </c>
      <c r="BH34" s="496" t="str">
        <f t="shared" si="43"/>
        <v/>
      </c>
      <c r="BI34" s="499"/>
      <c r="BJ34" s="496" t="str">
        <f t="shared" si="44"/>
        <v/>
      </c>
      <c r="BK34" s="497" t="str">
        <f t="shared" si="45"/>
        <v/>
      </c>
      <c r="BL34" s="496" t="str">
        <f t="shared" si="46"/>
        <v/>
      </c>
      <c r="BM34" s="499"/>
      <c r="BN34" s="496" t="str">
        <f t="shared" si="47"/>
        <v/>
      </c>
      <c r="BO34" s="497" t="str">
        <f t="shared" si="48"/>
        <v/>
      </c>
      <c r="BP34" s="496" t="str">
        <f t="shared" si="49"/>
        <v/>
      </c>
      <c r="BQ34" s="499"/>
      <c r="BR34" s="496" t="str">
        <f t="shared" si="50"/>
        <v/>
      </c>
      <c r="BS34" s="497" t="str">
        <f t="shared" si="51"/>
        <v/>
      </c>
      <c r="BT34" s="496" t="str">
        <f t="shared" si="52"/>
        <v/>
      </c>
      <c r="BU34" s="499"/>
      <c r="BV34" s="496" t="str">
        <f t="shared" si="53"/>
        <v/>
      </c>
      <c r="BW34" s="497" t="str">
        <f t="shared" si="54"/>
        <v/>
      </c>
      <c r="BX34" s="496" t="str">
        <f t="shared" si="55"/>
        <v/>
      </c>
      <c r="BY34" s="499"/>
      <c r="BZ34" s="496" t="str">
        <f t="shared" si="56"/>
        <v/>
      </c>
      <c r="CA34" s="497" t="str">
        <f t="shared" si="57"/>
        <v/>
      </c>
      <c r="CB34" s="496" t="str">
        <f t="shared" si="58"/>
        <v/>
      </c>
      <c r="CC34" s="499"/>
      <c r="CD34" s="496" t="str">
        <f t="shared" si="59"/>
        <v/>
      </c>
      <c r="CE34" s="497" t="str">
        <f t="shared" si="60"/>
        <v/>
      </c>
      <c r="CF34" s="496" t="str">
        <f t="shared" si="61"/>
        <v/>
      </c>
      <c r="CG34" s="499"/>
      <c r="CH34" s="496" t="str">
        <f t="shared" si="62"/>
        <v/>
      </c>
      <c r="CI34" s="497" t="str">
        <f t="shared" si="63"/>
        <v/>
      </c>
      <c r="CJ34" s="496" t="str">
        <f t="shared" si="64"/>
        <v/>
      </c>
      <c r="CK34" s="499"/>
      <c r="CL34" s="496" t="str">
        <f t="shared" si="65"/>
        <v/>
      </c>
      <c r="CM34" s="497" t="str">
        <f t="shared" si="66"/>
        <v/>
      </c>
      <c r="CN34" s="496" t="str">
        <f t="shared" si="67"/>
        <v/>
      </c>
      <c r="CO34" s="499"/>
      <c r="CP34" s="496" t="str">
        <f t="shared" si="68"/>
        <v/>
      </c>
      <c r="CQ34" s="497" t="str">
        <f t="shared" si="69"/>
        <v/>
      </c>
      <c r="CR34" s="496" t="str">
        <f t="shared" si="70"/>
        <v/>
      </c>
      <c r="CS34" s="499"/>
      <c r="CT34" s="496" t="str">
        <f t="shared" si="71"/>
        <v/>
      </c>
      <c r="CU34" s="497" t="str">
        <f t="shared" si="72"/>
        <v/>
      </c>
      <c r="CV34" s="496" t="str">
        <f t="shared" si="73"/>
        <v/>
      </c>
      <c r="CW34" s="499"/>
      <c r="CX34" s="496" t="str">
        <f>IF('1.ข้อมูลเบื้องต้น'!$B$32="","",IF($A34="","",'1.ข้อมูลเบื้องต้น'!$B$32))</f>
        <v/>
      </c>
      <c r="CY34" s="497" t="str">
        <f>IF('1.ข้อมูลเบื้องต้น'!$C$32="","",IF($A34="","",'1.ข้อมูลเบื้องต้น'!$C$32))</f>
        <v/>
      </c>
      <c r="CZ34" s="496" t="str">
        <f>IF('1.ข้อมูลเบื้องต้น'!$D$32="","",IF($A34="","",'1.ข้อมูลเบื้องต้น'!$D$32))</f>
        <v/>
      </c>
      <c r="DA34" s="499"/>
      <c r="DB34" s="496" t="str">
        <f t="shared" si="74"/>
        <v/>
      </c>
      <c r="DC34" s="498" t="str">
        <f>IF('2.ชื่อนักเรียน'!R40="มส","มส",IF('2.ชื่อนักเรียน'!R40="ย้าย","ย้าย",IF('2.ชื่อนักเรียน'!R40="ร","ร",IF(DB34="","",RANK(DB34,$DB$5:$DB$49,0)))))</f>
        <v/>
      </c>
      <c r="DD34" s="496" t="str">
        <f t="shared" si="75"/>
        <v/>
      </c>
    </row>
    <row r="35" spans="1:108" s="501" customFormat="1" ht="21" x14ac:dyDescent="0.4">
      <c r="A35" s="496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B35" s="496" t="str">
        <f>IF(IDstu31="","",IDstu31)</f>
        <v/>
      </c>
      <c r="C35" s="497" t="str">
        <f>CONCATENATE(TRIM(Name31),"  ",Surname31)</f>
        <v xml:space="preserve">  </v>
      </c>
      <c r="D35" s="498" t="str">
        <f t="shared" si="0"/>
        <v/>
      </c>
      <c r="E35" s="496" t="str">
        <f t="shared" si="1"/>
        <v/>
      </c>
      <c r="F35" s="496" t="str">
        <f t="shared" si="2"/>
        <v/>
      </c>
      <c r="G35" s="497" t="str">
        <f t="shared" si="3"/>
        <v/>
      </c>
      <c r="H35" s="496" t="str">
        <f t="shared" si="4"/>
        <v/>
      </c>
      <c r="I35" s="499"/>
      <c r="J35" s="496" t="str">
        <f t="shared" si="5"/>
        <v/>
      </c>
      <c r="K35" s="497" t="str">
        <f t="shared" si="6"/>
        <v/>
      </c>
      <c r="L35" s="496" t="str">
        <f t="shared" si="7"/>
        <v/>
      </c>
      <c r="M35" s="499"/>
      <c r="N35" s="496" t="str">
        <f t="shared" si="8"/>
        <v/>
      </c>
      <c r="O35" s="497" t="str">
        <f t="shared" si="9"/>
        <v/>
      </c>
      <c r="P35" s="496" t="str">
        <f t="shared" si="10"/>
        <v/>
      </c>
      <c r="Q35" s="499"/>
      <c r="R35" s="496" t="str">
        <f t="shared" si="11"/>
        <v/>
      </c>
      <c r="S35" s="497" t="str">
        <f t="shared" si="12"/>
        <v/>
      </c>
      <c r="T35" s="496" t="str">
        <f t="shared" si="13"/>
        <v/>
      </c>
      <c r="U35" s="499"/>
      <c r="V35" s="496" t="str">
        <f t="shared" si="14"/>
        <v/>
      </c>
      <c r="W35" s="497" t="str">
        <f t="shared" si="15"/>
        <v/>
      </c>
      <c r="X35" s="496" t="str">
        <f t="shared" si="16"/>
        <v/>
      </c>
      <c r="Y35" s="499"/>
      <c r="Z35" s="496" t="str">
        <f t="shared" si="17"/>
        <v/>
      </c>
      <c r="AA35" s="497" t="str">
        <f t="shared" si="18"/>
        <v/>
      </c>
      <c r="AB35" s="496" t="str">
        <f t="shared" si="19"/>
        <v/>
      </c>
      <c r="AC35" s="499"/>
      <c r="AD35" s="496" t="str">
        <f t="shared" si="20"/>
        <v/>
      </c>
      <c r="AE35" s="497" t="str">
        <f t="shared" si="21"/>
        <v/>
      </c>
      <c r="AF35" s="496" t="str">
        <f t="shared" si="22"/>
        <v/>
      </c>
      <c r="AG35" s="499"/>
      <c r="AH35" s="496" t="str">
        <f t="shared" si="23"/>
        <v/>
      </c>
      <c r="AI35" s="497" t="str">
        <f t="shared" si="24"/>
        <v/>
      </c>
      <c r="AJ35" s="496" t="str">
        <f t="shared" si="25"/>
        <v/>
      </c>
      <c r="AK35" s="499"/>
      <c r="AL35" s="496" t="str">
        <f t="shared" si="26"/>
        <v/>
      </c>
      <c r="AM35" s="497" t="str">
        <f t="shared" si="27"/>
        <v/>
      </c>
      <c r="AN35" s="496" t="str">
        <f t="shared" si="28"/>
        <v/>
      </c>
      <c r="AO35" s="499"/>
      <c r="AP35" s="496" t="str">
        <f t="shared" si="29"/>
        <v/>
      </c>
      <c r="AQ35" s="497" t="str">
        <f t="shared" si="30"/>
        <v/>
      </c>
      <c r="AR35" s="496" t="str">
        <f t="shared" si="31"/>
        <v/>
      </c>
      <c r="AS35" s="499"/>
      <c r="AT35" s="496" t="str">
        <f t="shared" si="32"/>
        <v/>
      </c>
      <c r="AU35" s="497" t="str">
        <f t="shared" si="33"/>
        <v/>
      </c>
      <c r="AV35" s="496" t="str">
        <f t="shared" si="34"/>
        <v/>
      </c>
      <c r="AW35" s="499"/>
      <c r="AX35" s="496" t="str">
        <f t="shared" si="35"/>
        <v/>
      </c>
      <c r="AY35" s="497" t="str">
        <f t="shared" si="36"/>
        <v/>
      </c>
      <c r="AZ35" s="496" t="str">
        <f t="shared" si="37"/>
        <v/>
      </c>
      <c r="BA35" s="499"/>
      <c r="BB35" s="496" t="str">
        <f t="shared" si="38"/>
        <v/>
      </c>
      <c r="BC35" s="497" t="str">
        <f t="shared" si="39"/>
        <v/>
      </c>
      <c r="BD35" s="496" t="str">
        <f t="shared" si="40"/>
        <v/>
      </c>
      <c r="BE35" s="499"/>
      <c r="BF35" s="496" t="str">
        <f t="shared" si="41"/>
        <v/>
      </c>
      <c r="BG35" s="497" t="str">
        <f t="shared" si="42"/>
        <v/>
      </c>
      <c r="BH35" s="496" t="str">
        <f t="shared" si="43"/>
        <v/>
      </c>
      <c r="BI35" s="499"/>
      <c r="BJ35" s="496" t="str">
        <f t="shared" si="44"/>
        <v/>
      </c>
      <c r="BK35" s="497" t="str">
        <f t="shared" si="45"/>
        <v/>
      </c>
      <c r="BL35" s="496" t="str">
        <f t="shared" si="46"/>
        <v/>
      </c>
      <c r="BM35" s="499"/>
      <c r="BN35" s="496" t="str">
        <f t="shared" si="47"/>
        <v/>
      </c>
      <c r="BO35" s="497" t="str">
        <f t="shared" si="48"/>
        <v/>
      </c>
      <c r="BP35" s="496" t="str">
        <f t="shared" si="49"/>
        <v/>
      </c>
      <c r="BQ35" s="499"/>
      <c r="BR35" s="496" t="str">
        <f t="shared" si="50"/>
        <v/>
      </c>
      <c r="BS35" s="497" t="str">
        <f t="shared" si="51"/>
        <v/>
      </c>
      <c r="BT35" s="496" t="str">
        <f t="shared" si="52"/>
        <v/>
      </c>
      <c r="BU35" s="499"/>
      <c r="BV35" s="496" t="str">
        <f t="shared" si="53"/>
        <v/>
      </c>
      <c r="BW35" s="497" t="str">
        <f t="shared" si="54"/>
        <v/>
      </c>
      <c r="BX35" s="496" t="str">
        <f t="shared" si="55"/>
        <v/>
      </c>
      <c r="BY35" s="499"/>
      <c r="BZ35" s="496" t="str">
        <f t="shared" si="56"/>
        <v/>
      </c>
      <c r="CA35" s="497" t="str">
        <f t="shared" si="57"/>
        <v/>
      </c>
      <c r="CB35" s="496" t="str">
        <f t="shared" si="58"/>
        <v/>
      </c>
      <c r="CC35" s="499"/>
      <c r="CD35" s="496" t="str">
        <f t="shared" si="59"/>
        <v/>
      </c>
      <c r="CE35" s="497" t="str">
        <f t="shared" si="60"/>
        <v/>
      </c>
      <c r="CF35" s="496" t="str">
        <f t="shared" si="61"/>
        <v/>
      </c>
      <c r="CG35" s="499"/>
      <c r="CH35" s="496" t="str">
        <f t="shared" si="62"/>
        <v/>
      </c>
      <c r="CI35" s="497" t="str">
        <f t="shared" si="63"/>
        <v/>
      </c>
      <c r="CJ35" s="496" t="str">
        <f t="shared" si="64"/>
        <v/>
      </c>
      <c r="CK35" s="499"/>
      <c r="CL35" s="496" t="str">
        <f t="shared" si="65"/>
        <v/>
      </c>
      <c r="CM35" s="497" t="str">
        <f t="shared" si="66"/>
        <v/>
      </c>
      <c r="CN35" s="496" t="str">
        <f t="shared" si="67"/>
        <v/>
      </c>
      <c r="CO35" s="499"/>
      <c r="CP35" s="496" t="str">
        <f t="shared" si="68"/>
        <v/>
      </c>
      <c r="CQ35" s="497" t="str">
        <f t="shared" si="69"/>
        <v/>
      </c>
      <c r="CR35" s="496" t="str">
        <f t="shared" si="70"/>
        <v/>
      </c>
      <c r="CS35" s="499"/>
      <c r="CT35" s="496" t="str">
        <f t="shared" si="71"/>
        <v/>
      </c>
      <c r="CU35" s="497" t="str">
        <f t="shared" si="72"/>
        <v/>
      </c>
      <c r="CV35" s="496" t="str">
        <f t="shared" si="73"/>
        <v/>
      </c>
      <c r="CW35" s="499"/>
      <c r="CX35" s="496" t="str">
        <f>IF('1.ข้อมูลเบื้องต้น'!$B$32="","",IF($A35="","",'1.ข้อมูลเบื้องต้น'!$B$32))</f>
        <v/>
      </c>
      <c r="CY35" s="497" t="str">
        <f>IF('1.ข้อมูลเบื้องต้น'!$C$32="","",IF($A35="","",'1.ข้อมูลเบื้องต้น'!$C$32))</f>
        <v/>
      </c>
      <c r="CZ35" s="496" t="str">
        <f>IF('1.ข้อมูลเบื้องต้น'!$D$32="","",IF($A35="","",'1.ข้อมูลเบื้องต้น'!$D$32))</f>
        <v/>
      </c>
      <c r="DA35" s="499"/>
      <c r="DB35" s="496" t="str">
        <f t="shared" si="74"/>
        <v/>
      </c>
      <c r="DC35" s="498" t="str">
        <f>IF('2.ชื่อนักเรียน'!R41="มส","มส",IF('2.ชื่อนักเรียน'!R41="ย้าย","ย้าย",IF('2.ชื่อนักเรียน'!R41="ร","ร",IF(DB35="","",RANK(DB35,$DB$5:$DB$49,0)))))</f>
        <v/>
      </c>
      <c r="DD35" s="496" t="str">
        <f t="shared" si="75"/>
        <v/>
      </c>
    </row>
    <row r="36" spans="1:108" s="501" customFormat="1" ht="21" x14ac:dyDescent="0.4">
      <c r="A36" s="496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B36" s="496" t="str">
        <f>IF(IDstu32="","",IDstu32)</f>
        <v/>
      </c>
      <c r="C36" s="497" t="str">
        <f>CONCATENATE(TRIM(Name32),"  ",Surname32)</f>
        <v xml:space="preserve">  </v>
      </c>
      <c r="D36" s="498" t="str">
        <f t="shared" si="0"/>
        <v/>
      </c>
      <c r="E36" s="496" t="str">
        <f t="shared" si="1"/>
        <v/>
      </c>
      <c r="F36" s="496" t="str">
        <f t="shared" si="2"/>
        <v/>
      </c>
      <c r="G36" s="497" t="str">
        <f t="shared" si="3"/>
        <v/>
      </c>
      <c r="H36" s="496" t="str">
        <f t="shared" si="4"/>
        <v/>
      </c>
      <c r="I36" s="499"/>
      <c r="J36" s="496" t="str">
        <f t="shared" si="5"/>
        <v/>
      </c>
      <c r="K36" s="497" t="str">
        <f t="shared" si="6"/>
        <v/>
      </c>
      <c r="L36" s="496" t="str">
        <f t="shared" si="7"/>
        <v/>
      </c>
      <c r="M36" s="499"/>
      <c r="N36" s="496" t="str">
        <f t="shared" si="8"/>
        <v/>
      </c>
      <c r="O36" s="497" t="str">
        <f t="shared" si="9"/>
        <v/>
      </c>
      <c r="P36" s="496" t="str">
        <f t="shared" si="10"/>
        <v/>
      </c>
      <c r="Q36" s="499"/>
      <c r="R36" s="496" t="str">
        <f t="shared" si="11"/>
        <v/>
      </c>
      <c r="S36" s="497" t="str">
        <f t="shared" si="12"/>
        <v/>
      </c>
      <c r="T36" s="496" t="str">
        <f t="shared" si="13"/>
        <v/>
      </c>
      <c r="U36" s="499"/>
      <c r="V36" s="496" t="str">
        <f t="shared" si="14"/>
        <v/>
      </c>
      <c r="W36" s="497" t="str">
        <f t="shared" si="15"/>
        <v/>
      </c>
      <c r="X36" s="496" t="str">
        <f t="shared" si="16"/>
        <v/>
      </c>
      <c r="Y36" s="499"/>
      <c r="Z36" s="496" t="str">
        <f t="shared" si="17"/>
        <v/>
      </c>
      <c r="AA36" s="497" t="str">
        <f t="shared" si="18"/>
        <v/>
      </c>
      <c r="AB36" s="496" t="str">
        <f t="shared" si="19"/>
        <v/>
      </c>
      <c r="AC36" s="499"/>
      <c r="AD36" s="496" t="str">
        <f t="shared" si="20"/>
        <v/>
      </c>
      <c r="AE36" s="497" t="str">
        <f t="shared" si="21"/>
        <v/>
      </c>
      <c r="AF36" s="496" t="str">
        <f t="shared" si="22"/>
        <v/>
      </c>
      <c r="AG36" s="499"/>
      <c r="AH36" s="496" t="str">
        <f t="shared" si="23"/>
        <v/>
      </c>
      <c r="AI36" s="497" t="str">
        <f t="shared" si="24"/>
        <v/>
      </c>
      <c r="AJ36" s="496" t="str">
        <f t="shared" si="25"/>
        <v/>
      </c>
      <c r="AK36" s="499"/>
      <c r="AL36" s="496" t="str">
        <f t="shared" si="26"/>
        <v/>
      </c>
      <c r="AM36" s="497" t="str">
        <f t="shared" si="27"/>
        <v/>
      </c>
      <c r="AN36" s="496" t="str">
        <f t="shared" si="28"/>
        <v/>
      </c>
      <c r="AO36" s="499"/>
      <c r="AP36" s="496" t="str">
        <f t="shared" si="29"/>
        <v/>
      </c>
      <c r="AQ36" s="497" t="str">
        <f t="shared" si="30"/>
        <v/>
      </c>
      <c r="AR36" s="496" t="str">
        <f t="shared" si="31"/>
        <v/>
      </c>
      <c r="AS36" s="499"/>
      <c r="AT36" s="496" t="str">
        <f t="shared" si="32"/>
        <v/>
      </c>
      <c r="AU36" s="497" t="str">
        <f t="shared" si="33"/>
        <v/>
      </c>
      <c r="AV36" s="496" t="str">
        <f t="shared" si="34"/>
        <v/>
      </c>
      <c r="AW36" s="499"/>
      <c r="AX36" s="496" t="str">
        <f t="shared" si="35"/>
        <v/>
      </c>
      <c r="AY36" s="497" t="str">
        <f t="shared" si="36"/>
        <v/>
      </c>
      <c r="AZ36" s="496" t="str">
        <f t="shared" si="37"/>
        <v/>
      </c>
      <c r="BA36" s="499"/>
      <c r="BB36" s="496" t="str">
        <f t="shared" si="38"/>
        <v/>
      </c>
      <c r="BC36" s="497" t="str">
        <f t="shared" si="39"/>
        <v/>
      </c>
      <c r="BD36" s="496" t="str">
        <f t="shared" si="40"/>
        <v/>
      </c>
      <c r="BE36" s="499"/>
      <c r="BF36" s="496" t="str">
        <f t="shared" si="41"/>
        <v/>
      </c>
      <c r="BG36" s="497" t="str">
        <f t="shared" si="42"/>
        <v/>
      </c>
      <c r="BH36" s="496" t="str">
        <f t="shared" si="43"/>
        <v/>
      </c>
      <c r="BI36" s="499"/>
      <c r="BJ36" s="496" t="str">
        <f t="shared" si="44"/>
        <v/>
      </c>
      <c r="BK36" s="497" t="str">
        <f t="shared" si="45"/>
        <v/>
      </c>
      <c r="BL36" s="496" t="str">
        <f t="shared" si="46"/>
        <v/>
      </c>
      <c r="BM36" s="499"/>
      <c r="BN36" s="496" t="str">
        <f t="shared" si="47"/>
        <v/>
      </c>
      <c r="BO36" s="497" t="str">
        <f t="shared" si="48"/>
        <v/>
      </c>
      <c r="BP36" s="496" t="str">
        <f t="shared" si="49"/>
        <v/>
      </c>
      <c r="BQ36" s="499"/>
      <c r="BR36" s="496" t="str">
        <f t="shared" si="50"/>
        <v/>
      </c>
      <c r="BS36" s="497" t="str">
        <f t="shared" si="51"/>
        <v/>
      </c>
      <c r="BT36" s="496" t="str">
        <f t="shared" si="52"/>
        <v/>
      </c>
      <c r="BU36" s="499"/>
      <c r="BV36" s="496" t="str">
        <f t="shared" si="53"/>
        <v/>
      </c>
      <c r="BW36" s="497" t="str">
        <f t="shared" si="54"/>
        <v/>
      </c>
      <c r="BX36" s="496" t="str">
        <f t="shared" si="55"/>
        <v/>
      </c>
      <c r="BY36" s="499"/>
      <c r="BZ36" s="496" t="str">
        <f t="shared" si="56"/>
        <v/>
      </c>
      <c r="CA36" s="497" t="str">
        <f t="shared" si="57"/>
        <v/>
      </c>
      <c r="CB36" s="496" t="str">
        <f t="shared" si="58"/>
        <v/>
      </c>
      <c r="CC36" s="499"/>
      <c r="CD36" s="496" t="str">
        <f t="shared" si="59"/>
        <v/>
      </c>
      <c r="CE36" s="497" t="str">
        <f t="shared" si="60"/>
        <v/>
      </c>
      <c r="CF36" s="496" t="str">
        <f t="shared" si="61"/>
        <v/>
      </c>
      <c r="CG36" s="499"/>
      <c r="CH36" s="496" t="str">
        <f t="shared" si="62"/>
        <v/>
      </c>
      <c r="CI36" s="497" t="str">
        <f t="shared" si="63"/>
        <v/>
      </c>
      <c r="CJ36" s="496" t="str">
        <f t="shared" si="64"/>
        <v/>
      </c>
      <c r="CK36" s="499"/>
      <c r="CL36" s="496" t="str">
        <f t="shared" si="65"/>
        <v/>
      </c>
      <c r="CM36" s="497" t="str">
        <f t="shared" si="66"/>
        <v/>
      </c>
      <c r="CN36" s="496" t="str">
        <f t="shared" si="67"/>
        <v/>
      </c>
      <c r="CO36" s="499"/>
      <c r="CP36" s="496" t="str">
        <f t="shared" si="68"/>
        <v/>
      </c>
      <c r="CQ36" s="497" t="str">
        <f t="shared" si="69"/>
        <v/>
      </c>
      <c r="CR36" s="496" t="str">
        <f t="shared" si="70"/>
        <v/>
      </c>
      <c r="CS36" s="499"/>
      <c r="CT36" s="496" t="str">
        <f t="shared" si="71"/>
        <v/>
      </c>
      <c r="CU36" s="497" t="str">
        <f t="shared" si="72"/>
        <v/>
      </c>
      <c r="CV36" s="496" t="str">
        <f t="shared" si="73"/>
        <v/>
      </c>
      <c r="CW36" s="499"/>
      <c r="CX36" s="496" t="str">
        <f>IF('1.ข้อมูลเบื้องต้น'!$B$32="","",IF($A36="","",'1.ข้อมูลเบื้องต้น'!$B$32))</f>
        <v/>
      </c>
      <c r="CY36" s="497" t="str">
        <f>IF('1.ข้อมูลเบื้องต้น'!$C$32="","",IF($A36="","",'1.ข้อมูลเบื้องต้น'!$C$32))</f>
        <v/>
      </c>
      <c r="CZ36" s="496" t="str">
        <f>IF('1.ข้อมูลเบื้องต้น'!$D$32="","",IF($A36="","",'1.ข้อมูลเบื้องต้น'!$D$32))</f>
        <v/>
      </c>
      <c r="DA36" s="499"/>
      <c r="DB36" s="496" t="str">
        <f t="shared" si="74"/>
        <v/>
      </c>
      <c r="DC36" s="498" t="str">
        <f>IF('2.ชื่อนักเรียน'!R42="มส","มส",IF('2.ชื่อนักเรียน'!R42="ย้าย","ย้าย",IF('2.ชื่อนักเรียน'!R42="ร","ร",IF(DB36="","",RANK(DB36,$DB$5:$DB$49,0)))))</f>
        <v/>
      </c>
      <c r="DD36" s="496" t="str">
        <f t="shared" si="75"/>
        <v/>
      </c>
    </row>
    <row r="37" spans="1:108" s="501" customFormat="1" ht="21" x14ac:dyDescent="0.4">
      <c r="A37" s="496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B37" s="496" t="str">
        <f>IF(IDstu33="","",IDstu33)</f>
        <v/>
      </c>
      <c r="C37" s="497" t="str">
        <f>CONCATENATE(TRIM(Name33),"  ",Surname33)</f>
        <v xml:space="preserve">  </v>
      </c>
      <c r="D37" s="498" t="str">
        <f t="shared" si="0"/>
        <v/>
      </c>
      <c r="E37" s="496" t="str">
        <f t="shared" si="1"/>
        <v/>
      </c>
      <c r="F37" s="496" t="str">
        <f t="shared" si="2"/>
        <v/>
      </c>
      <c r="G37" s="497" t="str">
        <f t="shared" si="3"/>
        <v/>
      </c>
      <c r="H37" s="496" t="str">
        <f t="shared" si="4"/>
        <v/>
      </c>
      <c r="I37" s="499"/>
      <c r="J37" s="496" t="str">
        <f t="shared" si="5"/>
        <v/>
      </c>
      <c r="K37" s="497" t="str">
        <f t="shared" si="6"/>
        <v/>
      </c>
      <c r="L37" s="496" t="str">
        <f t="shared" si="7"/>
        <v/>
      </c>
      <c r="M37" s="499"/>
      <c r="N37" s="496" t="str">
        <f t="shared" si="8"/>
        <v/>
      </c>
      <c r="O37" s="497" t="str">
        <f t="shared" si="9"/>
        <v/>
      </c>
      <c r="P37" s="496" t="str">
        <f t="shared" si="10"/>
        <v/>
      </c>
      <c r="Q37" s="499"/>
      <c r="R37" s="496" t="str">
        <f t="shared" si="11"/>
        <v/>
      </c>
      <c r="S37" s="497" t="str">
        <f t="shared" si="12"/>
        <v/>
      </c>
      <c r="T37" s="496" t="str">
        <f t="shared" si="13"/>
        <v/>
      </c>
      <c r="U37" s="499"/>
      <c r="V37" s="496" t="str">
        <f t="shared" si="14"/>
        <v/>
      </c>
      <c r="W37" s="497" t="str">
        <f t="shared" si="15"/>
        <v/>
      </c>
      <c r="X37" s="496" t="str">
        <f t="shared" si="16"/>
        <v/>
      </c>
      <c r="Y37" s="499"/>
      <c r="Z37" s="496" t="str">
        <f t="shared" si="17"/>
        <v/>
      </c>
      <c r="AA37" s="497" t="str">
        <f t="shared" si="18"/>
        <v/>
      </c>
      <c r="AB37" s="496" t="str">
        <f t="shared" si="19"/>
        <v/>
      </c>
      <c r="AC37" s="499"/>
      <c r="AD37" s="496" t="str">
        <f t="shared" si="20"/>
        <v/>
      </c>
      <c r="AE37" s="497" t="str">
        <f t="shared" si="21"/>
        <v/>
      </c>
      <c r="AF37" s="496" t="str">
        <f t="shared" si="22"/>
        <v/>
      </c>
      <c r="AG37" s="499"/>
      <c r="AH37" s="496" t="str">
        <f t="shared" si="23"/>
        <v/>
      </c>
      <c r="AI37" s="497" t="str">
        <f t="shared" si="24"/>
        <v/>
      </c>
      <c r="AJ37" s="496" t="str">
        <f t="shared" si="25"/>
        <v/>
      </c>
      <c r="AK37" s="499"/>
      <c r="AL37" s="496" t="str">
        <f t="shared" si="26"/>
        <v/>
      </c>
      <c r="AM37" s="497" t="str">
        <f t="shared" si="27"/>
        <v/>
      </c>
      <c r="AN37" s="496" t="str">
        <f t="shared" si="28"/>
        <v/>
      </c>
      <c r="AO37" s="499"/>
      <c r="AP37" s="496" t="str">
        <f t="shared" si="29"/>
        <v/>
      </c>
      <c r="AQ37" s="497" t="str">
        <f t="shared" si="30"/>
        <v/>
      </c>
      <c r="AR37" s="496" t="str">
        <f t="shared" si="31"/>
        <v/>
      </c>
      <c r="AS37" s="499"/>
      <c r="AT37" s="496" t="str">
        <f t="shared" si="32"/>
        <v/>
      </c>
      <c r="AU37" s="497" t="str">
        <f t="shared" si="33"/>
        <v/>
      </c>
      <c r="AV37" s="496" t="str">
        <f t="shared" si="34"/>
        <v/>
      </c>
      <c r="AW37" s="499"/>
      <c r="AX37" s="496" t="str">
        <f t="shared" si="35"/>
        <v/>
      </c>
      <c r="AY37" s="497" t="str">
        <f t="shared" si="36"/>
        <v/>
      </c>
      <c r="AZ37" s="496" t="str">
        <f t="shared" si="37"/>
        <v/>
      </c>
      <c r="BA37" s="499"/>
      <c r="BB37" s="496" t="str">
        <f t="shared" si="38"/>
        <v/>
      </c>
      <c r="BC37" s="497" t="str">
        <f t="shared" si="39"/>
        <v/>
      </c>
      <c r="BD37" s="496" t="str">
        <f t="shared" si="40"/>
        <v/>
      </c>
      <c r="BE37" s="499"/>
      <c r="BF37" s="496" t="str">
        <f t="shared" si="41"/>
        <v/>
      </c>
      <c r="BG37" s="497" t="str">
        <f t="shared" si="42"/>
        <v/>
      </c>
      <c r="BH37" s="496" t="str">
        <f t="shared" si="43"/>
        <v/>
      </c>
      <c r="BI37" s="499"/>
      <c r="BJ37" s="496" t="str">
        <f t="shared" si="44"/>
        <v/>
      </c>
      <c r="BK37" s="497" t="str">
        <f t="shared" si="45"/>
        <v/>
      </c>
      <c r="BL37" s="496" t="str">
        <f t="shared" si="46"/>
        <v/>
      </c>
      <c r="BM37" s="499"/>
      <c r="BN37" s="496" t="str">
        <f t="shared" si="47"/>
        <v/>
      </c>
      <c r="BO37" s="497" t="str">
        <f t="shared" si="48"/>
        <v/>
      </c>
      <c r="BP37" s="496" t="str">
        <f t="shared" si="49"/>
        <v/>
      </c>
      <c r="BQ37" s="499"/>
      <c r="BR37" s="496" t="str">
        <f t="shared" si="50"/>
        <v/>
      </c>
      <c r="BS37" s="497" t="str">
        <f t="shared" si="51"/>
        <v/>
      </c>
      <c r="BT37" s="496" t="str">
        <f t="shared" si="52"/>
        <v/>
      </c>
      <c r="BU37" s="499"/>
      <c r="BV37" s="496" t="str">
        <f t="shared" si="53"/>
        <v/>
      </c>
      <c r="BW37" s="497" t="str">
        <f t="shared" si="54"/>
        <v/>
      </c>
      <c r="BX37" s="496" t="str">
        <f t="shared" si="55"/>
        <v/>
      </c>
      <c r="BY37" s="499"/>
      <c r="BZ37" s="496" t="str">
        <f t="shared" si="56"/>
        <v/>
      </c>
      <c r="CA37" s="497" t="str">
        <f t="shared" si="57"/>
        <v/>
      </c>
      <c r="CB37" s="496" t="str">
        <f t="shared" si="58"/>
        <v/>
      </c>
      <c r="CC37" s="499"/>
      <c r="CD37" s="496" t="str">
        <f t="shared" si="59"/>
        <v/>
      </c>
      <c r="CE37" s="497" t="str">
        <f t="shared" si="60"/>
        <v/>
      </c>
      <c r="CF37" s="496" t="str">
        <f t="shared" si="61"/>
        <v/>
      </c>
      <c r="CG37" s="499"/>
      <c r="CH37" s="496" t="str">
        <f t="shared" si="62"/>
        <v/>
      </c>
      <c r="CI37" s="497" t="str">
        <f t="shared" si="63"/>
        <v/>
      </c>
      <c r="CJ37" s="496" t="str">
        <f t="shared" si="64"/>
        <v/>
      </c>
      <c r="CK37" s="499"/>
      <c r="CL37" s="496" t="str">
        <f t="shared" si="65"/>
        <v/>
      </c>
      <c r="CM37" s="497" t="str">
        <f t="shared" si="66"/>
        <v/>
      </c>
      <c r="CN37" s="496" t="str">
        <f t="shared" si="67"/>
        <v/>
      </c>
      <c r="CO37" s="499"/>
      <c r="CP37" s="496" t="str">
        <f t="shared" si="68"/>
        <v/>
      </c>
      <c r="CQ37" s="497" t="str">
        <f t="shared" si="69"/>
        <v/>
      </c>
      <c r="CR37" s="496" t="str">
        <f t="shared" si="70"/>
        <v/>
      </c>
      <c r="CS37" s="499"/>
      <c r="CT37" s="496" t="str">
        <f t="shared" si="71"/>
        <v/>
      </c>
      <c r="CU37" s="497" t="str">
        <f t="shared" si="72"/>
        <v/>
      </c>
      <c r="CV37" s="496" t="str">
        <f t="shared" si="73"/>
        <v/>
      </c>
      <c r="CW37" s="499"/>
      <c r="CX37" s="496" t="str">
        <f>IF('1.ข้อมูลเบื้องต้น'!$B$32="","",IF($A37="","",'1.ข้อมูลเบื้องต้น'!$B$32))</f>
        <v/>
      </c>
      <c r="CY37" s="497" t="str">
        <f>IF('1.ข้อมูลเบื้องต้น'!$C$32="","",IF($A37="","",'1.ข้อมูลเบื้องต้น'!$C$32))</f>
        <v/>
      </c>
      <c r="CZ37" s="496" t="str">
        <f>IF('1.ข้อมูลเบื้องต้น'!$D$32="","",IF($A37="","",'1.ข้อมูลเบื้องต้น'!$D$32))</f>
        <v/>
      </c>
      <c r="DA37" s="499"/>
      <c r="DB37" s="496" t="str">
        <f t="shared" si="74"/>
        <v/>
      </c>
      <c r="DC37" s="498" t="str">
        <f>IF('2.ชื่อนักเรียน'!R43="มส","มส",IF('2.ชื่อนักเรียน'!R43="ย้าย","ย้าย",IF('2.ชื่อนักเรียน'!R43="ร","ร",IF(DB37="","",RANK(DB37,$DB$5:$DB$49,0)))))</f>
        <v/>
      </c>
      <c r="DD37" s="496" t="str">
        <f t="shared" si="75"/>
        <v/>
      </c>
    </row>
    <row r="38" spans="1:108" s="501" customFormat="1" ht="21" x14ac:dyDescent="0.4">
      <c r="A38" s="496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B38" s="496" t="str">
        <f>IF(IDstu34="","",IDstu34)</f>
        <v/>
      </c>
      <c r="C38" s="497" t="str">
        <f>CONCATENATE(TRIM(Name34),"  ",Surname34)</f>
        <v xml:space="preserve">  </v>
      </c>
      <c r="D38" s="498" t="str">
        <f t="shared" si="0"/>
        <v/>
      </c>
      <c r="E38" s="496" t="str">
        <f t="shared" si="1"/>
        <v/>
      </c>
      <c r="F38" s="496" t="str">
        <f t="shared" si="2"/>
        <v/>
      </c>
      <c r="G38" s="497" t="str">
        <f t="shared" si="3"/>
        <v/>
      </c>
      <c r="H38" s="496" t="str">
        <f t="shared" si="4"/>
        <v/>
      </c>
      <c r="I38" s="499"/>
      <c r="J38" s="496" t="str">
        <f t="shared" si="5"/>
        <v/>
      </c>
      <c r="K38" s="497" t="str">
        <f t="shared" si="6"/>
        <v/>
      </c>
      <c r="L38" s="496" t="str">
        <f t="shared" si="7"/>
        <v/>
      </c>
      <c r="M38" s="499"/>
      <c r="N38" s="496" t="str">
        <f t="shared" si="8"/>
        <v/>
      </c>
      <c r="O38" s="497" t="str">
        <f t="shared" si="9"/>
        <v/>
      </c>
      <c r="P38" s="496" t="str">
        <f t="shared" si="10"/>
        <v/>
      </c>
      <c r="Q38" s="499"/>
      <c r="R38" s="496" t="str">
        <f t="shared" si="11"/>
        <v/>
      </c>
      <c r="S38" s="497" t="str">
        <f t="shared" si="12"/>
        <v/>
      </c>
      <c r="T38" s="496" t="str">
        <f t="shared" si="13"/>
        <v/>
      </c>
      <c r="U38" s="499"/>
      <c r="V38" s="496" t="str">
        <f t="shared" si="14"/>
        <v/>
      </c>
      <c r="W38" s="497" t="str">
        <f t="shared" si="15"/>
        <v/>
      </c>
      <c r="X38" s="496" t="str">
        <f t="shared" si="16"/>
        <v/>
      </c>
      <c r="Y38" s="499"/>
      <c r="Z38" s="496" t="str">
        <f t="shared" si="17"/>
        <v/>
      </c>
      <c r="AA38" s="497" t="str">
        <f t="shared" si="18"/>
        <v/>
      </c>
      <c r="AB38" s="496" t="str">
        <f t="shared" si="19"/>
        <v/>
      </c>
      <c r="AC38" s="499"/>
      <c r="AD38" s="496" t="str">
        <f t="shared" si="20"/>
        <v/>
      </c>
      <c r="AE38" s="497" t="str">
        <f t="shared" si="21"/>
        <v/>
      </c>
      <c r="AF38" s="496" t="str">
        <f t="shared" si="22"/>
        <v/>
      </c>
      <c r="AG38" s="499"/>
      <c r="AH38" s="496" t="str">
        <f t="shared" si="23"/>
        <v/>
      </c>
      <c r="AI38" s="497" t="str">
        <f t="shared" si="24"/>
        <v/>
      </c>
      <c r="AJ38" s="496" t="str">
        <f t="shared" si="25"/>
        <v/>
      </c>
      <c r="AK38" s="499"/>
      <c r="AL38" s="496" t="str">
        <f t="shared" si="26"/>
        <v/>
      </c>
      <c r="AM38" s="497" t="str">
        <f t="shared" si="27"/>
        <v/>
      </c>
      <c r="AN38" s="496" t="str">
        <f t="shared" si="28"/>
        <v/>
      </c>
      <c r="AO38" s="499"/>
      <c r="AP38" s="496" t="str">
        <f t="shared" si="29"/>
        <v/>
      </c>
      <c r="AQ38" s="497" t="str">
        <f t="shared" si="30"/>
        <v/>
      </c>
      <c r="AR38" s="496" t="str">
        <f t="shared" si="31"/>
        <v/>
      </c>
      <c r="AS38" s="499"/>
      <c r="AT38" s="496" t="str">
        <f t="shared" si="32"/>
        <v/>
      </c>
      <c r="AU38" s="497" t="str">
        <f t="shared" si="33"/>
        <v/>
      </c>
      <c r="AV38" s="496" t="str">
        <f t="shared" si="34"/>
        <v/>
      </c>
      <c r="AW38" s="499"/>
      <c r="AX38" s="496" t="str">
        <f t="shared" si="35"/>
        <v/>
      </c>
      <c r="AY38" s="497" t="str">
        <f t="shared" si="36"/>
        <v/>
      </c>
      <c r="AZ38" s="496" t="str">
        <f t="shared" si="37"/>
        <v/>
      </c>
      <c r="BA38" s="499"/>
      <c r="BB38" s="496" t="str">
        <f t="shared" si="38"/>
        <v/>
      </c>
      <c r="BC38" s="497" t="str">
        <f t="shared" si="39"/>
        <v/>
      </c>
      <c r="BD38" s="496" t="str">
        <f t="shared" si="40"/>
        <v/>
      </c>
      <c r="BE38" s="499"/>
      <c r="BF38" s="496" t="str">
        <f t="shared" si="41"/>
        <v/>
      </c>
      <c r="BG38" s="497" t="str">
        <f t="shared" si="42"/>
        <v/>
      </c>
      <c r="BH38" s="496" t="str">
        <f t="shared" si="43"/>
        <v/>
      </c>
      <c r="BI38" s="499"/>
      <c r="BJ38" s="496" t="str">
        <f t="shared" si="44"/>
        <v/>
      </c>
      <c r="BK38" s="497" t="str">
        <f t="shared" si="45"/>
        <v/>
      </c>
      <c r="BL38" s="496" t="str">
        <f t="shared" si="46"/>
        <v/>
      </c>
      <c r="BM38" s="499"/>
      <c r="BN38" s="496" t="str">
        <f t="shared" si="47"/>
        <v/>
      </c>
      <c r="BO38" s="497" t="str">
        <f t="shared" si="48"/>
        <v/>
      </c>
      <c r="BP38" s="496" t="str">
        <f t="shared" si="49"/>
        <v/>
      </c>
      <c r="BQ38" s="499"/>
      <c r="BR38" s="496" t="str">
        <f t="shared" si="50"/>
        <v/>
      </c>
      <c r="BS38" s="497" t="str">
        <f t="shared" si="51"/>
        <v/>
      </c>
      <c r="BT38" s="496" t="str">
        <f t="shared" si="52"/>
        <v/>
      </c>
      <c r="BU38" s="499"/>
      <c r="BV38" s="496" t="str">
        <f t="shared" si="53"/>
        <v/>
      </c>
      <c r="BW38" s="497" t="str">
        <f t="shared" si="54"/>
        <v/>
      </c>
      <c r="BX38" s="496" t="str">
        <f t="shared" si="55"/>
        <v/>
      </c>
      <c r="BY38" s="499"/>
      <c r="BZ38" s="496" t="str">
        <f t="shared" si="56"/>
        <v/>
      </c>
      <c r="CA38" s="497" t="str">
        <f t="shared" si="57"/>
        <v/>
      </c>
      <c r="CB38" s="496" t="str">
        <f t="shared" si="58"/>
        <v/>
      </c>
      <c r="CC38" s="499"/>
      <c r="CD38" s="496" t="str">
        <f t="shared" si="59"/>
        <v/>
      </c>
      <c r="CE38" s="497" t="str">
        <f t="shared" si="60"/>
        <v/>
      </c>
      <c r="CF38" s="496" t="str">
        <f t="shared" si="61"/>
        <v/>
      </c>
      <c r="CG38" s="499"/>
      <c r="CH38" s="496" t="str">
        <f t="shared" si="62"/>
        <v/>
      </c>
      <c r="CI38" s="497" t="str">
        <f t="shared" si="63"/>
        <v/>
      </c>
      <c r="CJ38" s="496" t="str">
        <f t="shared" si="64"/>
        <v/>
      </c>
      <c r="CK38" s="499"/>
      <c r="CL38" s="496" t="str">
        <f t="shared" si="65"/>
        <v/>
      </c>
      <c r="CM38" s="497" t="str">
        <f t="shared" si="66"/>
        <v/>
      </c>
      <c r="CN38" s="496" t="str">
        <f t="shared" si="67"/>
        <v/>
      </c>
      <c r="CO38" s="499"/>
      <c r="CP38" s="496" t="str">
        <f t="shared" si="68"/>
        <v/>
      </c>
      <c r="CQ38" s="497" t="str">
        <f t="shared" si="69"/>
        <v/>
      </c>
      <c r="CR38" s="496" t="str">
        <f t="shared" si="70"/>
        <v/>
      </c>
      <c r="CS38" s="499"/>
      <c r="CT38" s="496" t="str">
        <f t="shared" si="71"/>
        <v/>
      </c>
      <c r="CU38" s="497" t="str">
        <f t="shared" si="72"/>
        <v/>
      </c>
      <c r="CV38" s="496" t="str">
        <f t="shared" si="73"/>
        <v/>
      </c>
      <c r="CW38" s="499"/>
      <c r="CX38" s="496" t="str">
        <f>IF('1.ข้อมูลเบื้องต้น'!$B$32="","",IF($A38="","",'1.ข้อมูลเบื้องต้น'!$B$32))</f>
        <v/>
      </c>
      <c r="CY38" s="497" t="str">
        <f>IF('1.ข้อมูลเบื้องต้น'!$C$32="","",IF($A38="","",'1.ข้อมูลเบื้องต้น'!$C$32))</f>
        <v/>
      </c>
      <c r="CZ38" s="496" t="str">
        <f>IF('1.ข้อมูลเบื้องต้น'!$D$32="","",IF($A38="","",'1.ข้อมูลเบื้องต้น'!$D$32))</f>
        <v/>
      </c>
      <c r="DA38" s="499"/>
      <c r="DB38" s="496" t="str">
        <f t="shared" si="74"/>
        <v/>
      </c>
      <c r="DC38" s="498" t="str">
        <f>IF('2.ชื่อนักเรียน'!R44="มส","มส",IF('2.ชื่อนักเรียน'!R44="ย้าย","ย้าย",IF('2.ชื่อนักเรียน'!R44="ร","ร",IF(DB38="","",RANK(DB38,$DB$5:$DB$49,0)))))</f>
        <v/>
      </c>
      <c r="DD38" s="496" t="str">
        <f t="shared" si="75"/>
        <v/>
      </c>
    </row>
    <row r="39" spans="1:108" s="501" customFormat="1" ht="21" x14ac:dyDescent="0.4">
      <c r="A39" s="496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B39" s="496" t="str">
        <f>IF(IDstu35="","",IDstu35)</f>
        <v/>
      </c>
      <c r="C39" s="497" t="str">
        <f>CONCATENATE(TRIM(Name35),"  ",Surname35)</f>
        <v xml:space="preserve">  </v>
      </c>
      <c r="D39" s="498" t="str">
        <f t="shared" si="0"/>
        <v/>
      </c>
      <c r="E39" s="496" t="str">
        <f t="shared" si="1"/>
        <v/>
      </c>
      <c r="F39" s="496" t="str">
        <f t="shared" si="2"/>
        <v/>
      </c>
      <c r="G39" s="497" t="str">
        <f t="shared" si="3"/>
        <v/>
      </c>
      <c r="H39" s="496" t="str">
        <f t="shared" si="4"/>
        <v/>
      </c>
      <c r="I39" s="499"/>
      <c r="J39" s="496" t="str">
        <f t="shared" si="5"/>
        <v/>
      </c>
      <c r="K39" s="497" t="str">
        <f t="shared" si="6"/>
        <v/>
      </c>
      <c r="L39" s="496" t="str">
        <f t="shared" si="7"/>
        <v/>
      </c>
      <c r="M39" s="499"/>
      <c r="N39" s="496" t="str">
        <f t="shared" si="8"/>
        <v/>
      </c>
      <c r="O39" s="497" t="str">
        <f t="shared" si="9"/>
        <v/>
      </c>
      <c r="P39" s="496" t="str">
        <f t="shared" si="10"/>
        <v/>
      </c>
      <c r="Q39" s="499"/>
      <c r="R39" s="496" t="str">
        <f t="shared" si="11"/>
        <v/>
      </c>
      <c r="S39" s="497" t="str">
        <f t="shared" si="12"/>
        <v/>
      </c>
      <c r="T39" s="496" t="str">
        <f t="shared" si="13"/>
        <v/>
      </c>
      <c r="U39" s="499"/>
      <c r="V39" s="496" t="str">
        <f t="shared" si="14"/>
        <v/>
      </c>
      <c r="W39" s="497" t="str">
        <f t="shared" si="15"/>
        <v/>
      </c>
      <c r="X39" s="496" t="str">
        <f t="shared" si="16"/>
        <v/>
      </c>
      <c r="Y39" s="499"/>
      <c r="Z39" s="496" t="str">
        <f t="shared" si="17"/>
        <v/>
      </c>
      <c r="AA39" s="497" t="str">
        <f t="shared" si="18"/>
        <v/>
      </c>
      <c r="AB39" s="496" t="str">
        <f t="shared" si="19"/>
        <v/>
      </c>
      <c r="AC39" s="499"/>
      <c r="AD39" s="496" t="str">
        <f t="shared" si="20"/>
        <v/>
      </c>
      <c r="AE39" s="497" t="str">
        <f t="shared" si="21"/>
        <v/>
      </c>
      <c r="AF39" s="496" t="str">
        <f t="shared" si="22"/>
        <v/>
      </c>
      <c r="AG39" s="499"/>
      <c r="AH39" s="496" t="str">
        <f t="shared" si="23"/>
        <v/>
      </c>
      <c r="AI39" s="497" t="str">
        <f t="shared" si="24"/>
        <v/>
      </c>
      <c r="AJ39" s="496" t="str">
        <f t="shared" si="25"/>
        <v/>
      </c>
      <c r="AK39" s="499"/>
      <c r="AL39" s="496" t="str">
        <f t="shared" si="26"/>
        <v/>
      </c>
      <c r="AM39" s="497" t="str">
        <f t="shared" si="27"/>
        <v/>
      </c>
      <c r="AN39" s="496" t="str">
        <f t="shared" si="28"/>
        <v/>
      </c>
      <c r="AO39" s="499"/>
      <c r="AP39" s="496" t="str">
        <f t="shared" si="29"/>
        <v/>
      </c>
      <c r="AQ39" s="497" t="str">
        <f t="shared" si="30"/>
        <v/>
      </c>
      <c r="AR39" s="496" t="str">
        <f t="shared" si="31"/>
        <v/>
      </c>
      <c r="AS39" s="499"/>
      <c r="AT39" s="496" t="str">
        <f t="shared" si="32"/>
        <v/>
      </c>
      <c r="AU39" s="497" t="str">
        <f t="shared" si="33"/>
        <v/>
      </c>
      <c r="AV39" s="496" t="str">
        <f t="shared" si="34"/>
        <v/>
      </c>
      <c r="AW39" s="499"/>
      <c r="AX39" s="496" t="str">
        <f t="shared" si="35"/>
        <v/>
      </c>
      <c r="AY39" s="497" t="str">
        <f t="shared" si="36"/>
        <v/>
      </c>
      <c r="AZ39" s="496" t="str">
        <f t="shared" si="37"/>
        <v/>
      </c>
      <c r="BA39" s="499"/>
      <c r="BB39" s="496" t="str">
        <f t="shared" si="38"/>
        <v/>
      </c>
      <c r="BC39" s="497" t="str">
        <f t="shared" si="39"/>
        <v/>
      </c>
      <c r="BD39" s="496" t="str">
        <f t="shared" si="40"/>
        <v/>
      </c>
      <c r="BE39" s="499"/>
      <c r="BF39" s="496" t="str">
        <f t="shared" si="41"/>
        <v/>
      </c>
      <c r="BG39" s="497" t="str">
        <f t="shared" si="42"/>
        <v/>
      </c>
      <c r="BH39" s="496" t="str">
        <f t="shared" si="43"/>
        <v/>
      </c>
      <c r="BI39" s="499"/>
      <c r="BJ39" s="496" t="str">
        <f t="shared" si="44"/>
        <v/>
      </c>
      <c r="BK39" s="497" t="str">
        <f t="shared" si="45"/>
        <v/>
      </c>
      <c r="BL39" s="496" t="str">
        <f t="shared" si="46"/>
        <v/>
      </c>
      <c r="BM39" s="499"/>
      <c r="BN39" s="496" t="str">
        <f t="shared" si="47"/>
        <v/>
      </c>
      <c r="BO39" s="497" t="str">
        <f t="shared" si="48"/>
        <v/>
      </c>
      <c r="BP39" s="496" t="str">
        <f t="shared" si="49"/>
        <v/>
      </c>
      <c r="BQ39" s="499"/>
      <c r="BR39" s="496" t="str">
        <f t="shared" si="50"/>
        <v/>
      </c>
      <c r="BS39" s="497" t="str">
        <f t="shared" si="51"/>
        <v/>
      </c>
      <c r="BT39" s="496" t="str">
        <f t="shared" si="52"/>
        <v/>
      </c>
      <c r="BU39" s="499"/>
      <c r="BV39" s="496" t="str">
        <f t="shared" si="53"/>
        <v/>
      </c>
      <c r="BW39" s="497" t="str">
        <f t="shared" si="54"/>
        <v/>
      </c>
      <c r="BX39" s="496" t="str">
        <f t="shared" si="55"/>
        <v/>
      </c>
      <c r="BY39" s="499"/>
      <c r="BZ39" s="496" t="str">
        <f t="shared" si="56"/>
        <v/>
      </c>
      <c r="CA39" s="497" t="str">
        <f t="shared" si="57"/>
        <v/>
      </c>
      <c r="CB39" s="496" t="str">
        <f t="shared" si="58"/>
        <v/>
      </c>
      <c r="CC39" s="499"/>
      <c r="CD39" s="496" t="str">
        <f t="shared" si="59"/>
        <v/>
      </c>
      <c r="CE39" s="497" t="str">
        <f t="shared" si="60"/>
        <v/>
      </c>
      <c r="CF39" s="496" t="str">
        <f t="shared" si="61"/>
        <v/>
      </c>
      <c r="CG39" s="499"/>
      <c r="CH39" s="496" t="str">
        <f t="shared" si="62"/>
        <v/>
      </c>
      <c r="CI39" s="497" t="str">
        <f t="shared" si="63"/>
        <v/>
      </c>
      <c r="CJ39" s="496" t="str">
        <f t="shared" si="64"/>
        <v/>
      </c>
      <c r="CK39" s="499"/>
      <c r="CL39" s="496" t="str">
        <f t="shared" si="65"/>
        <v/>
      </c>
      <c r="CM39" s="497" t="str">
        <f t="shared" si="66"/>
        <v/>
      </c>
      <c r="CN39" s="496" t="str">
        <f t="shared" si="67"/>
        <v/>
      </c>
      <c r="CO39" s="499"/>
      <c r="CP39" s="496" t="str">
        <f t="shared" si="68"/>
        <v/>
      </c>
      <c r="CQ39" s="497" t="str">
        <f t="shared" si="69"/>
        <v/>
      </c>
      <c r="CR39" s="496" t="str">
        <f t="shared" si="70"/>
        <v/>
      </c>
      <c r="CS39" s="499"/>
      <c r="CT39" s="496" t="str">
        <f t="shared" si="71"/>
        <v/>
      </c>
      <c r="CU39" s="497" t="str">
        <f t="shared" si="72"/>
        <v/>
      </c>
      <c r="CV39" s="496" t="str">
        <f t="shared" si="73"/>
        <v/>
      </c>
      <c r="CW39" s="499"/>
      <c r="CX39" s="496" t="str">
        <f>IF('1.ข้อมูลเบื้องต้น'!$B$32="","",IF($A39="","",'1.ข้อมูลเบื้องต้น'!$B$32))</f>
        <v/>
      </c>
      <c r="CY39" s="497" t="str">
        <f>IF('1.ข้อมูลเบื้องต้น'!$C$32="","",IF($A39="","",'1.ข้อมูลเบื้องต้น'!$C$32))</f>
        <v/>
      </c>
      <c r="CZ39" s="496" t="str">
        <f>IF('1.ข้อมูลเบื้องต้น'!$D$32="","",IF($A39="","",'1.ข้อมูลเบื้องต้น'!$D$32))</f>
        <v/>
      </c>
      <c r="DA39" s="499"/>
      <c r="DB39" s="496" t="str">
        <f t="shared" si="74"/>
        <v/>
      </c>
      <c r="DC39" s="498" t="str">
        <f>IF('2.ชื่อนักเรียน'!R45="มส","มส",IF('2.ชื่อนักเรียน'!R45="ย้าย","ย้าย",IF('2.ชื่อนักเรียน'!R45="ร","ร",IF(DB39="","",RANK(DB39,$DB$5:$DB$49,0)))))</f>
        <v/>
      </c>
      <c r="DD39" s="496" t="str">
        <f t="shared" si="75"/>
        <v/>
      </c>
    </row>
    <row r="40" spans="1:108" s="501" customFormat="1" ht="21" x14ac:dyDescent="0.4">
      <c r="A40" s="496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B40" s="496" t="str">
        <f>IF(IDstu36="","",IDstu36)</f>
        <v/>
      </c>
      <c r="C40" s="497" t="str">
        <f>CONCATENATE(TRIM(Name36),"  ",Surname36)</f>
        <v xml:space="preserve">  </v>
      </c>
      <c r="D40" s="498" t="str">
        <f t="shared" si="0"/>
        <v/>
      </c>
      <c r="E40" s="496" t="str">
        <f t="shared" si="1"/>
        <v/>
      </c>
      <c r="F40" s="496" t="str">
        <f t="shared" si="2"/>
        <v/>
      </c>
      <c r="G40" s="497" t="str">
        <f t="shared" si="3"/>
        <v/>
      </c>
      <c r="H40" s="496" t="str">
        <f t="shared" si="4"/>
        <v/>
      </c>
      <c r="I40" s="499"/>
      <c r="J40" s="496" t="str">
        <f t="shared" si="5"/>
        <v/>
      </c>
      <c r="K40" s="497" t="str">
        <f t="shared" si="6"/>
        <v/>
      </c>
      <c r="L40" s="496" t="str">
        <f t="shared" si="7"/>
        <v/>
      </c>
      <c r="M40" s="499"/>
      <c r="N40" s="496" t="str">
        <f t="shared" si="8"/>
        <v/>
      </c>
      <c r="O40" s="497" t="str">
        <f t="shared" si="9"/>
        <v/>
      </c>
      <c r="P40" s="496" t="str">
        <f t="shared" si="10"/>
        <v/>
      </c>
      <c r="Q40" s="499"/>
      <c r="R40" s="496" t="str">
        <f t="shared" si="11"/>
        <v/>
      </c>
      <c r="S40" s="497" t="str">
        <f t="shared" si="12"/>
        <v/>
      </c>
      <c r="T40" s="496" t="str">
        <f t="shared" si="13"/>
        <v/>
      </c>
      <c r="U40" s="499"/>
      <c r="V40" s="496" t="str">
        <f t="shared" si="14"/>
        <v/>
      </c>
      <c r="W40" s="497" t="str">
        <f t="shared" si="15"/>
        <v/>
      </c>
      <c r="X40" s="496" t="str">
        <f t="shared" si="16"/>
        <v/>
      </c>
      <c r="Y40" s="499"/>
      <c r="Z40" s="496" t="str">
        <f t="shared" si="17"/>
        <v/>
      </c>
      <c r="AA40" s="497" t="str">
        <f t="shared" si="18"/>
        <v/>
      </c>
      <c r="AB40" s="496" t="str">
        <f t="shared" si="19"/>
        <v/>
      </c>
      <c r="AC40" s="499"/>
      <c r="AD40" s="496" t="str">
        <f t="shared" si="20"/>
        <v/>
      </c>
      <c r="AE40" s="497" t="str">
        <f t="shared" si="21"/>
        <v/>
      </c>
      <c r="AF40" s="496" t="str">
        <f t="shared" si="22"/>
        <v/>
      </c>
      <c r="AG40" s="499"/>
      <c r="AH40" s="496" t="str">
        <f t="shared" si="23"/>
        <v/>
      </c>
      <c r="AI40" s="497" t="str">
        <f t="shared" si="24"/>
        <v/>
      </c>
      <c r="AJ40" s="496" t="str">
        <f t="shared" si="25"/>
        <v/>
      </c>
      <c r="AK40" s="499"/>
      <c r="AL40" s="496" t="str">
        <f t="shared" si="26"/>
        <v/>
      </c>
      <c r="AM40" s="497" t="str">
        <f t="shared" si="27"/>
        <v/>
      </c>
      <c r="AN40" s="496" t="str">
        <f t="shared" si="28"/>
        <v/>
      </c>
      <c r="AO40" s="499"/>
      <c r="AP40" s="496" t="str">
        <f t="shared" si="29"/>
        <v/>
      </c>
      <c r="AQ40" s="497" t="str">
        <f t="shared" si="30"/>
        <v/>
      </c>
      <c r="AR40" s="496" t="str">
        <f t="shared" si="31"/>
        <v/>
      </c>
      <c r="AS40" s="499"/>
      <c r="AT40" s="496" t="str">
        <f t="shared" si="32"/>
        <v/>
      </c>
      <c r="AU40" s="497" t="str">
        <f t="shared" si="33"/>
        <v/>
      </c>
      <c r="AV40" s="496" t="str">
        <f t="shared" si="34"/>
        <v/>
      </c>
      <c r="AW40" s="499"/>
      <c r="AX40" s="496" t="str">
        <f t="shared" si="35"/>
        <v/>
      </c>
      <c r="AY40" s="497" t="str">
        <f t="shared" si="36"/>
        <v/>
      </c>
      <c r="AZ40" s="496" t="str">
        <f t="shared" si="37"/>
        <v/>
      </c>
      <c r="BA40" s="499"/>
      <c r="BB40" s="496" t="str">
        <f t="shared" si="38"/>
        <v/>
      </c>
      <c r="BC40" s="497" t="str">
        <f t="shared" si="39"/>
        <v/>
      </c>
      <c r="BD40" s="496" t="str">
        <f t="shared" si="40"/>
        <v/>
      </c>
      <c r="BE40" s="499"/>
      <c r="BF40" s="496" t="str">
        <f t="shared" si="41"/>
        <v/>
      </c>
      <c r="BG40" s="497" t="str">
        <f t="shared" si="42"/>
        <v/>
      </c>
      <c r="BH40" s="496" t="str">
        <f t="shared" si="43"/>
        <v/>
      </c>
      <c r="BI40" s="499"/>
      <c r="BJ40" s="496" t="str">
        <f t="shared" si="44"/>
        <v/>
      </c>
      <c r="BK40" s="497" t="str">
        <f t="shared" si="45"/>
        <v/>
      </c>
      <c r="BL40" s="496" t="str">
        <f t="shared" si="46"/>
        <v/>
      </c>
      <c r="BM40" s="499"/>
      <c r="BN40" s="496" t="str">
        <f t="shared" si="47"/>
        <v/>
      </c>
      <c r="BO40" s="497" t="str">
        <f t="shared" si="48"/>
        <v/>
      </c>
      <c r="BP40" s="496" t="str">
        <f t="shared" si="49"/>
        <v/>
      </c>
      <c r="BQ40" s="499"/>
      <c r="BR40" s="496" t="str">
        <f t="shared" si="50"/>
        <v/>
      </c>
      <c r="BS40" s="497" t="str">
        <f t="shared" si="51"/>
        <v/>
      </c>
      <c r="BT40" s="496" t="str">
        <f t="shared" si="52"/>
        <v/>
      </c>
      <c r="BU40" s="499"/>
      <c r="BV40" s="496" t="str">
        <f t="shared" si="53"/>
        <v/>
      </c>
      <c r="BW40" s="497" t="str">
        <f t="shared" si="54"/>
        <v/>
      </c>
      <c r="BX40" s="496" t="str">
        <f t="shared" si="55"/>
        <v/>
      </c>
      <c r="BY40" s="499"/>
      <c r="BZ40" s="496" t="str">
        <f t="shared" si="56"/>
        <v/>
      </c>
      <c r="CA40" s="497" t="str">
        <f t="shared" si="57"/>
        <v/>
      </c>
      <c r="CB40" s="496" t="str">
        <f t="shared" si="58"/>
        <v/>
      </c>
      <c r="CC40" s="499"/>
      <c r="CD40" s="496" t="str">
        <f t="shared" si="59"/>
        <v/>
      </c>
      <c r="CE40" s="497" t="str">
        <f t="shared" si="60"/>
        <v/>
      </c>
      <c r="CF40" s="496" t="str">
        <f t="shared" si="61"/>
        <v/>
      </c>
      <c r="CG40" s="499"/>
      <c r="CH40" s="496" t="str">
        <f t="shared" si="62"/>
        <v/>
      </c>
      <c r="CI40" s="497" t="str">
        <f t="shared" si="63"/>
        <v/>
      </c>
      <c r="CJ40" s="496" t="str">
        <f t="shared" si="64"/>
        <v/>
      </c>
      <c r="CK40" s="499"/>
      <c r="CL40" s="496" t="str">
        <f t="shared" si="65"/>
        <v/>
      </c>
      <c r="CM40" s="497" t="str">
        <f t="shared" si="66"/>
        <v/>
      </c>
      <c r="CN40" s="496" t="str">
        <f t="shared" si="67"/>
        <v/>
      </c>
      <c r="CO40" s="499"/>
      <c r="CP40" s="496" t="str">
        <f t="shared" si="68"/>
        <v/>
      </c>
      <c r="CQ40" s="497" t="str">
        <f t="shared" si="69"/>
        <v/>
      </c>
      <c r="CR40" s="496" t="str">
        <f t="shared" si="70"/>
        <v/>
      </c>
      <c r="CS40" s="499"/>
      <c r="CT40" s="496" t="str">
        <f t="shared" si="71"/>
        <v/>
      </c>
      <c r="CU40" s="497" t="str">
        <f t="shared" si="72"/>
        <v/>
      </c>
      <c r="CV40" s="496" t="str">
        <f t="shared" si="73"/>
        <v/>
      </c>
      <c r="CW40" s="499"/>
      <c r="CX40" s="496" t="str">
        <f>IF('1.ข้อมูลเบื้องต้น'!$B$32="","",IF($A40="","",'1.ข้อมูลเบื้องต้น'!$B$32))</f>
        <v/>
      </c>
      <c r="CY40" s="497" t="str">
        <f>IF('1.ข้อมูลเบื้องต้น'!$C$32="","",IF($A40="","",'1.ข้อมูลเบื้องต้น'!$C$32))</f>
        <v/>
      </c>
      <c r="CZ40" s="496" t="str">
        <f>IF('1.ข้อมูลเบื้องต้น'!$D$32="","",IF($A40="","",'1.ข้อมูลเบื้องต้น'!$D$32))</f>
        <v/>
      </c>
      <c r="DA40" s="499"/>
      <c r="DB40" s="496" t="str">
        <f t="shared" si="74"/>
        <v/>
      </c>
      <c r="DC40" s="498" t="str">
        <f>IF('2.ชื่อนักเรียน'!R46="มส","มส",IF('2.ชื่อนักเรียน'!R46="ย้าย","ย้าย",IF('2.ชื่อนักเรียน'!R46="ร","ร",IF(DB40="","",RANK(DB40,$DB$5:$DB$49,0)))))</f>
        <v/>
      </c>
      <c r="DD40" s="496" t="str">
        <f t="shared" si="75"/>
        <v/>
      </c>
    </row>
    <row r="41" spans="1:108" s="501" customFormat="1" ht="21" x14ac:dyDescent="0.4">
      <c r="A41" s="496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B41" s="496" t="str">
        <f>IF(IDstu37="","",IDstu37)</f>
        <v/>
      </c>
      <c r="C41" s="497" t="str">
        <f>CONCATENATE(TRIM(Name37),"  ",Surname37)</f>
        <v xml:space="preserve">  </v>
      </c>
      <c r="D41" s="498" t="str">
        <f t="shared" si="0"/>
        <v/>
      </c>
      <c r="E41" s="496" t="str">
        <f t="shared" si="1"/>
        <v/>
      </c>
      <c r="F41" s="496" t="str">
        <f t="shared" si="2"/>
        <v/>
      </c>
      <c r="G41" s="497" t="str">
        <f t="shared" si="3"/>
        <v/>
      </c>
      <c r="H41" s="496" t="str">
        <f t="shared" si="4"/>
        <v/>
      </c>
      <c r="I41" s="499"/>
      <c r="J41" s="496" t="str">
        <f t="shared" si="5"/>
        <v/>
      </c>
      <c r="K41" s="497" t="str">
        <f t="shared" si="6"/>
        <v/>
      </c>
      <c r="L41" s="496" t="str">
        <f t="shared" si="7"/>
        <v/>
      </c>
      <c r="M41" s="499"/>
      <c r="N41" s="496" t="str">
        <f t="shared" si="8"/>
        <v/>
      </c>
      <c r="O41" s="497" t="str">
        <f t="shared" si="9"/>
        <v/>
      </c>
      <c r="P41" s="496" t="str">
        <f t="shared" si="10"/>
        <v/>
      </c>
      <c r="Q41" s="499"/>
      <c r="R41" s="496" t="str">
        <f t="shared" si="11"/>
        <v/>
      </c>
      <c r="S41" s="497" t="str">
        <f t="shared" si="12"/>
        <v/>
      </c>
      <c r="T41" s="496" t="str">
        <f t="shared" si="13"/>
        <v/>
      </c>
      <c r="U41" s="499"/>
      <c r="V41" s="496" t="str">
        <f t="shared" si="14"/>
        <v/>
      </c>
      <c r="W41" s="497" t="str">
        <f t="shared" si="15"/>
        <v/>
      </c>
      <c r="X41" s="496" t="str">
        <f t="shared" si="16"/>
        <v/>
      </c>
      <c r="Y41" s="499"/>
      <c r="Z41" s="496" t="str">
        <f t="shared" si="17"/>
        <v/>
      </c>
      <c r="AA41" s="497" t="str">
        <f t="shared" si="18"/>
        <v/>
      </c>
      <c r="AB41" s="496" t="str">
        <f t="shared" si="19"/>
        <v/>
      </c>
      <c r="AC41" s="499"/>
      <c r="AD41" s="496" t="str">
        <f t="shared" si="20"/>
        <v/>
      </c>
      <c r="AE41" s="497" t="str">
        <f t="shared" si="21"/>
        <v/>
      </c>
      <c r="AF41" s="496" t="str">
        <f t="shared" si="22"/>
        <v/>
      </c>
      <c r="AG41" s="499"/>
      <c r="AH41" s="496" t="str">
        <f t="shared" si="23"/>
        <v/>
      </c>
      <c r="AI41" s="497" t="str">
        <f t="shared" si="24"/>
        <v/>
      </c>
      <c r="AJ41" s="496" t="str">
        <f t="shared" si="25"/>
        <v/>
      </c>
      <c r="AK41" s="499"/>
      <c r="AL41" s="496" t="str">
        <f t="shared" si="26"/>
        <v/>
      </c>
      <c r="AM41" s="497" t="str">
        <f t="shared" si="27"/>
        <v/>
      </c>
      <c r="AN41" s="496" t="str">
        <f t="shared" si="28"/>
        <v/>
      </c>
      <c r="AO41" s="499"/>
      <c r="AP41" s="496" t="str">
        <f t="shared" si="29"/>
        <v/>
      </c>
      <c r="AQ41" s="497" t="str">
        <f t="shared" si="30"/>
        <v/>
      </c>
      <c r="AR41" s="496" t="str">
        <f t="shared" si="31"/>
        <v/>
      </c>
      <c r="AS41" s="499"/>
      <c r="AT41" s="496" t="str">
        <f t="shared" si="32"/>
        <v/>
      </c>
      <c r="AU41" s="497" t="str">
        <f t="shared" si="33"/>
        <v/>
      </c>
      <c r="AV41" s="496" t="str">
        <f t="shared" si="34"/>
        <v/>
      </c>
      <c r="AW41" s="499"/>
      <c r="AX41" s="496" t="str">
        <f t="shared" si="35"/>
        <v/>
      </c>
      <c r="AY41" s="497" t="str">
        <f t="shared" si="36"/>
        <v/>
      </c>
      <c r="AZ41" s="496" t="str">
        <f t="shared" si="37"/>
        <v/>
      </c>
      <c r="BA41" s="499"/>
      <c r="BB41" s="496" t="str">
        <f t="shared" si="38"/>
        <v/>
      </c>
      <c r="BC41" s="497" t="str">
        <f t="shared" si="39"/>
        <v/>
      </c>
      <c r="BD41" s="496" t="str">
        <f t="shared" si="40"/>
        <v/>
      </c>
      <c r="BE41" s="499"/>
      <c r="BF41" s="496" t="str">
        <f t="shared" si="41"/>
        <v/>
      </c>
      <c r="BG41" s="497" t="str">
        <f t="shared" si="42"/>
        <v/>
      </c>
      <c r="BH41" s="496" t="str">
        <f t="shared" si="43"/>
        <v/>
      </c>
      <c r="BI41" s="499"/>
      <c r="BJ41" s="496" t="str">
        <f t="shared" si="44"/>
        <v/>
      </c>
      <c r="BK41" s="497" t="str">
        <f t="shared" si="45"/>
        <v/>
      </c>
      <c r="BL41" s="496" t="str">
        <f t="shared" si="46"/>
        <v/>
      </c>
      <c r="BM41" s="499"/>
      <c r="BN41" s="496" t="str">
        <f t="shared" si="47"/>
        <v/>
      </c>
      <c r="BO41" s="497" t="str">
        <f t="shared" si="48"/>
        <v/>
      </c>
      <c r="BP41" s="496" t="str">
        <f t="shared" si="49"/>
        <v/>
      </c>
      <c r="BQ41" s="499"/>
      <c r="BR41" s="496" t="str">
        <f t="shared" si="50"/>
        <v/>
      </c>
      <c r="BS41" s="497" t="str">
        <f t="shared" si="51"/>
        <v/>
      </c>
      <c r="BT41" s="496" t="str">
        <f t="shared" si="52"/>
        <v/>
      </c>
      <c r="BU41" s="499"/>
      <c r="BV41" s="496" t="str">
        <f t="shared" si="53"/>
        <v/>
      </c>
      <c r="BW41" s="497" t="str">
        <f t="shared" si="54"/>
        <v/>
      </c>
      <c r="BX41" s="496" t="str">
        <f t="shared" si="55"/>
        <v/>
      </c>
      <c r="BY41" s="499"/>
      <c r="BZ41" s="496" t="str">
        <f t="shared" si="56"/>
        <v/>
      </c>
      <c r="CA41" s="497" t="str">
        <f t="shared" si="57"/>
        <v/>
      </c>
      <c r="CB41" s="496" t="str">
        <f t="shared" si="58"/>
        <v/>
      </c>
      <c r="CC41" s="499"/>
      <c r="CD41" s="496" t="str">
        <f t="shared" si="59"/>
        <v/>
      </c>
      <c r="CE41" s="497" t="str">
        <f t="shared" si="60"/>
        <v/>
      </c>
      <c r="CF41" s="496" t="str">
        <f t="shared" si="61"/>
        <v/>
      </c>
      <c r="CG41" s="499"/>
      <c r="CH41" s="496" t="str">
        <f t="shared" si="62"/>
        <v/>
      </c>
      <c r="CI41" s="497" t="str">
        <f t="shared" si="63"/>
        <v/>
      </c>
      <c r="CJ41" s="496" t="str">
        <f t="shared" si="64"/>
        <v/>
      </c>
      <c r="CK41" s="499"/>
      <c r="CL41" s="496" t="str">
        <f t="shared" si="65"/>
        <v/>
      </c>
      <c r="CM41" s="497" t="str">
        <f t="shared" si="66"/>
        <v/>
      </c>
      <c r="CN41" s="496" t="str">
        <f t="shared" si="67"/>
        <v/>
      </c>
      <c r="CO41" s="499"/>
      <c r="CP41" s="496" t="str">
        <f t="shared" si="68"/>
        <v/>
      </c>
      <c r="CQ41" s="497" t="str">
        <f t="shared" si="69"/>
        <v/>
      </c>
      <c r="CR41" s="496" t="str">
        <f t="shared" si="70"/>
        <v/>
      </c>
      <c r="CS41" s="499"/>
      <c r="CT41" s="496" t="str">
        <f t="shared" si="71"/>
        <v/>
      </c>
      <c r="CU41" s="497" t="str">
        <f t="shared" si="72"/>
        <v/>
      </c>
      <c r="CV41" s="496" t="str">
        <f t="shared" si="73"/>
        <v/>
      </c>
      <c r="CW41" s="499"/>
      <c r="CX41" s="496" t="str">
        <f>IF('1.ข้อมูลเบื้องต้น'!$B$32="","",IF($A41="","",'1.ข้อมูลเบื้องต้น'!$B$32))</f>
        <v/>
      </c>
      <c r="CY41" s="497" t="str">
        <f>IF('1.ข้อมูลเบื้องต้น'!$C$32="","",IF($A41="","",'1.ข้อมูลเบื้องต้น'!$C$32))</f>
        <v/>
      </c>
      <c r="CZ41" s="496" t="str">
        <f>IF('1.ข้อมูลเบื้องต้น'!$D$32="","",IF($A41="","",'1.ข้อมูลเบื้องต้น'!$D$32))</f>
        <v/>
      </c>
      <c r="DA41" s="499"/>
      <c r="DB41" s="496" t="str">
        <f t="shared" si="74"/>
        <v/>
      </c>
      <c r="DC41" s="498" t="str">
        <f>IF('2.ชื่อนักเรียน'!R47="มส","มส",IF('2.ชื่อนักเรียน'!R47="ย้าย","ย้าย",IF('2.ชื่อนักเรียน'!R47="ร","ร",IF(DB41="","",RANK(DB41,$DB$5:$DB$49,0)))))</f>
        <v/>
      </c>
      <c r="DD41" s="496" t="str">
        <f t="shared" si="75"/>
        <v/>
      </c>
    </row>
    <row r="42" spans="1:108" s="501" customFormat="1" ht="21" x14ac:dyDescent="0.4">
      <c r="A42" s="496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B42" s="496" t="str">
        <f>IF(IDstu38="","",IDstu38)</f>
        <v/>
      </c>
      <c r="C42" s="497" t="str">
        <f>CONCATENATE(TRIM(Name38),"  ",Surname38)</f>
        <v xml:space="preserve">  </v>
      </c>
      <c r="D42" s="498" t="str">
        <f t="shared" si="0"/>
        <v/>
      </c>
      <c r="E42" s="496" t="str">
        <f t="shared" si="1"/>
        <v/>
      </c>
      <c r="F42" s="496" t="str">
        <f t="shared" si="2"/>
        <v/>
      </c>
      <c r="G42" s="497" t="str">
        <f t="shared" si="3"/>
        <v/>
      </c>
      <c r="H42" s="496" t="str">
        <f t="shared" si="4"/>
        <v/>
      </c>
      <c r="I42" s="499"/>
      <c r="J42" s="496" t="str">
        <f t="shared" si="5"/>
        <v/>
      </c>
      <c r="K42" s="497" t="str">
        <f t="shared" si="6"/>
        <v/>
      </c>
      <c r="L42" s="496" t="str">
        <f t="shared" si="7"/>
        <v/>
      </c>
      <c r="M42" s="499"/>
      <c r="N42" s="496" t="str">
        <f t="shared" si="8"/>
        <v/>
      </c>
      <c r="O42" s="497" t="str">
        <f t="shared" si="9"/>
        <v/>
      </c>
      <c r="P42" s="496" t="str">
        <f t="shared" si="10"/>
        <v/>
      </c>
      <c r="Q42" s="499"/>
      <c r="R42" s="496" t="str">
        <f t="shared" si="11"/>
        <v/>
      </c>
      <c r="S42" s="497" t="str">
        <f t="shared" si="12"/>
        <v/>
      </c>
      <c r="T42" s="496" t="str">
        <f t="shared" si="13"/>
        <v/>
      </c>
      <c r="U42" s="499"/>
      <c r="V42" s="496" t="str">
        <f t="shared" si="14"/>
        <v/>
      </c>
      <c r="W42" s="497" t="str">
        <f t="shared" si="15"/>
        <v/>
      </c>
      <c r="X42" s="496" t="str">
        <f t="shared" si="16"/>
        <v/>
      </c>
      <c r="Y42" s="499"/>
      <c r="Z42" s="496" t="str">
        <f t="shared" si="17"/>
        <v/>
      </c>
      <c r="AA42" s="497" t="str">
        <f t="shared" si="18"/>
        <v/>
      </c>
      <c r="AB42" s="496" t="str">
        <f t="shared" si="19"/>
        <v/>
      </c>
      <c r="AC42" s="499"/>
      <c r="AD42" s="496" t="str">
        <f t="shared" si="20"/>
        <v/>
      </c>
      <c r="AE42" s="497" t="str">
        <f t="shared" si="21"/>
        <v/>
      </c>
      <c r="AF42" s="496" t="str">
        <f t="shared" si="22"/>
        <v/>
      </c>
      <c r="AG42" s="499"/>
      <c r="AH42" s="496" t="str">
        <f t="shared" si="23"/>
        <v/>
      </c>
      <c r="AI42" s="497" t="str">
        <f t="shared" si="24"/>
        <v/>
      </c>
      <c r="AJ42" s="496" t="str">
        <f t="shared" si="25"/>
        <v/>
      </c>
      <c r="AK42" s="499"/>
      <c r="AL42" s="496" t="str">
        <f t="shared" si="26"/>
        <v/>
      </c>
      <c r="AM42" s="497" t="str">
        <f t="shared" si="27"/>
        <v/>
      </c>
      <c r="AN42" s="496" t="str">
        <f t="shared" si="28"/>
        <v/>
      </c>
      <c r="AO42" s="499"/>
      <c r="AP42" s="496" t="str">
        <f t="shared" si="29"/>
        <v/>
      </c>
      <c r="AQ42" s="497" t="str">
        <f t="shared" si="30"/>
        <v/>
      </c>
      <c r="AR42" s="496" t="str">
        <f t="shared" si="31"/>
        <v/>
      </c>
      <c r="AS42" s="499"/>
      <c r="AT42" s="496" t="str">
        <f t="shared" si="32"/>
        <v/>
      </c>
      <c r="AU42" s="497" t="str">
        <f t="shared" si="33"/>
        <v/>
      </c>
      <c r="AV42" s="496" t="str">
        <f t="shared" si="34"/>
        <v/>
      </c>
      <c r="AW42" s="499"/>
      <c r="AX42" s="496" t="str">
        <f t="shared" si="35"/>
        <v/>
      </c>
      <c r="AY42" s="497" t="str">
        <f t="shared" si="36"/>
        <v/>
      </c>
      <c r="AZ42" s="496" t="str">
        <f t="shared" si="37"/>
        <v/>
      </c>
      <c r="BA42" s="499"/>
      <c r="BB42" s="496" t="str">
        <f t="shared" si="38"/>
        <v/>
      </c>
      <c r="BC42" s="497" t="str">
        <f t="shared" si="39"/>
        <v/>
      </c>
      <c r="BD42" s="496" t="str">
        <f t="shared" si="40"/>
        <v/>
      </c>
      <c r="BE42" s="499"/>
      <c r="BF42" s="496" t="str">
        <f t="shared" si="41"/>
        <v/>
      </c>
      <c r="BG42" s="497" t="str">
        <f t="shared" si="42"/>
        <v/>
      </c>
      <c r="BH42" s="496" t="str">
        <f t="shared" si="43"/>
        <v/>
      </c>
      <c r="BI42" s="499"/>
      <c r="BJ42" s="496" t="str">
        <f t="shared" si="44"/>
        <v/>
      </c>
      <c r="BK42" s="497" t="str">
        <f t="shared" si="45"/>
        <v/>
      </c>
      <c r="BL42" s="496" t="str">
        <f t="shared" si="46"/>
        <v/>
      </c>
      <c r="BM42" s="499"/>
      <c r="BN42" s="496" t="str">
        <f t="shared" si="47"/>
        <v/>
      </c>
      <c r="BO42" s="497" t="str">
        <f t="shared" si="48"/>
        <v/>
      </c>
      <c r="BP42" s="496" t="str">
        <f t="shared" si="49"/>
        <v/>
      </c>
      <c r="BQ42" s="499"/>
      <c r="BR42" s="496" t="str">
        <f t="shared" si="50"/>
        <v/>
      </c>
      <c r="BS42" s="497" t="str">
        <f t="shared" si="51"/>
        <v/>
      </c>
      <c r="BT42" s="496" t="str">
        <f t="shared" si="52"/>
        <v/>
      </c>
      <c r="BU42" s="499"/>
      <c r="BV42" s="496" t="str">
        <f t="shared" si="53"/>
        <v/>
      </c>
      <c r="BW42" s="497" t="str">
        <f t="shared" si="54"/>
        <v/>
      </c>
      <c r="BX42" s="496" t="str">
        <f t="shared" si="55"/>
        <v/>
      </c>
      <c r="BY42" s="499"/>
      <c r="BZ42" s="496" t="str">
        <f t="shared" si="56"/>
        <v/>
      </c>
      <c r="CA42" s="497" t="str">
        <f t="shared" si="57"/>
        <v/>
      </c>
      <c r="CB42" s="496" t="str">
        <f t="shared" si="58"/>
        <v/>
      </c>
      <c r="CC42" s="499"/>
      <c r="CD42" s="496" t="str">
        <f t="shared" si="59"/>
        <v/>
      </c>
      <c r="CE42" s="497" t="str">
        <f t="shared" si="60"/>
        <v/>
      </c>
      <c r="CF42" s="496" t="str">
        <f t="shared" si="61"/>
        <v/>
      </c>
      <c r="CG42" s="499"/>
      <c r="CH42" s="496" t="str">
        <f t="shared" si="62"/>
        <v/>
      </c>
      <c r="CI42" s="497" t="str">
        <f t="shared" si="63"/>
        <v/>
      </c>
      <c r="CJ42" s="496" t="str">
        <f t="shared" si="64"/>
        <v/>
      </c>
      <c r="CK42" s="499"/>
      <c r="CL42" s="496" t="str">
        <f t="shared" si="65"/>
        <v/>
      </c>
      <c r="CM42" s="497" t="str">
        <f t="shared" si="66"/>
        <v/>
      </c>
      <c r="CN42" s="496" t="str">
        <f t="shared" si="67"/>
        <v/>
      </c>
      <c r="CO42" s="499"/>
      <c r="CP42" s="496" t="str">
        <f t="shared" si="68"/>
        <v/>
      </c>
      <c r="CQ42" s="497" t="str">
        <f t="shared" si="69"/>
        <v/>
      </c>
      <c r="CR42" s="496" t="str">
        <f t="shared" si="70"/>
        <v/>
      </c>
      <c r="CS42" s="499"/>
      <c r="CT42" s="496" t="str">
        <f t="shared" si="71"/>
        <v/>
      </c>
      <c r="CU42" s="497" t="str">
        <f t="shared" si="72"/>
        <v/>
      </c>
      <c r="CV42" s="496" t="str">
        <f t="shared" si="73"/>
        <v/>
      </c>
      <c r="CW42" s="499"/>
      <c r="CX42" s="496" t="str">
        <f>IF('1.ข้อมูลเบื้องต้น'!$B$32="","",IF($A42="","",'1.ข้อมูลเบื้องต้น'!$B$32))</f>
        <v/>
      </c>
      <c r="CY42" s="497" t="str">
        <f>IF('1.ข้อมูลเบื้องต้น'!$C$32="","",IF($A42="","",'1.ข้อมูลเบื้องต้น'!$C$32))</f>
        <v/>
      </c>
      <c r="CZ42" s="496" t="str">
        <f>IF('1.ข้อมูลเบื้องต้น'!$D$32="","",IF($A42="","",'1.ข้อมูลเบื้องต้น'!$D$32))</f>
        <v/>
      </c>
      <c r="DA42" s="499"/>
      <c r="DB42" s="496" t="str">
        <f t="shared" si="74"/>
        <v/>
      </c>
      <c r="DC42" s="498" t="str">
        <f>IF('2.ชื่อนักเรียน'!R48="มส","มส",IF('2.ชื่อนักเรียน'!R48="ย้าย","ย้าย",IF('2.ชื่อนักเรียน'!R48="ร","ร",IF(DB42="","",RANK(DB42,$DB$5:$DB$49,0)))))</f>
        <v/>
      </c>
      <c r="DD42" s="496" t="str">
        <f t="shared" si="75"/>
        <v/>
      </c>
    </row>
    <row r="43" spans="1:108" s="501" customFormat="1" ht="21" x14ac:dyDescent="0.4">
      <c r="A43" s="496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B43" s="496" t="str">
        <f>IF(IDstu39="","",IDstu39)</f>
        <v/>
      </c>
      <c r="C43" s="497" t="str">
        <f>CONCATENATE(TRIM(Name39),"  ",Surname39)</f>
        <v xml:space="preserve">  </v>
      </c>
      <c r="D43" s="498" t="str">
        <f t="shared" si="0"/>
        <v/>
      </c>
      <c r="E43" s="496" t="str">
        <f t="shared" si="1"/>
        <v/>
      </c>
      <c r="F43" s="496" t="str">
        <f t="shared" si="2"/>
        <v/>
      </c>
      <c r="G43" s="497" t="str">
        <f t="shared" si="3"/>
        <v/>
      </c>
      <c r="H43" s="496" t="str">
        <f t="shared" si="4"/>
        <v/>
      </c>
      <c r="I43" s="499"/>
      <c r="J43" s="496" t="str">
        <f t="shared" si="5"/>
        <v/>
      </c>
      <c r="K43" s="497" t="str">
        <f t="shared" si="6"/>
        <v/>
      </c>
      <c r="L43" s="496" t="str">
        <f t="shared" si="7"/>
        <v/>
      </c>
      <c r="M43" s="499"/>
      <c r="N43" s="496" t="str">
        <f t="shared" si="8"/>
        <v/>
      </c>
      <c r="O43" s="497" t="str">
        <f t="shared" si="9"/>
        <v/>
      </c>
      <c r="P43" s="496" t="str">
        <f t="shared" si="10"/>
        <v/>
      </c>
      <c r="Q43" s="499"/>
      <c r="R43" s="496" t="str">
        <f t="shared" si="11"/>
        <v/>
      </c>
      <c r="S43" s="497" t="str">
        <f t="shared" si="12"/>
        <v/>
      </c>
      <c r="T43" s="496" t="str">
        <f t="shared" si="13"/>
        <v/>
      </c>
      <c r="U43" s="499"/>
      <c r="V43" s="496" t="str">
        <f t="shared" si="14"/>
        <v/>
      </c>
      <c r="W43" s="497" t="str">
        <f t="shared" si="15"/>
        <v/>
      </c>
      <c r="X43" s="496" t="str">
        <f t="shared" si="16"/>
        <v/>
      </c>
      <c r="Y43" s="499"/>
      <c r="Z43" s="496" t="str">
        <f t="shared" si="17"/>
        <v/>
      </c>
      <c r="AA43" s="497" t="str">
        <f t="shared" si="18"/>
        <v/>
      </c>
      <c r="AB43" s="496" t="str">
        <f t="shared" si="19"/>
        <v/>
      </c>
      <c r="AC43" s="499"/>
      <c r="AD43" s="496" t="str">
        <f t="shared" si="20"/>
        <v/>
      </c>
      <c r="AE43" s="497" t="str">
        <f t="shared" si="21"/>
        <v/>
      </c>
      <c r="AF43" s="496" t="str">
        <f t="shared" si="22"/>
        <v/>
      </c>
      <c r="AG43" s="499"/>
      <c r="AH43" s="496" t="str">
        <f t="shared" si="23"/>
        <v/>
      </c>
      <c r="AI43" s="497" t="str">
        <f t="shared" si="24"/>
        <v/>
      </c>
      <c r="AJ43" s="496" t="str">
        <f t="shared" si="25"/>
        <v/>
      </c>
      <c r="AK43" s="499"/>
      <c r="AL43" s="496" t="str">
        <f t="shared" si="26"/>
        <v/>
      </c>
      <c r="AM43" s="497" t="str">
        <f t="shared" si="27"/>
        <v/>
      </c>
      <c r="AN43" s="496" t="str">
        <f t="shared" si="28"/>
        <v/>
      </c>
      <c r="AO43" s="499"/>
      <c r="AP43" s="496" t="str">
        <f t="shared" si="29"/>
        <v/>
      </c>
      <c r="AQ43" s="497" t="str">
        <f t="shared" si="30"/>
        <v/>
      </c>
      <c r="AR43" s="496" t="str">
        <f t="shared" si="31"/>
        <v/>
      </c>
      <c r="AS43" s="499"/>
      <c r="AT43" s="496" t="str">
        <f t="shared" si="32"/>
        <v/>
      </c>
      <c r="AU43" s="497" t="str">
        <f t="shared" si="33"/>
        <v/>
      </c>
      <c r="AV43" s="496" t="str">
        <f t="shared" si="34"/>
        <v/>
      </c>
      <c r="AW43" s="499"/>
      <c r="AX43" s="496" t="str">
        <f t="shared" si="35"/>
        <v/>
      </c>
      <c r="AY43" s="497" t="str">
        <f t="shared" si="36"/>
        <v/>
      </c>
      <c r="AZ43" s="496" t="str">
        <f t="shared" si="37"/>
        <v/>
      </c>
      <c r="BA43" s="499"/>
      <c r="BB43" s="496" t="str">
        <f t="shared" si="38"/>
        <v/>
      </c>
      <c r="BC43" s="497" t="str">
        <f t="shared" si="39"/>
        <v/>
      </c>
      <c r="BD43" s="496" t="str">
        <f t="shared" si="40"/>
        <v/>
      </c>
      <c r="BE43" s="499"/>
      <c r="BF43" s="496" t="str">
        <f t="shared" si="41"/>
        <v/>
      </c>
      <c r="BG43" s="497" t="str">
        <f t="shared" si="42"/>
        <v/>
      </c>
      <c r="BH43" s="496" t="str">
        <f t="shared" si="43"/>
        <v/>
      </c>
      <c r="BI43" s="499"/>
      <c r="BJ43" s="496" t="str">
        <f t="shared" si="44"/>
        <v/>
      </c>
      <c r="BK43" s="497" t="str">
        <f t="shared" si="45"/>
        <v/>
      </c>
      <c r="BL43" s="496" t="str">
        <f t="shared" si="46"/>
        <v/>
      </c>
      <c r="BM43" s="499"/>
      <c r="BN43" s="496" t="str">
        <f t="shared" si="47"/>
        <v/>
      </c>
      <c r="BO43" s="497" t="str">
        <f t="shared" si="48"/>
        <v/>
      </c>
      <c r="BP43" s="496" t="str">
        <f t="shared" si="49"/>
        <v/>
      </c>
      <c r="BQ43" s="499"/>
      <c r="BR43" s="496" t="str">
        <f t="shared" si="50"/>
        <v/>
      </c>
      <c r="BS43" s="497" t="str">
        <f t="shared" si="51"/>
        <v/>
      </c>
      <c r="BT43" s="496" t="str">
        <f t="shared" si="52"/>
        <v/>
      </c>
      <c r="BU43" s="499"/>
      <c r="BV43" s="496" t="str">
        <f t="shared" si="53"/>
        <v/>
      </c>
      <c r="BW43" s="497" t="str">
        <f t="shared" si="54"/>
        <v/>
      </c>
      <c r="BX43" s="496" t="str">
        <f t="shared" si="55"/>
        <v/>
      </c>
      <c r="BY43" s="499"/>
      <c r="BZ43" s="496" t="str">
        <f t="shared" si="56"/>
        <v/>
      </c>
      <c r="CA43" s="497" t="str">
        <f t="shared" si="57"/>
        <v/>
      </c>
      <c r="CB43" s="496" t="str">
        <f t="shared" si="58"/>
        <v/>
      </c>
      <c r="CC43" s="499"/>
      <c r="CD43" s="496" t="str">
        <f t="shared" si="59"/>
        <v/>
      </c>
      <c r="CE43" s="497" t="str">
        <f t="shared" si="60"/>
        <v/>
      </c>
      <c r="CF43" s="496" t="str">
        <f t="shared" si="61"/>
        <v/>
      </c>
      <c r="CG43" s="499"/>
      <c r="CH43" s="496" t="str">
        <f t="shared" si="62"/>
        <v/>
      </c>
      <c r="CI43" s="497" t="str">
        <f t="shared" si="63"/>
        <v/>
      </c>
      <c r="CJ43" s="496" t="str">
        <f t="shared" si="64"/>
        <v/>
      </c>
      <c r="CK43" s="499"/>
      <c r="CL43" s="496" t="str">
        <f t="shared" si="65"/>
        <v/>
      </c>
      <c r="CM43" s="497" t="str">
        <f t="shared" si="66"/>
        <v/>
      </c>
      <c r="CN43" s="496" t="str">
        <f t="shared" si="67"/>
        <v/>
      </c>
      <c r="CO43" s="499"/>
      <c r="CP43" s="496" t="str">
        <f t="shared" si="68"/>
        <v/>
      </c>
      <c r="CQ43" s="497" t="str">
        <f t="shared" si="69"/>
        <v/>
      </c>
      <c r="CR43" s="496" t="str">
        <f t="shared" si="70"/>
        <v/>
      </c>
      <c r="CS43" s="499"/>
      <c r="CT43" s="496" t="str">
        <f t="shared" si="71"/>
        <v/>
      </c>
      <c r="CU43" s="497" t="str">
        <f t="shared" si="72"/>
        <v/>
      </c>
      <c r="CV43" s="496" t="str">
        <f t="shared" si="73"/>
        <v/>
      </c>
      <c r="CW43" s="499"/>
      <c r="CX43" s="496" t="str">
        <f>IF('1.ข้อมูลเบื้องต้น'!$B$32="","",IF($A43="","",'1.ข้อมูลเบื้องต้น'!$B$32))</f>
        <v/>
      </c>
      <c r="CY43" s="497" t="str">
        <f>IF('1.ข้อมูลเบื้องต้น'!$C$32="","",IF($A43="","",'1.ข้อมูลเบื้องต้น'!$C$32))</f>
        <v/>
      </c>
      <c r="CZ43" s="496" t="str">
        <f>IF('1.ข้อมูลเบื้องต้น'!$D$32="","",IF($A43="","",'1.ข้อมูลเบื้องต้น'!$D$32))</f>
        <v/>
      </c>
      <c r="DA43" s="499"/>
      <c r="DB43" s="496" t="str">
        <f t="shared" si="74"/>
        <v/>
      </c>
      <c r="DC43" s="498" t="str">
        <f>IF('2.ชื่อนักเรียน'!R49="มส","มส",IF('2.ชื่อนักเรียน'!R49="ย้าย","ย้าย",IF('2.ชื่อนักเรียน'!R49="ร","ร",IF(DB43="","",RANK(DB43,$DB$5:$DB$49,0)))))</f>
        <v/>
      </c>
      <c r="DD43" s="496" t="str">
        <f t="shared" si="75"/>
        <v/>
      </c>
    </row>
    <row r="44" spans="1:108" s="501" customFormat="1" ht="21" x14ac:dyDescent="0.4">
      <c r="A44" s="496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B44" s="496" t="str">
        <f>IF(IDstu40="","",IDstu40)</f>
        <v/>
      </c>
      <c r="C44" s="497" t="str">
        <f>CONCATENATE(TRIM(Name40),"  ",Surname40)</f>
        <v xml:space="preserve">  </v>
      </c>
      <c r="D44" s="498" t="str">
        <f t="shared" si="0"/>
        <v/>
      </c>
      <c r="E44" s="496" t="str">
        <f t="shared" si="1"/>
        <v/>
      </c>
      <c r="F44" s="496" t="str">
        <f t="shared" si="2"/>
        <v/>
      </c>
      <c r="G44" s="497" t="str">
        <f t="shared" si="3"/>
        <v/>
      </c>
      <c r="H44" s="496" t="str">
        <f t="shared" si="4"/>
        <v/>
      </c>
      <c r="I44" s="499"/>
      <c r="J44" s="496" t="str">
        <f t="shared" si="5"/>
        <v/>
      </c>
      <c r="K44" s="497" t="str">
        <f t="shared" si="6"/>
        <v/>
      </c>
      <c r="L44" s="496" t="str">
        <f t="shared" si="7"/>
        <v/>
      </c>
      <c r="M44" s="499"/>
      <c r="N44" s="496" t="str">
        <f t="shared" si="8"/>
        <v/>
      </c>
      <c r="O44" s="497" t="str">
        <f t="shared" si="9"/>
        <v/>
      </c>
      <c r="P44" s="496" t="str">
        <f t="shared" si="10"/>
        <v/>
      </c>
      <c r="Q44" s="499"/>
      <c r="R44" s="496" t="str">
        <f t="shared" si="11"/>
        <v/>
      </c>
      <c r="S44" s="497" t="str">
        <f t="shared" si="12"/>
        <v/>
      </c>
      <c r="T44" s="496" t="str">
        <f t="shared" si="13"/>
        <v/>
      </c>
      <c r="U44" s="499"/>
      <c r="V44" s="496" t="str">
        <f t="shared" si="14"/>
        <v/>
      </c>
      <c r="W44" s="497" t="str">
        <f t="shared" si="15"/>
        <v/>
      </c>
      <c r="X44" s="496" t="str">
        <f t="shared" si="16"/>
        <v/>
      </c>
      <c r="Y44" s="499"/>
      <c r="Z44" s="496" t="str">
        <f t="shared" si="17"/>
        <v/>
      </c>
      <c r="AA44" s="497" t="str">
        <f t="shared" si="18"/>
        <v/>
      </c>
      <c r="AB44" s="496" t="str">
        <f t="shared" si="19"/>
        <v/>
      </c>
      <c r="AC44" s="499"/>
      <c r="AD44" s="496" t="str">
        <f t="shared" si="20"/>
        <v/>
      </c>
      <c r="AE44" s="497" t="str">
        <f t="shared" si="21"/>
        <v/>
      </c>
      <c r="AF44" s="496" t="str">
        <f t="shared" si="22"/>
        <v/>
      </c>
      <c r="AG44" s="499"/>
      <c r="AH44" s="496" t="str">
        <f t="shared" si="23"/>
        <v/>
      </c>
      <c r="AI44" s="497" t="str">
        <f t="shared" si="24"/>
        <v/>
      </c>
      <c r="AJ44" s="496" t="str">
        <f t="shared" si="25"/>
        <v/>
      </c>
      <c r="AK44" s="499"/>
      <c r="AL44" s="496" t="str">
        <f t="shared" si="26"/>
        <v/>
      </c>
      <c r="AM44" s="497" t="str">
        <f t="shared" si="27"/>
        <v/>
      </c>
      <c r="AN44" s="496" t="str">
        <f t="shared" si="28"/>
        <v/>
      </c>
      <c r="AO44" s="499"/>
      <c r="AP44" s="496" t="str">
        <f t="shared" si="29"/>
        <v/>
      </c>
      <c r="AQ44" s="497" t="str">
        <f t="shared" si="30"/>
        <v/>
      </c>
      <c r="AR44" s="496" t="str">
        <f t="shared" si="31"/>
        <v/>
      </c>
      <c r="AS44" s="499"/>
      <c r="AT44" s="496" t="str">
        <f t="shared" si="32"/>
        <v/>
      </c>
      <c r="AU44" s="497" t="str">
        <f t="shared" si="33"/>
        <v/>
      </c>
      <c r="AV44" s="496" t="str">
        <f t="shared" si="34"/>
        <v/>
      </c>
      <c r="AW44" s="499"/>
      <c r="AX44" s="496" t="str">
        <f t="shared" si="35"/>
        <v/>
      </c>
      <c r="AY44" s="497" t="str">
        <f t="shared" si="36"/>
        <v/>
      </c>
      <c r="AZ44" s="496" t="str">
        <f t="shared" si="37"/>
        <v/>
      </c>
      <c r="BA44" s="499"/>
      <c r="BB44" s="496" t="str">
        <f t="shared" si="38"/>
        <v/>
      </c>
      <c r="BC44" s="497" t="str">
        <f t="shared" si="39"/>
        <v/>
      </c>
      <c r="BD44" s="496" t="str">
        <f t="shared" si="40"/>
        <v/>
      </c>
      <c r="BE44" s="499"/>
      <c r="BF44" s="496" t="str">
        <f t="shared" si="41"/>
        <v/>
      </c>
      <c r="BG44" s="497" t="str">
        <f t="shared" si="42"/>
        <v/>
      </c>
      <c r="BH44" s="496" t="str">
        <f t="shared" si="43"/>
        <v/>
      </c>
      <c r="BI44" s="499"/>
      <c r="BJ44" s="496" t="str">
        <f t="shared" si="44"/>
        <v/>
      </c>
      <c r="BK44" s="497" t="str">
        <f t="shared" si="45"/>
        <v/>
      </c>
      <c r="BL44" s="496" t="str">
        <f t="shared" si="46"/>
        <v/>
      </c>
      <c r="BM44" s="499"/>
      <c r="BN44" s="496" t="str">
        <f t="shared" si="47"/>
        <v/>
      </c>
      <c r="BO44" s="497" t="str">
        <f t="shared" si="48"/>
        <v/>
      </c>
      <c r="BP44" s="496" t="str">
        <f t="shared" si="49"/>
        <v/>
      </c>
      <c r="BQ44" s="499"/>
      <c r="BR44" s="496" t="str">
        <f t="shared" si="50"/>
        <v/>
      </c>
      <c r="BS44" s="497" t="str">
        <f t="shared" si="51"/>
        <v/>
      </c>
      <c r="BT44" s="496" t="str">
        <f t="shared" si="52"/>
        <v/>
      </c>
      <c r="BU44" s="499"/>
      <c r="BV44" s="496" t="str">
        <f t="shared" si="53"/>
        <v/>
      </c>
      <c r="BW44" s="497" t="str">
        <f t="shared" si="54"/>
        <v/>
      </c>
      <c r="BX44" s="496" t="str">
        <f t="shared" si="55"/>
        <v/>
      </c>
      <c r="BY44" s="499"/>
      <c r="BZ44" s="496" t="str">
        <f t="shared" si="56"/>
        <v/>
      </c>
      <c r="CA44" s="497" t="str">
        <f t="shared" si="57"/>
        <v/>
      </c>
      <c r="CB44" s="496" t="str">
        <f t="shared" si="58"/>
        <v/>
      </c>
      <c r="CC44" s="499"/>
      <c r="CD44" s="496" t="str">
        <f t="shared" si="59"/>
        <v/>
      </c>
      <c r="CE44" s="497" t="str">
        <f t="shared" si="60"/>
        <v/>
      </c>
      <c r="CF44" s="496" t="str">
        <f t="shared" si="61"/>
        <v/>
      </c>
      <c r="CG44" s="499"/>
      <c r="CH44" s="496" t="str">
        <f t="shared" si="62"/>
        <v/>
      </c>
      <c r="CI44" s="497" t="str">
        <f t="shared" si="63"/>
        <v/>
      </c>
      <c r="CJ44" s="496" t="str">
        <f t="shared" si="64"/>
        <v/>
      </c>
      <c r="CK44" s="499"/>
      <c r="CL44" s="496" t="str">
        <f t="shared" si="65"/>
        <v/>
      </c>
      <c r="CM44" s="497" t="str">
        <f t="shared" si="66"/>
        <v/>
      </c>
      <c r="CN44" s="496" t="str">
        <f t="shared" si="67"/>
        <v/>
      </c>
      <c r="CO44" s="499"/>
      <c r="CP44" s="496" t="str">
        <f t="shared" si="68"/>
        <v/>
      </c>
      <c r="CQ44" s="497" t="str">
        <f t="shared" si="69"/>
        <v/>
      </c>
      <c r="CR44" s="496" t="str">
        <f t="shared" si="70"/>
        <v/>
      </c>
      <c r="CS44" s="499"/>
      <c r="CT44" s="496" t="str">
        <f t="shared" si="71"/>
        <v/>
      </c>
      <c r="CU44" s="497" t="str">
        <f t="shared" si="72"/>
        <v/>
      </c>
      <c r="CV44" s="496" t="str">
        <f t="shared" si="73"/>
        <v/>
      </c>
      <c r="CW44" s="499"/>
      <c r="CX44" s="496" t="str">
        <f>IF('1.ข้อมูลเบื้องต้น'!$B$32="","",IF($A44="","",'1.ข้อมูลเบื้องต้น'!$B$32))</f>
        <v/>
      </c>
      <c r="CY44" s="497" t="str">
        <f>IF('1.ข้อมูลเบื้องต้น'!$C$32="","",IF($A44="","",'1.ข้อมูลเบื้องต้น'!$C$32))</f>
        <v/>
      </c>
      <c r="CZ44" s="496" t="str">
        <f>IF('1.ข้อมูลเบื้องต้น'!$D$32="","",IF($A44="","",'1.ข้อมูลเบื้องต้น'!$D$32))</f>
        <v/>
      </c>
      <c r="DA44" s="499"/>
      <c r="DB44" s="496" t="str">
        <f t="shared" si="74"/>
        <v/>
      </c>
      <c r="DC44" s="498" t="str">
        <f>IF('2.ชื่อนักเรียน'!R50="มส","มส",IF('2.ชื่อนักเรียน'!R50="ย้าย","ย้าย",IF('2.ชื่อนักเรียน'!R50="ร","ร",IF(DB44="","",RANK(DB44,$DB$5:$DB$49,0)))))</f>
        <v/>
      </c>
      <c r="DD44" s="496" t="str">
        <f t="shared" si="75"/>
        <v/>
      </c>
    </row>
    <row r="45" spans="1:108" s="501" customFormat="1" ht="21" x14ac:dyDescent="0.4">
      <c r="A45" s="496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B45" s="496" t="str">
        <f>IF(IDstu41="","",IDstu41)</f>
        <v/>
      </c>
      <c r="C45" s="497" t="str">
        <f>CONCATENATE(TRIM(Name41),"  ",Surname41)</f>
        <v xml:space="preserve">  </v>
      </c>
      <c r="D45" s="498" t="str">
        <f t="shared" si="0"/>
        <v/>
      </c>
      <c r="E45" s="496" t="str">
        <f t="shared" si="1"/>
        <v/>
      </c>
      <c r="F45" s="496" t="str">
        <f t="shared" si="2"/>
        <v/>
      </c>
      <c r="G45" s="497" t="str">
        <f t="shared" si="3"/>
        <v/>
      </c>
      <c r="H45" s="496" t="str">
        <f t="shared" si="4"/>
        <v/>
      </c>
      <c r="I45" s="499"/>
      <c r="J45" s="496" t="str">
        <f t="shared" si="5"/>
        <v/>
      </c>
      <c r="K45" s="497" t="str">
        <f t="shared" si="6"/>
        <v/>
      </c>
      <c r="L45" s="496" t="str">
        <f t="shared" si="7"/>
        <v/>
      </c>
      <c r="M45" s="499"/>
      <c r="N45" s="496" t="str">
        <f t="shared" si="8"/>
        <v/>
      </c>
      <c r="O45" s="497" t="str">
        <f t="shared" si="9"/>
        <v/>
      </c>
      <c r="P45" s="496" t="str">
        <f t="shared" si="10"/>
        <v/>
      </c>
      <c r="Q45" s="499"/>
      <c r="R45" s="496" t="str">
        <f t="shared" si="11"/>
        <v/>
      </c>
      <c r="S45" s="497" t="str">
        <f t="shared" si="12"/>
        <v/>
      </c>
      <c r="T45" s="496" t="str">
        <f t="shared" si="13"/>
        <v/>
      </c>
      <c r="U45" s="499"/>
      <c r="V45" s="496" t="str">
        <f t="shared" si="14"/>
        <v/>
      </c>
      <c r="W45" s="497" t="str">
        <f t="shared" si="15"/>
        <v/>
      </c>
      <c r="X45" s="496" t="str">
        <f t="shared" si="16"/>
        <v/>
      </c>
      <c r="Y45" s="499"/>
      <c r="Z45" s="496" t="str">
        <f t="shared" si="17"/>
        <v/>
      </c>
      <c r="AA45" s="497" t="str">
        <f t="shared" si="18"/>
        <v/>
      </c>
      <c r="AB45" s="496" t="str">
        <f t="shared" si="19"/>
        <v/>
      </c>
      <c r="AC45" s="499"/>
      <c r="AD45" s="496" t="str">
        <f t="shared" si="20"/>
        <v/>
      </c>
      <c r="AE45" s="497" t="str">
        <f t="shared" si="21"/>
        <v/>
      </c>
      <c r="AF45" s="496" t="str">
        <f t="shared" si="22"/>
        <v/>
      </c>
      <c r="AG45" s="499"/>
      <c r="AH45" s="496" t="str">
        <f t="shared" si="23"/>
        <v/>
      </c>
      <c r="AI45" s="497" t="str">
        <f t="shared" si="24"/>
        <v/>
      </c>
      <c r="AJ45" s="496" t="str">
        <f t="shared" si="25"/>
        <v/>
      </c>
      <c r="AK45" s="499"/>
      <c r="AL45" s="496" t="str">
        <f t="shared" si="26"/>
        <v/>
      </c>
      <c r="AM45" s="497" t="str">
        <f t="shared" si="27"/>
        <v/>
      </c>
      <c r="AN45" s="496" t="str">
        <f t="shared" si="28"/>
        <v/>
      </c>
      <c r="AO45" s="499"/>
      <c r="AP45" s="496" t="str">
        <f t="shared" si="29"/>
        <v/>
      </c>
      <c r="AQ45" s="497" t="str">
        <f t="shared" si="30"/>
        <v/>
      </c>
      <c r="AR45" s="496" t="str">
        <f t="shared" si="31"/>
        <v/>
      </c>
      <c r="AS45" s="499"/>
      <c r="AT45" s="496" t="str">
        <f t="shared" si="32"/>
        <v/>
      </c>
      <c r="AU45" s="497" t="str">
        <f t="shared" si="33"/>
        <v/>
      </c>
      <c r="AV45" s="496" t="str">
        <f t="shared" si="34"/>
        <v/>
      </c>
      <c r="AW45" s="499"/>
      <c r="AX45" s="496" t="str">
        <f t="shared" si="35"/>
        <v/>
      </c>
      <c r="AY45" s="497" t="str">
        <f t="shared" si="36"/>
        <v/>
      </c>
      <c r="AZ45" s="496" t="str">
        <f t="shared" si="37"/>
        <v/>
      </c>
      <c r="BA45" s="499"/>
      <c r="BB45" s="496" t="str">
        <f t="shared" si="38"/>
        <v/>
      </c>
      <c r="BC45" s="497" t="str">
        <f t="shared" si="39"/>
        <v/>
      </c>
      <c r="BD45" s="496" t="str">
        <f t="shared" si="40"/>
        <v/>
      </c>
      <c r="BE45" s="499"/>
      <c r="BF45" s="496" t="str">
        <f t="shared" si="41"/>
        <v/>
      </c>
      <c r="BG45" s="497" t="str">
        <f t="shared" si="42"/>
        <v/>
      </c>
      <c r="BH45" s="496" t="str">
        <f t="shared" si="43"/>
        <v/>
      </c>
      <c r="BI45" s="499"/>
      <c r="BJ45" s="496" t="str">
        <f t="shared" si="44"/>
        <v/>
      </c>
      <c r="BK45" s="497" t="str">
        <f t="shared" si="45"/>
        <v/>
      </c>
      <c r="BL45" s="496" t="str">
        <f t="shared" si="46"/>
        <v/>
      </c>
      <c r="BM45" s="499"/>
      <c r="BN45" s="496" t="str">
        <f t="shared" si="47"/>
        <v/>
      </c>
      <c r="BO45" s="497" t="str">
        <f t="shared" si="48"/>
        <v/>
      </c>
      <c r="BP45" s="496" t="str">
        <f t="shared" si="49"/>
        <v/>
      </c>
      <c r="BQ45" s="499"/>
      <c r="BR45" s="496" t="str">
        <f t="shared" si="50"/>
        <v/>
      </c>
      <c r="BS45" s="497" t="str">
        <f t="shared" si="51"/>
        <v/>
      </c>
      <c r="BT45" s="496" t="str">
        <f t="shared" si="52"/>
        <v/>
      </c>
      <c r="BU45" s="499"/>
      <c r="BV45" s="496" t="str">
        <f t="shared" si="53"/>
        <v/>
      </c>
      <c r="BW45" s="497" t="str">
        <f t="shared" si="54"/>
        <v/>
      </c>
      <c r="BX45" s="496" t="str">
        <f t="shared" si="55"/>
        <v/>
      </c>
      <c r="BY45" s="499"/>
      <c r="BZ45" s="496" t="str">
        <f t="shared" si="56"/>
        <v/>
      </c>
      <c r="CA45" s="497" t="str">
        <f t="shared" si="57"/>
        <v/>
      </c>
      <c r="CB45" s="496" t="str">
        <f t="shared" si="58"/>
        <v/>
      </c>
      <c r="CC45" s="499"/>
      <c r="CD45" s="496" t="str">
        <f t="shared" si="59"/>
        <v/>
      </c>
      <c r="CE45" s="497" t="str">
        <f t="shared" si="60"/>
        <v/>
      </c>
      <c r="CF45" s="496" t="str">
        <f t="shared" si="61"/>
        <v/>
      </c>
      <c r="CG45" s="499"/>
      <c r="CH45" s="496" t="str">
        <f t="shared" si="62"/>
        <v/>
      </c>
      <c r="CI45" s="497" t="str">
        <f t="shared" si="63"/>
        <v/>
      </c>
      <c r="CJ45" s="496" t="str">
        <f t="shared" si="64"/>
        <v/>
      </c>
      <c r="CK45" s="499"/>
      <c r="CL45" s="496" t="str">
        <f t="shared" si="65"/>
        <v/>
      </c>
      <c r="CM45" s="497" t="str">
        <f t="shared" si="66"/>
        <v/>
      </c>
      <c r="CN45" s="496" t="str">
        <f t="shared" si="67"/>
        <v/>
      </c>
      <c r="CO45" s="499"/>
      <c r="CP45" s="496" t="str">
        <f t="shared" si="68"/>
        <v/>
      </c>
      <c r="CQ45" s="497" t="str">
        <f t="shared" si="69"/>
        <v/>
      </c>
      <c r="CR45" s="496" t="str">
        <f t="shared" si="70"/>
        <v/>
      </c>
      <c r="CS45" s="499"/>
      <c r="CT45" s="496" t="str">
        <f t="shared" si="71"/>
        <v/>
      </c>
      <c r="CU45" s="497" t="str">
        <f t="shared" si="72"/>
        <v/>
      </c>
      <c r="CV45" s="496" t="str">
        <f t="shared" si="73"/>
        <v/>
      </c>
      <c r="CW45" s="499"/>
      <c r="CX45" s="496" t="str">
        <f>IF('1.ข้อมูลเบื้องต้น'!$B$32="","",IF($A45="","",'1.ข้อมูลเบื้องต้น'!$B$32))</f>
        <v/>
      </c>
      <c r="CY45" s="497" t="str">
        <f>IF('1.ข้อมูลเบื้องต้น'!$C$32="","",IF($A45="","",'1.ข้อมูลเบื้องต้น'!$C$32))</f>
        <v/>
      </c>
      <c r="CZ45" s="496" t="str">
        <f>IF('1.ข้อมูลเบื้องต้น'!$D$32="","",IF($A45="","",'1.ข้อมูลเบื้องต้น'!$D$32))</f>
        <v/>
      </c>
      <c r="DA45" s="499"/>
      <c r="DB45" s="496" t="str">
        <f t="shared" si="74"/>
        <v/>
      </c>
      <c r="DC45" s="498" t="str">
        <f>IF('2.ชื่อนักเรียน'!R51="มส","มส",IF('2.ชื่อนักเรียน'!R51="ย้าย","ย้าย",IF('2.ชื่อนักเรียน'!R51="ร","ร",IF(DB45="","",RANK(DB45,$DB$5:$DB$49,0)))))</f>
        <v/>
      </c>
      <c r="DD45" s="496" t="str">
        <f t="shared" si="75"/>
        <v/>
      </c>
    </row>
    <row r="46" spans="1:108" s="501" customFormat="1" ht="21" x14ac:dyDescent="0.4">
      <c r="A46" s="496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B46" s="496" t="str">
        <f>IF(IDstu42="","",IDstu42)</f>
        <v/>
      </c>
      <c r="C46" s="497" t="str">
        <f>CONCATENATE(TRIM(Name42),"  ",Surname42)</f>
        <v xml:space="preserve">  </v>
      </c>
      <c r="D46" s="498" t="str">
        <f t="shared" si="0"/>
        <v/>
      </c>
      <c r="E46" s="496" t="str">
        <f t="shared" si="1"/>
        <v/>
      </c>
      <c r="F46" s="496" t="str">
        <f t="shared" si="2"/>
        <v/>
      </c>
      <c r="G46" s="497" t="str">
        <f t="shared" si="3"/>
        <v/>
      </c>
      <c r="H46" s="496" t="str">
        <f t="shared" si="4"/>
        <v/>
      </c>
      <c r="I46" s="499"/>
      <c r="J46" s="496" t="str">
        <f t="shared" si="5"/>
        <v/>
      </c>
      <c r="K46" s="497" t="str">
        <f t="shared" si="6"/>
        <v/>
      </c>
      <c r="L46" s="496" t="str">
        <f t="shared" si="7"/>
        <v/>
      </c>
      <c r="M46" s="499"/>
      <c r="N46" s="496" t="str">
        <f t="shared" si="8"/>
        <v/>
      </c>
      <c r="O46" s="497" t="str">
        <f t="shared" si="9"/>
        <v/>
      </c>
      <c r="P46" s="496" t="str">
        <f t="shared" si="10"/>
        <v/>
      </c>
      <c r="Q46" s="499"/>
      <c r="R46" s="496" t="str">
        <f t="shared" si="11"/>
        <v/>
      </c>
      <c r="S46" s="497" t="str">
        <f t="shared" si="12"/>
        <v/>
      </c>
      <c r="T46" s="496" t="str">
        <f t="shared" si="13"/>
        <v/>
      </c>
      <c r="U46" s="499"/>
      <c r="V46" s="496" t="str">
        <f t="shared" si="14"/>
        <v/>
      </c>
      <c r="W46" s="497" t="str">
        <f t="shared" si="15"/>
        <v/>
      </c>
      <c r="X46" s="496" t="str">
        <f t="shared" si="16"/>
        <v/>
      </c>
      <c r="Y46" s="499"/>
      <c r="Z46" s="496" t="str">
        <f t="shared" si="17"/>
        <v/>
      </c>
      <c r="AA46" s="497" t="str">
        <f t="shared" si="18"/>
        <v/>
      </c>
      <c r="AB46" s="496" t="str">
        <f t="shared" si="19"/>
        <v/>
      </c>
      <c r="AC46" s="499"/>
      <c r="AD46" s="496" t="str">
        <f t="shared" si="20"/>
        <v/>
      </c>
      <c r="AE46" s="497" t="str">
        <f t="shared" si="21"/>
        <v/>
      </c>
      <c r="AF46" s="496" t="str">
        <f t="shared" si="22"/>
        <v/>
      </c>
      <c r="AG46" s="499"/>
      <c r="AH46" s="496" t="str">
        <f t="shared" si="23"/>
        <v/>
      </c>
      <c r="AI46" s="497" t="str">
        <f t="shared" si="24"/>
        <v/>
      </c>
      <c r="AJ46" s="496" t="str">
        <f t="shared" si="25"/>
        <v/>
      </c>
      <c r="AK46" s="499"/>
      <c r="AL46" s="496" t="str">
        <f t="shared" si="26"/>
        <v/>
      </c>
      <c r="AM46" s="497" t="str">
        <f t="shared" si="27"/>
        <v/>
      </c>
      <c r="AN46" s="496" t="str">
        <f t="shared" si="28"/>
        <v/>
      </c>
      <c r="AO46" s="499"/>
      <c r="AP46" s="496" t="str">
        <f t="shared" si="29"/>
        <v/>
      </c>
      <c r="AQ46" s="497" t="str">
        <f t="shared" si="30"/>
        <v/>
      </c>
      <c r="AR46" s="496" t="str">
        <f t="shared" si="31"/>
        <v/>
      </c>
      <c r="AS46" s="499"/>
      <c r="AT46" s="496" t="str">
        <f t="shared" si="32"/>
        <v/>
      </c>
      <c r="AU46" s="497" t="str">
        <f t="shared" si="33"/>
        <v/>
      </c>
      <c r="AV46" s="496" t="str">
        <f t="shared" si="34"/>
        <v/>
      </c>
      <c r="AW46" s="499"/>
      <c r="AX46" s="496" t="str">
        <f t="shared" si="35"/>
        <v/>
      </c>
      <c r="AY46" s="497" t="str">
        <f t="shared" si="36"/>
        <v/>
      </c>
      <c r="AZ46" s="496" t="str">
        <f t="shared" si="37"/>
        <v/>
      </c>
      <c r="BA46" s="499"/>
      <c r="BB46" s="496" t="str">
        <f t="shared" si="38"/>
        <v/>
      </c>
      <c r="BC46" s="497" t="str">
        <f t="shared" si="39"/>
        <v/>
      </c>
      <c r="BD46" s="496" t="str">
        <f t="shared" si="40"/>
        <v/>
      </c>
      <c r="BE46" s="499"/>
      <c r="BF46" s="496" t="str">
        <f t="shared" si="41"/>
        <v/>
      </c>
      <c r="BG46" s="497" t="str">
        <f t="shared" si="42"/>
        <v/>
      </c>
      <c r="BH46" s="496" t="str">
        <f t="shared" si="43"/>
        <v/>
      </c>
      <c r="BI46" s="499"/>
      <c r="BJ46" s="496" t="str">
        <f t="shared" si="44"/>
        <v/>
      </c>
      <c r="BK46" s="497" t="str">
        <f t="shared" si="45"/>
        <v/>
      </c>
      <c r="BL46" s="496" t="str">
        <f t="shared" si="46"/>
        <v/>
      </c>
      <c r="BM46" s="499"/>
      <c r="BN46" s="496" t="str">
        <f t="shared" si="47"/>
        <v/>
      </c>
      <c r="BO46" s="497" t="str">
        <f t="shared" si="48"/>
        <v/>
      </c>
      <c r="BP46" s="496" t="str">
        <f t="shared" si="49"/>
        <v/>
      </c>
      <c r="BQ46" s="499"/>
      <c r="BR46" s="496" t="str">
        <f t="shared" si="50"/>
        <v/>
      </c>
      <c r="BS46" s="497" t="str">
        <f t="shared" si="51"/>
        <v/>
      </c>
      <c r="BT46" s="496" t="str">
        <f t="shared" si="52"/>
        <v/>
      </c>
      <c r="BU46" s="499"/>
      <c r="BV46" s="496" t="str">
        <f t="shared" si="53"/>
        <v/>
      </c>
      <c r="BW46" s="497" t="str">
        <f t="shared" si="54"/>
        <v/>
      </c>
      <c r="BX46" s="496" t="str">
        <f t="shared" si="55"/>
        <v/>
      </c>
      <c r="BY46" s="499"/>
      <c r="BZ46" s="496" t="str">
        <f t="shared" si="56"/>
        <v/>
      </c>
      <c r="CA46" s="497" t="str">
        <f t="shared" si="57"/>
        <v/>
      </c>
      <c r="CB46" s="496" t="str">
        <f t="shared" si="58"/>
        <v/>
      </c>
      <c r="CC46" s="499"/>
      <c r="CD46" s="496" t="str">
        <f t="shared" si="59"/>
        <v/>
      </c>
      <c r="CE46" s="497" t="str">
        <f t="shared" si="60"/>
        <v/>
      </c>
      <c r="CF46" s="496" t="str">
        <f t="shared" si="61"/>
        <v/>
      </c>
      <c r="CG46" s="499"/>
      <c r="CH46" s="496" t="str">
        <f t="shared" si="62"/>
        <v/>
      </c>
      <c r="CI46" s="497" t="str">
        <f t="shared" si="63"/>
        <v/>
      </c>
      <c r="CJ46" s="496" t="str">
        <f t="shared" si="64"/>
        <v/>
      </c>
      <c r="CK46" s="499"/>
      <c r="CL46" s="496" t="str">
        <f t="shared" si="65"/>
        <v/>
      </c>
      <c r="CM46" s="497" t="str">
        <f t="shared" si="66"/>
        <v/>
      </c>
      <c r="CN46" s="496" t="str">
        <f t="shared" si="67"/>
        <v/>
      </c>
      <c r="CO46" s="499"/>
      <c r="CP46" s="496" t="str">
        <f t="shared" si="68"/>
        <v/>
      </c>
      <c r="CQ46" s="497" t="str">
        <f t="shared" si="69"/>
        <v/>
      </c>
      <c r="CR46" s="496" t="str">
        <f t="shared" si="70"/>
        <v/>
      </c>
      <c r="CS46" s="499"/>
      <c r="CT46" s="496" t="str">
        <f t="shared" si="71"/>
        <v/>
      </c>
      <c r="CU46" s="497" t="str">
        <f t="shared" si="72"/>
        <v/>
      </c>
      <c r="CV46" s="496" t="str">
        <f t="shared" si="73"/>
        <v/>
      </c>
      <c r="CW46" s="499"/>
      <c r="CX46" s="496" t="str">
        <f>IF('1.ข้อมูลเบื้องต้น'!$B$32="","",IF($A46="","",'1.ข้อมูลเบื้องต้น'!$B$32))</f>
        <v/>
      </c>
      <c r="CY46" s="497" t="str">
        <f>IF('1.ข้อมูลเบื้องต้น'!$C$32="","",IF($A46="","",'1.ข้อมูลเบื้องต้น'!$C$32))</f>
        <v/>
      </c>
      <c r="CZ46" s="496" t="str">
        <f>IF('1.ข้อมูลเบื้องต้น'!$D$32="","",IF($A46="","",'1.ข้อมูลเบื้องต้น'!$D$32))</f>
        <v/>
      </c>
      <c r="DA46" s="499"/>
      <c r="DB46" s="496" t="str">
        <f t="shared" si="74"/>
        <v/>
      </c>
      <c r="DC46" s="498" t="str">
        <f>IF('2.ชื่อนักเรียน'!R52="มส","มส",IF('2.ชื่อนักเรียน'!R52="ย้าย","ย้าย",IF('2.ชื่อนักเรียน'!R52="ร","ร",IF(DB46="","",RANK(DB46,$DB$5:$DB$49,0)))))</f>
        <v/>
      </c>
      <c r="DD46" s="496" t="str">
        <f t="shared" si="75"/>
        <v/>
      </c>
    </row>
    <row r="47" spans="1:108" s="501" customFormat="1" ht="21" x14ac:dyDescent="0.4">
      <c r="A47" s="496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B47" s="496" t="str">
        <f>IF(IDstu43="","",IDstu43)</f>
        <v/>
      </c>
      <c r="C47" s="497" t="str">
        <f>CONCATENATE(TRIM(Name43),"  ",Surname43)</f>
        <v xml:space="preserve">  </v>
      </c>
      <c r="D47" s="498" t="str">
        <f t="shared" si="0"/>
        <v/>
      </c>
      <c r="E47" s="496" t="str">
        <f t="shared" si="1"/>
        <v/>
      </c>
      <c r="F47" s="496" t="str">
        <f t="shared" si="2"/>
        <v/>
      </c>
      <c r="G47" s="497" t="str">
        <f t="shared" si="3"/>
        <v/>
      </c>
      <c r="H47" s="496" t="str">
        <f t="shared" si="4"/>
        <v/>
      </c>
      <c r="I47" s="499"/>
      <c r="J47" s="496" t="str">
        <f t="shared" si="5"/>
        <v/>
      </c>
      <c r="K47" s="497" t="str">
        <f t="shared" si="6"/>
        <v/>
      </c>
      <c r="L47" s="496" t="str">
        <f t="shared" si="7"/>
        <v/>
      </c>
      <c r="M47" s="499"/>
      <c r="N47" s="496" t="str">
        <f t="shared" si="8"/>
        <v/>
      </c>
      <c r="O47" s="497" t="str">
        <f t="shared" si="9"/>
        <v/>
      </c>
      <c r="P47" s="496" t="str">
        <f t="shared" si="10"/>
        <v/>
      </c>
      <c r="Q47" s="499"/>
      <c r="R47" s="496" t="str">
        <f t="shared" si="11"/>
        <v/>
      </c>
      <c r="S47" s="497" t="str">
        <f t="shared" si="12"/>
        <v/>
      </c>
      <c r="T47" s="496" t="str">
        <f t="shared" si="13"/>
        <v/>
      </c>
      <c r="U47" s="499"/>
      <c r="V47" s="496" t="str">
        <f t="shared" si="14"/>
        <v/>
      </c>
      <c r="W47" s="497" t="str">
        <f t="shared" si="15"/>
        <v/>
      </c>
      <c r="X47" s="496" t="str">
        <f t="shared" si="16"/>
        <v/>
      </c>
      <c r="Y47" s="499"/>
      <c r="Z47" s="496" t="str">
        <f t="shared" si="17"/>
        <v/>
      </c>
      <c r="AA47" s="497" t="str">
        <f t="shared" si="18"/>
        <v/>
      </c>
      <c r="AB47" s="496" t="str">
        <f t="shared" si="19"/>
        <v/>
      </c>
      <c r="AC47" s="499"/>
      <c r="AD47" s="496" t="str">
        <f t="shared" si="20"/>
        <v/>
      </c>
      <c r="AE47" s="497" t="str">
        <f t="shared" si="21"/>
        <v/>
      </c>
      <c r="AF47" s="496" t="str">
        <f t="shared" si="22"/>
        <v/>
      </c>
      <c r="AG47" s="499"/>
      <c r="AH47" s="496" t="str">
        <f t="shared" si="23"/>
        <v/>
      </c>
      <c r="AI47" s="497" t="str">
        <f t="shared" si="24"/>
        <v/>
      </c>
      <c r="AJ47" s="496" t="str">
        <f t="shared" si="25"/>
        <v/>
      </c>
      <c r="AK47" s="499"/>
      <c r="AL47" s="496" t="str">
        <f t="shared" si="26"/>
        <v/>
      </c>
      <c r="AM47" s="497" t="str">
        <f t="shared" si="27"/>
        <v/>
      </c>
      <c r="AN47" s="496" t="str">
        <f t="shared" si="28"/>
        <v/>
      </c>
      <c r="AO47" s="499"/>
      <c r="AP47" s="496" t="str">
        <f t="shared" si="29"/>
        <v/>
      </c>
      <c r="AQ47" s="497" t="str">
        <f t="shared" si="30"/>
        <v/>
      </c>
      <c r="AR47" s="496" t="str">
        <f t="shared" si="31"/>
        <v/>
      </c>
      <c r="AS47" s="499"/>
      <c r="AT47" s="496" t="str">
        <f t="shared" si="32"/>
        <v/>
      </c>
      <c r="AU47" s="497" t="str">
        <f t="shared" si="33"/>
        <v/>
      </c>
      <c r="AV47" s="496" t="str">
        <f t="shared" si="34"/>
        <v/>
      </c>
      <c r="AW47" s="499"/>
      <c r="AX47" s="496" t="str">
        <f t="shared" si="35"/>
        <v/>
      </c>
      <c r="AY47" s="497" t="str">
        <f t="shared" si="36"/>
        <v/>
      </c>
      <c r="AZ47" s="496" t="str">
        <f t="shared" si="37"/>
        <v/>
      </c>
      <c r="BA47" s="499"/>
      <c r="BB47" s="496" t="str">
        <f t="shared" si="38"/>
        <v/>
      </c>
      <c r="BC47" s="497" t="str">
        <f t="shared" si="39"/>
        <v/>
      </c>
      <c r="BD47" s="496" t="str">
        <f t="shared" si="40"/>
        <v/>
      </c>
      <c r="BE47" s="499"/>
      <c r="BF47" s="496" t="str">
        <f t="shared" si="41"/>
        <v/>
      </c>
      <c r="BG47" s="497" t="str">
        <f t="shared" si="42"/>
        <v/>
      </c>
      <c r="BH47" s="496" t="str">
        <f t="shared" si="43"/>
        <v/>
      </c>
      <c r="BI47" s="499"/>
      <c r="BJ47" s="496" t="str">
        <f t="shared" si="44"/>
        <v/>
      </c>
      <c r="BK47" s="497" t="str">
        <f t="shared" si="45"/>
        <v/>
      </c>
      <c r="BL47" s="496" t="str">
        <f t="shared" si="46"/>
        <v/>
      </c>
      <c r="BM47" s="499"/>
      <c r="BN47" s="496" t="str">
        <f t="shared" si="47"/>
        <v/>
      </c>
      <c r="BO47" s="497" t="str">
        <f t="shared" si="48"/>
        <v/>
      </c>
      <c r="BP47" s="496" t="str">
        <f t="shared" si="49"/>
        <v/>
      </c>
      <c r="BQ47" s="499"/>
      <c r="BR47" s="496" t="str">
        <f t="shared" si="50"/>
        <v/>
      </c>
      <c r="BS47" s="497" t="str">
        <f t="shared" si="51"/>
        <v/>
      </c>
      <c r="BT47" s="496" t="str">
        <f t="shared" si="52"/>
        <v/>
      </c>
      <c r="BU47" s="499"/>
      <c r="BV47" s="496" t="str">
        <f t="shared" si="53"/>
        <v/>
      </c>
      <c r="BW47" s="497" t="str">
        <f t="shared" si="54"/>
        <v/>
      </c>
      <c r="BX47" s="496" t="str">
        <f t="shared" si="55"/>
        <v/>
      </c>
      <c r="BY47" s="499"/>
      <c r="BZ47" s="496" t="str">
        <f t="shared" si="56"/>
        <v/>
      </c>
      <c r="CA47" s="497" t="str">
        <f t="shared" si="57"/>
        <v/>
      </c>
      <c r="CB47" s="496" t="str">
        <f t="shared" si="58"/>
        <v/>
      </c>
      <c r="CC47" s="499"/>
      <c r="CD47" s="496" t="str">
        <f t="shared" si="59"/>
        <v/>
      </c>
      <c r="CE47" s="497" t="str">
        <f t="shared" si="60"/>
        <v/>
      </c>
      <c r="CF47" s="496" t="str">
        <f t="shared" si="61"/>
        <v/>
      </c>
      <c r="CG47" s="499"/>
      <c r="CH47" s="496" t="str">
        <f t="shared" si="62"/>
        <v/>
      </c>
      <c r="CI47" s="497" t="str">
        <f t="shared" si="63"/>
        <v/>
      </c>
      <c r="CJ47" s="496" t="str">
        <f t="shared" si="64"/>
        <v/>
      </c>
      <c r="CK47" s="499"/>
      <c r="CL47" s="496" t="str">
        <f t="shared" si="65"/>
        <v/>
      </c>
      <c r="CM47" s="497" t="str">
        <f t="shared" si="66"/>
        <v/>
      </c>
      <c r="CN47" s="496" t="str">
        <f t="shared" si="67"/>
        <v/>
      </c>
      <c r="CO47" s="499"/>
      <c r="CP47" s="496" t="str">
        <f t="shared" si="68"/>
        <v/>
      </c>
      <c r="CQ47" s="497" t="str">
        <f t="shared" si="69"/>
        <v/>
      </c>
      <c r="CR47" s="496" t="str">
        <f t="shared" si="70"/>
        <v/>
      </c>
      <c r="CS47" s="499"/>
      <c r="CT47" s="496" t="str">
        <f t="shared" si="71"/>
        <v/>
      </c>
      <c r="CU47" s="497" t="str">
        <f t="shared" si="72"/>
        <v/>
      </c>
      <c r="CV47" s="496" t="str">
        <f t="shared" si="73"/>
        <v/>
      </c>
      <c r="CW47" s="499"/>
      <c r="CX47" s="496" t="str">
        <f>IF('1.ข้อมูลเบื้องต้น'!$B$32="","",IF($A47="","",'1.ข้อมูลเบื้องต้น'!$B$32))</f>
        <v/>
      </c>
      <c r="CY47" s="497" t="str">
        <f>IF('1.ข้อมูลเบื้องต้น'!$C$32="","",IF($A47="","",'1.ข้อมูลเบื้องต้น'!$C$32))</f>
        <v/>
      </c>
      <c r="CZ47" s="496" t="str">
        <f>IF('1.ข้อมูลเบื้องต้น'!$D$32="","",IF($A47="","",'1.ข้อมูลเบื้องต้น'!$D$32))</f>
        <v/>
      </c>
      <c r="DA47" s="499"/>
      <c r="DB47" s="496" t="str">
        <f t="shared" si="74"/>
        <v/>
      </c>
      <c r="DC47" s="498" t="str">
        <f>IF('2.ชื่อนักเรียน'!R53="มส","มส",IF('2.ชื่อนักเรียน'!R53="ย้าย","ย้าย",IF('2.ชื่อนักเรียน'!R53="ร","ร",IF(DB47="","",RANK(DB47,$DB$5:$DB$49,0)))))</f>
        <v/>
      </c>
      <c r="DD47" s="496" t="str">
        <f t="shared" si="75"/>
        <v/>
      </c>
    </row>
    <row r="48" spans="1:108" s="501" customFormat="1" ht="21" x14ac:dyDescent="0.4">
      <c r="A48" s="496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B48" s="496" t="str">
        <f>IF(IDstu44="","",IDstu44)</f>
        <v/>
      </c>
      <c r="C48" s="497" t="str">
        <f>CONCATENATE(TRIM(Name44),"  ",Surname44)</f>
        <v xml:space="preserve">  </v>
      </c>
      <c r="D48" s="498" t="str">
        <f t="shared" si="0"/>
        <v/>
      </c>
      <c r="E48" s="496" t="str">
        <f t="shared" si="1"/>
        <v/>
      </c>
      <c r="F48" s="496" t="str">
        <f t="shared" si="2"/>
        <v/>
      </c>
      <c r="G48" s="497" t="str">
        <f t="shared" si="3"/>
        <v/>
      </c>
      <c r="H48" s="496" t="str">
        <f t="shared" si="4"/>
        <v/>
      </c>
      <c r="I48" s="499"/>
      <c r="J48" s="496" t="str">
        <f t="shared" si="5"/>
        <v/>
      </c>
      <c r="K48" s="497" t="str">
        <f t="shared" si="6"/>
        <v/>
      </c>
      <c r="L48" s="496" t="str">
        <f t="shared" si="7"/>
        <v/>
      </c>
      <c r="M48" s="499"/>
      <c r="N48" s="496" t="str">
        <f t="shared" si="8"/>
        <v/>
      </c>
      <c r="O48" s="497" t="str">
        <f t="shared" si="9"/>
        <v/>
      </c>
      <c r="P48" s="496" t="str">
        <f t="shared" si="10"/>
        <v/>
      </c>
      <c r="Q48" s="499"/>
      <c r="R48" s="496" t="str">
        <f t="shared" si="11"/>
        <v/>
      </c>
      <c r="S48" s="497" t="str">
        <f t="shared" si="12"/>
        <v/>
      </c>
      <c r="T48" s="496" t="str">
        <f t="shared" si="13"/>
        <v/>
      </c>
      <c r="U48" s="499"/>
      <c r="V48" s="496" t="str">
        <f t="shared" si="14"/>
        <v/>
      </c>
      <c r="W48" s="497" t="str">
        <f t="shared" si="15"/>
        <v/>
      </c>
      <c r="X48" s="496" t="str">
        <f t="shared" si="16"/>
        <v/>
      </c>
      <c r="Y48" s="499"/>
      <c r="Z48" s="496" t="str">
        <f t="shared" si="17"/>
        <v/>
      </c>
      <c r="AA48" s="497" t="str">
        <f t="shared" si="18"/>
        <v/>
      </c>
      <c r="AB48" s="496" t="str">
        <f t="shared" si="19"/>
        <v/>
      </c>
      <c r="AC48" s="499"/>
      <c r="AD48" s="496" t="str">
        <f t="shared" si="20"/>
        <v/>
      </c>
      <c r="AE48" s="497" t="str">
        <f t="shared" si="21"/>
        <v/>
      </c>
      <c r="AF48" s="496" t="str">
        <f t="shared" si="22"/>
        <v/>
      </c>
      <c r="AG48" s="499"/>
      <c r="AH48" s="496" t="str">
        <f t="shared" si="23"/>
        <v/>
      </c>
      <c r="AI48" s="497" t="str">
        <f t="shared" si="24"/>
        <v/>
      </c>
      <c r="AJ48" s="496" t="str">
        <f t="shared" si="25"/>
        <v/>
      </c>
      <c r="AK48" s="499"/>
      <c r="AL48" s="496" t="str">
        <f t="shared" si="26"/>
        <v/>
      </c>
      <c r="AM48" s="497" t="str">
        <f t="shared" si="27"/>
        <v/>
      </c>
      <c r="AN48" s="496" t="str">
        <f t="shared" si="28"/>
        <v/>
      </c>
      <c r="AO48" s="499"/>
      <c r="AP48" s="496" t="str">
        <f t="shared" si="29"/>
        <v/>
      </c>
      <c r="AQ48" s="497" t="str">
        <f t="shared" si="30"/>
        <v/>
      </c>
      <c r="AR48" s="496" t="str">
        <f t="shared" si="31"/>
        <v/>
      </c>
      <c r="AS48" s="499"/>
      <c r="AT48" s="496" t="str">
        <f t="shared" si="32"/>
        <v/>
      </c>
      <c r="AU48" s="497" t="str">
        <f t="shared" si="33"/>
        <v/>
      </c>
      <c r="AV48" s="496" t="str">
        <f t="shared" si="34"/>
        <v/>
      </c>
      <c r="AW48" s="499"/>
      <c r="AX48" s="496" t="str">
        <f t="shared" si="35"/>
        <v/>
      </c>
      <c r="AY48" s="497" t="str">
        <f t="shared" si="36"/>
        <v/>
      </c>
      <c r="AZ48" s="496" t="str">
        <f t="shared" si="37"/>
        <v/>
      </c>
      <c r="BA48" s="499"/>
      <c r="BB48" s="496" t="str">
        <f t="shared" si="38"/>
        <v/>
      </c>
      <c r="BC48" s="497" t="str">
        <f t="shared" si="39"/>
        <v/>
      </c>
      <c r="BD48" s="496" t="str">
        <f t="shared" si="40"/>
        <v/>
      </c>
      <c r="BE48" s="499"/>
      <c r="BF48" s="496" t="str">
        <f t="shared" si="41"/>
        <v/>
      </c>
      <c r="BG48" s="497" t="str">
        <f t="shared" si="42"/>
        <v/>
      </c>
      <c r="BH48" s="496" t="str">
        <f t="shared" si="43"/>
        <v/>
      </c>
      <c r="BI48" s="499"/>
      <c r="BJ48" s="496" t="str">
        <f t="shared" si="44"/>
        <v/>
      </c>
      <c r="BK48" s="497" t="str">
        <f t="shared" si="45"/>
        <v/>
      </c>
      <c r="BL48" s="496" t="str">
        <f t="shared" si="46"/>
        <v/>
      </c>
      <c r="BM48" s="499"/>
      <c r="BN48" s="496" t="str">
        <f t="shared" si="47"/>
        <v/>
      </c>
      <c r="BO48" s="497" t="str">
        <f t="shared" si="48"/>
        <v/>
      </c>
      <c r="BP48" s="496" t="str">
        <f t="shared" si="49"/>
        <v/>
      </c>
      <c r="BQ48" s="499"/>
      <c r="BR48" s="496" t="str">
        <f t="shared" si="50"/>
        <v/>
      </c>
      <c r="BS48" s="497" t="str">
        <f t="shared" si="51"/>
        <v/>
      </c>
      <c r="BT48" s="496" t="str">
        <f t="shared" si="52"/>
        <v/>
      </c>
      <c r="BU48" s="499"/>
      <c r="BV48" s="496" t="str">
        <f t="shared" si="53"/>
        <v/>
      </c>
      <c r="BW48" s="497" t="str">
        <f t="shared" si="54"/>
        <v/>
      </c>
      <c r="BX48" s="496" t="str">
        <f t="shared" si="55"/>
        <v/>
      </c>
      <c r="BY48" s="499"/>
      <c r="BZ48" s="496" t="str">
        <f t="shared" si="56"/>
        <v/>
      </c>
      <c r="CA48" s="497" t="str">
        <f t="shared" si="57"/>
        <v/>
      </c>
      <c r="CB48" s="496" t="str">
        <f t="shared" si="58"/>
        <v/>
      </c>
      <c r="CC48" s="499"/>
      <c r="CD48" s="496" t="str">
        <f t="shared" si="59"/>
        <v/>
      </c>
      <c r="CE48" s="497" t="str">
        <f t="shared" si="60"/>
        <v/>
      </c>
      <c r="CF48" s="496" t="str">
        <f t="shared" si="61"/>
        <v/>
      </c>
      <c r="CG48" s="499"/>
      <c r="CH48" s="496" t="str">
        <f t="shared" si="62"/>
        <v/>
      </c>
      <c r="CI48" s="497" t="str">
        <f t="shared" si="63"/>
        <v/>
      </c>
      <c r="CJ48" s="496" t="str">
        <f t="shared" si="64"/>
        <v/>
      </c>
      <c r="CK48" s="499"/>
      <c r="CL48" s="496" t="str">
        <f t="shared" si="65"/>
        <v/>
      </c>
      <c r="CM48" s="497" t="str">
        <f t="shared" si="66"/>
        <v/>
      </c>
      <c r="CN48" s="496" t="str">
        <f t="shared" si="67"/>
        <v/>
      </c>
      <c r="CO48" s="499"/>
      <c r="CP48" s="496" t="str">
        <f t="shared" si="68"/>
        <v/>
      </c>
      <c r="CQ48" s="497" t="str">
        <f t="shared" si="69"/>
        <v/>
      </c>
      <c r="CR48" s="496" t="str">
        <f t="shared" si="70"/>
        <v/>
      </c>
      <c r="CS48" s="499"/>
      <c r="CT48" s="496" t="str">
        <f t="shared" si="71"/>
        <v/>
      </c>
      <c r="CU48" s="497" t="str">
        <f t="shared" si="72"/>
        <v/>
      </c>
      <c r="CV48" s="496" t="str">
        <f t="shared" si="73"/>
        <v/>
      </c>
      <c r="CW48" s="499"/>
      <c r="CX48" s="496" t="str">
        <f>IF('1.ข้อมูลเบื้องต้น'!$B$32="","",IF($A48="","",'1.ข้อมูลเบื้องต้น'!$B$32))</f>
        <v/>
      </c>
      <c r="CY48" s="497" t="str">
        <f>IF('1.ข้อมูลเบื้องต้น'!$C$32="","",IF($A48="","",'1.ข้อมูลเบื้องต้น'!$C$32))</f>
        <v/>
      </c>
      <c r="CZ48" s="496" t="str">
        <f>IF('1.ข้อมูลเบื้องต้น'!$D$32="","",IF($A48="","",'1.ข้อมูลเบื้องต้น'!$D$32))</f>
        <v/>
      </c>
      <c r="DA48" s="499"/>
      <c r="DB48" s="496" t="str">
        <f t="shared" si="74"/>
        <v/>
      </c>
      <c r="DC48" s="498" t="str">
        <f>IF('2.ชื่อนักเรียน'!R54="มส","มส",IF('2.ชื่อนักเรียน'!R54="ย้าย","ย้าย",IF('2.ชื่อนักเรียน'!R54="ร","ร",IF(DB48="","",RANK(DB48,$DB$5:$DB$49,0)))))</f>
        <v/>
      </c>
      <c r="DD48" s="496" t="str">
        <f t="shared" si="75"/>
        <v/>
      </c>
    </row>
    <row r="49" spans="1:108" s="501" customFormat="1" ht="21" x14ac:dyDescent="0.4">
      <c r="A49" s="496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B49" s="496" t="str">
        <f>IF(IDstu45="","",IDstu45)</f>
        <v/>
      </c>
      <c r="C49" s="497" t="str">
        <f>CONCATENATE(TRIM(Name45),"  ",Surname45)</f>
        <v xml:space="preserve">  </v>
      </c>
      <c r="D49" s="498" t="str">
        <f t="shared" si="0"/>
        <v/>
      </c>
      <c r="E49" s="496" t="str">
        <f t="shared" si="1"/>
        <v/>
      </c>
      <c r="F49" s="496" t="str">
        <f t="shared" si="2"/>
        <v/>
      </c>
      <c r="G49" s="497" t="str">
        <f t="shared" si="3"/>
        <v/>
      </c>
      <c r="H49" s="496" t="str">
        <f t="shared" si="4"/>
        <v/>
      </c>
      <c r="I49" s="499"/>
      <c r="J49" s="496" t="str">
        <f t="shared" si="5"/>
        <v/>
      </c>
      <c r="K49" s="497" t="str">
        <f t="shared" si="6"/>
        <v/>
      </c>
      <c r="L49" s="496" t="str">
        <f t="shared" si="7"/>
        <v/>
      </c>
      <c r="M49" s="499"/>
      <c r="N49" s="496" t="str">
        <f t="shared" si="8"/>
        <v/>
      </c>
      <c r="O49" s="497" t="str">
        <f t="shared" si="9"/>
        <v/>
      </c>
      <c r="P49" s="496" t="str">
        <f t="shared" si="10"/>
        <v/>
      </c>
      <c r="Q49" s="499"/>
      <c r="R49" s="496" t="str">
        <f t="shared" si="11"/>
        <v/>
      </c>
      <c r="S49" s="497" t="str">
        <f t="shared" si="12"/>
        <v/>
      </c>
      <c r="T49" s="496" t="str">
        <f t="shared" si="13"/>
        <v/>
      </c>
      <c r="U49" s="499"/>
      <c r="V49" s="496" t="str">
        <f t="shared" si="14"/>
        <v/>
      </c>
      <c r="W49" s="497" t="str">
        <f t="shared" si="15"/>
        <v/>
      </c>
      <c r="X49" s="496" t="str">
        <f t="shared" si="16"/>
        <v/>
      </c>
      <c r="Y49" s="499"/>
      <c r="Z49" s="496" t="str">
        <f t="shared" si="17"/>
        <v/>
      </c>
      <c r="AA49" s="497" t="str">
        <f t="shared" si="18"/>
        <v/>
      </c>
      <c r="AB49" s="496" t="str">
        <f t="shared" si="19"/>
        <v/>
      </c>
      <c r="AC49" s="499"/>
      <c r="AD49" s="496" t="str">
        <f t="shared" si="20"/>
        <v/>
      </c>
      <c r="AE49" s="497" t="str">
        <f t="shared" si="21"/>
        <v/>
      </c>
      <c r="AF49" s="496" t="str">
        <f t="shared" si="22"/>
        <v/>
      </c>
      <c r="AG49" s="499"/>
      <c r="AH49" s="496" t="str">
        <f t="shared" si="23"/>
        <v/>
      </c>
      <c r="AI49" s="497" t="str">
        <f t="shared" si="24"/>
        <v/>
      </c>
      <c r="AJ49" s="496" t="str">
        <f t="shared" si="25"/>
        <v/>
      </c>
      <c r="AK49" s="499"/>
      <c r="AL49" s="496" t="str">
        <f t="shared" si="26"/>
        <v/>
      </c>
      <c r="AM49" s="497" t="str">
        <f t="shared" si="27"/>
        <v/>
      </c>
      <c r="AN49" s="496" t="str">
        <f t="shared" si="28"/>
        <v/>
      </c>
      <c r="AO49" s="499"/>
      <c r="AP49" s="496" t="str">
        <f t="shared" si="29"/>
        <v/>
      </c>
      <c r="AQ49" s="497" t="str">
        <f t="shared" si="30"/>
        <v/>
      </c>
      <c r="AR49" s="496" t="str">
        <f t="shared" si="31"/>
        <v/>
      </c>
      <c r="AS49" s="499"/>
      <c r="AT49" s="496" t="str">
        <f t="shared" si="32"/>
        <v/>
      </c>
      <c r="AU49" s="497" t="str">
        <f t="shared" si="33"/>
        <v/>
      </c>
      <c r="AV49" s="496" t="str">
        <f t="shared" si="34"/>
        <v/>
      </c>
      <c r="AW49" s="499"/>
      <c r="AX49" s="496" t="str">
        <f t="shared" si="35"/>
        <v/>
      </c>
      <c r="AY49" s="497" t="str">
        <f t="shared" si="36"/>
        <v/>
      </c>
      <c r="AZ49" s="496" t="str">
        <f t="shared" si="37"/>
        <v/>
      </c>
      <c r="BA49" s="499"/>
      <c r="BB49" s="496" t="str">
        <f t="shared" si="38"/>
        <v/>
      </c>
      <c r="BC49" s="497" t="str">
        <f t="shared" si="39"/>
        <v/>
      </c>
      <c r="BD49" s="496" t="str">
        <f t="shared" si="40"/>
        <v/>
      </c>
      <c r="BE49" s="499"/>
      <c r="BF49" s="496" t="str">
        <f t="shared" si="41"/>
        <v/>
      </c>
      <c r="BG49" s="497" t="str">
        <f t="shared" si="42"/>
        <v/>
      </c>
      <c r="BH49" s="496" t="str">
        <f t="shared" si="43"/>
        <v/>
      </c>
      <c r="BI49" s="499"/>
      <c r="BJ49" s="496" t="str">
        <f t="shared" si="44"/>
        <v/>
      </c>
      <c r="BK49" s="497" t="str">
        <f t="shared" si="45"/>
        <v/>
      </c>
      <c r="BL49" s="496" t="str">
        <f t="shared" si="46"/>
        <v/>
      </c>
      <c r="BM49" s="499"/>
      <c r="BN49" s="496" t="str">
        <f t="shared" si="47"/>
        <v/>
      </c>
      <c r="BO49" s="497" t="str">
        <f t="shared" si="48"/>
        <v/>
      </c>
      <c r="BP49" s="496" t="str">
        <f t="shared" si="49"/>
        <v/>
      </c>
      <c r="BQ49" s="499"/>
      <c r="BR49" s="496" t="str">
        <f t="shared" si="50"/>
        <v/>
      </c>
      <c r="BS49" s="497" t="str">
        <f t="shared" si="51"/>
        <v/>
      </c>
      <c r="BT49" s="496" t="str">
        <f t="shared" si="52"/>
        <v/>
      </c>
      <c r="BU49" s="499"/>
      <c r="BV49" s="496" t="str">
        <f t="shared" si="53"/>
        <v/>
      </c>
      <c r="BW49" s="497" t="str">
        <f t="shared" si="54"/>
        <v/>
      </c>
      <c r="BX49" s="496" t="str">
        <f t="shared" si="55"/>
        <v/>
      </c>
      <c r="BY49" s="499"/>
      <c r="BZ49" s="496" t="str">
        <f t="shared" si="56"/>
        <v/>
      </c>
      <c r="CA49" s="497" t="str">
        <f t="shared" si="57"/>
        <v/>
      </c>
      <c r="CB49" s="496" t="str">
        <f t="shared" si="58"/>
        <v/>
      </c>
      <c r="CC49" s="499"/>
      <c r="CD49" s="496" t="str">
        <f t="shared" si="59"/>
        <v/>
      </c>
      <c r="CE49" s="497" t="str">
        <f t="shared" si="60"/>
        <v/>
      </c>
      <c r="CF49" s="496" t="str">
        <f t="shared" si="61"/>
        <v/>
      </c>
      <c r="CG49" s="499"/>
      <c r="CH49" s="496" t="str">
        <f t="shared" si="62"/>
        <v/>
      </c>
      <c r="CI49" s="497" t="str">
        <f t="shared" si="63"/>
        <v/>
      </c>
      <c r="CJ49" s="496" t="str">
        <f t="shared" si="64"/>
        <v/>
      </c>
      <c r="CK49" s="499"/>
      <c r="CL49" s="496" t="str">
        <f t="shared" si="65"/>
        <v/>
      </c>
      <c r="CM49" s="497" t="str">
        <f t="shared" si="66"/>
        <v/>
      </c>
      <c r="CN49" s="496" t="str">
        <f t="shared" si="67"/>
        <v/>
      </c>
      <c r="CO49" s="499"/>
      <c r="CP49" s="496" t="str">
        <f t="shared" si="68"/>
        <v/>
      </c>
      <c r="CQ49" s="497" t="str">
        <f t="shared" si="69"/>
        <v/>
      </c>
      <c r="CR49" s="496" t="str">
        <f t="shared" si="70"/>
        <v/>
      </c>
      <c r="CS49" s="499"/>
      <c r="CT49" s="496" t="str">
        <f t="shared" si="71"/>
        <v/>
      </c>
      <c r="CU49" s="497" t="str">
        <f t="shared" si="72"/>
        <v/>
      </c>
      <c r="CV49" s="496" t="str">
        <f t="shared" si="73"/>
        <v/>
      </c>
      <c r="CW49" s="499"/>
      <c r="CX49" s="496" t="str">
        <f>IF('1.ข้อมูลเบื้องต้น'!$B$32="","",IF($A49="","",'1.ข้อมูลเบื้องต้น'!$B$32))</f>
        <v/>
      </c>
      <c r="CY49" s="497" t="str">
        <f>IF('1.ข้อมูลเบื้องต้น'!$C$32="","",IF($A49="","",'1.ข้อมูลเบื้องต้น'!$C$32))</f>
        <v/>
      </c>
      <c r="CZ49" s="496" t="str">
        <f>IF('1.ข้อมูลเบื้องต้น'!$D$32="","",IF($A49="","",'1.ข้อมูลเบื้องต้น'!$D$32))</f>
        <v/>
      </c>
      <c r="DA49" s="499"/>
      <c r="DB49" s="496" t="str">
        <f t="shared" si="74"/>
        <v/>
      </c>
      <c r="DC49" s="498" t="str">
        <f>IF('2.ชื่อนักเรียน'!R55="มส","มส",IF('2.ชื่อนักเรียน'!R55="ย้าย","ย้าย",IF('2.ชื่อนักเรียน'!R55="ร","ร",IF(DB49="","",RANK(DB49,$DB$5:$DB$49,0)))))</f>
        <v/>
      </c>
      <c r="DD49" s="496" t="str">
        <f t="shared" si="75"/>
        <v/>
      </c>
    </row>
    <row r="50" spans="1:108" s="14" customFormat="1" ht="21" x14ac:dyDescent="0.4">
      <c r="A50" s="27"/>
      <c r="B50" s="27"/>
      <c r="D50" s="16"/>
      <c r="E50" s="27"/>
      <c r="F50" s="27"/>
      <c r="G50" s="14" t="s">
        <v>6</v>
      </c>
      <c r="H50" s="27"/>
      <c r="I50" s="301" t="str">
        <f>IF(SUM(I5:I49)=0,"",SUM(I5:I49))</f>
        <v/>
      </c>
      <c r="J50" s="27"/>
      <c r="K50" s="14" t="s">
        <v>6</v>
      </c>
      <c r="L50" s="27"/>
      <c r="M50" s="301" t="str">
        <f>IF(SUM(M5:M49)=0,"",SUM(M5:M49))</f>
        <v/>
      </c>
      <c r="N50" s="27"/>
      <c r="O50" s="14" t="s">
        <v>6</v>
      </c>
      <c r="P50" s="27"/>
      <c r="Q50" s="302" t="str">
        <f>IF(SUM(Q5:Q49)=0,"",SUM(Q5:Q49))</f>
        <v/>
      </c>
      <c r="R50" s="27"/>
      <c r="S50" s="14" t="s">
        <v>6</v>
      </c>
      <c r="T50" s="27"/>
      <c r="U50" s="302" t="str">
        <f>IF(SUM(U5:U49)=0,"",SUM(U5:U49))</f>
        <v/>
      </c>
      <c r="V50" s="27"/>
      <c r="W50" s="14" t="s">
        <v>6</v>
      </c>
      <c r="X50" s="27"/>
      <c r="Y50" s="302" t="str">
        <f>IF(SUM(Y5:Y49)=0,"",SUM(Y5:Y49))</f>
        <v/>
      </c>
      <c r="Z50" s="27"/>
      <c r="AA50" s="14" t="s">
        <v>6</v>
      </c>
      <c r="AB50" s="27"/>
      <c r="AC50" s="301" t="str">
        <f>IF(SUM(AC5:AC49)=0,"",SUM(AC5:AC49))</f>
        <v/>
      </c>
      <c r="AD50" s="27"/>
      <c r="AE50" s="14" t="s">
        <v>6</v>
      </c>
      <c r="AF50" s="27"/>
      <c r="AG50" s="301" t="str">
        <f>IF(SUM(AG5:AG49)=0,"",SUM(AG5:AG49))</f>
        <v/>
      </c>
      <c r="AH50" s="27"/>
      <c r="AI50" s="14" t="s">
        <v>6</v>
      </c>
      <c r="AJ50" s="27"/>
      <c r="AK50" s="301" t="str">
        <f>IF(SUM(AK5:AK49)=0,"",SUM(AK5:AK49))</f>
        <v/>
      </c>
      <c r="AL50" s="27"/>
      <c r="AM50" s="14" t="s">
        <v>6</v>
      </c>
      <c r="AN50" s="27"/>
      <c r="AO50" s="301" t="str">
        <f>IF(SUM(AO5:AO49)=0,"",SUM(AO5:AO49))</f>
        <v/>
      </c>
      <c r="AP50" s="27"/>
      <c r="AQ50" s="14" t="s">
        <v>6</v>
      </c>
      <c r="AR50" s="27"/>
      <c r="AS50" s="301" t="str">
        <f>IF(SUM(AS5:AS49)=0,"",SUM(AS5:AS49))</f>
        <v/>
      </c>
      <c r="AT50" s="27"/>
      <c r="AU50" s="14" t="s">
        <v>6</v>
      </c>
      <c r="AV50" s="27"/>
      <c r="AW50" s="301" t="str">
        <f>IF(SUM(AW5:AW49)=0,"",SUM(AW5:AW49))</f>
        <v/>
      </c>
      <c r="AX50" s="27"/>
      <c r="AY50" s="14" t="s">
        <v>6</v>
      </c>
      <c r="AZ50" s="27"/>
      <c r="BA50" s="16" t="str">
        <f>IF(SUM(BA5:BA49)=0,"",SUM(BA5:BA49))</f>
        <v/>
      </c>
      <c r="BB50" s="27"/>
      <c r="BC50" s="14" t="s">
        <v>6</v>
      </c>
      <c r="BD50" s="27"/>
      <c r="BE50" s="301" t="str">
        <f>IF(SUM(BE5:BE49)=0,"",SUM(BE5:BE49))</f>
        <v/>
      </c>
      <c r="BF50" s="27"/>
      <c r="BG50" s="14" t="s">
        <v>6</v>
      </c>
      <c r="BH50" s="27"/>
      <c r="BI50" s="301" t="str">
        <f>IF(SUM(BI5:BI49)=0,"",SUM(BI5:BI49))</f>
        <v/>
      </c>
      <c r="BJ50" s="27"/>
      <c r="BK50" s="14" t="s">
        <v>6</v>
      </c>
      <c r="BL50" s="27"/>
      <c r="BM50" s="301" t="str">
        <f>IF(SUM(BM5:BM49)=0,"",SUM(BM5:BM49))</f>
        <v/>
      </c>
      <c r="BN50" s="27"/>
      <c r="BO50" s="14" t="s">
        <v>6</v>
      </c>
      <c r="BP50" s="27"/>
      <c r="BQ50" s="301" t="str">
        <f>IF(SUM(BQ5:BQ49)=0,"",SUM(BQ5:BQ49))</f>
        <v/>
      </c>
      <c r="BR50" s="27"/>
      <c r="BS50" s="14" t="s">
        <v>6</v>
      </c>
      <c r="BT50" s="27"/>
      <c r="BU50" s="301" t="str">
        <f>IF(SUM(BU5:BU49)=0,"",SUM(BU5:BU49))</f>
        <v/>
      </c>
      <c r="BV50" s="27"/>
      <c r="BW50" s="14" t="s">
        <v>6</v>
      </c>
      <c r="BX50" s="27"/>
      <c r="BY50" s="301" t="str">
        <f>IF(SUM(BY5:BY49)=0,"",SUM(BY5:BY49))</f>
        <v/>
      </c>
      <c r="BZ50" s="27"/>
      <c r="CA50" s="14" t="s">
        <v>6</v>
      </c>
      <c r="CB50" s="27"/>
      <c r="CC50" s="301" t="str">
        <f>IF(SUM(CC5:CC49)=0,"",SUM(CC5:CC49))</f>
        <v/>
      </c>
      <c r="CD50" s="27"/>
      <c r="CE50" s="14" t="s">
        <v>6</v>
      </c>
      <c r="CF50" s="27"/>
      <c r="CG50" s="301" t="str">
        <f>IF(SUM(CG5:CG49)=0,"",SUM(CG5:CG49))</f>
        <v/>
      </c>
      <c r="CH50" s="27"/>
      <c r="CI50" s="14" t="s">
        <v>6</v>
      </c>
      <c r="CJ50" s="27"/>
      <c r="CK50" s="301" t="str">
        <f>IF(SUM(CK5:CK49)=0,"",SUM(CK5:CK49))</f>
        <v/>
      </c>
      <c r="CL50" s="27"/>
      <c r="CM50" s="14" t="s">
        <v>6</v>
      </c>
      <c r="CN50" s="27"/>
      <c r="CO50" s="16" t="str">
        <f>IF(SUM(CO5:CO49)=0,"",SUM(CO5:CO49))</f>
        <v/>
      </c>
      <c r="CP50" s="27"/>
      <c r="CQ50" s="14" t="s">
        <v>6</v>
      </c>
      <c r="CR50" s="27"/>
      <c r="CS50" s="16" t="str">
        <f>IF(SUM(CS5:CS49)=0,"",SUM(CS5:CS49))</f>
        <v/>
      </c>
      <c r="CT50" s="27"/>
      <c r="CU50" s="14" t="s">
        <v>6</v>
      </c>
      <c r="CV50" s="27"/>
      <c r="CW50" s="16" t="str">
        <f>IF(SUM(CW5:CW49)=0,"",SUM(CW5:CW49))</f>
        <v/>
      </c>
      <c r="CX50" s="27"/>
      <c r="CY50" s="14" t="s">
        <v>6</v>
      </c>
      <c r="CZ50" s="27"/>
      <c r="DA50" s="16" t="str">
        <f>IF(SUM(DA5:DA49)=0,"",SUM(DA5:DA49))</f>
        <v/>
      </c>
      <c r="DB50" s="27"/>
      <c r="DD50" s="16"/>
    </row>
    <row r="51" spans="1:108" s="14" customFormat="1" ht="21" x14ac:dyDescent="0.4">
      <c r="A51" s="27"/>
      <c r="B51" s="27"/>
      <c r="D51" s="16"/>
      <c r="E51" s="27"/>
      <c r="F51" s="27"/>
      <c r="G51" s="14" t="s">
        <v>7</v>
      </c>
      <c r="H51" s="27"/>
      <c r="I51" s="301" t="str">
        <f>IF(I50="","",MIN(I5:I49))</f>
        <v/>
      </c>
      <c r="J51" s="27"/>
      <c r="K51" s="14" t="s">
        <v>7</v>
      </c>
      <c r="L51" s="27"/>
      <c r="M51" s="301" t="str">
        <f>IF(M50="","",MIN(M5:M49))</f>
        <v/>
      </c>
      <c r="N51" s="27"/>
      <c r="O51" s="14" t="s">
        <v>7</v>
      </c>
      <c r="P51" s="27"/>
      <c r="Q51" s="302" t="str">
        <f>IF(Q50="","",MIN(Q5:Q49))</f>
        <v/>
      </c>
      <c r="R51" s="27"/>
      <c r="S51" s="14" t="s">
        <v>7</v>
      </c>
      <c r="T51" s="27"/>
      <c r="U51" s="302" t="str">
        <f>IF(U50="","",MIN(U5:U49))</f>
        <v/>
      </c>
      <c r="V51" s="27"/>
      <c r="W51" s="14" t="s">
        <v>7</v>
      </c>
      <c r="X51" s="27"/>
      <c r="Y51" s="302" t="str">
        <f>IF(Y50="","",MIN(Y5:Y49))</f>
        <v/>
      </c>
      <c r="Z51" s="27"/>
      <c r="AA51" s="14" t="s">
        <v>7</v>
      </c>
      <c r="AB51" s="27"/>
      <c r="AC51" s="301" t="str">
        <f>IF(AC50="","",MIN(AC5:AC49))</f>
        <v/>
      </c>
      <c r="AD51" s="27"/>
      <c r="AE51" s="14" t="s">
        <v>7</v>
      </c>
      <c r="AF51" s="27"/>
      <c r="AG51" s="301" t="str">
        <f>IF(AG50="","",MIN(AG5:AG49))</f>
        <v/>
      </c>
      <c r="AH51" s="27"/>
      <c r="AI51" s="14" t="s">
        <v>7</v>
      </c>
      <c r="AJ51" s="27"/>
      <c r="AK51" s="301" t="str">
        <f>IF(AK50="","",MIN(AK5:AK49))</f>
        <v/>
      </c>
      <c r="AL51" s="27"/>
      <c r="AM51" s="14" t="s">
        <v>7</v>
      </c>
      <c r="AN51" s="27"/>
      <c r="AO51" s="301" t="str">
        <f>IF(AO50="","",MIN(AO5:AO49))</f>
        <v/>
      </c>
      <c r="AP51" s="27"/>
      <c r="AQ51" s="14" t="s">
        <v>7</v>
      </c>
      <c r="AR51" s="27"/>
      <c r="AS51" s="301" t="str">
        <f>IF(AS50="","",MIN(AS5:AS49))</f>
        <v/>
      </c>
      <c r="AT51" s="27"/>
      <c r="AU51" s="14" t="s">
        <v>7</v>
      </c>
      <c r="AV51" s="27"/>
      <c r="AW51" s="301" t="str">
        <f>IF(AW50="","",MIN(AW5:AW49))</f>
        <v/>
      </c>
      <c r="AX51" s="27"/>
      <c r="AY51" s="14" t="s">
        <v>7</v>
      </c>
      <c r="AZ51" s="27"/>
      <c r="BA51" s="16" t="str">
        <f>IF(BA50="","",MIN(BA5:BA49))</f>
        <v/>
      </c>
      <c r="BB51" s="27"/>
      <c r="BC51" s="14" t="s">
        <v>7</v>
      </c>
      <c r="BD51" s="27"/>
      <c r="BE51" s="301" t="str">
        <f>IF(BE50="","",MIN(BE5:BE49))</f>
        <v/>
      </c>
      <c r="BF51" s="27"/>
      <c r="BG51" s="14" t="s">
        <v>7</v>
      </c>
      <c r="BH51" s="27"/>
      <c r="BI51" s="301" t="str">
        <f>IF(BI50="","",MIN(BI5:BI49))</f>
        <v/>
      </c>
      <c r="BJ51" s="27"/>
      <c r="BK51" s="14" t="s">
        <v>7</v>
      </c>
      <c r="BL51" s="27"/>
      <c r="BM51" s="301" t="str">
        <f>IF(BM50="","",MIN(BM5:BM49))</f>
        <v/>
      </c>
      <c r="BN51" s="27"/>
      <c r="BO51" s="14" t="s">
        <v>7</v>
      </c>
      <c r="BP51" s="27"/>
      <c r="BQ51" s="301" t="str">
        <f>IF(BQ50="","",MIN(BQ5:BQ49))</f>
        <v/>
      </c>
      <c r="BR51" s="27"/>
      <c r="BS51" s="14" t="s">
        <v>7</v>
      </c>
      <c r="BT51" s="27"/>
      <c r="BU51" s="301" t="str">
        <f>IF(BU50="","",MIN(BU5:BU49))</f>
        <v/>
      </c>
      <c r="BV51" s="27"/>
      <c r="BW51" s="14" t="s">
        <v>7</v>
      </c>
      <c r="BX51" s="27"/>
      <c r="BY51" s="301" t="str">
        <f>IF(BY50="","",MIN(BY5:BY49))</f>
        <v/>
      </c>
      <c r="BZ51" s="27"/>
      <c r="CA51" s="14" t="s">
        <v>7</v>
      </c>
      <c r="CB51" s="27"/>
      <c r="CC51" s="301" t="str">
        <f>IF(CC50="","",MIN(CC5:CC49))</f>
        <v/>
      </c>
      <c r="CD51" s="27"/>
      <c r="CE51" s="14" t="s">
        <v>7</v>
      </c>
      <c r="CF51" s="27"/>
      <c r="CG51" s="301" t="str">
        <f>IF(CG50="","",MIN(CG5:CG49))</f>
        <v/>
      </c>
      <c r="CH51" s="27"/>
      <c r="CI51" s="14" t="s">
        <v>7</v>
      </c>
      <c r="CJ51" s="27"/>
      <c r="CK51" s="301" t="str">
        <f>IF(CK50="","",MIN(CK5:CK49))</f>
        <v/>
      </c>
      <c r="CL51" s="27"/>
      <c r="CM51" s="14" t="s">
        <v>7</v>
      </c>
      <c r="CN51" s="27"/>
      <c r="CO51" s="16" t="str">
        <f>IF(CO50="","",MIN(CO5:CO49))</f>
        <v/>
      </c>
      <c r="CP51" s="27"/>
      <c r="CQ51" s="14" t="s">
        <v>7</v>
      </c>
      <c r="CR51" s="27"/>
      <c r="CS51" s="16" t="str">
        <f>IF(CS50="","",MIN(CS5:CS49))</f>
        <v/>
      </c>
      <c r="CT51" s="27"/>
      <c r="CU51" s="14" t="s">
        <v>7</v>
      </c>
      <c r="CV51" s="27"/>
      <c r="CW51" s="16" t="str">
        <f>IF(CW50="","",MIN(CW5:CW49))</f>
        <v/>
      </c>
      <c r="CX51" s="27"/>
      <c r="CY51" s="14" t="s">
        <v>7</v>
      </c>
      <c r="CZ51" s="27"/>
      <c r="DA51" s="16" t="str">
        <f>IF(DA50="","",MIN(DA5:DA49))</f>
        <v/>
      </c>
      <c r="DB51" s="27"/>
      <c r="DD51" s="16"/>
    </row>
    <row r="52" spans="1:108" s="14" customFormat="1" ht="21" x14ac:dyDescent="0.4">
      <c r="A52" s="27"/>
      <c r="B52" s="27"/>
      <c r="D52" s="16"/>
      <c r="E52" s="27"/>
      <c r="F52" s="27"/>
      <c r="G52" s="14" t="s">
        <v>8</v>
      </c>
      <c r="H52" s="27"/>
      <c r="I52" s="301" t="str">
        <f>IF(I50="","",MAX(I5:I49))</f>
        <v/>
      </c>
      <c r="J52" s="27"/>
      <c r="K52" s="14" t="s">
        <v>8</v>
      </c>
      <c r="L52" s="27"/>
      <c r="M52" s="301" t="str">
        <f>IF(M50="","",MAX(M5:M49))</f>
        <v/>
      </c>
      <c r="N52" s="27"/>
      <c r="O52" s="14" t="s">
        <v>8</v>
      </c>
      <c r="P52" s="27"/>
      <c r="Q52" s="302" t="str">
        <f>IF(Q50="","",MAX(Q5:Q49))</f>
        <v/>
      </c>
      <c r="R52" s="27"/>
      <c r="S52" s="14" t="s">
        <v>8</v>
      </c>
      <c r="T52" s="27"/>
      <c r="U52" s="302" t="str">
        <f>IF(U50="","",MAX(U5:U49))</f>
        <v/>
      </c>
      <c r="V52" s="27"/>
      <c r="W52" s="14" t="s">
        <v>8</v>
      </c>
      <c r="X52" s="27"/>
      <c r="Y52" s="302" t="str">
        <f>IF(Y50="","",MAX(Y5:Y49))</f>
        <v/>
      </c>
      <c r="Z52" s="27"/>
      <c r="AA52" s="14" t="s">
        <v>8</v>
      </c>
      <c r="AB52" s="27"/>
      <c r="AC52" s="301" t="str">
        <f>IF(AC50="","",MAX(AC5:AC49))</f>
        <v/>
      </c>
      <c r="AD52" s="27"/>
      <c r="AE52" s="14" t="s">
        <v>8</v>
      </c>
      <c r="AF52" s="27"/>
      <c r="AG52" s="301" t="str">
        <f>IF(AG50="","",MAX(AG5:AG49))</f>
        <v/>
      </c>
      <c r="AH52" s="27"/>
      <c r="AI52" s="14" t="s">
        <v>8</v>
      </c>
      <c r="AJ52" s="27"/>
      <c r="AK52" s="301" t="str">
        <f>IF(AK50="","",MAX(AK5:AK49))</f>
        <v/>
      </c>
      <c r="AL52" s="27"/>
      <c r="AM52" s="14" t="s">
        <v>8</v>
      </c>
      <c r="AN52" s="27"/>
      <c r="AO52" s="301" t="str">
        <f>IF(AO50="","",MAX(AO5:AO49))</f>
        <v/>
      </c>
      <c r="AP52" s="27"/>
      <c r="AQ52" s="14" t="s">
        <v>8</v>
      </c>
      <c r="AR52" s="27"/>
      <c r="AS52" s="301" t="str">
        <f>IF(AS50="","",MAX(AS5:AS49))</f>
        <v/>
      </c>
      <c r="AT52" s="27"/>
      <c r="AU52" s="14" t="s">
        <v>8</v>
      </c>
      <c r="AV52" s="27"/>
      <c r="AW52" s="301" t="str">
        <f>IF(AW50="","",MAX(AW5:AW49))</f>
        <v/>
      </c>
      <c r="AX52" s="27"/>
      <c r="AY52" s="14" t="s">
        <v>8</v>
      </c>
      <c r="AZ52" s="27"/>
      <c r="BA52" s="16" t="str">
        <f>IF(BA50="","",MAX(BA5:BA49))</f>
        <v/>
      </c>
      <c r="BB52" s="27"/>
      <c r="BC52" s="14" t="s">
        <v>8</v>
      </c>
      <c r="BD52" s="27"/>
      <c r="BE52" s="301" t="str">
        <f>IF(BE50="","",MAX(BE5:BE49))</f>
        <v/>
      </c>
      <c r="BF52" s="27"/>
      <c r="BG52" s="14" t="s">
        <v>8</v>
      </c>
      <c r="BH52" s="27"/>
      <c r="BI52" s="301" t="str">
        <f>IF(BI50="","",MAX(BI5:BI49))</f>
        <v/>
      </c>
      <c r="BJ52" s="27"/>
      <c r="BK52" s="14" t="s">
        <v>8</v>
      </c>
      <c r="BL52" s="27"/>
      <c r="BM52" s="301" t="str">
        <f>IF(BM50="","",MAX(BM5:BM49))</f>
        <v/>
      </c>
      <c r="BN52" s="27"/>
      <c r="BO52" s="14" t="s">
        <v>8</v>
      </c>
      <c r="BP52" s="27"/>
      <c r="BQ52" s="301" t="str">
        <f>IF(BQ50="","",MAX(BQ5:BQ49))</f>
        <v/>
      </c>
      <c r="BR52" s="27"/>
      <c r="BS52" s="14" t="s">
        <v>8</v>
      </c>
      <c r="BT52" s="27"/>
      <c r="BU52" s="301" t="str">
        <f>IF(BU50="","",MAX(BU5:BU49))</f>
        <v/>
      </c>
      <c r="BV52" s="27"/>
      <c r="BW52" s="14" t="s">
        <v>8</v>
      </c>
      <c r="BX52" s="27"/>
      <c r="BY52" s="301" t="str">
        <f>IF(BY50="","",MAX(BY5:BY49))</f>
        <v/>
      </c>
      <c r="BZ52" s="27"/>
      <c r="CA52" s="14" t="s">
        <v>8</v>
      </c>
      <c r="CB52" s="27"/>
      <c r="CC52" s="301" t="str">
        <f>IF(CC50="","",MAX(CC5:CC49))</f>
        <v/>
      </c>
      <c r="CD52" s="27"/>
      <c r="CE52" s="14" t="s">
        <v>8</v>
      </c>
      <c r="CF52" s="27"/>
      <c r="CG52" s="301" t="str">
        <f>IF(CG50="","",MAX(CG5:CG49))</f>
        <v/>
      </c>
      <c r="CH52" s="27"/>
      <c r="CI52" s="14" t="s">
        <v>8</v>
      </c>
      <c r="CJ52" s="27"/>
      <c r="CK52" s="301" t="str">
        <f>IF(CK50="","",MAX(CK5:CK49))</f>
        <v/>
      </c>
      <c r="CL52" s="27"/>
      <c r="CM52" s="14" t="s">
        <v>8</v>
      </c>
      <c r="CN52" s="27"/>
      <c r="CO52" s="16" t="str">
        <f>IF(CO50="","",MAX(CO5:CO49))</f>
        <v/>
      </c>
      <c r="CP52" s="27"/>
      <c r="CQ52" s="14" t="s">
        <v>8</v>
      </c>
      <c r="CR52" s="27"/>
      <c r="CS52" s="16" t="str">
        <f>IF(CS50="","",MAX(CS5:CS49))</f>
        <v/>
      </c>
      <c r="CT52" s="27"/>
      <c r="CU52" s="14" t="s">
        <v>8</v>
      </c>
      <c r="CV52" s="27"/>
      <c r="CW52" s="16" t="str">
        <f>IF(CW50="","",MAX(CW5:CW49))</f>
        <v/>
      </c>
      <c r="CX52" s="27"/>
      <c r="CY52" s="14" t="s">
        <v>8</v>
      </c>
      <c r="CZ52" s="27"/>
      <c r="DA52" s="16" t="str">
        <f>IF(DA50="","",MAX(DA5:DA49))</f>
        <v/>
      </c>
      <c r="DB52" s="27"/>
      <c r="DD52" s="16"/>
    </row>
    <row r="53" spans="1:108" s="14" customFormat="1" ht="21" x14ac:dyDescent="0.4">
      <c r="A53" s="27"/>
      <c r="B53" s="27"/>
      <c r="D53" s="16"/>
      <c r="E53" s="27"/>
      <c r="F53" s="27"/>
      <c r="G53" s="14" t="s">
        <v>9</v>
      </c>
      <c r="H53" s="27"/>
      <c r="I53" s="301" t="str">
        <f>IF(I50="","",AVERAGE(I5:I49))</f>
        <v/>
      </c>
      <c r="J53" s="27"/>
      <c r="K53" s="14" t="s">
        <v>9</v>
      </c>
      <c r="L53" s="27"/>
      <c r="M53" s="301" t="str">
        <f>IF(M50="","",AVERAGE(M5:M49))</f>
        <v/>
      </c>
      <c r="N53" s="27"/>
      <c r="O53" s="14" t="s">
        <v>9</v>
      </c>
      <c r="P53" s="27"/>
      <c r="Q53" s="302" t="str">
        <f>IF(Q50="","",AVERAGE(Q5:Q49))</f>
        <v/>
      </c>
      <c r="R53" s="27"/>
      <c r="S53" s="14" t="s">
        <v>9</v>
      </c>
      <c r="T53" s="27"/>
      <c r="U53" s="302" t="str">
        <f>IF(U50="","",AVERAGE(U5:U49))</f>
        <v/>
      </c>
      <c r="V53" s="27"/>
      <c r="W53" s="14" t="s">
        <v>9</v>
      </c>
      <c r="X53" s="27"/>
      <c r="Y53" s="302" t="str">
        <f>IF(Y50="","",AVERAGE(Y5:Y49))</f>
        <v/>
      </c>
      <c r="Z53" s="27"/>
      <c r="AA53" s="14" t="s">
        <v>9</v>
      </c>
      <c r="AB53" s="27"/>
      <c r="AC53" s="301" t="str">
        <f>IF(AC50="","",AVERAGE(AC5:AC49))</f>
        <v/>
      </c>
      <c r="AD53" s="27"/>
      <c r="AE53" s="14" t="s">
        <v>9</v>
      </c>
      <c r="AF53" s="27"/>
      <c r="AG53" s="301" t="str">
        <f>IF(AG50="","",AVERAGE(AG5:AG49))</f>
        <v/>
      </c>
      <c r="AH53" s="27"/>
      <c r="AI53" s="14" t="s">
        <v>9</v>
      </c>
      <c r="AJ53" s="27"/>
      <c r="AK53" s="301" t="str">
        <f>IF(AK50="","",AVERAGE(AK5:AK49))</f>
        <v/>
      </c>
      <c r="AL53" s="27"/>
      <c r="AM53" s="14" t="s">
        <v>9</v>
      </c>
      <c r="AN53" s="27"/>
      <c r="AO53" s="301" t="str">
        <f>IF(AO50="","",AVERAGE(AO5:AO49))</f>
        <v/>
      </c>
      <c r="AP53" s="27"/>
      <c r="AQ53" s="14" t="s">
        <v>9</v>
      </c>
      <c r="AR53" s="27"/>
      <c r="AS53" s="301" t="str">
        <f>IF(AS50="","",AVERAGE(AS5:AS49))</f>
        <v/>
      </c>
      <c r="AT53" s="27"/>
      <c r="AU53" s="14" t="s">
        <v>9</v>
      </c>
      <c r="AV53" s="27"/>
      <c r="AW53" s="301" t="str">
        <f>IF(AW50="","",AVERAGE(AW5:AW49))</f>
        <v/>
      </c>
      <c r="AX53" s="27"/>
      <c r="AY53" s="14" t="s">
        <v>9</v>
      </c>
      <c r="AZ53" s="27"/>
      <c r="BA53" s="16" t="str">
        <f>IF(BA50="","",AVERAGE(BA5:BA49))</f>
        <v/>
      </c>
      <c r="BB53" s="27"/>
      <c r="BC53" s="14" t="s">
        <v>9</v>
      </c>
      <c r="BD53" s="27"/>
      <c r="BE53" s="301" t="str">
        <f>IF(BE50="","",AVERAGE(BE5:BE49))</f>
        <v/>
      </c>
      <c r="BF53" s="27"/>
      <c r="BG53" s="14" t="s">
        <v>9</v>
      </c>
      <c r="BH53" s="27"/>
      <c r="BI53" s="301" t="str">
        <f>IF(BI50="","",AVERAGE(BI5:BI49))</f>
        <v/>
      </c>
      <c r="BJ53" s="27"/>
      <c r="BK53" s="14" t="s">
        <v>9</v>
      </c>
      <c r="BL53" s="27"/>
      <c r="BM53" s="301" t="str">
        <f>IF(BM50="","",AVERAGE(BM5:BM49))</f>
        <v/>
      </c>
      <c r="BN53" s="27"/>
      <c r="BO53" s="14" t="s">
        <v>9</v>
      </c>
      <c r="BP53" s="27"/>
      <c r="BQ53" s="301" t="str">
        <f>IF(BQ50="","",AVERAGE(BQ5:BQ49))</f>
        <v/>
      </c>
      <c r="BR53" s="27"/>
      <c r="BS53" s="14" t="s">
        <v>9</v>
      </c>
      <c r="BT53" s="27"/>
      <c r="BU53" s="301" t="str">
        <f>IF(BU50="","",AVERAGE(BU5:BU49))</f>
        <v/>
      </c>
      <c r="BV53" s="27"/>
      <c r="BW53" s="14" t="s">
        <v>9</v>
      </c>
      <c r="BX53" s="27"/>
      <c r="BY53" s="301" t="str">
        <f>IF(BY50="","",AVERAGE(BY5:BY49))</f>
        <v/>
      </c>
      <c r="BZ53" s="27"/>
      <c r="CA53" s="14" t="s">
        <v>9</v>
      </c>
      <c r="CB53" s="27"/>
      <c r="CC53" s="301" t="str">
        <f>IF(CC50="","",AVERAGE(CC5:CC49))</f>
        <v/>
      </c>
      <c r="CD53" s="27"/>
      <c r="CE53" s="14" t="s">
        <v>9</v>
      </c>
      <c r="CF53" s="27"/>
      <c r="CG53" s="301" t="str">
        <f>IF(CG50="","",AVERAGE(CG5:CG49))</f>
        <v/>
      </c>
      <c r="CH53" s="27"/>
      <c r="CI53" s="14" t="s">
        <v>9</v>
      </c>
      <c r="CJ53" s="27"/>
      <c r="CK53" s="301" t="str">
        <f>IF(CK50="","",AVERAGE(CK5:CK49))</f>
        <v/>
      </c>
      <c r="CL53" s="27"/>
      <c r="CM53" s="14" t="s">
        <v>9</v>
      </c>
      <c r="CN53" s="27"/>
      <c r="CO53" s="16" t="str">
        <f>IF(CO50="","",AVERAGE(CO5:CO49))</f>
        <v/>
      </c>
      <c r="CP53" s="27"/>
      <c r="CQ53" s="14" t="s">
        <v>9</v>
      </c>
      <c r="CR53" s="27"/>
      <c r="CS53" s="16" t="str">
        <f>IF(CS50="","",AVERAGE(CS5:CS49))</f>
        <v/>
      </c>
      <c r="CT53" s="27"/>
      <c r="CU53" s="14" t="s">
        <v>9</v>
      </c>
      <c r="CV53" s="27"/>
      <c r="CW53" s="16" t="str">
        <f>IF(CW50="","",AVERAGE(CW5:CW49))</f>
        <v/>
      </c>
      <c r="CX53" s="27"/>
      <c r="CY53" s="14" t="s">
        <v>9</v>
      </c>
      <c r="CZ53" s="27"/>
      <c r="DA53" s="16" t="str">
        <f>IF(DA50="","",AVERAGE(DA5:DA49))</f>
        <v/>
      </c>
      <c r="DB53" s="27"/>
      <c r="DD53" s="16"/>
    </row>
    <row r="54" spans="1:108" s="14" customFormat="1" ht="21" x14ac:dyDescent="0.4">
      <c r="A54" s="27"/>
      <c r="B54" s="27"/>
      <c r="D54" s="16"/>
      <c r="E54" s="27"/>
      <c r="F54" s="27"/>
      <c r="G54" s="14" t="s">
        <v>10</v>
      </c>
      <c r="H54" s="27"/>
      <c r="I54" s="301" t="str">
        <f>IF(I50="","",(I53*100)/I4)</f>
        <v/>
      </c>
      <c r="J54" s="27"/>
      <c r="K54" s="14" t="s">
        <v>10</v>
      </c>
      <c r="L54" s="27"/>
      <c r="M54" s="301" t="str">
        <f>IF(M50="","",(M53*100)/M4)</f>
        <v/>
      </c>
      <c r="N54" s="27"/>
      <c r="O54" s="14" t="s">
        <v>10</v>
      </c>
      <c r="P54" s="27"/>
      <c r="Q54" s="301" t="str">
        <f>IF(Q50="","",(Q53*100)/Q4)</f>
        <v/>
      </c>
      <c r="R54" s="27"/>
      <c r="S54" s="14" t="s">
        <v>10</v>
      </c>
      <c r="T54" s="27"/>
      <c r="U54" s="301" t="str">
        <f>IF(U50="","",(U53*100)/U4)</f>
        <v/>
      </c>
      <c r="V54" s="27"/>
      <c r="W54" s="14" t="s">
        <v>10</v>
      </c>
      <c r="X54" s="27"/>
      <c r="Y54" s="301" t="str">
        <f>IF(Y50="","",(Y53*100)/Y4)</f>
        <v/>
      </c>
      <c r="Z54" s="27"/>
      <c r="AA54" s="14" t="s">
        <v>10</v>
      </c>
      <c r="AB54" s="27"/>
      <c r="AC54" s="301" t="str">
        <f>IF(AC50="","",(AC53*100)/AC4)</f>
        <v/>
      </c>
      <c r="AD54" s="27"/>
      <c r="AE54" s="14" t="s">
        <v>10</v>
      </c>
      <c r="AF54" s="27"/>
      <c r="AG54" s="301" t="str">
        <f>IF(AG50="","",(AG53*100)/AG4)</f>
        <v/>
      </c>
      <c r="AH54" s="27"/>
      <c r="AI54" s="14" t="s">
        <v>10</v>
      </c>
      <c r="AJ54" s="27"/>
      <c r="AK54" s="301" t="str">
        <f>IF(AK50="","",(AK53*100)/AK4)</f>
        <v/>
      </c>
      <c r="AL54" s="27"/>
      <c r="AM54" s="14" t="s">
        <v>10</v>
      </c>
      <c r="AN54" s="27"/>
      <c r="AO54" s="301" t="str">
        <f>IF(AO50="","",(AO53*100)/AO4)</f>
        <v/>
      </c>
      <c r="AP54" s="27"/>
      <c r="AQ54" s="14" t="s">
        <v>10</v>
      </c>
      <c r="AR54" s="27"/>
      <c r="AS54" s="301" t="str">
        <f>IF(AS50="","",(AS53*100)/AS4)</f>
        <v/>
      </c>
      <c r="AT54" s="27"/>
      <c r="AU54" s="14" t="s">
        <v>10</v>
      </c>
      <c r="AV54" s="27"/>
      <c r="AW54" s="301" t="str">
        <f>IF(AW50="","",(AW53*100)/AW4)</f>
        <v/>
      </c>
      <c r="AX54" s="27"/>
      <c r="AY54" s="14" t="s">
        <v>10</v>
      </c>
      <c r="AZ54" s="27"/>
      <c r="BA54" s="301" t="str">
        <f>IF(BA50="","",(BA53*100)/BA4)</f>
        <v/>
      </c>
      <c r="BB54" s="27"/>
      <c r="BC54" s="14" t="s">
        <v>10</v>
      </c>
      <c r="BD54" s="27"/>
      <c r="BE54" s="301" t="str">
        <f>IF(BE50="","",(BE53*100)/BE4)</f>
        <v/>
      </c>
      <c r="BF54" s="27"/>
      <c r="BG54" s="14" t="s">
        <v>10</v>
      </c>
      <c r="BH54" s="27"/>
      <c r="BI54" s="301" t="str">
        <f>IF(BI50="","",(BI53*100)/BI4)</f>
        <v/>
      </c>
      <c r="BJ54" s="27"/>
      <c r="BK54" s="14" t="s">
        <v>10</v>
      </c>
      <c r="BL54" s="27"/>
      <c r="BM54" s="301" t="str">
        <f>IF(BM50="","",(BM53*100)/BM4)</f>
        <v/>
      </c>
      <c r="BN54" s="27"/>
      <c r="BO54" s="14" t="s">
        <v>10</v>
      </c>
      <c r="BP54" s="27"/>
      <c r="BQ54" s="301" t="str">
        <f>IF(BQ50="","",(BQ53*100)/BQ4)</f>
        <v/>
      </c>
      <c r="BR54" s="27"/>
      <c r="BS54" s="14" t="s">
        <v>10</v>
      </c>
      <c r="BT54" s="27"/>
      <c r="BU54" s="301" t="str">
        <f>IF(BU50="","",(BU53*100)/BU4)</f>
        <v/>
      </c>
      <c r="BV54" s="27"/>
      <c r="BW54" s="14" t="s">
        <v>10</v>
      </c>
      <c r="BX54" s="27"/>
      <c r="BY54" s="301" t="str">
        <f>IF(BY50="","",(BY53*100)/BY4)</f>
        <v/>
      </c>
      <c r="BZ54" s="27"/>
      <c r="CA54" s="14" t="s">
        <v>10</v>
      </c>
      <c r="CB54" s="27"/>
      <c r="CC54" s="301" t="str">
        <f>IF(CC50="","",(CC53*100)/CC4)</f>
        <v/>
      </c>
      <c r="CD54" s="27"/>
      <c r="CE54" s="14" t="s">
        <v>10</v>
      </c>
      <c r="CF54" s="27"/>
      <c r="CG54" s="301" t="str">
        <f>IF(CG50="","",(CG53*100)/CG4)</f>
        <v/>
      </c>
      <c r="CH54" s="27"/>
      <c r="CI54" s="14" t="s">
        <v>10</v>
      </c>
      <c r="CJ54" s="27"/>
      <c r="CK54" s="301" t="str">
        <f>IF(CK50="","",(CK53*100)/CK4)</f>
        <v/>
      </c>
      <c r="CL54" s="27"/>
      <c r="CM54" s="14" t="s">
        <v>10</v>
      </c>
      <c r="CN54" s="27"/>
      <c r="CO54" s="301" t="str">
        <f>IF(CO50="","",(CO53*100)/CO4)</f>
        <v/>
      </c>
      <c r="CP54" s="27"/>
      <c r="CQ54" s="14" t="s">
        <v>10</v>
      </c>
      <c r="CR54" s="27"/>
      <c r="CS54" s="301" t="str">
        <f>IF(CS50="","",(CS53*100)/CS4)</f>
        <v/>
      </c>
      <c r="CT54" s="27"/>
      <c r="CU54" s="14" t="s">
        <v>10</v>
      </c>
      <c r="CV54" s="27"/>
      <c r="CW54" s="301" t="str">
        <f>IF(CW50="","",(CW53*100)/CW4)</f>
        <v/>
      </c>
      <c r="CX54" s="27"/>
      <c r="CY54" s="14" t="s">
        <v>10</v>
      </c>
      <c r="CZ54" s="27"/>
      <c r="DA54" s="301" t="str">
        <f>IF(DA50="","",(DA53*100)/DA4)</f>
        <v/>
      </c>
      <c r="DB54" s="27"/>
      <c r="DD54" s="16"/>
    </row>
    <row r="55" spans="1:108" s="14" customFormat="1" ht="21" x14ac:dyDescent="0.4">
      <c r="A55" s="27"/>
      <c r="B55" s="27"/>
      <c r="D55" s="16"/>
      <c r="E55" s="27"/>
      <c r="F55" s="27"/>
      <c r="H55" s="27"/>
      <c r="I55" s="16"/>
      <c r="J55" s="27"/>
      <c r="L55" s="27"/>
      <c r="M55" s="16"/>
      <c r="N55" s="27"/>
      <c r="P55" s="27"/>
      <c r="Q55" s="16"/>
      <c r="R55" s="27"/>
      <c r="T55" s="27"/>
      <c r="U55" s="16"/>
      <c r="V55" s="27"/>
      <c r="X55" s="27"/>
      <c r="Y55" s="16"/>
      <c r="Z55" s="27"/>
      <c r="AB55" s="27"/>
      <c r="AC55" s="16"/>
      <c r="AD55" s="27"/>
      <c r="AF55" s="27"/>
      <c r="AG55" s="16"/>
      <c r="AH55" s="27"/>
      <c r="AJ55" s="27"/>
      <c r="AK55" s="16"/>
      <c r="AL55" s="27"/>
      <c r="AN55" s="27"/>
      <c r="AO55" s="16"/>
      <c r="AP55" s="27"/>
      <c r="AR55" s="27"/>
      <c r="AS55" s="16"/>
      <c r="AT55" s="27"/>
      <c r="AV55" s="27"/>
      <c r="AW55" s="16"/>
      <c r="AX55" s="27"/>
      <c r="AZ55" s="27"/>
      <c r="BA55" s="16"/>
      <c r="BB55" s="27"/>
      <c r="BD55" s="27"/>
      <c r="BE55" s="16"/>
      <c r="BF55" s="27"/>
      <c r="BH55" s="27"/>
      <c r="BI55" s="16"/>
      <c r="BJ55" s="27"/>
      <c r="BL55" s="27"/>
      <c r="BM55" s="16"/>
      <c r="BN55" s="27"/>
      <c r="BP55" s="27"/>
      <c r="BQ55" s="16"/>
      <c r="BR55" s="27"/>
      <c r="BT55" s="27"/>
      <c r="BU55" s="16"/>
      <c r="BV55" s="27"/>
      <c r="BX55" s="27"/>
      <c r="BY55" s="16"/>
      <c r="BZ55" s="27"/>
      <c r="CB55" s="27"/>
      <c r="CC55" s="16"/>
      <c r="CD55" s="27"/>
      <c r="CF55" s="27"/>
      <c r="CG55" s="16"/>
      <c r="CH55" s="27"/>
      <c r="CJ55" s="27"/>
      <c r="CK55" s="16"/>
      <c r="CL55" s="27"/>
      <c r="CN55" s="27"/>
      <c r="CO55" s="16"/>
      <c r="CP55" s="27"/>
      <c r="CR55" s="27"/>
      <c r="CS55" s="16"/>
      <c r="CT55" s="27"/>
      <c r="CV55" s="27"/>
      <c r="CW55" s="16"/>
      <c r="CX55" s="27"/>
      <c r="CZ55" s="27"/>
      <c r="DA55" s="16"/>
      <c r="DB55" s="27"/>
      <c r="DD55" s="16"/>
    </row>
    <row r="56" spans="1:108" s="14" customFormat="1" ht="21" x14ac:dyDescent="0.4">
      <c r="A56" s="27"/>
      <c r="B56" s="27"/>
      <c r="D56" s="16"/>
      <c r="E56" s="27"/>
      <c r="F56" s="27"/>
      <c r="H56" s="27"/>
      <c r="I56" s="16"/>
      <c r="J56" s="27"/>
      <c r="L56" s="27"/>
      <c r="M56" s="16"/>
      <c r="N56" s="27"/>
      <c r="P56" s="27"/>
      <c r="Q56" s="16"/>
      <c r="R56" s="27"/>
      <c r="T56" s="27"/>
      <c r="U56" s="16"/>
      <c r="V56" s="27"/>
      <c r="X56" s="27"/>
      <c r="Y56" s="16"/>
      <c r="Z56" s="27"/>
      <c r="AB56" s="27"/>
      <c r="AC56" s="16"/>
      <c r="AD56" s="27"/>
      <c r="AF56" s="27"/>
      <c r="AG56" s="16"/>
      <c r="AH56" s="27"/>
      <c r="AJ56" s="27"/>
      <c r="AK56" s="16"/>
      <c r="AL56" s="27"/>
      <c r="AN56" s="27"/>
      <c r="AO56" s="16"/>
      <c r="AP56" s="27"/>
      <c r="AR56" s="27"/>
      <c r="AS56" s="16"/>
      <c r="AT56" s="27"/>
      <c r="AV56" s="27"/>
      <c r="AW56" s="16"/>
      <c r="AX56" s="27"/>
      <c r="AZ56" s="27"/>
      <c r="BA56" s="16"/>
      <c r="BB56" s="27"/>
      <c r="BD56" s="27"/>
      <c r="BE56" s="16"/>
      <c r="BF56" s="27"/>
      <c r="BH56" s="27"/>
      <c r="BI56" s="16"/>
      <c r="BJ56" s="27"/>
      <c r="BL56" s="27"/>
      <c r="BM56" s="16"/>
      <c r="BN56" s="27"/>
      <c r="BP56" s="27"/>
      <c r="BQ56" s="16"/>
      <c r="BR56" s="27"/>
      <c r="BT56" s="27"/>
      <c r="BU56" s="16"/>
      <c r="BV56" s="27"/>
      <c r="BX56" s="27"/>
      <c r="BY56" s="16"/>
      <c r="BZ56" s="27"/>
      <c r="CB56" s="27"/>
      <c r="CC56" s="16"/>
      <c r="CD56" s="27"/>
      <c r="CF56" s="27"/>
      <c r="CG56" s="16"/>
      <c r="CH56" s="27"/>
      <c r="CJ56" s="27"/>
      <c r="CK56" s="16"/>
      <c r="CL56" s="27"/>
      <c r="CN56" s="27"/>
      <c r="CO56" s="16"/>
      <c r="CP56" s="27"/>
      <c r="CR56" s="27"/>
      <c r="CS56" s="16"/>
      <c r="CT56" s="27"/>
      <c r="CV56" s="27"/>
      <c r="CW56" s="16"/>
      <c r="CX56" s="27"/>
      <c r="CZ56" s="27"/>
      <c r="DA56" s="16"/>
      <c r="DB56" s="27"/>
      <c r="DD56" s="16"/>
    </row>
    <row r="57" spans="1:108" s="14" customFormat="1" ht="21" x14ac:dyDescent="0.4">
      <c r="A57" s="27"/>
      <c r="B57" s="27"/>
      <c r="D57" s="16"/>
      <c r="E57" s="27"/>
      <c r="F57" s="27"/>
      <c r="H57" s="27"/>
      <c r="I57" s="16"/>
      <c r="J57" s="27"/>
      <c r="L57" s="27"/>
      <c r="M57" s="16"/>
      <c r="N57" s="27"/>
      <c r="P57" s="27"/>
      <c r="Q57" s="16"/>
      <c r="R57" s="27"/>
      <c r="T57" s="27"/>
      <c r="U57" s="16"/>
      <c r="V57" s="27"/>
      <c r="X57" s="27"/>
      <c r="Y57" s="16"/>
      <c r="Z57" s="27"/>
      <c r="AB57" s="27"/>
      <c r="AC57" s="16"/>
      <c r="AD57" s="27"/>
      <c r="AF57" s="27"/>
      <c r="AG57" s="16"/>
      <c r="AH57" s="27"/>
      <c r="AJ57" s="27"/>
      <c r="AK57" s="16"/>
      <c r="AL57" s="27"/>
      <c r="AN57" s="27"/>
      <c r="AO57" s="16"/>
      <c r="AP57" s="27"/>
      <c r="AR57" s="27"/>
      <c r="AS57" s="16"/>
      <c r="AT57" s="27"/>
      <c r="AV57" s="27"/>
      <c r="AW57" s="16"/>
      <c r="AX57" s="27"/>
      <c r="AZ57" s="27"/>
      <c r="BA57" s="16"/>
      <c r="BB57" s="27"/>
      <c r="BD57" s="27"/>
      <c r="BE57" s="16"/>
      <c r="BF57" s="27"/>
      <c r="BH57" s="27"/>
      <c r="BI57" s="16"/>
      <c r="BJ57" s="27"/>
      <c r="BL57" s="27"/>
      <c r="BM57" s="16"/>
      <c r="BN57" s="27"/>
      <c r="BP57" s="27"/>
      <c r="BQ57" s="16"/>
      <c r="BR57" s="27"/>
      <c r="BT57" s="27"/>
      <c r="BU57" s="16"/>
      <c r="BV57" s="27"/>
      <c r="BX57" s="27"/>
      <c r="BY57" s="16"/>
      <c r="BZ57" s="27"/>
      <c r="CB57" s="27"/>
      <c r="CC57" s="16"/>
      <c r="CD57" s="27"/>
      <c r="CF57" s="27"/>
      <c r="CG57" s="16"/>
      <c r="CH57" s="27"/>
      <c r="CJ57" s="27"/>
      <c r="CK57" s="16"/>
      <c r="CL57" s="27"/>
      <c r="CN57" s="27"/>
      <c r="CO57" s="16"/>
      <c r="CP57" s="27"/>
      <c r="CR57" s="27"/>
      <c r="CS57" s="16"/>
      <c r="CT57" s="27"/>
      <c r="CV57" s="27"/>
      <c r="CW57" s="16"/>
      <c r="CX57" s="27"/>
      <c r="CZ57" s="27"/>
      <c r="DA57" s="16"/>
      <c r="DB57" s="27"/>
      <c r="DD57" s="16"/>
    </row>
    <row r="58" spans="1:108" s="14" customFormat="1" ht="21" x14ac:dyDescent="0.4">
      <c r="A58" s="27"/>
      <c r="B58" s="27"/>
      <c r="D58" s="16"/>
      <c r="E58" s="27"/>
      <c r="F58" s="27"/>
      <c r="H58" s="27"/>
      <c r="I58" s="16"/>
      <c r="J58" s="27"/>
      <c r="L58" s="27"/>
      <c r="M58" s="16"/>
      <c r="N58" s="27"/>
      <c r="P58" s="27"/>
      <c r="Q58" s="16"/>
      <c r="R58" s="27"/>
      <c r="T58" s="27"/>
      <c r="U58" s="16"/>
      <c r="V58" s="27"/>
      <c r="X58" s="27"/>
      <c r="Y58" s="16"/>
      <c r="Z58" s="27"/>
      <c r="AB58" s="27"/>
      <c r="AC58" s="16"/>
      <c r="AD58" s="27"/>
      <c r="AF58" s="27"/>
      <c r="AG58" s="16"/>
      <c r="AH58" s="27"/>
      <c r="AJ58" s="27"/>
      <c r="AK58" s="16"/>
      <c r="AL58" s="27"/>
      <c r="AN58" s="27"/>
      <c r="AO58" s="16"/>
      <c r="AP58" s="27"/>
      <c r="AR58" s="27"/>
      <c r="AS58" s="16"/>
      <c r="AT58" s="27"/>
      <c r="AV58" s="27"/>
      <c r="AW58" s="16"/>
      <c r="AX58" s="27"/>
      <c r="AZ58" s="27"/>
      <c r="BA58" s="16"/>
      <c r="BB58" s="27"/>
      <c r="BD58" s="27"/>
      <c r="BE58" s="16"/>
      <c r="BF58" s="27"/>
      <c r="BH58" s="27"/>
      <c r="BI58" s="16"/>
      <c r="BJ58" s="27"/>
      <c r="BL58" s="27"/>
      <c r="BM58" s="16"/>
      <c r="BN58" s="27"/>
      <c r="BP58" s="27"/>
      <c r="BQ58" s="16"/>
      <c r="BR58" s="27"/>
      <c r="BT58" s="27"/>
      <c r="BU58" s="16"/>
      <c r="BV58" s="27"/>
      <c r="BX58" s="27"/>
      <c r="BY58" s="16"/>
      <c r="BZ58" s="27"/>
      <c r="CB58" s="27"/>
      <c r="CC58" s="16"/>
      <c r="CD58" s="27"/>
      <c r="CF58" s="27"/>
      <c r="CG58" s="16"/>
      <c r="CH58" s="27"/>
      <c r="CJ58" s="27"/>
      <c r="CK58" s="16"/>
      <c r="CL58" s="27"/>
      <c r="CN58" s="27"/>
      <c r="CO58" s="16"/>
      <c r="CP58" s="27"/>
      <c r="CR58" s="27"/>
      <c r="CS58" s="16"/>
      <c r="CT58" s="27"/>
      <c r="CV58" s="27"/>
      <c r="CW58" s="16"/>
      <c r="CX58" s="27"/>
      <c r="CZ58" s="27"/>
      <c r="DA58" s="16"/>
      <c r="DB58" s="27"/>
      <c r="DD58" s="16"/>
    </row>
    <row r="59" spans="1:108" s="14" customFormat="1" ht="21" x14ac:dyDescent="0.4">
      <c r="A59" s="27"/>
      <c r="B59" s="27"/>
      <c r="D59" s="16"/>
      <c r="E59" s="27"/>
      <c r="F59" s="27"/>
      <c r="H59" s="27"/>
      <c r="I59" s="16"/>
      <c r="J59" s="27"/>
      <c r="L59" s="27"/>
      <c r="M59" s="16"/>
      <c r="N59" s="27"/>
      <c r="P59" s="27"/>
      <c r="Q59" s="16"/>
      <c r="R59" s="27"/>
      <c r="T59" s="27"/>
      <c r="U59" s="16"/>
      <c r="V59" s="27"/>
      <c r="X59" s="27"/>
      <c r="Y59" s="16"/>
      <c r="Z59" s="27"/>
      <c r="AB59" s="27"/>
      <c r="AC59" s="16"/>
      <c r="AD59" s="27"/>
      <c r="AF59" s="27"/>
      <c r="AG59" s="16"/>
      <c r="AH59" s="27"/>
      <c r="AJ59" s="27"/>
      <c r="AK59" s="16"/>
      <c r="AL59" s="27"/>
      <c r="AN59" s="27"/>
      <c r="AO59" s="16"/>
      <c r="AP59" s="27"/>
      <c r="AR59" s="27"/>
      <c r="AS59" s="16"/>
      <c r="AT59" s="27"/>
      <c r="AV59" s="27"/>
      <c r="AW59" s="16"/>
      <c r="AX59" s="27"/>
      <c r="AZ59" s="27"/>
      <c r="BA59" s="16"/>
      <c r="BB59" s="27"/>
      <c r="BD59" s="27"/>
      <c r="BE59" s="16"/>
      <c r="BF59" s="27"/>
      <c r="BH59" s="27"/>
      <c r="BI59" s="16"/>
      <c r="BJ59" s="27"/>
      <c r="BL59" s="27"/>
      <c r="BM59" s="16"/>
      <c r="BN59" s="27"/>
      <c r="BP59" s="27"/>
      <c r="BQ59" s="16"/>
      <c r="BR59" s="27"/>
      <c r="BT59" s="27"/>
      <c r="BU59" s="16"/>
      <c r="BV59" s="27"/>
      <c r="BX59" s="27"/>
      <c r="BY59" s="16"/>
      <c r="BZ59" s="27"/>
      <c r="CB59" s="27"/>
      <c r="CC59" s="16"/>
      <c r="CD59" s="27"/>
      <c r="CF59" s="27"/>
      <c r="CG59" s="16"/>
      <c r="CH59" s="27"/>
      <c r="CJ59" s="27"/>
      <c r="CK59" s="16"/>
      <c r="CL59" s="27"/>
      <c r="CN59" s="27"/>
      <c r="CO59" s="16"/>
      <c r="CP59" s="27"/>
      <c r="CR59" s="27"/>
      <c r="CS59" s="16"/>
      <c r="CT59" s="27"/>
      <c r="CV59" s="27"/>
      <c r="CW59" s="16"/>
      <c r="CX59" s="27"/>
      <c r="CZ59" s="27"/>
      <c r="DA59" s="16"/>
      <c r="DB59" s="27"/>
      <c r="DD59" s="16"/>
    </row>
    <row r="60" spans="1:108" s="14" customFormat="1" ht="21" x14ac:dyDescent="0.4">
      <c r="A60" s="27"/>
      <c r="B60" s="27"/>
      <c r="D60" s="16"/>
      <c r="E60" s="27"/>
      <c r="F60" s="27"/>
      <c r="H60" s="27"/>
      <c r="I60" s="16"/>
      <c r="J60" s="27"/>
      <c r="L60" s="27"/>
      <c r="M60" s="16"/>
      <c r="N60" s="27"/>
      <c r="P60" s="27"/>
      <c r="Q60" s="16"/>
      <c r="R60" s="27"/>
      <c r="T60" s="27"/>
      <c r="U60" s="16"/>
      <c r="V60" s="27"/>
      <c r="X60" s="27"/>
      <c r="Y60" s="16"/>
      <c r="Z60" s="27"/>
      <c r="AB60" s="27"/>
      <c r="AC60" s="16"/>
      <c r="AD60" s="27"/>
      <c r="AF60" s="27"/>
      <c r="AG60" s="16"/>
      <c r="AH60" s="27"/>
      <c r="AJ60" s="27"/>
      <c r="AK60" s="16"/>
      <c r="AL60" s="27"/>
      <c r="AN60" s="27"/>
      <c r="AO60" s="16"/>
      <c r="AP60" s="27"/>
      <c r="AR60" s="27"/>
      <c r="AS60" s="16"/>
      <c r="AT60" s="27"/>
      <c r="AV60" s="27"/>
      <c r="AW60" s="16"/>
      <c r="AX60" s="27"/>
      <c r="AZ60" s="27"/>
      <c r="BA60" s="16"/>
      <c r="BB60" s="27"/>
      <c r="BD60" s="27"/>
      <c r="BE60" s="16"/>
      <c r="BF60" s="27"/>
      <c r="BH60" s="27"/>
      <c r="BI60" s="16"/>
      <c r="BJ60" s="27"/>
      <c r="BL60" s="27"/>
      <c r="BM60" s="16"/>
      <c r="BN60" s="27"/>
      <c r="BP60" s="27"/>
      <c r="BQ60" s="16"/>
      <c r="BR60" s="27"/>
      <c r="BT60" s="27"/>
      <c r="BU60" s="16"/>
      <c r="BV60" s="27"/>
      <c r="BX60" s="27"/>
      <c r="BY60" s="16"/>
      <c r="BZ60" s="27"/>
      <c r="CB60" s="27"/>
      <c r="CC60" s="16"/>
      <c r="CD60" s="27"/>
      <c r="CF60" s="27"/>
      <c r="CG60" s="16"/>
      <c r="CH60" s="27"/>
      <c r="CJ60" s="27"/>
      <c r="CK60" s="16"/>
      <c r="CL60" s="27"/>
      <c r="CN60" s="27"/>
      <c r="CO60" s="16"/>
      <c r="CP60" s="27"/>
      <c r="CR60" s="27"/>
      <c r="CS60" s="16"/>
      <c r="CT60" s="27"/>
      <c r="CV60" s="27"/>
      <c r="CW60" s="16"/>
      <c r="CX60" s="27"/>
      <c r="CZ60" s="27"/>
      <c r="DA60" s="16"/>
      <c r="DB60" s="27"/>
      <c r="DD60" s="16"/>
    </row>
    <row r="61" spans="1:108" s="14" customFormat="1" ht="21" x14ac:dyDescent="0.4">
      <c r="A61" s="27"/>
      <c r="B61" s="27"/>
      <c r="D61" s="16"/>
      <c r="E61" s="27"/>
      <c r="F61" s="27"/>
      <c r="H61" s="27"/>
      <c r="I61" s="16"/>
      <c r="J61" s="27"/>
      <c r="L61" s="27"/>
      <c r="M61" s="16"/>
      <c r="N61" s="27"/>
      <c r="P61" s="27"/>
      <c r="Q61" s="16"/>
      <c r="R61" s="27"/>
      <c r="T61" s="27"/>
      <c r="U61" s="16"/>
      <c r="V61" s="27"/>
      <c r="X61" s="27"/>
      <c r="Y61" s="16"/>
      <c r="Z61" s="27"/>
      <c r="AB61" s="27"/>
      <c r="AC61" s="16"/>
      <c r="AD61" s="27"/>
      <c r="AF61" s="27"/>
      <c r="AG61" s="16"/>
      <c r="AH61" s="27"/>
      <c r="AJ61" s="27"/>
      <c r="AK61" s="16"/>
      <c r="AL61" s="27"/>
      <c r="AN61" s="27"/>
      <c r="AO61" s="16"/>
      <c r="AP61" s="27"/>
      <c r="AR61" s="27"/>
      <c r="AS61" s="16"/>
      <c r="AT61" s="27"/>
      <c r="AV61" s="27"/>
      <c r="AW61" s="16"/>
      <c r="AX61" s="27"/>
      <c r="AZ61" s="27"/>
      <c r="BA61" s="16"/>
      <c r="BB61" s="27"/>
      <c r="BD61" s="27"/>
      <c r="BE61" s="16"/>
      <c r="BF61" s="27"/>
      <c r="BH61" s="27"/>
      <c r="BI61" s="16"/>
      <c r="BJ61" s="27"/>
      <c r="BL61" s="27"/>
      <c r="BM61" s="16"/>
      <c r="BN61" s="27"/>
      <c r="BP61" s="27"/>
      <c r="BQ61" s="16"/>
      <c r="BR61" s="27"/>
      <c r="BT61" s="27"/>
      <c r="BU61" s="16"/>
      <c r="BV61" s="27"/>
      <c r="BX61" s="27"/>
      <c r="BY61" s="16"/>
      <c r="BZ61" s="27"/>
      <c r="CB61" s="27"/>
      <c r="CC61" s="16"/>
      <c r="CD61" s="27"/>
      <c r="CF61" s="27"/>
      <c r="CG61" s="16"/>
      <c r="CH61" s="27"/>
      <c r="CJ61" s="27"/>
      <c r="CK61" s="16"/>
      <c r="CL61" s="27"/>
      <c r="CN61" s="27"/>
      <c r="CO61" s="16"/>
      <c r="CP61" s="27"/>
      <c r="CR61" s="27"/>
      <c r="CS61" s="16"/>
      <c r="CT61" s="27"/>
      <c r="CV61" s="27"/>
      <c r="CW61" s="16"/>
      <c r="CX61" s="27"/>
      <c r="CZ61" s="27"/>
      <c r="DA61" s="16"/>
      <c r="DB61" s="27"/>
      <c r="DD61" s="16"/>
    </row>
    <row r="62" spans="1:108" s="14" customFormat="1" ht="21" x14ac:dyDescent="0.4">
      <c r="A62" s="27"/>
      <c r="B62" s="27"/>
      <c r="D62" s="16"/>
      <c r="E62" s="27"/>
      <c r="F62" s="27"/>
      <c r="H62" s="27"/>
      <c r="I62" s="16"/>
      <c r="J62" s="27"/>
      <c r="L62" s="27"/>
      <c r="M62" s="16"/>
      <c r="N62" s="27"/>
      <c r="P62" s="27"/>
      <c r="Q62" s="16"/>
      <c r="R62" s="27"/>
      <c r="T62" s="27"/>
      <c r="U62" s="16"/>
      <c r="V62" s="27"/>
      <c r="X62" s="27"/>
      <c r="Y62" s="16"/>
      <c r="Z62" s="27"/>
      <c r="AB62" s="27"/>
      <c r="AC62" s="16"/>
      <c r="AD62" s="27"/>
      <c r="AF62" s="27"/>
      <c r="AG62" s="16"/>
      <c r="AH62" s="27"/>
      <c r="AJ62" s="27"/>
      <c r="AK62" s="16"/>
      <c r="AL62" s="27"/>
      <c r="AN62" s="27"/>
      <c r="AO62" s="16"/>
      <c r="AP62" s="27"/>
      <c r="AR62" s="27"/>
      <c r="AS62" s="16"/>
      <c r="AT62" s="27"/>
      <c r="AV62" s="27"/>
      <c r="AW62" s="16"/>
      <c r="AX62" s="27"/>
      <c r="AZ62" s="27"/>
      <c r="BA62" s="16"/>
      <c r="BB62" s="27"/>
      <c r="BD62" s="27"/>
      <c r="BE62" s="16"/>
      <c r="BF62" s="27"/>
      <c r="BH62" s="27"/>
      <c r="BI62" s="16"/>
      <c r="BJ62" s="27"/>
      <c r="BL62" s="27"/>
      <c r="BM62" s="16"/>
      <c r="BN62" s="27"/>
      <c r="BP62" s="27"/>
      <c r="BQ62" s="16"/>
      <c r="BR62" s="27"/>
      <c r="BT62" s="27"/>
      <c r="BU62" s="16"/>
      <c r="BV62" s="27"/>
      <c r="BX62" s="27"/>
      <c r="BY62" s="16"/>
      <c r="BZ62" s="27"/>
      <c r="CB62" s="27"/>
      <c r="CC62" s="16"/>
      <c r="CD62" s="27"/>
      <c r="CF62" s="27"/>
      <c r="CG62" s="16"/>
      <c r="CH62" s="27"/>
      <c r="CJ62" s="27"/>
      <c r="CK62" s="16"/>
      <c r="CL62" s="27"/>
      <c r="CN62" s="27"/>
      <c r="CO62" s="16"/>
      <c r="CP62" s="27"/>
      <c r="CR62" s="27"/>
      <c r="CS62" s="16"/>
      <c r="CT62" s="27"/>
      <c r="CV62" s="27"/>
      <c r="CW62" s="16"/>
      <c r="CX62" s="27"/>
      <c r="CZ62" s="27"/>
      <c r="DA62" s="16"/>
      <c r="DB62" s="27"/>
      <c r="DD62" s="16"/>
    </row>
    <row r="63" spans="1:108" s="14" customFormat="1" ht="21" x14ac:dyDescent="0.4">
      <c r="A63" s="27"/>
      <c r="B63" s="27"/>
      <c r="D63" s="16"/>
      <c r="E63" s="27"/>
      <c r="F63" s="27"/>
      <c r="H63" s="27"/>
      <c r="I63" s="16"/>
      <c r="J63" s="27"/>
      <c r="L63" s="27"/>
      <c r="M63" s="16"/>
      <c r="N63" s="27"/>
      <c r="P63" s="27"/>
      <c r="Q63" s="16"/>
      <c r="R63" s="27"/>
      <c r="T63" s="27"/>
      <c r="U63" s="16"/>
      <c r="V63" s="27"/>
      <c r="X63" s="27"/>
      <c r="Y63" s="16"/>
      <c r="Z63" s="27"/>
      <c r="AB63" s="27"/>
      <c r="AC63" s="16"/>
      <c r="AD63" s="27"/>
      <c r="AF63" s="27"/>
      <c r="AG63" s="16"/>
      <c r="AH63" s="27"/>
      <c r="AJ63" s="27"/>
      <c r="AK63" s="16"/>
      <c r="AL63" s="27"/>
      <c r="AN63" s="27"/>
      <c r="AO63" s="16"/>
      <c r="AP63" s="27"/>
      <c r="AR63" s="27"/>
      <c r="AS63" s="16"/>
      <c r="AT63" s="27"/>
      <c r="AV63" s="27"/>
      <c r="AW63" s="16"/>
      <c r="AX63" s="27"/>
      <c r="AZ63" s="27"/>
      <c r="BA63" s="16"/>
      <c r="BB63" s="27"/>
      <c r="BD63" s="27"/>
      <c r="BE63" s="16"/>
      <c r="BF63" s="27"/>
      <c r="BH63" s="27"/>
      <c r="BI63" s="16"/>
      <c r="BJ63" s="27"/>
      <c r="BL63" s="27"/>
      <c r="BM63" s="16"/>
      <c r="BN63" s="27"/>
      <c r="BP63" s="27"/>
      <c r="BQ63" s="16"/>
      <c r="BR63" s="27"/>
      <c r="BT63" s="27"/>
      <c r="BU63" s="16"/>
      <c r="BV63" s="27"/>
      <c r="BX63" s="27"/>
      <c r="BY63" s="16"/>
      <c r="BZ63" s="27"/>
      <c r="CB63" s="27"/>
      <c r="CC63" s="16"/>
      <c r="CD63" s="27"/>
      <c r="CF63" s="27"/>
      <c r="CG63" s="16"/>
      <c r="CH63" s="27"/>
      <c r="CJ63" s="27"/>
      <c r="CK63" s="16"/>
      <c r="CL63" s="27"/>
      <c r="CN63" s="27"/>
      <c r="CO63" s="16"/>
      <c r="CP63" s="27"/>
      <c r="CR63" s="27"/>
      <c r="CS63" s="16"/>
      <c r="CT63" s="27"/>
      <c r="CV63" s="27"/>
      <c r="CW63" s="16"/>
      <c r="CX63" s="27"/>
      <c r="CZ63" s="27"/>
      <c r="DA63" s="16"/>
      <c r="DB63" s="27"/>
      <c r="DD63" s="16"/>
    </row>
    <row r="64" spans="1:108" s="14" customFormat="1" ht="21" x14ac:dyDescent="0.4">
      <c r="A64" s="27"/>
      <c r="B64" s="27"/>
      <c r="D64" s="16"/>
      <c r="E64" s="27"/>
      <c r="F64" s="27"/>
      <c r="H64" s="27"/>
      <c r="I64" s="16"/>
      <c r="J64" s="27"/>
      <c r="L64" s="27"/>
      <c r="M64" s="16"/>
      <c r="N64" s="27"/>
      <c r="P64" s="27"/>
      <c r="Q64" s="16"/>
      <c r="R64" s="27"/>
      <c r="T64" s="27"/>
      <c r="U64" s="16"/>
      <c r="V64" s="27"/>
      <c r="X64" s="27"/>
      <c r="Y64" s="16"/>
      <c r="Z64" s="27"/>
      <c r="AB64" s="27"/>
      <c r="AC64" s="16"/>
      <c r="AD64" s="27"/>
      <c r="AF64" s="27"/>
      <c r="AG64" s="16"/>
      <c r="AH64" s="27"/>
      <c r="AJ64" s="27"/>
      <c r="AK64" s="16"/>
      <c r="AL64" s="27"/>
      <c r="AN64" s="27"/>
      <c r="AO64" s="16"/>
      <c r="AP64" s="27"/>
      <c r="AR64" s="27"/>
      <c r="AS64" s="16"/>
      <c r="AT64" s="27"/>
      <c r="AV64" s="27"/>
      <c r="AW64" s="16"/>
      <c r="AX64" s="27"/>
      <c r="AZ64" s="27"/>
      <c r="BA64" s="16"/>
      <c r="BB64" s="27"/>
      <c r="BD64" s="27"/>
      <c r="BE64" s="16"/>
      <c r="BF64" s="27"/>
      <c r="BH64" s="27"/>
      <c r="BI64" s="16"/>
      <c r="BJ64" s="27"/>
      <c r="BL64" s="27"/>
      <c r="BM64" s="16"/>
      <c r="BN64" s="27"/>
      <c r="BP64" s="27"/>
      <c r="BQ64" s="16"/>
      <c r="BR64" s="27"/>
      <c r="BT64" s="27"/>
      <c r="BU64" s="16"/>
      <c r="BV64" s="27"/>
      <c r="BX64" s="27"/>
      <c r="BY64" s="16"/>
      <c r="BZ64" s="27"/>
      <c r="CB64" s="27"/>
      <c r="CC64" s="16"/>
      <c r="CD64" s="27"/>
      <c r="CF64" s="27"/>
      <c r="CG64" s="16"/>
      <c r="CH64" s="27"/>
      <c r="CJ64" s="27"/>
      <c r="CK64" s="16"/>
      <c r="CL64" s="27"/>
      <c r="CN64" s="27"/>
      <c r="CO64" s="16"/>
      <c r="CP64" s="27"/>
      <c r="CR64" s="27"/>
      <c r="CS64" s="16"/>
      <c r="CT64" s="27"/>
      <c r="CV64" s="27"/>
      <c r="CW64" s="16"/>
      <c r="CX64" s="27"/>
      <c r="CZ64" s="27"/>
      <c r="DA64" s="16"/>
      <c r="DB64" s="27"/>
      <c r="DD64" s="16"/>
    </row>
    <row r="65" spans="1:108" s="14" customFormat="1" ht="21" x14ac:dyDescent="0.4">
      <c r="A65" s="27"/>
      <c r="B65" s="27"/>
      <c r="D65" s="16"/>
      <c r="E65" s="27"/>
      <c r="F65" s="27"/>
      <c r="H65" s="27"/>
      <c r="I65" s="16"/>
      <c r="J65" s="27"/>
      <c r="L65" s="27"/>
      <c r="M65" s="16"/>
      <c r="N65" s="27"/>
      <c r="P65" s="27"/>
      <c r="Q65" s="16"/>
      <c r="R65" s="27"/>
      <c r="T65" s="27"/>
      <c r="U65" s="16"/>
      <c r="V65" s="27"/>
      <c r="X65" s="27"/>
      <c r="Y65" s="16"/>
      <c r="Z65" s="27"/>
      <c r="AB65" s="27"/>
      <c r="AC65" s="16"/>
      <c r="AD65" s="27"/>
      <c r="AF65" s="27"/>
      <c r="AG65" s="16"/>
      <c r="AH65" s="27"/>
      <c r="AJ65" s="27"/>
      <c r="AK65" s="16"/>
      <c r="AL65" s="27"/>
      <c r="AN65" s="27"/>
      <c r="AO65" s="16"/>
      <c r="AP65" s="27"/>
      <c r="AR65" s="27"/>
      <c r="AS65" s="16"/>
      <c r="AT65" s="27"/>
      <c r="AV65" s="27"/>
      <c r="AW65" s="16"/>
      <c r="AX65" s="27"/>
      <c r="AZ65" s="27"/>
      <c r="BA65" s="16"/>
      <c r="BB65" s="27"/>
      <c r="BD65" s="27"/>
      <c r="BE65" s="16"/>
      <c r="BF65" s="27"/>
      <c r="BH65" s="27"/>
      <c r="BI65" s="16"/>
      <c r="BJ65" s="27"/>
      <c r="BL65" s="27"/>
      <c r="BM65" s="16"/>
      <c r="BN65" s="27"/>
      <c r="BP65" s="27"/>
      <c r="BQ65" s="16"/>
      <c r="BR65" s="27"/>
      <c r="BT65" s="27"/>
      <c r="BU65" s="16"/>
      <c r="BV65" s="27"/>
      <c r="BX65" s="27"/>
      <c r="BY65" s="16"/>
      <c r="BZ65" s="27"/>
      <c r="CB65" s="27"/>
      <c r="CC65" s="16"/>
      <c r="CD65" s="27"/>
      <c r="CF65" s="27"/>
      <c r="CG65" s="16"/>
      <c r="CH65" s="27"/>
      <c r="CJ65" s="27"/>
      <c r="CK65" s="16"/>
      <c r="CL65" s="27"/>
      <c r="CN65" s="27"/>
      <c r="CO65" s="16"/>
      <c r="CP65" s="27"/>
      <c r="CR65" s="27"/>
      <c r="CS65" s="16"/>
      <c r="CT65" s="27"/>
      <c r="CV65" s="27"/>
      <c r="CW65" s="16"/>
      <c r="CX65" s="27"/>
      <c r="CZ65" s="27"/>
      <c r="DA65" s="16"/>
      <c r="DB65" s="27"/>
      <c r="DD65" s="16"/>
    </row>
    <row r="66" spans="1:108" s="14" customFormat="1" ht="21" x14ac:dyDescent="0.4">
      <c r="A66" s="27"/>
      <c r="B66" s="27"/>
      <c r="D66" s="16"/>
      <c r="E66" s="27"/>
      <c r="F66" s="27"/>
      <c r="H66" s="27"/>
      <c r="I66" s="16"/>
      <c r="J66" s="27"/>
      <c r="L66" s="27"/>
      <c r="M66" s="16"/>
      <c r="N66" s="27"/>
      <c r="P66" s="27"/>
      <c r="Q66" s="16"/>
      <c r="R66" s="27"/>
      <c r="T66" s="27"/>
      <c r="U66" s="16"/>
      <c r="V66" s="27"/>
      <c r="X66" s="27"/>
      <c r="Y66" s="16"/>
      <c r="Z66" s="27"/>
      <c r="AB66" s="27"/>
      <c r="AC66" s="16"/>
      <c r="AD66" s="27"/>
      <c r="AF66" s="27"/>
      <c r="AG66" s="16"/>
      <c r="AH66" s="27"/>
      <c r="AJ66" s="27"/>
      <c r="AK66" s="16"/>
      <c r="AL66" s="27"/>
      <c r="AN66" s="27"/>
      <c r="AO66" s="16"/>
      <c r="AP66" s="27"/>
      <c r="AR66" s="27"/>
      <c r="AS66" s="16"/>
      <c r="AT66" s="27"/>
      <c r="AV66" s="27"/>
      <c r="AW66" s="16"/>
      <c r="AX66" s="27"/>
      <c r="AZ66" s="27"/>
      <c r="BA66" s="16"/>
      <c r="BB66" s="27"/>
      <c r="BD66" s="27"/>
      <c r="BE66" s="16"/>
      <c r="BF66" s="27"/>
      <c r="BH66" s="27"/>
      <c r="BI66" s="16"/>
      <c r="BJ66" s="27"/>
      <c r="BL66" s="27"/>
      <c r="BM66" s="16"/>
      <c r="BN66" s="27"/>
      <c r="BP66" s="27"/>
      <c r="BQ66" s="16"/>
      <c r="BR66" s="27"/>
      <c r="BT66" s="27"/>
      <c r="BU66" s="16"/>
      <c r="BV66" s="27"/>
      <c r="BX66" s="27"/>
      <c r="BY66" s="16"/>
      <c r="BZ66" s="27"/>
      <c r="CB66" s="27"/>
      <c r="CC66" s="16"/>
      <c r="CD66" s="27"/>
      <c r="CF66" s="27"/>
      <c r="CG66" s="16"/>
      <c r="CH66" s="27"/>
      <c r="CJ66" s="27"/>
      <c r="CK66" s="16"/>
      <c r="CL66" s="27"/>
      <c r="CN66" s="27"/>
      <c r="CO66" s="16"/>
      <c r="CP66" s="27"/>
      <c r="CR66" s="27"/>
      <c r="CS66" s="16"/>
      <c r="CT66" s="27"/>
      <c r="CV66" s="27"/>
      <c r="CW66" s="16"/>
      <c r="CX66" s="27"/>
      <c r="CZ66" s="27"/>
      <c r="DA66" s="16"/>
      <c r="DB66" s="27"/>
      <c r="DD66" s="16"/>
    </row>
    <row r="67" spans="1:108" s="14" customFormat="1" ht="21" x14ac:dyDescent="0.4">
      <c r="A67" s="27"/>
      <c r="B67" s="27"/>
      <c r="D67" s="16"/>
      <c r="E67" s="27"/>
      <c r="F67" s="27"/>
      <c r="H67" s="27"/>
      <c r="I67" s="16"/>
      <c r="J67" s="27"/>
      <c r="L67" s="27"/>
      <c r="M67" s="16"/>
      <c r="N67" s="27"/>
      <c r="P67" s="27"/>
      <c r="Q67" s="16"/>
      <c r="R67" s="27"/>
      <c r="T67" s="27"/>
      <c r="U67" s="16"/>
      <c r="V67" s="27"/>
      <c r="X67" s="27"/>
      <c r="Y67" s="16"/>
      <c r="Z67" s="27"/>
      <c r="AB67" s="27"/>
      <c r="AC67" s="16"/>
      <c r="AD67" s="27"/>
      <c r="AF67" s="27"/>
      <c r="AG67" s="16"/>
      <c r="AH67" s="27"/>
      <c r="AJ67" s="27"/>
      <c r="AK67" s="16"/>
      <c r="AL67" s="27"/>
      <c r="AN67" s="27"/>
      <c r="AO67" s="16"/>
      <c r="AP67" s="27"/>
      <c r="AR67" s="27"/>
      <c r="AS67" s="16"/>
      <c r="AT67" s="27"/>
      <c r="AV67" s="27"/>
      <c r="AW67" s="16"/>
      <c r="AX67" s="27"/>
      <c r="AZ67" s="27"/>
      <c r="BA67" s="16"/>
      <c r="BB67" s="27"/>
      <c r="BD67" s="27"/>
      <c r="BE67" s="16"/>
      <c r="BF67" s="27"/>
      <c r="BH67" s="27"/>
      <c r="BI67" s="16"/>
      <c r="BJ67" s="27"/>
      <c r="BL67" s="27"/>
      <c r="BM67" s="16"/>
      <c r="BN67" s="27"/>
      <c r="BP67" s="27"/>
      <c r="BQ67" s="16"/>
      <c r="BR67" s="27"/>
      <c r="BT67" s="27"/>
      <c r="BU67" s="16"/>
      <c r="BV67" s="27"/>
      <c r="BX67" s="27"/>
      <c r="BY67" s="16"/>
      <c r="BZ67" s="27"/>
      <c r="CB67" s="27"/>
      <c r="CC67" s="16"/>
      <c r="CD67" s="27"/>
      <c r="CF67" s="27"/>
      <c r="CG67" s="16"/>
      <c r="CH67" s="27"/>
      <c r="CJ67" s="27"/>
      <c r="CK67" s="16"/>
      <c r="CL67" s="27"/>
      <c r="CN67" s="27"/>
      <c r="CO67" s="16"/>
      <c r="CP67" s="27"/>
      <c r="CR67" s="27"/>
      <c r="CS67" s="16"/>
      <c r="CT67" s="27"/>
      <c r="CV67" s="27"/>
      <c r="CW67" s="16"/>
      <c r="CX67" s="27"/>
      <c r="CZ67" s="27"/>
      <c r="DA67" s="16"/>
      <c r="DB67" s="27"/>
      <c r="DD67" s="16"/>
    </row>
    <row r="68" spans="1:108" s="14" customFormat="1" ht="21" x14ac:dyDescent="0.4">
      <c r="A68" s="27"/>
      <c r="B68" s="27"/>
      <c r="D68" s="16"/>
      <c r="E68" s="27"/>
      <c r="F68" s="27"/>
      <c r="H68" s="27"/>
      <c r="I68" s="16"/>
      <c r="J68" s="27"/>
      <c r="L68" s="27"/>
      <c r="M68" s="16"/>
      <c r="N68" s="27"/>
      <c r="P68" s="27"/>
      <c r="Q68" s="16"/>
      <c r="R68" s="27"/>
      <c r="T68" s="27"/>
      <c r="U68" s="16"/>
      <c r="V68" s="27"/>
      <c r="X68" s="27"/>
      <c r="Y68" s="16"/>
      <c r="Z68" s="27"/>
      <c r="AB68" s="27"/>
      <c r="AC68" s="16"/>
      <c r="AD68" s="27"/>
      <c r="AF68" s="27"/>
      <c r="AG68" s="16"/>
      <c r="AH68" s="27"/>
      <c r="AJ68" s="27"/>
      <c r="AK68" s="16"/>
      <c r="AL68" s="27"/>
      <c r="AN68" s="27"/>
      <c r="AO68" s="16"/>
      <c r="AP68" s="27"/>
      <c r="AR68" s="27"/>
      <c r="AS68" s="16"/>
      <c r="AT68" s="27"/>
      <c r="AV68" s="27"/>
      <c r="AW68" s="16"/>
      <c r="AX68" s="27"/>
      <c r="AZ68" s="27"/>
      <c r="BA68" s="16"/>
      <c r="BB68" s="27"/>
      <c r="BD68" s="27"/>
      <c r="BE68" s="16"/>
      <c r="BF68" s="27"/>
      <c r="BH68" s="27"/>
      <c r="BI68" s="16"/>
      <c r="BJ68" s="27"/>
      <c r="BL68" s="27"/>
      <c r="BM68" s="16"/>
      <c r="BN68" s="27"/>
      <c r="BP68" s="27"/>
      <c r="BQ68" s="16"/>
      <c r="BR68" s="27"/>
      <c r="BT68" s="27"/>
      <c r="BU68" s="16"/>
      <c r="BV68" s="27"/>
      <c r="BX68" s="27"/>
      <c r="BY68" s="16"/>
      <c r="BZ68" s="27"/>
      <c r="CB68" s="27"/>
      <c r="CC68" s="16"/>
      <c r="CD68" s="27"/>
      <c r="CF68" s="27"/>
      <c r="CG68" s="16"/>
      <c r="CH68" s="27"/>
      <c r="CJ68" s="27"/>
      <c r="CK68" s="16"/>
      <c r="CL68" s="27"/>
      <c r="CN68" s="27"/>
      <c r="CO68" s="16"/>
      <c r="CP68" s="27"/>
      <c r="CR68" s="27"/>
      <c r="CS68" s="16"/>
      <c r="CT68" s="27"/>
      <c r="CV68" s="27"/>
      <c r="CW68" s="16"/>
      <c r="CX68" s="27"/>
      <c r="CZ68" s="27"/>
      <c r="DA68" s="16"/>
      <c r="DB68" s="27"/>
      <c r="DD68" s="16"/>
    </row>
    <row r="69" spans="1:108" s="14" customFormat="1" ht="21" x14ac:dyDescent="0.4">
      <c r="A69" s="27"/>
      <c r="B69" s="27"/>
      <c r="D69" s="16"/>
      <c r="E69" s="27"/>
      <c r="F69" s="27"/>
      <c r="H69" s="27"/>
      <c r="I69" s="16"/>
      <c r="J69" s="27"/>
      <c r="L69" s="27"/>
      <c r="M69" s="16"/>
      <c r="N69" s="27"/>
      <c r="P69" s="27"/>
      <c r="Q69" s="16"/>
      <c r="R69" s="27"/>
      <c r="T69" s="27"/>
      <c r="U69" s="16"/>
      <c r="V69" s="27"/>
      <c r="X69" s="27"/>
      <c r="Y69" s="16"/>
      <c r="Z69" s="27"/>
      <c r="AB69" s="27"/>
      <c r="AC69" s="16"/>
      <c r="AD69" s="27"/>
      <c r="AF69" s="27"/>
      <c r="AG69" s="16"/>
      <c r="AH69" s="27"/>
      <c r="AJ69" s="27"/>
      <c r="AK69" s="16"/>
      <c r="AL69" s="27"/>
      <c r="AN69" s="27"/>
      <c r="AO69" s="16"/>
      <c r="AP69" s="27"/>
      <c r="AR69" s="27"/>
      <c r="AS69" s="16"/>
      <c r="AT69" s="27"/>
      <c r="AV69" s="27"/>
      <c r="AW69" s="16"/>
      <c r="AX69" s="27"/>
      <c r="AZ69" s="27"/>
      <c r="BA69" s="16"/>
      <c r="BB69" s="27"/>
      <c r="BD69" s="27"/>
      <c r="BE69" s="16"/>
      <c r="BF69" s="27"/>
      <c r="BH69" s="27"/>
      <c r="BI69" s="16"/>
      <c r="BJ69" s="27"/>
      <c r="BL69" s="27"/>
      <c r="BM69" s="16"/>
      <c r="BN69" s="27"/>
      <c r="BP69" s="27"/>
      <c r="BQ69" s="16"/>
      <c r="BR69" s="27"/>
      <c r="BT69" s="27"/>
      <c r="BU69" s="16"/>
      <c r="BV69" s="27"/>
      <c r="BX69" s="27"/>
      <c r="BY69" s="16"/>
      <c r="BZ69" s="27"/>
      <c r="CB69" s="27"/>
      <c r="CC69" s="16"/>
      <c r="CD69" s="27"/>
      <c r="CF69" s="27"/>
      <c r="CG69" s="16"/>
      <c r="CH69" s="27"/>
      <c r="CJ69" s="27"/>
      <c r="CK69" s="16"/>
      <c r="CL69" s="27"/>
      <c r="CN69" s="27"/>
      <c r="CO69" s="16"/>
      <c r="CP69" s="27"/>
      <c r="CR69" s="27"/>
      <c r="CS69" s="16"/>
      <c r="CT69" s="27"/>
      <c r="CV69" s="27"/>
      <c r="CW69" s="16"/>
      <c r="CX69" s="27"/>
      <c r="CZ69" s="27"/>
      <c r="DA69" s="16"/>
      <c r="DB69" s="27"/>
      <c r="DD69" s="16"/>
    </row>
    <row r="70" spans="1:108" s="14" customFormat="1" ht="21" x14ac:dyDescent="0.4">
      <c r="A70" s="27"/>
      <c r="B70" s="27"/>
      <c r="D70" s="16"/>
      <c r="E70" s="27"/>
      <c r="F70" s="27"/>
      <c r="H70" s="27"/>
      <c r="I70" s="16"/>
      <c r="J70" s="27"/>
      <c r="L70" s="27"/>
      <c r="M70" s="16"/>
      <c r="N70" s="27"/>
      <c r="P70" s="27"/>
      <c r="Q70" s="16"/>
      <c r="R70" s="27"/>
      <c r="T70" s="27"/>
      <c r="U70" s="16"/>
      <c r="V70" s="27"/>
      <c r="X70" s="27"/>
      <c r="Y70" s="16"/>
      <c r="Z70" s="27"/>
      <c r="AB70" s="27"/>
      <c r="AC70" s="16"/>
      <c r="AD70" s="27"/>
      <c r="AF70" s="27"/>
      <c r="AG70" s="16"/>
      <c r="AH70" s="27"/>
      <c r="AJ70" s="27"/>
      <c r="AK70" s="16"/>
      <c r="AL70" s="27"/>
      <c r="AN70" s="27"/>
      <c r="AO70" s="16"/>
      <c r="AP70" s="27"/>
      <c r="AR70" s="27"/>
      <c r="AS70" s="16"/>
      <c r="AT70" s="27"/>
      <c r="AV70" s="27"/>
      <c r="AW70" s="16"/>
      <c r="AX70" s="27"/>
      <c r="AZ70" s="27"/>
      <c r="BA70" s="16"/>
      <c r="BB70" s="27"/>
      <c r="BD70" s="27"/>
      <c r="BE70" s="16"/>
      <c r="BF70" s="27"/>
      <c r="BH70" s="27"/>
      <c r="BI70" s="16"/>
      <c r="BJ70" s="27"/>
      <c r="BL70" s="27"/>
      <c r="BM70" s="16"/>
      <c r="BN70" s="27"/>
      <c r="BP70" s="27"/>
      <c r="BQ70" s="16"/>
      <c r="BR70" s="27"/>
      <c r="BT70" s="27"/>
      <c r="BU70" s="16"/>
      <c r="BV70" s="27"/>
      <c r="BX70" s="27"/>
      <c r="BY70" s="16"/>
      <c r="BZ70" s="27"/>
      <c r="CB70" s="27"/>
      <c r="CC70" s="16"/>
      <c r="CD70" s="27"/>
      <c r="CF70" s="27"/>
      <c r="CG70" s="16"/>
      <c r="CH70" s="27"/>
      <c r="CJ70" s="27"/>
      <c r="CK70" s="16"/>
      <c r="CL70" s="27"/>
      <c r="CN70" s="27"/>
      <c r="CO70" s="16"/>
      <c r="CP70" s="27"/>
      <c r="CR70" s="27"/>
      <c r="CS70" s="16"/>
      <c r="CT70" s="27"/>
      <c r="CV70" s="27"/>
      <c r="CW70" s="16"/>
      <c r="CX70" s="27"/>
      <c r="CZ70" s="27"/>
      <c r="DA70" s="16"/>
      <c r="DB70" s="27"/>
      <c r="DD70" s="16"/>
    </row>
    <row r="71" spans="1:108" s="14" customFormat="1" ht="21" x14ac:dyDescent="0.4">
      <c r="A71" s="27"/>
      <c r="B71" s="27"/>
      <c r="D71" s="16"/>
      <c r="E71" s="27"/>
      <c r="F71" s="27"/>
      <c r="H71" s="27"/>
      <c r="I71" s="16"/>
      <c r="J71" s="27"/>
      <c r="L71" s="27"/>
      <c r="M71" s="16"/>
      <c r="N71" s="27"/>
      <c r="P71" s="27"/>
      <c r="Q71" s="16"/>
      <c r="R71" s="27"/>
      <c r="T71" s="27"/>
      <c r="U71" s="16"/>
      <c r="V71" s="27"/>
      <c r="X71" s="27"/>
      <c r="Y71" s="16"/>
      <c r="Z71" s="27"/>
      <c r="AB71" s="27"/>
      <c r="AC71" s="16"/>
      <c r="AD71" s="27"/>
      <c r="AF71" s="27"/>
      <c r="AG71" s="16"/>
      <c r="AH71" s="27"/>
      <c r="AJ71" s="27"/>
      <c r="AK71" s="16"/>
      <c r="AL71" s="27"/>
      <c r="AN71" s="27"/>
      <c r="AO71" s="16"/>
      <c r="AP71" s="27"/>
      <c r="AR71" s="27"/>
      <c r="AS71" s="16"/>
      <c r="AT71" s="27"/>
      <c r="AV71" s="27"/>
      <c r="AW71" s="16"/>
      <c r="AX71" s="27"/>
      <c r="AZ71" s="27"/>
      <c r="BA71" s="16"/>
      <c r="BB71" s="27"/>
      <c r="BD71" s="27"/>
      <c r="BE71" s="16"/>
      <c r="BF71" s="27"/>
      <c r="BH71" s="27"/>
      <c r="BI71" s="16"/>
      <c r="BJ71" s="27"/>
      <c r="BL71" s="27"/>
      <c r="BM71" s="16"/>
      <c r="BN71" s="27"/>
      <c r="BP71" s="27"/>
      <c r="BQ71" s="16"/>
      <c r="BR71" s="27"/>
      <c r="BT71" s="27"/>
      <c r="BU71" s="16"/>
      <c r="BV71" s="27"/>
      <c r="BX71" s="27"/>
      <c r="BY71" s="16"/>
      <c r="BZ71" s="27"/>
      <c r="CB71" s="27"/>
      <c r="CC71" s="16"/>
      <c r="CD71" s="27"/>
      <c r="CF71" s="27"/>
      <c r="CG71" s="16"/>
      <c r="CH71" s="27"/>
      <c r="CJ71" s="27"/>
      <c r="CK71" s="16"/>
      <c r="CL71" s="27"/>
      <c r="CN71" s="27"/>
      <c r="CO71" s="16"/>
      <c r="CP71" s="27"/>
      <c r="CR71" s="27"/>
      <c r="CS71" s="16"/>
      <c r="CT71" s="27"/>
      <c r="CV71" s="27"/>
      <c r="CW71" s="16"/>
      <c r="CX71" s="27"/>
      <c r="CZ71" s="27"/>
      <c r="DA71" s="16"/>
      <c r="DB71" s="27"/>
      <c r="DD71" s="16"/>
    </row>
    <row r="72" spans="1:108" s="14" customFormat="1" ht="21" x14ac:dyDescent="0.4">
      <c r="A72" s="27"/>
      <c r="B72" s="27"/>
      <c r="D72" s="16"/>
      <c r="E72" s="27"/>
      <c r="F72" s="27"/>
      <c r="H72" s="27"/>
      <c r="I72" s="16"/>
      <c r="J72" s="27"/>
      <c r="L72" s="27"/>
      <c r="M72" s="16"/>
      <c r="N72" s="27"/>
      <c r="P72" s="27"/>
      <c r="Q72" s="16"/>
      <c r="R72" s="27"/>
      <c r="T72" s="27"/>
      <c r="U72" s="16"/>
      <c r="V72" s="27"/>
      <c r="X72" s="27"/>
      <c r="Y72" s="16"/>
      <c r="Z72" s="27"/>
      <c r="AB72" s="27"/>
      <c r="AC72" s="16"/>
      <c r="AD72" s="27"/>
      <c r="AF72" s="27"/>
      <c r="AG72" s="16"/>
      <c r="AH72" s="27"/>
      <c r="AJ72" s="27"/>
      <c r="AK72" s="16"/>
      <c r="AL72" s="27"/>
      <c r="AN72" s="27"/>
      <c r="AO72" s="16"/>
      <c r="AP72" s="27"/>
      <c r="AR72" s="27"/>
      <c r="AS72" s="16"/>
      <c r="AT72" s="27"/>
      <c r="AV72" s="27"/>
      <c r="AW72" s="16"/>
      <c r="AX72" s="27"/>
      <c r="AZ72" s="27"/>
      <c r="BA72" s="16"/>
      <c r="BB72" s="27"/>
      <c r="BD72" s="27"/>
      <c r="BE72" s="16"/>
      <c r="BF72" s="27"/>
      <c r="BH72" s="27"/>
      <c r="BI72" s="16"/>
      <c r="BJ72" s="27"/>
      <c r="BL72" s="27"/>
      <c r="BM72" s="16"/>
      <c r="BN72" s="27"/>
      <c r="BP72" s="27"/>
      <c r="BQ72" s="16"/>
      <c r="BR72" s="27"/>
      <c r="BT72" s="27"/>
      <c r="BU72" s="16"/>
      <c r="BV72" s="27"/>
      <c r="BX72" s="27"/>
      <c r="BY72" s="16"/>
      <c r="BZ72" s="27"/>
      <c r="CB72" s="27"/>
      <c r="CC72" s="16"/>
      <c r="CD72" s="27"/>
      <c r="CF72" s="27"/>
      <c r="CG72" s="16"/>
      <c r="CH72" s="27"/>
      <c r="CJ72" s="27"/>
      <c r="CK72" s="16"/>
      <c r="CL72" s="27"/>
      <c r="CN72" s="27"/>
      <c r="CO72" s="16"/>
      <c r="CP72" s="27"/>
      <c r="CR72" s="27"/>
      <c r="CS72" s="16"/>
      <c r="CT72" s="27"/>
      <c r="CV72" s="27"/>
      <c r="CW72" s="16"/>
      <c r="CX72" s="27"/>
      <c r="CZ72" s="27"/>
      <c r="DA72" s="16"/>
      <c r="DB72" s="27"/>
      <c r="DD72" s="16"/>
    </row>
    <row r="73" spans="1:108" s="14" customFormat="1" ht="21" x14ac:dyDescent="0.4">
      <c r="A73" s="27"/>
      <c r="B73" s="27"/>
      <c r="D73" s="16"/>
      <c r="E73" s="27"/>
      <c r="F73" s="27"/>
      <c r="H73" s="27"/>
      <c r="I73" s="16"/>
      <c r="J73" s="27"/>
      <c r="L73" s="27"/>
      <c r="M73" s="16"/>
      <c r="N73" s="27"/>
      <c r="P73" s="27"/>
      <c r="Q73" s="16"/>
      <c r="R73" s="27"/>
      <c r="T73" s="27"/>
      <c r="U73" s="16"/>
      <c r="V73" s="27"/>
      <c r="X73" s="27"/>
      <c r="Y73" s="16"/>
      <c r="Z73" s="27"/>
      <c r="AB73" s="27"/>
      <c r="AC73" s="16"/>
      <c r="AD73" s="27"/>
      <c r="AF73" s="27"/>
      <c r="AG73" s="16"/>
      <c r="AH73" s="27"/>
      <c r="AJ73" s="27"/>
      <c r="AK73" s="16"/>
      <c r="AL73" s="27"/>
      <c r="AN73" s="27"/>
      <c r="AO73" s="16"/>
      <c r="AP73" s="27"/>
      <c r="AR73" s="27"/>
      <c r="AS73" s="16"/>
      <c r="AT73" s="27"/>
      <c r="AV73" s="27"/>
      <c r="AW73" s="16"/>
      <c r="AX73" s="27"/>
      <c r="AZ73" s="27"/>
      <c r="BA73" s="16"/>
      <c r="BB73" s="27"/>
      <c r="BD73" s="27"/>
      <c r="BE73" s="16"/>
      <c r="BF73" s="27"/>
      <c r="BH73" s="27"/>
      <c r="BI73" s="16"/>
      <c r="BJ73" s="27"/>
      <c r="BL73" s="27"/>
      <c r="BM73" s="16"/>
      <c r="BN73" s="27"/>
      <c r="BP73" s="27"/>
      <c r="BQ73" s="16"/>
      <c r="BR73" s="27"/>
      <c r="BT73" s="27"/>
      <c r="BU73" s="16"/>
      <c r="BV73" s="27"/>
      <c r="BX73" s="27"/>
      <c r="BY73" s="16"/>
      <c r="BZ73" s="27"/>
      <c r="CB73" s="27"/>
      <c r="CC73" s="16"/>
      <c r="CD73" s="27"/>
      <c r="CF73" s="27"/>
      <c r="CG73" s="16"/>
      <c r="CH73" s="27"/>
      <c r="CJ73" s="27"/>
      <c r="CK73" s="16"/>
      <c r="CL73" s="27"/>
      <c r="CN73" s="27"/>
      <c r="CO73" s="16"/>
      <c r="CP73" s="27"/>
      <c r="CR73" s="27"/>
      <c r="CS73" s="16"/>
      <c r="CT73" s="27"/>
      <c r="CV73" s="27"/>
      <c r="CW73" s="16"/>
      <c r="CX73" s="27"/>
      <c r="CZ73" s="27"/>
      <c r="DA73" s="16"/>
      <c r="DB73" s="27"/>
      <c r="DD73" s="16"/>
    </row>
    <row r="74" spans="1:108" s="14" customFormat="1" ht="21" x14ac:dyDescent="0.4">
      <c r="A74" s="27"/>
      <c r="B74" s="27"/>
      <c r="D74" s="16"/>
      <c r="E74" s="27"/>
      <c r="F74" s="27"/>
      <c r="H74" s="27"/>
      <c r="I74" s="16"/>
      <c r="J74" s="27"/>
      <c r="L74" s="27"/>
      <c r="M74" s="16"/>
      <c r="N74" s="27"/>
      <c r="P74" s="27"/>
      <c r="Q74" s="16"/>
      <c r="R74" s="27"/>
      <c r="T74" s="27"/>
      <c r="U74" s="16"/>
      <c r="V74" s="27"/>
      <c r="X74" s="27"/>
      <c r="Y74" s="16"/>
      <c r="Z74" s="27"/>
      <c r="AB74" s="27"/>
      <c r="AC74" s="16"/>
      <c r="AD74" s="27"/>
      <c r="AF74" s="27"/>
      <c r="AG74" s="16"/>
      <c r="AH74" s="27"/>
      <c r="AJ74" s="27"/>
      <c r="AK74" s="16"/>
      <c r="AL74" s="27"/>
      <c r="AN74" s="27"/>
      <c r="AO74" s="16"/>
      <c r="AP74" s="27"/>
      <c r="AR74" s="27"/>
      <c r="AS74" s="16"/>
      <c r="AT74" s="27"/>
      <c r="AV74" s="27"/>
      <c r="AW74" s="16"/>
      <c r="AX74" s="27"/>
      <c r="AZ74" s="27"/>
      <c r="BA74" s="16"/>
      <c r="BB74" s="27"/>
      <c r="BD74" s="27"/>
      <c r="BE74" s="16"/>
      <c r="BF74" s="27"/>
      <c r="BH74" s="27"/>
      <c r="BI74" s="16"/>
      <c r="BJ74" s="27"/>
      <c r="BL74" s="27"/>
      <c r="BM74" s="16"/>
      <c r="BN74" s="27"/>
      <c r="BP74" s="27"/>
      <c r="BQ74" s="16"/>
      <c r="BR74" s="27"/>
      <c r="BT74" s="27"/>
      <c r="BU74" s="16"/>
      <c r="BV74" s="27"/>
      <c r="BX74" s="27"/>
      <c r="BY74" s="16"/>
      <c r="BZ74" s="27"/>
      <c r="CB74" s="27"/>
      <c r="CC74" s="16"/>
      <c r="CD74" s="27"/>
      <c r="CF74" s="27"/>
      <c r="CG74" s="16"/>
      <c r="CH74" s="27"/>
      <c r="CJ74" s="27"/>
      <c r="CK74" s="16"/>
      <c r="CL74" s="27"/>
      <c r="CN74" s="27"/>
      <c r="CO74" s="16"/>
      <c r="CP74" s="27"/>
      <c r="CR74" s="27"/>
      <c r="CS74" s="16"/>
      <c r="CT74" s="27"/>
      <c r="CV74" s="27"/>
      <c r="CW74" s="16"/>
      <c r="CX74" s="27"/>
      <c r="CZ74" s="27"/>
      <c r="DA74" s="16"/>
      <c r="DB74" s="27"/>
      <c r="DD74" s="16"/>
    </row>
    <row r="75" spans="1:108" s="14" customFormat="1" ht="21" x14ac:dyDescent="0.4">
      <c r="A75" s="27"/>
      <c r="B75" s="27"/>
      <c r="D75" s="16"/>
      <c r="E75" s="27"/>
      <c r="F75" s="27"/>
      <c r="H75" s="27"/>
      <c r="I75" s="16"/>
      <c r="J75" s="27"/>
      <c r="L75" s="27"/>
      <c r="M75" s="16"/>
      <c r="N75" s="27"/>
      <c r="P75" s="27"/>
      <c r="Q75" s="16"/>
      <c r="R75" s="27"/>
      <c r="T75" s="27"/>
      <c r="U75" s="16"/>
      <c r="V75" s="27"/>
      <c r="X75" s="27"/>
      <c r="Y75" s="16"/>
      <c r="Z75" s="27"/>
      <c r="AB75" s="27"/>
      <c r="AC75" s="16"/>
      <c r="AD75" s="27"/>
      <c r="AF75" s="27"/>
      <c r="AG75" s="16"/>
      <c r="AH75" s="27"/>
      <c r="AJ75" s="27"/>
      <c r="AK75" s="16"/>
      <c r="AL75" s="27"/>
      <c r="AN75" s="27"/>
      <c r="AO75" s="16"/>
      <c r="AP75" s="27"/>
      <c r="AR75" s="27"/>
      <c r="AS75" s="16"/>
      <c r="AT75" s="27"/>
      <c r="AV75" s="27"/>
      <c r="AW75" s="16"/>
      <c r="AX75" s="27"/>
      <c r="AZ75" s="27"/>
      <c r="BA75" s="16"/>
      <c r="BB75" s="27"/>
      <c r="BD75" s="27"/>
      <c r="BE75" s="16"/>
      <c r="BF75" s="27"/>
      <c r="BH75" s="27"/>
      <c r="BI75" s="16"/>
      <c r="BJ75" s="27"/>
      <c r="BL75" s="27"/>
      <c r="BM75" s="16"/>
      <c r="BN75" s="27"/>
      <c r="BP75" s="27"/>
      <c r="BQ75" s="16"/>
      <c r="BR75" s="27"/>
      <c r="BT75" s="27"/>
      <c r="BU75" s="16"/>
      <c r="BV75" s="27"/>
      <c r="BX75" s="27"/>
      <c r="BY75" s="16"/>
      <c r="BZ75" s="27"/>
      <c r="CB75" s="27"/>
      <c r="CC75" s="16"/>
      <c r="CD75" s="27"/>
      <c r="CF75" s="27"/>
      <c r="CG75" s="16"/>
      <c r="CH75" s="27"/>
      <c r="CJ75" s="27"/>
      <c r="CK75" s="16"/>
      <c r="CL75" s="27"/>
      <c r="CN75" s="27"/>
      <c r="CO75" s="16"/>
      <c r="CP75" s="27"/>
      <c r="CR75" s="27"/>
      <c r="CS75" s="16"/>
      <c r="CT75" s="27"/>
      <c r="CV75" s="27"/>
      <c r="CW75" s="16"/>
      <c r="CX75" s="27"/>
      <c r="CZ75" s="27"/>
      <c r="DA75" s="16"/>
      <c r="DB75" s="27"/>
      <c r="DD75" s="16"/>
    </row>
    <row r="76" spans="1:108" s="14" customFormat="1" ht="21" x14ac:dyDescent="0.4">
      <c r="A76" s="27"/>
      <c r="B76" s="27"/>
      <c r="D76" s="16"/>
      <c r="E76" s="27"/>
      <c r="F76" s="27"/>
      <c r="H76" s="27"/>
      <c r="I76" s="16"/>
      <c r="J76" s="27"/>
      <c r="L76" s="27"/>
      <c r="M76" s="16"/>
      <c r="N76" s="27"/>
      <c r="P76" s="27"/>
      <c r="Q76" s="16"/>
      <c r="R76" s="27"/>
      <c r="T76" s="27"/>
      <c r="U76" s="16"/>
      <c r="V76" s="27"/>
      <c r="X76" s="27"/>
      <c r="Y76" s="16"/>
      <c r="Z76" s="27"/>
      <c r="AB76" s="27"/>
      <c r="AC76" s="16"/>
      <c r="AD76" s="27"/>
      <c r="AF76" s="27"/>
      <c r="AG76" s="16"/>
      <c r="AH76" s="27"/>
      <c r="AJ76" s="27"/>
      <c r="AK76" s="16"/>
      <c r="AL76" s="27"/>
      <c r="AN76" s="27"/>
      <c r="AO76" s="16"/>
      <c r="AP76" s="27"/>
      <c r="AR76" s="27"/>
      <c r="AS76" s="16"/>
      <c r="AT76" s="27"/>
      <c r="AV76" s="27"/>
      <c r="AW76" s="16"/>
      <c r="AX76" s="27"/>
      <c r="AZ76" s="27"/>
      <c r="BA76" s="16"/>
      <c r="BB76" s="27"/>
      <c r="BD76" s="27"/>
      <c r="BE76" s="16"/>
      <c r="BF76" s="27"/>
      <c r="BH76" s="27"/>
      <c r="BI76" s="16"/>
      <c r="BJ76" s="27"/>
      <c r="BL76" s="27"/>
      <c r="BM76" s="16"/>
      <c r="BN76" s="27"/>
      <c r="BP76" s="27"/>
      <c r="BQ76" s="16"/>
      <c r="BR76" s="27"/>
      <c r="BT76" s="27"/>
      <c r="BU76" s="16"/>
      <c r="BV76" s="27"/>
      <c r="BX76" s="27"/>
      <c r="BY76" s="16"/>
      <c r="BZ76" s="27"/>
      <c r="CB76" s="27"/>
      <c r="CC76" s="16"/>
      <c r="CD76" s="27"/>
      <c r="CF76" s="27"/>
      <c r="CG76" s="16"/>
      <c r="CH76" s="27"/>
      <c r="CJ76" s="27"/>
      <c r="CK76" s="16"/>
      <c r="CL76" s="27"/>
      <c r="CN76" s="27"/>
      <c r="CO76" s="16"/>
      <c r="CP76" s="27"/>
      <c r="CR76" s="27"/>
      <c r="CS76" s="16"/>
      <c r="CT76" s="27"/>
      <c r="CV76" s="27"/>
      <c r="CW76" s="16"/>
      <c r="CX76" s="27"/>
      <c r="CZ76" s="27"/>
      <c r="DA76" s="16"/>
      <c r="DB76" s="27"/>
      <c r="DD76" s="16"/>
    </row>
    <row r="77" spans="1:108" s="14" customFormat="1" ht="21" x14ac:dyDescent="0.4">
      <c r="A77" s="27"/>
      <c r="B77" s="27"/>
      <c r="D77" s="16"/>
      <c r="E77" s="27"/>
      <c r="F77" s="27"/>
      <c r="H77" s="27"/>
      <c r="I77" s="16"/>
      <c r="J77" s="27"/>
      <c r="L77" s="27"/>
      <c r="M77" s="16"/>
      <c r="N77" s="27"/>
      <c r="P77" s="27"/>
      <c r="Q77" s="16"/>
      <c r="R77" s="27"/>
      <c r="T77" s="27"/>
      <c r="U77" s="16"/>
      <c r="V77" s="27"/>
      <c r="X77" s="27"/>
      <c r="Y77" s="16"/>
      <c r="Z77" s="27"/>
      <c r="AB77" s="27"/>
      <c r="AC77" s="16"/>
      <c r="AD77" s="27"/>
      <c r="AF77" s="27"/>
      <c r="AG77" s="16"/>
      <c r="AH77" s="27"/>
      <c r="AJ77" s="27"/>
      <c r="AK77" s="16"/>
      <c r="AL77" s="27"/>
      <c r="AN77" s="27"/>
      <c r="AO77" s="16"/>
      <c r="AP77" s="27"/>
      <c r="AR77" s="27"/>
      <c r="AS77" s="16"/>
      <c r="AT77" s="27"/>
      <c r="AV77" s="27"/>
      <c r="AW77" s="16"/>
      <c r="AX77" s="27"/>
      <c r="AZ77" s="27"/>
      <c r="BA77" s="16"/>
      <c r="BB77" s="27"/>
      <c r="BD77" s="27"/>
      <c r="BE77" s="16"/>
      <c r="BF77" s="27"/>
      <c r="BH77" s="27"/>
      <c r="BI77" s="16"/>
      <c r="BJ77" s="27"/>
      <c r="BL77" s="27"/>
      <c r="BM77" s="16"/>
      <c r="BN77" s="27"/>
      <c r="BP77" s="27"/>
      <c r="BQ77" s="16"/>
      <c r="BR77" s="27"/>
      <c r="BT77" s="27"/>
      <c r="BU77" s="16"/>
      <c r="BV77" s="27"/>
      <c r="BX77" s="27"/>
      <c r="BY77" s="16"/>
      <c r="BZ77" s="27"/>
      <c r="CB77" s="27"/>
      <c r="CC77" s="16"/>
      <c r="CD77" s="27"/>
      <c r="CF77" s="27"/>
      <c r="CG77" s="16"/>
      <c r="CH77" s="27"/>
      <c r="CJ77" s="27"/>
      <c r="CK77" s="16"/>
      <c r="CL77" s="27"/>
      <c r="CN77" s="27"/>
      <c r="CO77" s="16"/>
      <c r="CP77" s="27"/>
      <c r="CR77" s="27"/>
      <c r="CS77" s="16"/>
      <c r="CT77" s="27"/>
      <c r="CV77" s="27"/>
      <c r="CW77" s="16"/>
      <c r="CX77" s="27"/>
      <c r="CZ77" s="27"/>
      <c r="DA77" s="16"/>
      <c r="DB77" s="27"/>
      <c r="DD77" s="16"/>
    </row>
    <row r="78" spans="1:108" s="14" customFormat="1" ht="21" x14ac:dyDescent="0.4">
      <c r="A78" s="27"/>
      <c r="B78" s="27"/>
      <c r="D78" s="16"/>
      <c r="E78" s="27"/>
      <c r="F78" s="27"/>
      <c r="H78" s="27"/>
      <c r="I78" s="16"/>
      <c r="J78" s="27"/>
      <c r="L78" s="27"/>
      <c r="M78" s="16"/>
      <c r="N78" s="27"/>
      <c r="P78" s="27"/>
      <c r="Q78" s="16"/>
      <c r="R78" s="27"/>
      <c r="T78" s="27"/>
      <c r="U78" s="16"/>
      <c r="V78" s="27"/>
      <c r="X78" s="27"/>
      <c r="Y78" s="16"/>
      <c r="Z78" s="27"/>
      <c r="AB78" s="27"/>
      <c r="AC78" s="16"/>
      <c r="AD78" s="27"/>
      <c r="AF78" s="27"/>
      <c r="AG78" s="16"/>
      <c r="AH78" s="27"/>
      <c r="AJ78" s="27"/>
      <c r="AK78" s="16"/>
      <c r="AL78" s="27"/>
      <c r="AN78" s="27"/>
      <c r="AO78" s="16"/>
      <c r="AP78" s="27"/>
      <c r="AR78" s="27"/>
      <c r="AS78" s="16"/>
      <c r="AT78" s="27"/>
      <c r="AV78" s="27"/>
      <c r="AW78" s="16"/>
      <c r="AX78" s="27"/>
      <c r="AZ78" s="27"/>
      <c r="BA78" s="16"/>
      <c r="BB78" s="27"/>
      <c r="BD78" s="27"/>
      <c r="BE78" s="16"/>
      <c r="BF78" s="27"/>
      <c r="BH78" s="27"/>
      <c r="BI78" s="16"/>
      <c r="BJ78" s="27"/>
      <c r="BL78" s="27"/>
      <c r="BM78" s="16"/>
      <c r="BN78" s="27"/>
      <c r="BP78" s="27"/>
      <c r="BQ78" s="16"/>
      <c r="BR78" s="27"/>
      <c r="BT78" s="27"/>
      <c r="BU78" s="16"/>
      <c r="BV78" s="27"/>
      <c r="BX78" s="27"/>
      <c r="BY78" s="16"/>
      <c r="BZ78" s="27"/>
      <c r="CB78" s="27"/>
      <c r="CC78" s="16"/>
      <c r="CD78" s="27"/>
      <c r="CF78" s="27"/>
      <c r="CG78" s="16"/>
      <c r="CH78" s="27"/>
      <c r="CJ78" s="27"/>
      <c r="CK78" s="16"/>
      <c r="CL78" s="27"/>
      <c r="CN78" s="27"/>
      <c r="CO78" s="16"/>
      <c r="CP78" s="27"/>
      <c r="CR78" s="27"/>
      <c r="CS78" s="16"/>
      <c r="CT78" s="27"/>
      <c r="CV78" s="27"/>
      <c r="CW78" s="16"/>
      <c r="CX78" s="27"/>
      <c r="CZ78" s="27"/>
      <c r="DA78" s="16"/>
      <c r="DB78" s="27"/>
      <c r="DD78" s="16"/>
    </row>
    <row r="79" spans="1:108" s="14" customFormat="1" ht="21" x14ac:dyDescent="0.4">
      <c r="A79" s="27"/>
      <c r="B79" s="27"/>
      <c r="D79" s="16"/>
      <c r="E79" s="27"/>
      <c r="F79" s="27"/>
      <c r="H79" s="27"/>
      <c r="I79" s="16"/>
      <c r="J79" s="27"/>
      <c r="L79" s="27"/>
      <c r="M79" s="16"/>
      <c r="N79" s="27"/>
      <c r="P79" s="27"/>
      <c r="Q79" s="16"/>
      <c r="R79" s="27"/>
      <c r="T79" s="27"/>
      <c r="U79" s="16"/>
      <c r="V79" s="27"/>
      <c r="X79" s="27"/>
      <c r="Y79" s="16"/>
      <c r="Z79" s="27"/>
      <c r="AB79" s="27"/>
      <c r="AC79" s="16"/>
      <c r="AD79" s="27"/>
      <c r="AF79" s="27"/>
      <c r="AG79" s="16"/>
      <c r="AH79" s="27"/>
      <c r="AJ79" s="27"/>
      <c r="AK79" s="16"/>
      <c r="AL79" s="27"/>
      <c r="AN79" s="27"/>
      <c r="AO79" s="16"/>
      <c r="AP79" s="27"/>
      <c r="AR79" s="27"/>
      <c r="AS79" s="16"/>
      <c r="AT79" s="27"/>
      <c r="AV79" s="27"/>
      <c r="AW79" s="16"/>
      <c r="AX79" s="27"/>
      <c r="AZ79" s="27"/>
      <c r="BA79" s="16"/>
      <c r="BB79" s="27"/>
      <c r="BD79" s="27"/>
      <c r="BE79" s="16"/>
      <c r="BF79" s="27"/>
      <c r="BH79" s="27"/>
      <c r="BI79" s="16"/>
      <c r="BJ79" s="27"/>
      <c r="BL79" s="27"/>
      <c r="BM79" s="16"/>
      <c r="BN79" s="27"/>
      <c r="BP79" s="27"/>
      <c r="BQ79" s="16"/>
      <c r="BR79" s="27"/>
      <c r="BT79" s="27"/>
      <c r="BU79" s="16"/>
      <c r="BV79" s="27"/>
      <c r="BX79" s="27"/>
      <c r="BY79" s="16"/>
      <c r="BZ79" s="27"/>
      <c r="CB79" s="27"/>
      <c r="CC79" s="16"/>
      <c r="CD79" s="27"/>
      <c r="CF79" s="27"/>
      <c r="CG79" s="16"/>
      <c r="CH79" s="27"/>
      <c r="CJ79" s="27"/>
      <c r="CK79" s="16"/>
      <c r="CL79" s="27"/>
      <c r="CN79" s="27"/>
      <c r="CO79" s="16"/>
      <c r="CP79" s="27"/>
      <c r="CR79" s="27"/>
      <c r="CS79" s="16"/>
      <c r="CT79" s="27"/>
      <c r="CV79" s="27"/>
      <c r="CW79" s="16"/>
      <c r="CX79" s="27"/>
      <c r="CZ79" s="27"/>
      <c r="DA79" s="16"/>
      <c r="DB79" s="27"/>
      <c r="DD79" s="16"/>
    </row>
    <row r="80" spans="1:108" s="14" customFormat="1" ht="21" x14ac:dyDescent="0.4">
      <c r="A80" s="27"/>
      <c r="B80" s="27"/>
      <c r="D80" s="16"/>
      <c r="E80" s="27"/>
      <c r="F80" s="27"/>
      <c r="H80" s="27"/>
      <c r="I80" s="16"/>
      <c r="J80" s="27"/>
      <c r="L80" s="27"/>
      <c r="M80" s="16"/>
      <c r="N80" s="27"/>
      <c r="P80" s="27"/>
      <c r="Q80" s="16"/>
      <c r="R80" s="27"/>
      <c r="T80" s="27"/>
      <c r="U80" s="16"/>
      <c r="V80" s="27"/>
      <c r="X80" s="27"/>
      <c r="Y80" s="16"/>
      <c r="Z80" s="27"/>
      <c r="AB80" s="27"/>
      <c r="AC80" s="16"/>
      <c r="AD80" s="27"/>
      <c r="AF80" s="27"/>
      <c r="AG80" s="16"/>
      <c r="AH80" s="27"/>
      <c r="AJ80" s="27"/>
      <c r="AK80" s="16"/>
      <c r="AL80" s="27"/>
      <c r="AN80" s="27"/>
      <c r="AO80" s="16"/>
      <c r="AP80" s="27"/>
      <c r="AR80" s="27"/>
      <c r="AS80" s="16"/>
      <c r="AT80" s="27"/>
      <c r="AV80" s="27"/>
      <c r="AW80" s="16"/>
      <c r="AX80" s="27"/>
      <c r="AZ80" s="27"/>
      <c r="BA80" s="16"/>
      <c r="BB80" s="27"/>
      <c r="BD80" s="27"/>
      <c r="BE80" s="16"/>
      <c r="BF80" s="27"/>
      <c r="BH80" s="27"/>
      <c r="BI80" s="16"/>
      <c r="BJ80" s="27"/>
      <c r="BL80" s="27"/>
      <c r="BM80" s="16"/>
      <c r="BN80" s="27"/>
      <c r="BP80" s="27"/>
      <c r="BQ80" s="16"/>
      <c r="BR80" s="27"/>
      <c r="BT80" s="27"/>
      <c r="BU80" s="16"/>
      <c r="BV80" s="27"/>
      <c r="BX80" s="27"/>
      <c r="BY80" s="16"/>
      <c r="BZ80" s="27"/>
      <c r="CB80" s="27"/>
      <c r="CC80" s="16"/>
      <c r="CD80" s="27"/>
      <c r="CF80" s="27"/>
      <c r="CG80" s="16"/>
      <c r="CH80" s="27"/>
      <c r="CJ80" s="27"/>
      <c r="CK80" s="16"/>
      <c r="CL80" s="27"/>
      <c r="CN80" s="27"/>
      <c r="CO80" s="16"/>
      <c r="CP80" s="27"/>
      <c r="CR80" s="27"/>
      <c r="CS80" s="16"/>
      <c r="CT80" s="27"/>
      <c r="CV80" s="27"/>
      <c r="CW80" s="16"/>
      <c r="CX80" s="27"/>
      <c r="CZ80" s="27"/>
      <c r="DA80" s="16"/>
      <c r="DB80" s="27"/>
      <c r="DD80" s="16"/>
    </row>
    <row r="81" spans="1:108" s="14" customFormat="1" ht="21" x14ac:dyDescent="0.4">
      <c r="A81" s="27"/>
      <c r="B81" s="27"/>
      <c r="D81" s="16"/>
      <c r="E81" s="27"/>
      <c r="F81" s="27"/>
      <c r="H81" s="27"/>
      <c r="I81" s="16"/>
      <c r="J81" s="27"/>
      <c r="L81" s="27"/>
      <c r="M81" s="16"/>
      <c r="N81" s="27"/>
      <c r="P81" s="27"/>
      <c r="Q81" s="16"/>
      <c r="R81" s="27"/>
      <c r="T81" s="27"/>
      <c r="U81" s="16"/>
      <c r="V81" s="27"/>
      <c r="X81" s="27"/>
      <c r="Y81" s="16"/>
      <c r="Z81" s="27"/>
      <c r="AB81" s="27"/>
      <c r="AC81" s="16"/>
      <c r="AD81" s="27"/>
      <c r="AF81" s="27"/>
      <c r="AG81" s="16"/>
      <c r="AH81" s="27"/>
      <c r="AJ81" s="27"/>
      <c r="AK81" s="16"/>
      <c r="AL81" s="27"/>
      <c r="AN81" s="27"/>
      <c r="AO81" s="16"/>
      <c r="AP81" s="27"/>
      <c r="AR81" s="27"/>
      <c r="AS81" s="16"/>
      <c r="AT81" s="27"/>
      <c r="AV81" s="27"/>
      <c r="AW81" s="16"/>
      <c r="AX81" s="27"/>
      <c r="AZ81" s="27"/>
      <c r="BA81" s="16"/>
      <c r="BB81" s="27"/>
      <c r="BD81" s="27"/>
      <c r="BE81" s="16"/>
      <c r="BF81" s="27"/>
      <c r="BH81" s="27"/>
      <c r="BI81" s="16"/>
      <c r="BJ81" s="27"/>
      <c r="BL81" s="27"/>
      <c r="BM81" s="16"/>
      <c r="BN81" s="27"/>
      <c r="BP81" s="27"/>
      <c r="BQ81" s="16"/>
      <c r="BR81" s="27"/>
      <c r="BT81" s="27"/>
      <c r="BU81" s="16"/>
      <c r="BV81" s="27"/>
      <c r="BX81" s="27"/>
      <c r="BY81" s="16"/>
      <c r="BZ81" s="27"/>
      <c r="CB81" s="27"/>
      <c r="CC81" s="16"/>
      <c r="CD81" s="27"/>
      <c r="CF81" s="27"/>
      <c r="CG81" s="16"/>
      <c r="CH81" s="27"/>
      <c r="CJ81" s="27"/>
      <c r="CK81" s="16"/>
      <c r="CL81" s="27"/>
      <c r="CN81" s="27"/>
      <c r="CO81" s="16"/>
      <c r="CP81" s="27"/>
      <c r="CR81" s="27"/>
      <c r="CS81" s="16"/>
      <c r="CT81" s="27"/>
      <c r="CV81" s="27"/>
      <c r="CW81" s="16"/>
      <c r="CX81" s="27"/>
      <c r="CZ81" s="27"/>
      <c r="DA81" s="16"/>
      <c r="DB81" s="27"/>
      <c r="DD81" s="16"/>
    </row>
    <row r="82" spans="1:108" s="14" customFormat="1" ht="21" x14ac:dyDescent="0.4">
      <c r="A82" s="27"/>
      <c r="B82" s="27"/>
      <c r="D82" s="16"/>
      <c r="E82" s="27"/>
      <c r="F82" s="27"/>
      <c r="H82" s="27"/>
      <c r="I82" s="16"/>
      <c r="J82" s="27"/>
      <c r="L82" s="27"/>
      <c r="M82" s="16"/>
      <c r="N82" s="27"/>
      <c r="P82" s="27"/>
      <c r="Q82" s="16"/>
      <c r="R82" s="27"/>
      <c r="T82" s="27"/>
      <c r="U82" s="16"/>
      <c r="V82" s="27"/>
      <c r="X82" s="27"/>
      <c r="Y82" s="16"/>
      <c r="Z82" s="27"/>
      <c r="AB82" s="27"/>
      <c r="AC82" s="16"/>
      <c r="AD82" s="27"/>
      <c r="AF82" s="27"/>
      <c r="AG82" s="16"/>
      <c r="AH82" s="27"/>
      <c r="AJ82" s="27"/>
      <c r="AK82" s="16"/>
      <c r="AL82" s="27"/>
      <c r="AN82" s="27"/>
      <c r="AO82" s="16"/>
      <c r="AP82" s="27"/>
      <c r="AR82" s="27"/>
      <c r="AS82" s="16"/>
      <c r="AT82" s="27"/>
      <c r="AV82" s="27"/>
      <c r="AW82" s="16"/>
      <c r="AX82" s="27"/>
      <c r="AZ82" s="27"/>
      <c r="BA82" s="16"/>
      <c r="BB82" s="27"/>
      <c r="BD82" s="27"/>
      <c r="BE82" s="16"/>
      <c r="BF82" s="27"/>
      <c r="BH82" s="27"/>
      <c r="BI82" s="16"/>
      <c r="BJ82" s="27"/>
      <c r="BL82" s="27"/>
      <c r="BM82" s="16"/>
      <c r="BN82" s="27"/>
      <c r="BP82" s="27"/>
      <c r="BQ82" s="16"/>
      <c r="BR82" s="27"/>
      <c r="BT82" s="27"/>
      <c r="BU82" s="16"/>
      <c r="BV82" s="27"/>
      <c r="BX82" s="27"/>
      <c r="BY82" s="16"/>
      <c r="BZ82" s="27"/>
      <c r="CB82" s="27"/>
      <c r="CC82" s="16"/>
      <c r="CD82" s="27"/>
      <c r="CF82" s="27"/>
      <c r="CG82" s="16"/>
      <c r="CH82" s="27"/>
      <c r="CJ82" s="27"/>
      <c r="CK82" s="16"/>
      <c r="CL82" s="27"/>
      <c r="CN82" s="27"/>
      <c r="CO82" s="16"/>
      <c r="CP82" s="27"/>
      <c r="CR82" s="27"/>
      <c r="CS82" s="16"/>
      <c r="CT82" s="27"/>
      <c r="CV82" s="27"/>
      <c r="CW82" s="16"/>
      <c r="CX82" s="27"/>
      <c r="CZ82" s="27"/>
      <c r="DA82" s="16"/>
      <c r="DB82" s="27"/>
      <c r="DD82" s="16"/>
    </row>
    <row r="83" spans="1:108" s="14" customFormat="1" ht="21" x14ac:dyDescent="0.4">
      <c r="A83" s="27"/>
      <c r="B83" s="27"/>
      <c r="D83" s="16"/>
      <c r="E83" s="27"/>
      <c r="F83" s="27"/>
      <c r="H83" s="27"/>
      <c r="I83" s="16"/>
      <c r="J83" s="27"/>
      <c r="L83" s="27"/>
      <c r="M83" s="16"/>
      <c r="N83" s="27"/>
      <c r="P83" s="27"/>
      <c r="Q83" s="16"/>
      <c r="R83" s="27"/>
      <c r="T83" s="27"/>
      <c r="U83" s="16"/>
      <c r="V83" s="27"/>
      <c r="X83" s="27"/>
      <c r="Y83" s="16"/>
      <c r="Z83" s="27"/>
      <c r="AB83" s="27"/>
      <c r="AC83" s="16"/>
      <c r="AD83" s="27"/>
      <c r="AF83" s="27"/>
      <c r="AG83" s="16"/>
      <c r="AH83" s="27"/>
      <c r="AJ83" s="27"/>
      <c r="AK83" s="16"/>
      <c r="AL83" s="27"/>
      <c r="AN83" s="27"/>
      <c r="AO83" s="16"/>
      <c r="AP83" s="27"/>
      <c r="AR83" s="27"/>
      <c r="AS83" s="16"/>
      <c r="AT83" s="27"/>
      <c r="AV83" s="27"/>
      <c r="AW83" s="16"/>
      <c r="AX83" s="27"/>
      <c r="AZ83" s="27"/>
      <c r="BA83" s="16"/>
      <c r="BB83" s="27"/>
      <c r="BD83" s="27"/>
      <c r="BE83" s="16"/>
      <c r="BF83" s="27"/>
      <c r="BH83" s="27"/>
      <c r="BI83" s="16"/>
      <c r="BJ83" s="27"/>
      <c r="BL83" s="27"/>
      <c r="BM83" s="16"/>
      <c r="BN83" s="27"/>
      <c r="BP83" s="27"/>
      <c r="BQ83" s="16"/>
      <c r="BR83" s="27"/>
      <c r="BT83" s="27"/>
      <c r="BU83" s="16"/>
      <c r="BV83" s="27"/>
      <c r="BX83" s="27"/>
      <c r="BY83" s="16"/>
      <c r="BZ83" s="27"/>
      <c r="CB83" s="27"/>
      <c r="CC83" s="16"/>
      <c r="CD83" s="27"/>
      <c r="CF83" s="27"/>
      <c r="CG83" s="16"/>
      <c r="CH83" s="27"/>
      <c r="CJ83" s="27"/>
      <c r="CK83" s="16"/>
      <c r="CL83" s="27"/>
      <c r="CN83" s="27"/>
      <c r="CO83" s="16"/>
      <c r="CP83" s="27"/>
      <c r="CR83" s="27"/>
      <c r="CS83" s="16"/>
      <c r="CT83" s="27"/>
      <c r="CV83" s="27"/>
      <c r="CW83" s="16"/>
      <c r="CX83" s="27"/>
      <c r="CZ83" s="27"/>
      <c r="DA83" s="16"/>
      <c r="DB83" s="27"/>
      <c r="DD83" s="16"/>
    </row>
    <row r="84" spans="1:108" s="14" customFormat="1" ht="21" x14ac:dyDescent="0.4">
      <c r="A84" s="27"/>
      <c r="B84" s="27"/>
      <c r="D84" s="16"/>
      <c r="E84" s="27"/>
      <c r="F84" s="27"/>
      <c r="H84" s="27"/>
      <c r="I84" s="16"/>
      <c r="J84" s="27"/>
      <c r="L84" s="27"/>
      <c r="M84" s="16"/>
      <c r="N84" s="27"/>
      <c r="P84" s="27"/>
      <c r="Q84" s="16"/>
      <c r="R84" s="27"/>
      <c r="T84" s="27"/>
      <c r="U84" s="16"/>
      <c r="V84" s="27"/>
      <c r="X84" s="27"/>
      <c r="Y84" s="16"/>
      <c r="Z84" s="27"/>
      <c r="AB84" s="27"/>
      <c r="AC84" s="16"/>
      <c r="AD84" s="27"/>
      <c r="AF84" s="27"/>
      <c r="AG84" s="16"/>
      <c r="AH84" s="27"/>
      <c r="AJ84" s="27"/>
      <c r="AK84" s="16"/>
      <c r="AL84" s="27"/>
      <c r="AN84" s="27"/>
      <c r="AO84" s="16"/>
      <c r="AP84" s="27"/>
      <c r="AR84" s="27"/>
      <c r="AS84" s="16"/>
      <c r="AT84" s="27"/>
      <c r="AV84" s="27"/>
      <c r="AW84" s="16"/>
      <c r="AX84" s="27"/>
      <c r="AZ84" s="27"/>
      <c r="BA84" s="16"/>
      <c r="BB84" s="27"/>
      <c r="BD84" s="27"/>
      <c r="BE84" s="16"/>
      <c r="BF84" s="27"/>
      <c r="BH84" s="27"/>
      <c r="BI84" s="16"/>
      <c r="BJ84" s="27"/>
      <c r="BL84" s="27"/>
      <c r="BM84" s="16"/>
      <c r="BN84" s="27"/>
      <c r="BP84" s="27"/>
      <c r="BQ84" s="16"/>
      <c r="BR84" s="27"/>
      <c r="BT84" s="27"/>
      <c r="BU84" s="16"/>
      <c r="BV84" s="27"/>
      <c r="BX84" s="27"/>
      <c r="BY84" s="16"/>
      <c r="BZ84" s="27"/>
      <c r="CB84" s="27"/>
      <c r="CC84" s="16"/>
      <c r="CD84" s="27"/>
      <c r="CF84" s="27"/>
      <c r="CG84" s="16"/>
      <c r="CH84" s="27"/>
      <c r="CJ84" s="27"/>
      <c r="CK84" s="16"/>
      <c r="CL84" s="27"/>
      <c r="CN84" s="27"/>
      <c r="CO84" s="16"/>
      <c r="CP84" s="27"/>
      <c r="CR84" s="27"/>
      <c r="CS84" s="16"/>
      <c r="CT84" s="27"/>
      <c r="CV84" s="27"/>
      <c r="CW84" s="16"/>
      <c r="CX84" s="27"/>
      <c r="CZ84" s="27"/>
      <c r="DA84" s="16"/>
      <c r="DB84" s="27"/>
      <c r="DD84" s="16"/>
    </row>
    <row r="85" spans="1:108" s="14" customFormat="1" ht="21" x14ac:dyDescent="0.4">
      <c r="A85" s="27"/>
      <c r="B85" s="27"/>
      <c r="D85" s="16"/>
      <c r="E85" s="27"/>
      <c r="F85" s="27"/>
      <c r="H85" s="27"/>
      <c r="I85" s="16"/>
      <c r="J85" s="27"/>
      <c r="L85" s="27"/>
      <c r="M85" s="16"/>
      <c r="N85" s="27"/>
      <c r="P85" s="27"/>
      <c r="Q85" s="16"/>
      <c r="R85" s="27"/>
      <c r="T85" s="27"/>
      <c r="U85" s="16"/>
      <c r="V85" s="27"/>
      <c r="X85" s="27"/>
      <c r="Y85" s="16"/>
      <c r="Z85" s="27"/>
      <c r="AB85" s="27"/>
      <c r="AC85" s="16"/>
      <c r="AD85" s="27"/>
      <c r="AF85" s="27"/>
      <c r="AG85" s="16"/>
      <c r="AH85" s="27"/>
      <c r="AJ85" s="27"/>
      <c r="AK85" s="16"/>
      <c r="AL85" s="27"/>
      <c r="AN85" s="27"/>
      <c r="AO85" s="16"/>
      <c r="AP85" s="27"/>
      <c r="AR85" s="27"/>
      <c r="AS85" s="16"/>
      <c r="AT85" s="27"/>
      <c r="AV85" s="27"/>
      <c r="AW85" s="16"/>
      <c r="AX85" s="27"/>
      <c r="AZ85" s="27"/>
      <c r="BA85" s="16"/>
      <c r="BB85" s="27"/>
      <c r="BD85" s="27"/>
      <c r="BE85" s="16"/>
      <c r="BF85" s="27"/>
      <c r="BH85" s="27"/>
      <c r="BI85" s="16"/>
      <c r="BJ85" s="27"/>
      <c r="BL85" s="27"/>
      <c r="BM85" s="16"/>
      <c r="BN85" s="27"/>
      <c r="BP85" s="27"/>
      <c r="BQ85" s="16"/>
      <c r="BR85" s="27"/>
      <c r="BT85" s="27"/>
      <c r="BU85" s="16"/>
      <c r="BV85" s="27"/>
      <c r="BX85" s="27"/>
      <c r="BY85" s="16"/>
      <c r="BZ85" s="27"/>
      <c r="CB85" s="27"/>
      <c r="CC85" s="16"/>
      <c r="CD85" s="27"/>
      <c r="CF85" s="27"/>
      <c r="CG85" s="16"/>
      <c r="CH85" s="27"/>
      <c r="CJ85" s="27"/>
      <c r="CK85" s="16"/>
      <c r="CL85" s="27"/>
      <c r="CN85" s="27"/>
      <c r="CO85" s="16"/>
      <c r="CP85" s="27"/>
      <c r="CR85" s="27"/>
      <c r="CS85" s="16"/>
      <c r="CT85" s="27"/>
      <c r="CV85" s="27"/>
      <c r="CW85" s="16"/>
      <c r="CX85" s="27"/>
      <c r="CZ85" s="27"/>
      <c r="DA85" s="16"/>
      <c r="DB85" s="27"/>
      <c r="DD85" s="16"/>
    </row>
    <row r="86" spans="1:108" s="14" customFormat="1" ht="21" x14ac:dyDescent="0.4">
      <c r="A86" s="27"/>
      <c r="B86" s="27"/>
      <c r="D86" s="16"/>
      <c r="E86" s="27"/>
      <c r="F86" s="27"/>
      <c r="H86" s="27"/>
      <c r="I86" s="16"/>
      <c r="J86" s="27"/>
      <c r="L86" s="27"/>
      <c r="M86" s="16"/>
      <c r="N86" s="27"/>
      <c r="P86" s="27"/>
      <c r="Q86" s="16"/>
      <c r="R86" s="27"/>
      <c r="T86" s="27"/>
      <c r="U86" s="16"/>
      <c r="V86" s="27"/>
      <c r="X86" s="27"/>
      <c r="Y86" s="16"/>
      <c r="Z86" s="27"/>
      <c r="AB86" s="27"/>
      <c r="AC86" s="16"/>
      <c r="AD86" s="27"/>
      <c r="AF86" s="27"/>
      <c r="AG86" s="16"/>
      <c r="AH86" s="27"/>
      <c r="AJ86" s="27"/>
      <c r="AK86" s="16"/>
      <c r="AL86" s="27"/>
      <c r="AN86" s="27"/>
      <c r="AO86" s="16"/>
      <c r="AP86" s="27"/>
      <c r="AR86" s="27"/>
      <c r="AS86" s="16"/>
      <c r="AT86" s="27"/>
      <c r="AV86" s="27"/>
      <c r="AW86" s="16"/>
      <c r="AX86" s="27"/>
      <c r="AZ86" s="27"/>
      <c r="BA86" s="16"/>
      <c r="BB86" s="27"/>
      <c r="BD86" s="27"/>
      <c r="BE86" s="16"/>
      <c r="BF86" s="27"/>
      <c r="BH86" s="27"/>
      <c r="BI86" s="16"/>
      <c r="BJ86" s="27"/>
      <c r="BL86" s="27"/>
      <c r="BM86" s="16"/>
      <c r="BN86" s="27"/>
      <c r="BP86" s="27"/>
      <c r="BQ86" s="16"/>
      <c r="BR86" s="27"/>
      <c r="BT86" s="27"/>
      <c r="BU86" s="16"/>
      <c r="BV86" s="27"/>
      <c r="BX86" s="27"/>
      <c r="BY86" s="16"/>
      <c r="BZ86" s="27"/>
      <c r="CB86" s="27"/>
      <c r="CC86" s="16"/>
      <c r="CD86" s="27"/>
      <c r="CF86" s="27"/>
      <c r="CG86" s="16"/>
      <c r="CH86" s="27"/>
      <c r="CJ86" s="27"/>
      <c r="CK86" s="16"/>
      <c r="CL86" s="27"/>
      <c r="CN86" s="27"/>
      <c r="CO86" s="16"/>
      <c r="CP86" s="27"/>
      <c r="CR86" s="27"/>
      <c r="CS86" s="16"/>
      <c r="CT86" s="27"/>
      <c r="CV86" s="27"/>
      <c r="CW86" s="16"/>
      <c r="CX86" s="27"/>
      <c r="CZ86" s="27"/>
      <c r="DA86" s="16"/>
      <c r="DB86" s="27"/>
      <c r="DD86" s="16"/>
    </row>
    <row r="87" spans="1:108" s="14" customFormat="1" ht="21" x14ac:dyDescent="0.4">
      <c r="A87" s="27"/>
      <c r="B87" s="27"/>
      <c r="D87" s="16"/>
      <c r="E87" s="27"/>
      <c r="F87" s="27"/>
      <c r="H87" s="27"/>
      <c r="I87" s="16"/>
      <c r="J87" s="27"/>
      <c r="L87" s="27"/>
      <c r="M87" s="16"/>
      <c r="N87" s="27"/>
      <c r="P87" s="27"/>
      <c r="Q87" s="16"/>
      <c r="R87" s="27"/>
      <c r="T87" s="27"/>
      <c r="U87" s="16"/>
      <c r="V87" s="27"/>
      <c r="X87" s="27"/>
      <c r="Y87" s="16"/>
      <c r="Z87" s="27"/>
      <c r="AB87" s="27"/>
      <c r="AC87" s="16"/>
      <c r="AD87" s="27"/>
      <c r="AF87" s="27"/>
      <c r="AG87" s="16"/>
      <c r="AH87" s="27"/>
      <c r="AJ87" s="27"/>
      <c r="AK87" s="16"/>
      <c r="AL87" s="27"/>
      <c r="AN87" s="27"/>
      <c r="AO87" s="16"/>
      <c r="AP87" s="27"/>
      <c r="AR87" s="27"/>
      <c r="AS87" s="16"/>
      <c r="AT87" s="27"/>
      <c r="AV87" s="27"/>
      <c r="AW87" s="16"/>
      <c r="AX87" s="27"/>
      <c r="AZ87" s="27"/>
      <c r="BA87" s="16"/>
      <c r="BB87" s="27"/>
      <c r="BD87" s="27"/>
      <c r="BE87" s="16"/>
      <c r="BF87" s="27"/>
      <c r="BH87" s="27"/>
      <c r="BI87" s="16"/>
      <c r="BJ87" s="27"/>
      <c r="BL87" s="27"/>
      <c r="BM87" s="16"/>
      <c r="BN87" s="27"/>
      <c r="BP87" s="27"/>
      <c r="BQ87" s="16"/>
      <c r="BR87" s="27"/>
      <c r="BT87" s="27"/>
      <c r="BU87" s="16"/>
      <c r="BV87" s="27"/>
      <c r="BX87" s="27"/>
      <c r="BY87" s="16"/>
      <c r="BZ87" s="27"/>
      <c r="CB87" s="27"/>
      <c r="CC87" s="16"/>
      <c r="CD87" s="27"/>
      <c r="CF87" s="27"/>
      <c r="CG87" s="16"/>
      <c r="CH87" s="27"/>
      <c r="CJ87" s="27"/>
      <c r="CK87" s="16"/>
      <c r="CL87" s="27"/>
      <c r="CN87" s="27"/>
      <c r="CO87" s="16"/>
      <c r="CP87" s="27"/>
      <c r="CR87" s="27"/>
      <c r="CS87" s="16"/>
      <c r="CT87" s="27"/>
      <c r="CV87" s="27"/>
      <c r="CW87" s="16"/>
      <c r="CX87" s="27"/>
      <c r="CZ87" s="27"/>
      <c r="DA87" s="16"/>
      <c r="DB87" s="27"/>
      <c r="DD87" s="16"/>
    </row>
    <row r="88" spans="1:108" s="14" customFormat="1" ht="21" x14ac:dyDescent="0.4">
      <c r="A88" s="27"/>
      <c r="B88" s="27"/>
      <c r="D88" s="16"/>
      <c r="E88" s="27"/>
      <c r="F88" s="27"/>
      <c r="H88" s="27"/>
      <c r="I88" s="16"/>
      <c r="J88" s="27"/>
      <c r="L88" s="27"/>
      <c r="M88" s="16"/>
      <c r="N88" s="27"/>
      <c r="P88" s="27"/>
      <c r="Q88" s="16"/>
      <c r="R88" s="27"/>
      <c r="T88" s="27"/>
      <c r="U88" s="16"/>
      <c r="V88" s="27"/>
      <c r="X88" s="27"/>
      <c r="Y88" s="16"/>
      <c r="Z88" s="27"/>
      <c r="AB88" s="27"/>
      <c r="AC88" s="16"/>
      <c r="AD88" s="27"/>
      <c r="AF88" s="27"/>
      <c r="AG88" s="16"/>
      <c r="AH88" s="27"/>
      <c r="AJ88" s="27"/>
      <c r="AK88" s="16"/>
      <c r="AL88" s="27"/>
      <c r="AN88" s="27"/>
      <c r="AO88" s="16"/>
      <c r="AP88" s="27"/>
      <c r="AR88" s="27"/>
      <c r="AS88" s="16"/>
      <c r="AT88" s="27"/>
      <c r="AV88" s="27"/>
      <c r="AW88" s="16"/>
      <c r="AX88" s="27"/>
      <c r="AZ88" s="27"/>
      <c r="BA88" s="16"/>
      <c r="BB88" s="27"/>
      <c r="BD88" s="27"/>
      <c r="BE88" s="16"/>
      <c r="BF88" s="27"/>
      <c r="BH88" s="27"/>
      <c r="BI88" s="16"/>
      <c r="BJ88" s="27"/>
      <c r="BL88" s="27"/>
      <c r="BM88" s="16"/>
      <c r="BN88" s="27"/>
      <c r="BP88" s="27"/>
      <c r="BQ88" s="16"/>
      <c r="BR88" s="27"/>
      <c r="BT88" s="27"/>
      <c r="BU88" s="16"/>
      <c r="BV88" s="27"/>
      <c r="BX88" s="27"/>
      <c r="BY88" s="16"/>
      <c r="BZ88" s="27"/>
      <c r="CB88" s="27"/>
      <c r="CC88" s="16"/>
      <c r="CD88" s="27"/>
      <c r="CF88" s="27"/>
      <c r="CG88" s="16"/>
      <c r="CH88" s="27"/>
      <c r="CJ88" s="27"/>
      <c r="CK88" s="16"/>
      <c r="CL88" s="27"/>
      <c r="CN88" s="27"/>
      <c r="CO88" s="16"/>
      <c r="CP88" s="27"/>
      <c r="CR88" s="27"/>
      <c r="CS88" s="16"/>
      <c r="CT88" s="27"/>
      <c r="CV88" s="27"/>
      <c r="CW88" s="16"/>
      <c r="CX88" s="27"/>
      <c r="CZ88" s="27"/>
      <c r="DA88" s="16"/>
      <c r="DB88" s="27"/>
      <c r="DD88" s="16"/>
    </row>
    <row r="89" spans="1:108" s="14" customFormat="1" ht="21" x14ac:dyDescent="0.4">
      <c r="A89" s="27"/>
      <c r="B89" s="27"/>
      <c r="D89" s="16"/>
      <c r="E89" s="27"/>
      <c r="F89" s="27"/>
      <c r="H89" s="27"/>
      <c r="I89" s="16"/>
      <c r="J89" s="27"/>
      <c r="L89" s="27"/>
      <c r="M89" s="16"/>
      <c r="N89" s="27"/>
      <c r="P89" s="27"/>
      <c r="Q89" s="16"/>
      <c r="R89" s="27"/>
      <c r="T89" s="27"/>
      <c r="U89" s="16"/>
      <c r="V89" s="27"/>
      <c r="X89" s="27"/>
      <c r="Y89" s="16"/>
      <c r="Z89" s="27"/>
      <c r="AB89" s="27"/>
      <c r="AC89" s="16"/>
      <c r="AD89" s="27"/>
      <c r="AF89" s="27"/>
      <c r="AG89" s="16"/>
      <c r="AH89" s="27"/>
      <c r="AJ89" s="27"/>
      <c r="AK89" s="16"/>
      <c r="AL89" s="27"/>
      <c r="AN89" s="27"/>
      <c r="AO89" s="16"/>
      <c r="AP89" s="27"/>
      <c r="AR89" s="27"/>
      <c r="AS89" s="16"/>
      <c r="AT89" s="27"/>
      <c r="AV89" s="27"/>
      <c r="AW89" s="16"/>
      <c r="AX89" s="27"/>
      <c r="AZ89" s="27"/>
      <c r="BA89" s="16"/>
      <c r="BB89" s="27"/>
      <c r="BD89" s="27"/>
      <c r="BE89" s="16"/>
      <c r="BF89" s="27"/>
      <c r="BH89" s="27"/>
      <c r="BI89" s="16"/>
      <c r="BJ89" s="27"/>
      <c r="BL89" s="27"/>
      <c r="BM89" s="16"/>
      <c r="BN89" s="27"/>
      <c r="BP89" s="27"/>
      <c r="BQ89" s="16"/>
      <c r="BR89" s="27"/>
      <c r="BT89" s="27"/>
      <c r="BU89" s="16"/>
      <c r="BV89" s="27"/>
      <c r="BX89" s="27"/>
      <c r="BY89" s="16"/>
      <c r="BZ89" s="27"/>
      <c r="CB89" s="27"/>
      <c r="CC89" s="16"/>
      <c r="CD89" s="27"/>
      <c r="CF89" s="27"/>
      <c r="CG89" s="16"/>
      <c r="CH89" s="27"/>
      <c r="CJ89" s="27"/>
      <c r="CK89" s="16"/>
      <c r="CL89" s="27"/>
      <c r="CN89" s="27"/>
      <c r="CO89" s="16"/>
      <c r="CP89" s="27"/>
      <c r="CR89" s="27"/>
      <c r="CS89" s="16"/>
      <c r="CT89" s="27"/>
      <c r="CV89" s="27"/>
      <c r="CW89" s="16"/>
      <c r="CX89" s="27"/>
      <c r="CZ89" s="27"/>
      <c r="DA89" s="16"/>
      <c r="DB89" s="27"/>
      <c r="DD89" s="16"/>
    </row>
    <row r="90" spans="1:108" s="14" customFormat="1" ht="21" x14ac:dyDescent="0.4">
      <c r="A90" s="27"/>
      <c r="B90" s="27"/>
      <c r="D90" s="16"/>
      <c r="E90" s="27"/>
      <c r="F90" s="27"/>
      <c r="H90" s="27"/>
      <c r="I90" s="16"/>
      <c r="J90" s="27"/>
      <c r="L90" s="27"/>
      <c r="M90" s="16"/>
      <c r="N90" s="27"/>
      <c r="P90" s="27"/>
      <c r="Q90" s="16"/>
      <c r="R90" s="27"/>
      <c r="T90" s="27"/>
      <c r="U90" s="16"/>
      <c r="V90" s="27"/>
      <c r="X90" s="27"/>
      <c r="Y90" s="16"/>
      <c r="Z90" s="27"/>
      <c r="AB90" s="27"/>
      <c r="AC90" s="16"/>
      <c r="AD90" s="27"/>
      <c r="AF90" s="27"/>
      <c r="AG90" s="16"/>
      <c r="AH90" s="27"/>
      <c r="AJ90" s="27"/>
      <c r="AK90" s="16"/>
      <c r="AL90" s="27"/>
      <c r="AN90" s="27"/>
      <c r="AO90" s="16"/>
      <c r="AP90" s="27"/>
      <c r="AR90" s="27"/>
      <c r="AS90" s="16"/>
      <c r="AT90" s="27"/>
      <c r="AV90" s="27"/>
      <c r="AW90" s="16"/>
      <c r="AX90" s="27"/>
      <c r="AZ90" s="27"/>
      <c r="BA90" s="16"/>
      <c r="BB90" s="27"/>
      <c r="BD90" s="27"/>
      <c r="BE90" s="16"/>
      <c r="BF90" s="27"/>
      <c r="BH90" s="27"/>
      <c r="BI90" s="16"/>
      <c r="BJ90" s="27"/>
      <c r="BL90" s="27"/>
      <c r="BM90" s="16"/>
      <c r="BN90" s="27"/>
      <c r="BP90" s="27"/>
      <c r="BQ90" s="16"/>
      <c r="BR90" s="27"/>
      <c r="BT90" s="27"/>
      <c r="BU90" s="16"/>
      <c r="BV90" s="27"/>
      <c r="BX90" s="27"/>
      <c r="BY90" s="16"/>
      <c r="BZ90" s="27"/>
      <c r="CB90" s="27"/>
      <c r="CC90" s="16"/>
      <c r="CD90" s="27"/>
      <c r="CF90" s="27"/>
      <c r="CG90" s="16"/>
      <c r="CH90" s="27"/>
      <c r="CJ90" s="27"/>
      <c r="CK90" s="16"/>
      <c r="CL90" s="27"/>
      <c r="CN90" s="27"/>
      <c r="CO90" s="16"/>
      <c r="CP90" s="27"/>
      <c r="CR90" s="27"/>
      <c r="CS90" s="16"/>
      <c r="CT90" s="27"/>
      <c r="CV90" s="27"/>
      <c r="CW90" s="16"/>
      <c r="CX90" s="27"/>
      <c r="CZ90" s="27"/>
      <c r="DA90" s="16"/>
      <c r="DB90" s="27"/>
      <c r="DD90" s="16"/>
    </row>
    <row r="91" spans="1:108" s="14" customFormat="1" ht="21" x14ac:dyDescent="0.4">
      <c r="A91" s="27"/>
      <c r="B91" s="27"/>
      <c r="D91" s="16"/>
      <c r="E91" s="27"/>
      <c r="F91" s="27"/>
      <c r="H91" s="27"/>
      <c r="I91" s="16"/>
      <c r="J91" s="27"/>
      <c r="L91" s="27"/>
      <c r="M91" s="16"/>
      <c r="N91" s="27"/>
      <c r="P91" s="27"/>
      <c r="Q91" s="16"/>
      <c r="R91" s="27"/>
      <c r="T91" s="27"/>
      <c r="U91" s="16"/>
      <c r="V91" s="27"/>
      <c r="X91" s="27"/>
      <c r="Y91" s="16"/>
      <c r="Z91" s="27"/>
      <c r="AB91" s="27"/>
      <c r="AC91" s="16"/>
      <c r="AD91" s="27"/>
      <c r="AF91" s="27"/>
      <c r="AG91" s="16"/>
      <c r="AH91" s="27"/>
      <c r="AJ91" s="27"/>
      <c r="AK91" s="16"/>
      <c r="AL91" s="27"/>
      <c r="AN91" s="27"/>
      <c r="AO91" s="16"/>
      <c r="AP91" s="27"/>
      <c r="AR91" s="27"/>
      <c r="AS91" s="16"/>
      <c r="AT91" s="27"/>
      <c r="AV91" s="27"/>
      <c r="AW91" s="16"/>
      <c r="AX91" s="27"/>
      <c r="AZ91" s="27"/>
      <c r="BA91" s="16"/>
      <c r="BB91" s="27"/>
      <c r="BD91" s="27"/>
      <c r="BE91" s="16"/>
      <c r="BF91" s="27"/>
      <c r="BH91" s="27"/>
      <c r="BI91" s="16"/>
      <c r="BJ91" s="27"/>
      <c r="BL91" s="27"/>
      <c r="BM91" s="16"/>
      <c r="BN91" s="27"/>
      <c r="BP91" s="27"/>
      <c r="BQ91" s="16"/>
      <c r="BR91" s="27"/>
      <c r="BT91" s="27"/>
      <c r="BU91" s="16"/>
      <c r="BV91" s="27"/>
      <c r="BX91" s="27"/>
      <c r="BY91" s="16"/>
      <c r="BZ91" s="27"/>
      <c r="CB91" s="27"/>
      <c r="CC91" s="16"/>
      <c r="CD91" s="27"/>
      <c r="CF91" s="27"/>
      <c r="CG91" s="16"/>
      <c r="CH91" s="27"/>
      <c r="CJ91" s="27"/>
      <c r="CK91" s="16"/>
      <c r="CL91" s="27"/>
      <c r="CN91" s="27"/>
      <c r="CO91" s="16"/>
      <c r="CP91" s="27"/>
      <c r="CR91" s="27"/>
      <c r="CS91" s="16"/>
      <c r="CT91" s="27"/>
      <c r="CV91" s="27"/>
      <c r="CW91" s="16"/>
      <c r="CX91" s="27"/>
      <c r="CZ91" s="27"/>
      <c r="DA91" s="16"/>
      <c r="DB91" s="27"/>
      <c r="DD91" s="16"/>
    </row>
    <row r="92" spans="1:108" s="14" customFormat="1" ht="21" x14ac:dyDescent="0.4">
      <c r="A92" s="27"/>
      <c r="B92" s="27"/>
      <c r="D92" s="16"/>
      <c r="E92" s="27"/>
      <c r="F92" s="27"/>
      <c r="H92" s="27"/>
      <c r="I92" s="16"/>
      <c r="J92" s="27"/>
      <c r="L92" s="27"/>
      <c r="M92" s="16"/>
      <c r="N92" s="27"/>
      <c r="P92" s="27"/>
      <c r="Q92" s="16"/>
      <c r="R92" s="27"/>
      <c r="T92" s="27"/>
      <c r="U92" s="16"/>
      <c r="V92" s="27"/>
      <c r="X92" s="27"/>
      <c r="Y92" s="16"/>
      <c r="Z92" s="27"/>
      <c r="AB92" s="27"/>
      <c r="AC92" s="16"/>
      <c r="AD92" s="27"/>
      <c r="AF92" s="27"/>
      <c r="AG92" s="16"/>
      <c r="AH92" s="27"/>
      <c r="AJ92" s="27"/>
      <c r="AK92" s="16"/>
      <c r="AL92" s="27"/>
      <c r="AN92" s="27"/>
      <c r="AO92" s="16"/>
      <c r="AP92" s="27"/>
      <c r="AR92" s="27"/>
      <c r="AS92" s="16"/>
      <c r="AT92" s="27"/>
      <c r="AV92" s="27"/>
      <c r="AW92" s="16"/>
      <c r="AX92" s="27"/>
      <c r="AZ92" s="27"/>
      <c r="BA92" s="16"/>
      <c r="BB92" s="27"/>
      <c r="BD92" s="27"/>
      <c r="BE92" s="16"/>
      <c r="BF92" s="27"/>
      <c r="BH92" s="27"/>
      <c r="BI92" s="16"/>
      <c r="BJ92" s="27"/>
      <c r="BL92" s="27"/>
      <c r="BM92" s="16"/>
      <c r="BN92" s="27"/>
      <c r="BP92" s="27"/>
      <c r="BQ92" s="16"/>
      <c r="BR92" s="27"/>
      <c r="BT92" s="27"/>
      <c r="BU92" s="16"/>
      <c r="BV92" s="27"/>
      <c r="BX92" s="27"/>
      <c r="BY92" s="16"/>
      <c r="BZ92" s="27"/>
      <c r="CB92" s="27"/>
      <c r="CC92" s="16"/>
      <c r="CD92" s="27"/>
      <c r="CF92" s="27"/>
      <c r="CG92" s="16"/>
      <c r="CH92" s="27"/>
      <c r="CJ92" s="27"/>
      <c r="CK92" s="16"/>
      <c r="CL92" s="27"/>
      <c r="CN92" s="27"/>
      <c r="CO92" s="16"/>
      <c r="CP92" s="27"/>
      <c r="CR92" s="27"/>
      <c r="CS92" s="16"/>
      <c r="CT92" s="27"/>
      <c r="CV92" s="27"/>
      <c r="CW92" s="16"/>
      <c r="CX92" s="27"/>
      <c r="CZ92" s="27"/>
      <c r="DA92" s="16"/>
      <c r="DB92" s="27"/>
      <c r="DD92" s="16"/>
    </row>
    <row r="93" spans="1:108" s="14" customFormat="1" ht="21" x14ac:dyDescent="0.4">
      <c r="A93" s="27"/>
      <c r="B93" s="27"/>
      <c r="D93" s="16"/>
      <c r="E93" s="27"/>
      <c r="F93" s="27"/>
      <c r="H93" s="27"/>
      <c r="I93" s="16"/>
      <c r="J93" s="27"/>
      <c r="L93" s="27"/>
      <c r="M93" s="16"/>
      <c r="N93" s="27"/>
      <c r="P93" s="27"/>
      <c r="Q93" s="16"/>
      <c r="R93" s="27"/>
      <c r="T93" s="27"/>
      <c r="U93" s="16"/>
      <c r="V93" s="27"/>
      <c r="X93" s="27"/>
      <c r="Y93" s="16"/>
      <c r="Z93" s="27"/>
      <c r="AB93" s="27"/>
      <c r="AC93" s="16"/>
      <c r="AD93" s="27"/>
      <c r="AF93" s="27"/>
      <c r="AG93" s="16"/>
      <c r="AH93" s="27"/>
      <c r="AJ93" s="27"/>
      <c r="AK93" s="16"/>
      <c r="AL93" s="27"/>
      <c r="AN93" s="27"/>
      <c r="AO93" s="16"/>
      <c r="AP93" s="27"/>
      <c r="AR93" s="27"/>
      <c r="AS93" s="16"/>
      <c r="AT93" s="27"/>
      <c r="AV93" s="27"/>
      <c r="AW93" s="16"/>
      <c r="AX93" s="27"/>
      <c r="AZ93" s="27"/>
      <c r="BA93" s="16"/>
      <c r="BB93" s="27"/>
      <c r="BD93" s="27"/>
      <c r="BE93" s="16"/>
      <c r="BF93" s="27"/>
      <c r="BH93" s="27"/>
      <c r="BI93" s="16"/>
      <c r="BJ93" s="27"/>
      <c r="BL93" s="27"/>
      <c r="BM93" s="16"/>
      <c r="BN93" s="27"/>
      <c r="BP93" s="27"/>
      <c r="BQ93" s="16"/>
      <c r="BR93" s="27"/>
      <c r="BT93" s="27"/>
      <c r="BU93" s="16"/>
      <c r="BV93" s="27"/>
      <c r="BX93" s="27"/>
      <c r="BY93" s="16"/>
      <c r="BZ93" s="27"/>
      <c r="CB93" s="27"/>
      <c r="CC93" s="16"/>
      <c r="CD93" s="27"/>
      <c r="CF93" s="27"/>
      <c r="CG93" s="16"/>
      <c r="CH93" s="27"/>
      <c r="CJ93" s="27"/>
      <c r="CK93" s="16"/>
      <c r="CL93" s="27"/>
      <c r="CN93" s="27"/>
      <c r="CO93" s="16"/>
      <c r="CP93" s="27"/>
      <c r="CR93" s="27"/>
      <c r="CS93" s="16"/>
      <c r="CT93" s="27"/>
      <c r="CV93" s="27"/>
      <c r="CW93" s="16"/>
      <c r="CX93" s="27"/>
      <c r="CZ93" s="27"/>
      <c r="DA93" s="16"/>
      <c r="DB93" s="27"/>
      <c r="DD93" s="16"/>
    </row>
    <row r="94" spans="1:108" s="14" customFormat="1" ht="21" x14ac:dyDescent="0.4">
      <c r="A94" s="27"/>
      <c r="B94" s="27"/>
      <c r="D94" s="16"/>
      <c r="E94" s="27"/>
      <c r="F94" s="27"/>
      <c r="H94" s="27"/>
      <c r="I94" s="16"/>
      <c r="J94" s="27"/>
      <c r="L94" s="27"/>
      <c r="M94" s="16"/>
      <c r="N94" s="27"/>
      <c r="P94" s="27"/>
      <c r="Q94" s="16"/>
      <c r="R94" s="27"/>
      <c r="T94" s="27"/>
      <c r="U94" s="16"/>
      <c r="V94" s="27"/>
      <c r="X94" s="27"/>
      <c r="Y94" s="16"/>
      <c r="Z94" s="27"/>
      <c r="AB94" s="27"/>
      <c r="AC94" s="16"/>
      <c r="AD94" s="27"/>
      <c r="AF94" s="27"/>
      <c r="AG94" s="16"/>
      <c r="AH94" s="27"/>
      <c r="AJ94" s="27"/>
      <c r="AK94" s="16"/>
      <c r="AL94" s="27"/>
      <c r="AN94" s="27"/>
      <c r="AO94" s="16"/>
      <c r="AP94" s="27"/>
      <c r="AR94" s="27"/>
      <c r="AS94" s="16"/>
      <c r="AT94" s="27"/>
      <c r="AV94" s="27"/>
      <c r="AW94" s="16"/>
      <c r="AX94" s="27"/>
      <c r="AZ94" s="27"/>
      <c r="BA94" s="16"/>
      <c r="BB94" s="27"/>
      <c r="BD94" s="27"/>
      <c r="BE94" s="16"/>
      <c r="BF94" s="27"/>
      <c r="BH94" s="27"/>
      <c r="BI94" s="16"/>
      <c r="BJ94" s="27"/>
      <c r="BL94" s="27"/>
      <c r="BM94" s="16"/>
      <c r="BN94" s="27"/>
      <c r="BP94" s="27"/>
      <c r="BQ94" s="16"/>
      <c r="BR94" s="27"/>
      <c r="BT94" s="27"/>
      <c r="BU94" s="16"/>
      <c r="BV94" s="27"/>
      <c r="BX94" s="27"/>
      <c r="BY94" s="16"/>
      <c r="BZ94" s="27"/>
      <c r="CB94" s="27"/>
      <c r="CC94" s="16"/>
      <c r="CD94" s="27"/>
      <c r="CF94" s="27"/>
      <c r="CG94" s="16"/>
      <c r="CH94" s="27"/>
      <c r="CJ94" s="27"/>
      <c r="CK94" s="16"/>
      <c r="CL94" s="27"/>
      <c r="CN94" s="27"/>
      <c r="CO94" s="16"/>
      <c r="CP94" s="27"/>
      <c r="CR94" s="27"/>
      <c r="CS94" s="16"/>
      <c r="CT94" s="27"/>
      <c r="CV94" s="27"/>
      <c r="CW94" s="16"/>
      <c r="CX94" s="27"/>
      <c r="CZ94" s="27"/>
      <c r="DA94" s="16"/>
      <c r="DB94" s="27"/>
      <c r="DD94" s="16"/>
    </row>
    <row r="95" spans="1:108" s="14" customFormat="1" ht="21" x14ac:dyDescent="0.4">
      <c r="A95" s="27"/>
      <c r="B95" s="27"/>
      <c r="D95" s="16"/>
      <c r="E95" s="27"/>
      <c r="F95" s="27"/>
      <c r="H95" s="27"/>
      <c r="I95" s="16"/>
      <c r="J95" s="27"/>
      <c r="L95" s="27"/>
      <c r="M95" s="16"/>
      <c r="N95" s="27"/>
      <c r="P95" s="27"/>
      <c r="Q95" s="16"/>
      <c r="R95" s="27"/>
      <c r="T95" s="27"/>
      <c r="U95" s="16"/>
      <c r="V95" s="27"/>
      <c r="X95" s="27"/>
      <c r="Y95" s="16"/>
      <c r="Z95" s="27"/>
      <c r="AB95" s="27"/>
      <c r="AC95" s="16"/>
      <c r="AD95" s="27"/>
      <c r="AF95" s="27"/>
      <c r="AG95" s="16"/>
      <c r="AH95" s="27"/>
      <c r="AJ95" s="27"/>
      <c r="AK95" s="16"/>
      <c r="AL95" s="27"/>
      <c r="AN95" s="27"/>
      <c r="AO95" s="16"/>
      <c r="AP95" s="27"/>
      <c r="AR95" s="27"/>
      <c r="AS95" s="16"/>
      <c r="AT95" s="27"/>
      <c r="AV95" s="27"/>
      <c r="AW95" s="16"/>
      <c r="AX95" s="27"/>
      <c r="AZ95" s="27"/>
      <c r="BA95" s="16"/>
      <c r="BB95" s="27"/>
      <c r="BD95" s="27"/>
      <c r="BE95" s="16"/>
      <c r="BF95" s="27"/>
      <c r="BH95" s="27"/>
      <c r="BI95" s="16"/>
      <c r="BJ95" s="27"/>
      <c r="BL95" s="27"/>
      <c r="BM95" s="16"/>
      <c r="BN95" s="27"/>
      <c r="BP95" s="27"/>
      <c r="BQ95" s="16"/>
      <c r="BR95" s="27"/>
      <c r="BT95" s="27"/>
      <c r="BU95" s="16"/>
      <c r="BV95" s="27"/>
      <c r="BX95" s="27"/>
      <c r="BY95" s="16"/>
      <c r="BZ95" s="27"/>
      <c r="CB95" s="27"/>
      <c r="CC95" s="16"/>
      <c r="CD95" s="27"/>
      <c r="CF95" s="27"/>
      <c r="CG95" s="16"/>
      <c r="CH95" s="27"/>
      <c r="CJ95" s="27"/>
      <c r="CK95" s="16"/>
      <c r="CL95" s="27"/>
      <c r="CN95" s="27"/>
      <c r="CO95" s="16"/>
      <c r="CP95" s="27"/>
      <c r="CR95" s="27"/>
      <c r="CS95" s="16"/>
      <c r="CT95" s="27"/>
      <c r="CV95" s="27"/>
      <c r="CW95" s="16"/>
      <c r="CX95" s="27"/>
      <c r="CZ95" s="27"/>
      <c r="DA95" s="16"/>
      <c r="DB95" s="27"/>
      <c r="DD95" s="16"/>
    </row>
    <row r="96" spans="1:108" s="14" customFormat="1" ht="21" x14ac:dyDescent="0.4">
      <c r="A96" s="27"/>
      <c r="B96" s="27"/>
      <c r="D96" s="16"/>
      <c r="E96" s="27"/>
      <c r="F96" s="27"/>
      <c r="H96" s="27"/>
      <c r="I96" s="16"/>
      <c r="J96" s="27"/>
      <c r="L96" s="27"/>
      <c r="M96" s="16"/>
      <c r="N96" s="27"/>
      <c r="P96" s="27"/>
      <c r="Q96" s="16"/>
      <c r="R96" s="27"/>
      <c r="T96" s="27"/>
      <c r="U96" s="16"/>
      <c r="V96" s="27"/>
      <c r="X96" s="27"/>
      <c r="Y96" s="16"/>
      <c r="Z96" s="27"/>
      <c r="AB96" s="27"/>
      <c r="AC96" s="16"/>
      <c r="AD96" s="27"/>
      <c r="AF96" s="27"/>
      <c r="AG96" s="16"/>
      <c r="AH96" s="27"/>
      <c r="AJ96" s="27"/>
      <c r="AK96" s="16"/>
      <c r="AL96" s="27"/>
      <c r="AN96" s="27"/>
      <c r="AO96" s="16"/>
      <c r="AP96" s="27"/>
      <c r="AR96" s="27"/>
      <c r="AS96" s="16"/>
      <c r="AT96" s="27"/>
      <c r="AV96" s="27"/>
      <c r="AW96" s="16"/>
      <c r="AX96" s="27"/>
      <c r="AZ96" s="27"/>
      <c r="BA96" s="16"/>
      <c r="BB96" s="27"/>
      <c r="BD96" s="27"/>
      <c r="BE96" s="16"/>
      <c r="BF96" s="27"/>
      <c r="BH96" s="27"/>
      <c r="BI96" s="16"/>
      <c r="BJ96" s="27"/>
      <c r="BL96" s="27"/>
      <c r="BM96" s="16"/>
      <c r="BN96" s="27"/>
      <c r="BP96" s="27"/>
      <c r="BQ96" s="16"/>
      <c r="BR96" s="27"/>
      <c r="BT96" s="27"/>
      <c r="BU96" s="16"/>
      <c r="BV96" s="27"/>
      <c r="BX96" s="27"/>
      <c r="BY96" s="16"/>
      <c r="BZ96" s="27"/>
      <c r="CB96" s="27"/>
      <c r="CC96" s="16"/>
      <c r="CD96" s="27"/>
      <c r="CF96" s="27"/>
      <c r="CG96" s="16"/>
      <c r="CH96" s="27"/>
      <c r="CJ96" s="27"/>
      <c r="CK96" s="16"/>
      <c r="CL96" s="27"/>
      <c r="CN96" s="27"/>
      <c r="CO96" s="16"/>
      <c r="CP96" s="27"/>
      <c r="CR96" s="27"/>
      <c r="CS96" s="16"/>
      <c r="CT96" s="27"/>
      <c r="CV96" s="27"/>
      <c r="CW96" s="16"/>
      <c r="CX96" s="27"/>
      <c r="CZ96" s="27"/>
      <c r="DA96" s="16"/>
      <c r="DB96" s="27"/>
      <c r="DD96" s="16"/>
    </row>
    <row r="97" spans="1:108" s="14" customFormat="1" ht="21" x14ac:dyDescent="0.4">
      <c r="A97" s="27"/>
      <c r="B97" s="27"/>
      <c r="D97" s="16"/>
      <c r="E97" s="27"/>
      <c r="F97" s="27"/>
      <c r="H97" s="27"/>
      <c r="I97" s="16"/>
      <c r="J97" s="27"/>
      <c r="L97" s="27"/>
      <c r="M97" s="16"/>
      <c r="N97" s="27"/>
      <c r="P97" s="27"/>
      <c r="Q97" s="16"/>
      <c r="R97" s="27"/>
      <c r="T97" s="27"/>
      <c r="U97" s="16"/>
      <c r="V97" s="27"/>
      <c r="X97" s="27"/>
      <c r="Y97" s="16"/>
      <c r="Z97" s="27"/>
      <c r="AB97" s="27"/>
      <c r="AC97" s="16"/>
      <c r="AD97" s="27"/>
      <c r="AF97" s="27"/>
      <c r="AG97" s="16"/>
      <c r="AH97" s="27"/>
      <c r="AJ97" s="27"/>
      <c r="AK97" s="16"/>
      <c r="AL97" s="27"/>
      <c r="AN97" s="27"/>
      <c r="AO97" s="16"/>
      <c r="AP97" s="27"/>
      <c r="AR97" s="27"/>
      <c r="AS97" s="16"/>
      <c r="AT97" s="27"/>
      <c r="AV97" s="27"/>
      <c r="AW97" s="16"/>
      <c r="AX97" s="27"/>
      <c r="AZ97" s="27"/>
      <c r="BA97" s="16"/>
      <c r="BB97" s="27"/>
      <c r="BD97" s="27"/>
      <c r="BE97" s="16"/>
      <c r="BF97" s="27"/>
      <c r="BH97" s="27"/>
      <c r="BI97" s="16"/>
      <c r="BJ97" s="27"/>
      <c r="BL97" s="27"/>
      <c r="BM97" s="16"/>
      <c r="BN97" s="27"/>
      <c r="BP97" s="27"/>
      <c r="BQ97" s="16"/>
      <c r="BR97" s="27"/>
      <c r="BT97" s="27"/>
      <c r="BU97" s="16"/>
      <c r="BV97" s="27"/>
      <c r="BX97" s="27"/>
      <c r="BY97" s="16"/>
      <c r="BZ97" s="27"/>
      <c r="CB97" s="27"/>
      <c r="CC97" s="16"/>
      <c r="CD97" s="27"/>
      <c r="CF97" s="27"/>
      <c r="CG97" s="16"/>
      <c r="CH97" s="27"/>
      <c r="CJ97" s="27"/>
      <c r="CK97" s="16"/>
      <c r="CL97" s="27"/>
      <c r="CN97" s="27"/>
      <c r="CO97" s="16"/>
      <c r="CP97" s="27"/>
      <c r="CR97" s="27"/>
      <c r="CS97" s="16"/>
      <c r="CT97" s="27"/>
      <c r="CV97" s="27"/>
      <c r="CW97" s="16"/>
      <c r="CX97" s="27"/>
      <c r="CZ97" s="27"/>
      <c r="DA97" s="16"/>
      <c r="DB97" s="27"/>
      <c r="DD97" s="16"/>
    </row>
    <row r="98" spans="1:108" s="14" customFormat="1" ht="21" x14ac:dyDescent="0.4">
      <c r="A98" s="27"/>
      <c r="B98" s="27"/>
      <c r="D98" s="16"/>
      <c r="E98" s="27"/>
      <c r="F98" s="27"/>
      <c r="H98" s="27"/>
      <c r="I98" s="16"/>
      <c r="J98" s="27"/>
      <c r="L98" s="27"/>
      <c r="M98" s="16"/>
      <c r="N98" s="27"/>
      <c r="P98" s="27"/>
      <c r="Q98" s="16"/>
      <c r="R98" s="27"/>
      <c r="T98" s="27"/>
      <c r="U98" s="16"/>
      <c r="V98" s="27"/>
      <c r="X98" s="27"/>
      <c r="Y98" s="16"/>
      <c r="Z98" s="27"/>
      <c r="AB98" s="27"/>
      <c r="AC98" s="16"/>
      <c r="AD98" s="27"/>
      <c r="AF98" s="27"/>
      <c r="AG98" s="16"/>
      <c r="AH98" s="27"/>
      <c r="AJ98" s="27"/>
      <c r="AK98" s="16"/>
      <c r="AL98" s="27"/>
      <c r="AN98" s="27"/>
      <c r="AO98" s="16"/>
      <c r="AP98" s="27"/>
      <c r="AR98" s="27"/>
      <c r="AS98" s="16"/>
      <c r="AT98" s="27"/>
      <c r="AV98" s="27"/>
      <c r="AW98" s="16"/>
      <c r="AX98" s="27"/>
      <c r="AZ98" s="27"/>
      <c r="BA98" s="16"/>
      <c r="BB98" s="27"/>
      <c r="BD98" s="27"/>
      <c r="BE98" s="16"/>
      <c r="BF98" s="27"/>
      <c r="BH98" s="27"/>
      <c r="BI98" s="16"/>
      <c r="BJ98" s="27"/>
      <c r="BL98" s="27"/>
      <c r="BM98" s="16"/>
      <c r="BN98" s="27"/>
      <c r="BP98" s="27"/>
      <c r="BQ98" s="16"/>
      <c r="BR98" s="27"/>
      <c r="BT98" s="27"/>
      <c r="BU98" s="16"/>
      <c r="BV98" s="27"/>
      <c r="BX98" s="27"/>
      <c r="BY98" s="16"/>
      <c r="BZ98" s="27"/>
      <c r="CB98" s="27"/>
      <c r="CC98" s="16"/>
      <c r="CD98" s="27"/>
      <c r="CF98" s="27"/>
      <c r="CG98" s="16"/>
      <c r="CH98" s="27"/>
      <c r="CJ98" s="27"/>
      <c r="CK98" s="16"/>
      <c r="CL98" s="27"/>
      <c r="CN98" s="27"/>
      <c r="CO98" s="16"/>
      <c r="CP98" s="27"/>
      <c r="CR98" s="27"/>
      <c r="CS98" s="16"/>
      <c r="CT98" s="27"/>
      <c r="CV98" s="27"/>
      <c r="CW98" s="16"/>
      <c r="CX98" s="27"/>
      <c r="CZ98" s="27"/>
      <c r="DA98" s="16"/>
      <c r="DB98" s="27"/>
      <c r="DD98" s="16"/>
    </row>
    <row r="99" spans="1:108" s="14" customFormat="1" ht="21" x14ac:dyDescent="0.4">
      <c r="A99" s="27"/>
      <c r="B99" s="27"/>
      <c r="D99" s="16"/>
      <c r="E99" s="27"/>
      <c r="F99" s="27"/>
      <c r="H99" s="27"/>
      <c r="I99" s="16"/>
      <c r="J99" s="27"/>
      <c r="L99" s="27"/>
      <c r="M99" s="16"/>
      <c r="N99" s="27"/>
      <c r="P99" s="27"/>
      <c r="Q99" s="16"/>
      <c r="R99" s="27"/>
      <c r="T99" s="27"/>
      <c r="U99" s="16"/>
      <c r="V99" s="27"/>
      <c r="X99" s="27"/>
      <c r="Y99" s="16"/>
      <c r="Z99" s="27"/>
      <c r="AB99" s="27"/>
      <c r="AC99" s="16"/>
      <c r="AD99" s="27"/>
      <c r="AF99" s="27"/>
      <c r="AG99" s="16"/>
      <c r="AH99" s="27"/>
      <c r="AJ99" s="27"/>
      <c r="AK99" s="16"/>
      <c r="AL99" s="27"/>
      <c r="AN99" s="27"/>
      <c r="AO99" s="16"/>
      <c r="AP99" s="27"/>
      <c r="AR99" s="27"/>
      <c r="AS99" s="16"/>
      <c r="AT99" s="27"/>
      <c r="AV99" s="27"/>
      <c r="AW99" s="16"/>
      <c r="AX99" s="27"/>
      <c r="AZ99" s="27"/>
      <c r="BA99" s="16"/>
      <c r="BB99" s="27"/>
      <c r="BD99" s="27"/>
      <c r="BE99" s="16"/>
      <c r="BF99" s="27"/>
      <c r="BH99" s="27"/>
      <c r="BI99" s="16"/>
      <c r="BJ99" s="27"/>
      <c r="BL99" s="27"/>
      <c r="BM99" s="16"/>
      <c r="BN99" s="27"/>
      <c r="BP99" s="27"/>
      <c r="BQ99" s="16"/>
      <c r="BR99" s="27"/>
      <c r="BT99" s="27"/>
      <c r="BU99" s="16"/>
      <c r="BV99" s="27"/>
      <c r="BX99" s="27"/>
      <c r="BY99" s="16"/>
      <c r="BZ99" s="27"/>
      <c r="CB99" s="27"/>
      <c r="CC99" s="16"/>
      <c r="CD99" s="27"/>
      <c r="CF99" s="27"/>
      <c r="CG99" s="16"/>
      <c r="CH99" s="27"/>
      <c r="CJ99" s="27"/>
      <c r="CK99" s="16"/>
      <c r="CL99" s="27"/>
      <c r="CN99" s="27"/>
      <c r="CO99" s="16"/>
      <c r="CP99" s="27"/>
      <c r="CR99" s="27"/>
      <c r="CS99" s="16"/>
      <c r="CT99" s="27"/>
      <c r="CV99" s="27"/>
      <c r="CW99" s="16"/>
      <c r="CX99" s="27"/>
      <c r="CZ99" s="27"/>
      <c r="DA99" s="16"/>
      <c r="DB99" s="27"/>
      <c r="DD99" s="16"/>
    </row>
    <row r="100" spans="1:108" s="14" customFormat="1" ht="21" x14ac:dyDescent="0.4">
      <c r="A100" s="27"/>
      <c r="B100" s="27"/>
      <c r="D100" s="16"/>
      <c r="E100" s="27"/>
      <c r="F100" s="27"/>
      <c r="H100" s="27"/>
      <c r="I100" s="16"/>
      <c r="J100" s="27"/>
      <c r="L100" s="27"/>
      <c r="M100" s="16"/>
      <c r="N100" s="27"/>
      <c r="P100" s="27"/>
      <c r="Q100" s="16"/>
      <c r="R100" s="27"/>
      <c r="T100" s="27"/>
      <c r="U100" s="16"/>
      <c r="V100" s="27"/>
      <c r="X100" s="27"/>
      <c r="Y100" s="16"/>
      <c r="Z100" s="27"/>
      <c r="AB100" s="27"/>
      <c r="AC100" s="16"/>
      <c r="AD100" s="27"/>
      <c r="AF100" s="27"/>
      <c r="AG100" s="16"/>
      <c r="AH100" s="27"/>
      <c r="AJ100" s="27"/>
      <c r="AK100" s="16"/>
      <c r="AL100" s="27"/>
      <c r="AN100" s="27"/>
      <c r="AO100" s="16"/>
      <c r="AP100" s="27"/>
      <c r="AR100" s="27"/>
      <c r="AS100" s="16"/>
      <c r="AT100" s="27"/>
      <c r="AV100" s="27"/>
      <c r="AW100" s="16"/>
      <c r="AX100" s="27"/>
      <c r="AZ100" s="27"/>
      <c r="BA100" s="16"/>
      <c r="BB100" s="27"/>
      <c r="BD100" s="27"/>
      <c r="BE100" s="16"/>
      <c r="BF100" s="27"/>
      <c r="BH100" s="27"/>
      <c r="BI100" s="16"/>
      <c r="BJ100" s="27"/>
      <c r="BL100" s="27"/>
      <c r="BM100" s="16"/>
      <c r="BN100" s="27"/>
      <c r="BP100" s="27"/>
      <c r="BQ100" s="16"/>
      <c r="BR100" s="27"/>
      <c r="BT100" s="27"/>
      <c r="BU100" s="16"/>
      <c r="BV100" s="27"/>
      <c r="BX100" s="27"/>
      <c r="BY100" s="16"/>
      <c r="BZ100" s="27"/>
      <c r="CB100" s="27"/>
      <c r="CC100" s="16"/>
      <c r="CD100" s="27"/>
      <c r="CF100" s="27"/>
      <c r="CG100" s="16"/>
      <c r="CH100" s="27"/>
      <c r="CJ100" s="27"/>
      <c r="CK100" s="16"/>
      <c r="CL100" s="27"/>
      <c r="CN100" s="27"/>
      <c r="CO100" s="16"/>
      <c r="CP100" s="27"/>
      <c r="CR100" s="27"/>
      <c r="CS100" s="16"/>
      <c r="CT100" s="27"/>
      <c r="CV100" s="27"/>
      <c r="CW100" s="16"/>
      <c r="CX100" s="27"/>
      <c r="CZ100" s="27"/>
      <c r="DA100" s="16"/>
      <c r="DB100" s="27"/>
      <c r="DD100" s="16"/>
    </row>
    <row r="101" spans="1:108" s="14" customFormat="1" ht="21" x14ac:dyDescent="0.4">
      <c r="A101" s="27"/>
      <c r="B101" s="27"/>
      <c r="D101" s="16"/>
      <c r="E101" s="27"/>
      <c r="F101" s="27"/>
      <c r="H101" s="27"/>
      <c r="I101" s="16"/>
      <c r="J101" s="27"/>
      <c r="L101" s="27"/>
      <c r="M101" s="16"/>
      <c r="N101" s="27"/>
      <c r="P101" s="27"/>
      <c r="Q101" s="16"/>
      <c r="R101" s="27"/>
      <c r="T101" s="27"/>
      <c r="U101" s="16"/>
      <c r="V101" s="27"/>
      <c r="X101" s="27"/>
      <c r="Y101" s="16"/>
      <c r="Z101" s="27"/>
      <c r="AB101" s="27"/>
      <c r="AC101" s="16"/>
      <c r="AD101" s="27"/>
      <c r="AF101" s="27"/>
      <c r="AG101" s="16"/>
      <c r="AH101" s="27"/>
      <c r="AJ101" s="27"/>
      <c r="AK101" s="16"/>
      <c r="AL101" s="27"/>
      <c r="AN101" s="27"/>
      <c r="AO101" s="16"/>
      <c r="AP101" s="27"/>
      <c r="AR101" s="27"/>
      <c r="AS101" s="16"/>
      <c r="AT101" s="27"/>
      <c r="AV101" s="27"/>
      <c r="AW101" s="16"/>
      <c r="AX101" s="27"/>
      <c r="AZ101" s="27"/>
      <c r="BA101" s="16"/>
      <c r="BB101" s="27"/>
      <c r="BD101" s="27"/>
      <c r="BE101" s="16"/>
      <c r="BF101" s="27"/>
      <c r="BH101" s="27"/>
      <c r="BI101" s="16"/>
      <c r="BJ101" s="27"/>
      <c r="BL101" s="27"/>
      <c r="BM101" s="16"/>
      <c r="BN101" s="27"/>
      <c r="BP101" s="27"/>
      <c r="BQ101" s="16"/>
      <c r="BR101" s="27"/>
      <c r="BT101" s="27"/>
      <c r="BU101" s="16"/>
      <c r="BV101" s="27"/>
      <c r="BX101" s="27"/>
      <c r="BY101" s="16"/>
      <c r="BZ101" s="27"/>
      <c r="CB101" s="27"/>
      <c r="CC101" s="16"/>
      <c r="CD101" s="27"/>
      <c r="CF101" s="27"/>
      <c r="CG101" s="16"/>
      <c r="CH101" s="27"/>
      <c r="CJ101" s="27"/>
      <c r="CK101" s="16"/>
      <c r="CL101" s="27"/>
      <c r="CN101" s="27"/>
      <c r="CO101" s="16"/>
      <c r="CP101" s="27"/>
      <c r="CR101" s="27"/>
      <c r="CS101" s="16"/>
      <c r="CT101" s="27"/>
      <c r="CV101" s="27"/>
      <c r="CW101" s="16"/>
      <c r="CX101" s="27"/>
      <c r="CZ101" s="27"/>
      <c r="DA101" s="16"/>
      <c r="DB101" s="27"/>
      <c r="DD101" s="16"/>
    </row>
    <row r="102" spans="1:108" s="14" customFormat="1" ht="21" x14ac:dyDescent="0.4">
      <c r="A102" s="27"/>
      <c r="B102" s="27"/>
      <c r="D102" s="16"/>
      <c r="E102" s="27"/>
      <c r="F102" s="27"/>
      <c r="H102" s="27"/>
      <c r="I102" s="16"/>
      <c r="J102" s="27"/>
      <c r="L102" s="27"/>
      <c r="M102" s="16"/>
      <c r="N102" s="27"/>
      <c r="P102" s="27"/>
      <c r="Q102" s="16"/>
      <c r="R102" s="27"/>
      <c r="T102" s="27"/>
      <c r="U102" s="16"/>
      <c r="V102" s="27"/>
      <c r="X102" s="27"/>
      <c r="Y102" s="16"/>
      <c r="Z102" s="27"/>
      <c r="AB102" s="27"/>
      <c r="AC102" s="16"/>
      <c r="AD102" s="27"/>
      <c r="AF102" s="27"/>
      <c r="AG102" s="16"/>
      <c r="AH102" s="27"/>
      <c r="AJ102" s="27"/>
      <c r="AK102" s="16"/>
      <c r="AL102" s="27"/>
      <c r="AN102" s="27"/>
      <c r="AO102" s="16"/>
      <c r="AP102" s="27"/>
      <c r="AR102" s="27"/>
      <c r="AS102" s="16"/>
      <c r="AT102" s="27"/>
      <c r="AV102" s="27"/>
      <c r="AW102" s="16"/>
      <c r="AX102" s="27"/>
      <c r="AZ102" s="27"/>
      <c r="BA102" s="16"/>
      <c r="BB102" s="27"/>
      <c r="BD102" s="27"/>
      <c r="BE102" s="16"/>
      <c r="BF102" s="27"/>
      <c r="BH102" s="27"/>
      <c r="BI102" s="16"/>
      <c r="BJ102" s="27"/>
      <c r="BL102" s="27"/>
      <c r="BM102" s="16"/>
      <c r="BN102" s="27"/>
      <c r="BP102" s="27"/>
      <c r="BQ102" s="16"/>
      <c r="BR102" s="27"/>
      <c r="BT102" s="27"/>
      <c r="BU102" s="16"/>
      <c r="BV102" s="27"/>
      <c r="BX102" s="27"/>
      <c r="BY102" s="16"/>
      <c r="BZ102" s="27"/>
      <c r="CB102" s="27"/>
      <c r="CC102" s="16"/>
      <c r="CD102" s="27"/>
      <c r="CF102" s="27"/>
      <c r="CG102" s="16"/>
      <c r="CH102" s="27"/>
      <c r="CJ102" s="27"/>
      <c r="CK102" s="16"/>
      <c r="CL102" s="27"/>
      <c r="CN102" s="27"/>
      <c r="CO102" s="16"/>
      <c r="CP102" s="27"/>
      <c r="CR102" s="27"/>
      <c r="CS102" s="16"/>
      <c r="CT102" s="27"/>
      <c r="CV102" s="27"/>
      <c r="CW102" s="16"/>
      <c r="CX102" s="27"/>
      <c r="CZ102" s="27"/>
      <c r="DA102" s="16"/>
      <c r="DB102" s="27"/>
      <c r="DD102" s="16"/>
    </row>
    <row r="103" spans="1:108" s="14" customFormat="1" ht="21" x14ac:dyDescent="0.4">
      <c r="A103" s="27"/>
      <c r="B103" s="27"/>
      <c r="D103" s="16"/>
      <c r="E103" s="27"/>
      <c r="F103" s="27"/>
      <c r="H103" s="27"/>
      <c r="I103" s="16"/>
      <c r="J103" s="27"/>
      <c r="L103" s="27"/>
      <c r="M103" s="16"/>
      <c r="N103" s="27"/>
      <c r="P103" s="27"/>
      <c r="Q103" s="16"/>
      <c r="R103" s="27"/>
      <c r="T103" s="27"/>
      <c r="U103" s="16"/>
      <c r="V103" s="27"/>
      <c r="X103" s="27"/>
      <c r="Y103" s="16"/>
      <c r="Z103" s="27"/>
      <c r="AB103" s="27"/>
      <c r="AC103" s="16"/>
      <c r="AD103" s="27"/>
      <c r="AF103" s="27"/>
      <c r="AG103" s="16"/>
      <c r="AH103" s="27"/>
      <c r="AJ103" s="27"/>
      <c r="AK103" s="16"/>
      <c r="AL103" s="27"/>
      <c r="AN103" s="27"/>
      <c r="AO103" s="16"/>
      <c r="AP103" s="27"/>
      <c r="AR103" s="27"/>
      <c r="AS103" s="16"/>
      <c r="AT103" s="27"/>
      <c r="AV103" s="27"/>
      <c r="AW103" s="16"/>
      <c r="AX103" s="27"/>
      <c r="AZ103" s="27"/>
      <c r="BA103" s="16"/>
      <c r="BB103" s="27"/>
      <c r="BD103" s="27"/>
      <c r="BE103" s="16"/>
      <c r="BF103" s="27"/>
      <c r="BH103" s="27"/>
      <c r="BI103" s="16"/>
      <c r="BJ103" s="27"/>
      <c r="BL103" s="27"/>
      <c r="BM103" s="16"/>
      <c r="BN103" s="27"/>
      <c r="BP103" s="27"/>
      <c r="BQ103" s="16"/>
      <c r="BR103" s="27"/>
      <c r="BT103" s="27"/>
      <c r="BU103" s="16"/>
      <c r="BV103" s="27"/>
      <c r="BX103" s="27"/>
      <c r="BY103" s="16"/>
      <c r="BZ103" s="27"/>
      <c r="CB103" s="27"/>
      <c r="CC103" s="16"/>
      <c r="CD103" s="27"/>
      <c r="CF103" s="27"/>
      <c r="CG103" s="16"/>
      <c r="CH103" s="27"/>
      <c r="CJ103" s="27"/>
      <c r="CK103" s="16"/>
      <c r="CL103" s="27"/>
      <c r="CN103" s="27"/>
      <c r="CO103" s="16"/>
      <c r="CP103" s="27"/>
      <c r="CR103" s="27"/>
      <c r="CS103" s="16"/>
      <c r="CT103" s="27"/>
      <c r="CV103" s="27"/>
      <c r="CW103" s="16"/>
      <c r="CX103" s="27"/>
      <c r="CZ103" s="27"/>
      <c r="DA103" s="16"/>
      <c r="DB103" s="27"/>
      <c r="DD103" s="16"/>
    </row>
    <row r="104" spans="1:108" s="14" customFormat="1" ht="21" x14ac:dyDescent="0.4">
      <c r="A104" s="27"/>
      <c r="B104" s="27"/>
      <c r="D104" s="16"/>
      <c r="E104" s="27"/>
      <c r="F104" s="27"/>
      <c r="H104" s="27"/>
      <c r="I104" s="16"/>
      <c r="J104" s="27"/>
      <c r="L104" s="27"/>
      <c r="M104" s="16"/>
      <c r="N104" s="27"/>
      <c r="P104" s="27"/>
      <c r="Q104" s="16"/>
      <c r="R104" s="27"/>
      <c r="T104" s="27"/>
      <c r="U104" s="16"/>
      <c r="V104" s="27"/>
      <c r="X104" s="27"/>
      <c r="Y104" s="16"/>
      <c r="Z104" s="27"/>
      <c r="AB104" s="27"/>
      <c r="AC104" s="16"/>
      <c r="AD104" s="27"/>
      <c r="AF104" s="27"/>
      <c r="AG104" s="16"/>
      <c r="AH104" s="27"/>
      <c r="AJ104" s="27"/>
      <c r="AK104" s="16"/>
      <c r="AL104" s="27"/>
      <c r="AN104" s="27"/>
      <c r="AO104" s="16"/>
      <c r="AP104" s="27"/>
      <c r="AR104" s="27"/>
      <c r="AS104" s="16"/>
      <c r="AT104" s="27"/>
      <c r="AV104" s="27"/>
      <c r="AW104" s="16"/>
      <c r="AX104" s="27"/>
      <c r="AZ104" s="27"/>
      <c r="BA104" s="16"/>
      <c r="BB104" s="27"/>
      <c r="BD104" s="27"/>
      <c r="BE104" s="16"/>
      <c r="BF104" s="27"/>
      <c r="BH104" s="27"/>
      <c r="BI104" s="16"/>
      <c r="BJ104" s="27"/>
      <c r="BL104" s="27"/>
      <c r="BM104" s="16"/>
      <c r="BN104" s="27"/>
      <c r="BP104" s="27"/>
      <c r="BQ104" s="16"/>
      <c r="BR104" s="27"/>
      <c r="BT104" s="27"/>
      <c r="BU104" s="16"/>
      <c r="BV104" s="27"/>
      <c r="BX104" s="27"/>
      <c r="BY104" s="16"/>
      <c r="BZ104" s="27"/>
      <c r="CB104" s="27"/>
      <c r="CC104" s="16"/>
      <c r="CD104" s="27"/>
      <c r="CF104" s="27"/>
      <c r="CG104" s="16"/>
      <c r="CH104" s="27"/>
      <c r="CJ104" s="27"/>
      <c r="CK104" s="16"/>
      <c r="CL104" s="27"/>
      <c r="CN104" s="27"/>
      <c r="CO104" s="16"/>
      <c r="CP104" s="27"/>
      <c r="CR104" s="27"/>
      <c r="CS104" s="16"/>
      <c r="CT104" s="27"/>
      <c r="CV104" s="27"/>
      <c r="CW104" s="16"/>
      <c r="CX104" s="27"/>
      <c r="CZ104" s="27"/>
      <c r="DA104" s="16"/>
      <c r="DB104" s="27"/>
      <c r="DD104" s="16"/>
    </row>
    <row r="105" spans="1:108" s="14" customFormat="1" ht="21" x14ac:dyDescent="0.4">
      <c r="A105" s="27"/>
      <c r="B105" s="27"/>
      <c r="D105" s="16"/>
      <c r="E105" s="27"/>
      <c r="F105" s="27"/>
      <c r="H105" s="27"/>
      <c r="I105" s="16"/>
      <c r="J105" s="27"/>
      <c r="L105" s="27"/>
      <c r="M105" s="16"/>
      <c r="N105" s="27"/>
      <c r="P105" s="27"/>
      <c r="Q105" s="16"/>
      <c r="R105" s="27"/>
      <c r="T105" s="27"/>
      <c r="U105" s="16"/>
      <c r="V105" s="27"/>
      <c r="X105" s="27"/>
      <c r="Y105" s="16"/>
      <c r="Z105" s="27"/>
      <c r="AB105" s="27"/>
      <c r="AC105" s="16"/>
      <c r="AD105" s="27"/>
      <c r="AF105" s="27"/>
      <c r="AG105" s="16"/>
      <c r="AH105" s="27"/>
      <c r="AJ105" s="27"/>
      <c r="AK105" s="16"/>
      <c r="AL105" s="27"/>
      <c r="AN105" s="27"/>
      <c r="AO105" s="16"/>
      <c r="AP105" s="27"/>
      <c r="AR105" s="27"/>
      <c r="AS105" s="16"/>
      <c r="AT105" s="27"/>
      <c r="AV105" s="27"/>
      <c r="AW105" s="16"/>
      <c r="AX105" s="27"/>
      <c r="AZ105" s="27"/>
      <c r="BA105" s="16"/>
      <c r="BB105" s="27"/>
      <c r="BD105" s="27"/>
      <c r="BE105" s="16"/>
      <c r="BF105" s="27"/>
      <c r="BH105" s="27"/>
      <c r="BI105" s="16"/>
      <c r="BJ105" s="27"/>
      <c r="BL105" s="27"/>
      <c r="BM105" s="16"/>
      <c r="BN105" s="27"/>
      <c r="BP105" s="27"/>
      <c r="BQ105" s="16"/>
      <c r="BR105" s="27"/>
      <c r="BT105" s="27"/>
      <c r="BU105" s="16"/>
      <c r="BV105" s="27"/>
      <c r="BX105" s="27"/>
      <c r="BY105" s="16"/>
      <c r="BZ105" s="27"/>
      <c r="CB105" s="27"/>
      <c r="CC105" s="16"/>
      <c r="CD105" s="27"/>
      <c r="CF105" s="27"/>
      <c r="CG105" s="16"/>
      <c r="CH105" s="27"/>
      <c r="CJ105" s="27"/>
      <c r="CK105" s="16"/>
      <c r="CL105" s="27"/>
      <c r="CN105" s="27"/>
      <c r="CO105" s="16"/>
      <c r="CP105" s="27"/>
      <c r="CR105" s="27"/>
      <c r="CS105" s="16"/>
      <c r="CT105" s="27"/>
      <c r="CV105" s="27"/>
      <c r="CW105" s="16"/>
      <c r="CX105" s="27"/>
      <c r="CZ105" s="27"/>
      <c r="DA105" s="16"/>
      <c r="DB105" s="27"/>
      <c r="DD105" s="16"/>
    </row>
    <row r="106" spans="1:108" s="14" customFormat="1" ht="21" x14ac:dyDescent="0.4">
      <c r="A106" s="27"/>
      <c r="B106" s="27"/>
      <c r="D106" s="16"/>
      <c r="E106" s="27"/>
      <c r="F106" s="27"/>
      <c r="H106" s="27"/>
      <c r="I106" s="16"/>
      <c r="J106" s="27"/>
      <c r="L106" s="27"/>
      <c r="M106" s="16"/>
      <c r="N106" s="27"/>
      <c r="P106" s="27"/>
      <c r="Q106" s="16"/>
      <c r="R106" s="27"/>
      <c r="T106" s="27"/>
      <c r="U106" s="16"/>
      <c r="V106" s="27"/>
      <c r="X106" s="27"/>
      <c r="Y106" s="16"/>
      <c r="Z106" s="27"/>
      <c r="AB106" s="27"/>
      <c r="AC106" s="16"/>
      <c r="AD106" s="27"/>
      <c r="AF106" s="27"/>
      <c r="AG106" s="16"/>
      <c r="AH106" s="27"/>
      <c r="AJ106" s="27"/>
      <c r="AK106" s="16"/>
      <c r="AL106" s="27"/>
      <c r="AN106" s="27"/>
      <c r="AO106" s="16"/>
      <c r="AP106" s="27"/>
      <c r="AR106" s="27"/>
      <c r="AS106" s="16"/>
      <c r="AT106" s="27"/>
      <c r="AV106" s="27"/>
      <c r="AW106" s="16"/>
      <c r="AX106" s="27"/>
      <c r="AZ106" s="27"/>
      <c r="BA106" s="16"/>
      <c r="BB106" s="27"/>
      <c r="BD106" s="27"/>
      <c r="BE106" s="16"/>
      <c r="BF106" s="27"/>
      <c r="BH106" s="27"/>
      <c r="BI106" s="16"/>
      <c r="BJ106" s="27"/>
      <c r="BL106" s="27"/>
      <c r="BM106" s="16"/>
      <c r="BN106" s="27"/>
      <c r="BP106" s="27"/>
      <c r="BQ106" s="16"/>
      <c r="BR106" s="27"/>
      <c r="BT106" s="27"/>
      <c r="BU106" s="16"/>
      <c r="BV106" s="27"/>
      <c r="BX106" s="27"/>
      <c r="BY106" s="16"/>
      <c r="BZ106" s="27"/>
      <c r="CB106" s="27"/>
      <c r="CC106" s="16"/>
      <c r="CD106" s="27"/>
      <c r="CF106" s="27"/>
      <c r="CG106" s="16"/>
      <c r="CH106" s="27"/>
      <c r="CJ106" s="27"/>
      <c r="CK106" s="16"/>
      <c r="CL106" s="27"/>
      <c r="CN106" s="27"/>
      <c r="CO106" s="16"/>
      <c r="CP106" s="27"/>
      <c r="CR106" s="27"/>
      <c r="CS106" s="16"/>
      <c r="CT106" s="27"/>
      <c r="CV106" s="27"/>
      <c r="CW106" s="16"/>
      <c r="CX106" s="27"/>
      <c r="CZ106" s="27"/>
      <c r="DA106" s="16"/>
      <c r="DB106" s="27"/>
      <c r="DD106" s="16"/>
    </row>
    <row r="107" spans="1:108" s="14" customFormat="1" ht="21" x14ac:dyDescent="0.4">
      <c r="A107" s="27"/>
      <c r="B107" s="27"/>
      <c r="D107" s="16"/>
      <c r="E107" s="27"/>
      <c r="F107" s="27"/>
      <c r="H107" s="27"/>
      <c r="I107" s="16"/>
      <c r="J107" s="27"/>
      <c r="L107" s="27"/>
      <c r="M107" s="16"/>
      <c r="N107" s="27"/>
      <c r="P107" s="27"/>
      <c r="Q107" s="16"/>
      <c r="R107" s="27"/>
      <c r="T107" s="27"/>
      <c r="U107" s="16"/>
      <c r="V107" s="27"/>
      <c r="X107" s="27"/>
      <c r="Y107" s="16"/>
      <c r="Z107" s="27"/>
      <c r="AB107" s="27"/>
      <c r="AC107" s="16"/>
      <c r="AD107" s="27"/>
      <c r="AF107" s="27"/>
      <c r="AG107" s="16"/>
      <c r="AH107" s="27"/>
      <c r="AJ107" s="27"/>
      <c r="AK107" s="16"/>
      <c r="AL107" s="27"/>
      <c r="AN107" s="27"/>
      <c r="AO107" s="16"/>
      <c r="AP107" s="27"/>
      <c r="AR107" s="27"/>
      <c r="AS107" s="16"/>
      <c r="AT107" s="27"/>
      <c r="AV107" s="27"/>
      <c r="AW107" s="16"/>
      <c r="AX107" s="27"/>
      <c r="AZ107" s="27"/>
      <c r="BA107" s="16"/>
      <c r="BB107" s="27"/>
      <c r="BD107" s="27"/>
      <c r="BE107" s="16"/>
      <c r="BF107" s="27"/>
      <c r="BH107" s="27"/>
      <c r="BI107" s="16"/>
      <c r="BJ107" s="27"/>
      <c r="BL107" s="27"/>
      <c r="BM107" s="16"/>
      <c r="BN107" s="27"/>
      <c r="BP107" s="27"/>
      <c r="BQ107" s="16"/>
      <c r="BR107" s="27"/>
      <c r="BT107" s="27"/>
      <c r="BU107" s="16"/>
      <c r="BV107" s="27"/>
      <c r="BX107" s="27"/>
      <c r="BY107" s="16"/>
      <c r="BZ107" s="27"/>
      <c r="CB107" s="27"/>
      <c r="CC107" s="16"/>
      <c r="CD107" s="27"/>
      <c r="CF107" s="27"/>
      <c r="CG107" s="16"/>
      <c r="CH107" s="27"/>
      <c r="CJ107" s="27"/>
      <c r="CK107" s="16"/>
      <c r="CL107" s="27"/>
      <c r="CN107" s="27"/>
      <c r="CO107" s="16"/>
      <c r="CP107" s="27"/>
      <c r="CR107" s="27"/>
      <c r="CS107" s="16"/>
      <c r="CT107" s="27"/>
      <c r="CV107" s="27"/>
      <c r="CW107" s="16"/>
      <c r="CX107" s="27"/>
      <c r="CZ107" s="27"/>
      <c r="DA107" s="16"/>
      <c r="DB107" s="27"/>
      <c r="DD107" s="16"/>
    </row>
    <row r="108" spans="1:108" s="14" customFormat="1" ht="21" x14ac:dyDescent="0.4">
      <c r="A108" s="27"/>
      <c r="B108" s="27"/>
      <c r="D108" s="16"/>
      <c r="E108" s="27"/>
      <c r="F108" s="27"/>
      <c r="H108" s="27"/>
      <c r="I108" s="16"/>
      <c r="J108" s="27"/>
      <c r="L108" s="27"/>
      <c r="M108" s="16"/>
      <c r="N108" s="27"/>
      <c r="P108" s="27"/>
      <c r="Q108" s="16"/>
      <c r="R108" s="27"/>
      <c r="T108" s="27"/>
      <c r="U108" s="16"/>
      <c r="V108" s="27"/>
      <c r="X108" s="27"/>
      <c r="Y108" s="16"/>
      <c r="Z108" s="27"/>
      <c r="AB108" s="27"/>
      <c r="AC108" s="16"/>
      <c r="AD108" s="27"/>
      <c r="AF108" s="27"/>
      <c r="AG108" s="16"/>
      <c r="AH108" s="27"/>
      <c r="AJ108" s="27"/>
      <c r="AK108" s="16"/>
      <c r="AL108" s="27"/>
      <c r="AN108" s="27"/>
      <c r="AO108" s="16"/>
      <c r="AP108" s="27"/>
      <c r="AR108" s="27"/>
      <c r="AS108" s="16"/>
      <c r="AT108" s="27"/>
      <c r="AV108" s="27"/>
      <c r="AW108" s="16"/>
      <c r="AX108" s="27"/>
      <c r="AZ108" s="27"/>
      <c r="BA108" s="16"/>
      <c r="BB108" s="27"/>
      <c r="BD108" s="27"/>
      <c r="BE108" s="16"/>
      <c r="BF108" s="27"/>
      <c r="BH108" s="27"/>
      <c r="BI108" s="16"/>
      <c r="BJ108" s="27"/>
      <c r="BL108" s="27"/>
      <c r="BM108" s="16"/>
      <c r="BN108" s="27"/>
      <c r="BP108" s="27"/>
      <c r="BQ108" s="16"/>
      <c r="BR108" s="27"/>
      <c r="BT108" s="27"/>
      <c r="BU108" s="16"/>
      <c r="BV108" s="27"/>
      <c r="BX108" s="27"/>
      <c r="BY108" s="16"/>
      <c r="BZ108" s="27"/>
      <c r="CB108" s="27"/>
      <c r="CC108" s="16"/>
      <c r="CD108" s="27"/>
      <c r="CF108" s="27"/>
      <c r="CG108" s="16"/>
      <c r="CH108" s="27"/>
      <c r="CJ108" s="27"/>
      <c r="CK108" s="16"/>
      <c r="CL108" s="27"/>
      <c r="CN108" s="27"/>
      <c r="CO108" s="16"/>
      <c r="CP108" s="27"/>
      <c r="CR108" s="27"/>
      <c r="CS108" s="16"/>
      <c r="CT108" s="27"/>
      <c r="CV108" s="27"/>
      <c r="CW108" s="16"/>
      <c r="CX108" s="27"/>
      <c r="CZ108" s="27"/>
      <c r="DA108" s="16"/>
      <c r="DB108" s="27"/>
      <c r="DD108" s="16"/>
    </row>
    <row r="109" spans="1:108" s="14" customFormat="1" ht="21" x14ac:dyDescent="0.4">
      <c r="A109" s="27"/>
      <c r="B109" s="27"/>
      <c r="D109" s="16"/>
      <c r="E109" s="27"/>
      <c r="F109" s="27"/>
      <c r="H109" s="27"/>
      <c r="I109" s="16"/>
      <c r="J109" s="27"/>
      <c r="L109" s="27"/>
      <c r="M109" s="16"/>
      <c r="N109" s="27"/>
      <c r="P109" s="27"/>
      <c r="Q109" s="16"/>
      <c r="R109" s="27"/>
      <c r="T109" s="27"/>
      <c r="U109" s="16"/>
      <c r="V109" s="27"/>
      <c r="X109" s="27"/>
      <c r="Y109" s="16"/>
      <c r="Z109" s="27"/>
      <c r="AB109" s="27"/>
      <c r="AC109" s="16"/>
      <c r="AD109" s="27"/>
      <c r="AF109" s="27"/>
      <c r="AG109" s="16"/>
      <c r="AH109" s="27"/>
      <c r="AJ109" s="27"/>
      <c r="AK109" s="16"/>
      <c r="AL109" s="27"/>
      <c r="AN109" s="27"/>
      <c r="AO109" s="16"/>
      <c r="AP109" s="27"/>
      <c r="AR109" s="27"/>
      <c r="AS109" s="16"/>
      <c r="AT109" s="27"/>
      <c r="AV109" s="27"/>
      <c r="AW109" s="16"/>
      <c r="AX109" s="27"/>
      <c r="AZ109" s="27"/>
      <c r="BA109" s="16"/>
      <c r="BB109" s="27"/>
      <c r="BD109" s="27"/>
      <c r="BE109" s="16"/>
      <c r="BF109" s="27"/>
      <c r="BH109" s="27"/>
      <c r="BI109" s="16"/>
      <c r="BJ109" s="27"/>
      <c r="BL109" s="27"/>
      <c r="BM109" s="16"/>
      <c r="BN109" s="27"/>
      <c r="BP109" s="27"/>
      <c r="BQ109" s="16"/>
      <c r="BR109" s="27"/>
      <c r="BT109" s="27"/>
      <c r="BU109" s="16"/>
      <c r="BV109" s="27"/>
      <c r="BX109" s="27"/>
      <c r="BY109" s="16"/>
      <c r="BZ109" s="27"/>
      <c r="CB109" s="27"/>
      <c r="CC109" s="16"/>
      <c r="CD109" s="27"/>
      <c r="CF109" s="27"/>
      <c r="CG109" s="16"/>
      <c r="CH109" s="27"/>
      <c r="CJ109" s="27"/>
      <c r="CK109" s="16"/>
      <c r="CL109" s="27"/>
      <c r="CN109" s="27"/>
      <c r="CO109" s="16"/>
      <c r="CP109" s="27"/>
      <c r="CR109" s="27"/>
      <c r="CS109" s="16"/>
      <c r="CT109" s="27"/>
      <c r="CV109" s="27"/>
      <c r="CW109" s="16"/>
      <c r="CX109" s="27"/>
      <c r="CZ109" s="27"/>
      <c r="DA109" s="16"/>
      <c r="DB109" s="27"/>
      <c r="DD109" s="16"/>
    </row>
    <row r="110" spans="1:108" s="14" customFormat="1" ht="21" x14ac:dyDescent="0.4">
      <c r="A110" s="27"/>
      <c r="B110" s="27"/>
      <c r="D110" s="16"/>
      <c r="E110" s="27"/>
      <c r="F110" s="27"/>
      <c r="H110" s="27"/>
      <c r="I110" s="16"/>
      <c r="J110" s="27"/>
      <c r="L110" s="27"/>
      <c r="M110" s="16"/>
      <c r="N110" s="27"/>
      <c r="P110" s="27"/>
      <c r="Q110" s="16"/>
      <c r="R110" s="27"/>
      <c r="T110" s="27"/>
      <c r="U110" s="16"/>
      <c r="V110" s="27"/>
      <c r="X110" s="27"/>
      <c r="Y110" s="16"/>
      <c r="Z110" s="27"/>
      <c r="AB110" s="27"/>
      <c r="AC110" s="16"/>
      <c r="AD110" s="27"/>
      <c r="AF110" s="27"/>
      <c r="AG110" s="16"/>
      <c r="AH110" s="27"/>
      <c r="AJ110" s="27"/>
      <c r="AK110" s="16"/>
      <c r="AL110" s="27"/>
      <c r="AN110" s="27"/>
      <c r="AO110" s="16"/>
      <c r="AP110" s="27"/>
      <c r="AR110" s="27"/>
      <c r="AS110" s="16"/>
      <c r="AT110" s="27"/>
      <c r="AV110" s="27"/>
      <c r="AW110" s="16"/>
      <c r="AX110" s="27"/>
      <c r="AZ110" s="27"/>
      <c r="BA110" s="16"/>
      <c r="BB110" s="27"/>
      <c r="BD110" s="27"/>
      <c r="BE110" s="16"/>
      <c r="BF110" s="27"/>
      <c r="BH110" s="27"/>
      <c r="BI110" s="16"/>
      <c r="BJ110" s="27"/>
      <c r="BL110" s="27"/>
      <c r="BM110" s="16"/>
      <c r="BN110" s="27"/>
      <c r="BP110" s="27"/>
      <c r="BQ110" s="16"/>
      <c r="BR110" s="27"/>
      <c r="BT110" s="27"/>
      <c r="BU110" s="16"/>
      <c r="BV110" s="27"/>
      <c r="BX110" s="27"/>
      <c r="BY110" s="16"/>
      <c r="BZ110" s="27"/>
      <c r="CB110" s="27"/>
      <c r="CC110" s="16"/>
      <c r="CD110" s="27"/>
      <c r="CF110" s="27"/>
      <c r="CG110" s="16"/>
      <c r="CH110" s="27"/>
      <c r="CJ110" s="27"/>
      <c r="CK110" s="16"/>
      <c r="CL110" s="27"/>
      <c r="CN110" s="27"/>
      <c r="CO110" s="16"/>
      <c r="CP110" s="27"/>
      <c r="CR110" s="27"/>
      <c r="CS110" s="16"/>
      <c r="CT110" s="27"/>
      <c r="CV110" s="27"/>
      <c r="CW110" s="16"/>
      <c r="CX110" s="27"/>
      <c r="CZ110" s="27"/>
      <c r="DA110" s="16"/>
      <c r="DB110" s="27"/>
      <c r="DD110" s="16"/>
    </row>
    <row r="111" spans="1:108" s="14" customFormat="1" ht="21" x14ac:dyDescent="0.4">
      <c r="A111" s="27"/>
      <c r="B111" s="27"/>
      <c r="D111" s="16"/>
      <c r="E111" s="27"/>
      <c r="F111" s="27"/>
      <c r="H111" s="27"/>
      <c r="I111" s="16"/>
      <c r="J111" s="27"/>
      <c r="L111" s="27"/>
      <c r="M111" s="16"/>
      <c r="N111" s="27"/>
      <c r="P111" s="27"/>
      <c r="Q111" s="16"/>
      <c r="R111" s="27"/>
      <c r="T111" s="27"/>
      <c r="U111" s="16"/>
      <c r="V111" s="27"/>
      <c r="X111" s="27"/>
      <c r="Y111" s="16"/>
      <c r="Z111" s="27"/>
      <c r="AB111" s="27"/>
      <c r="AC111" s="16"/>
      <c r="AD111" s="27"/>
      <c r="AF111" s="27"/>
      <c r="AG111" s="16"/>
      <c r="AH111" s="27"/>
      <c r="AJ111" s="27"/>
      <c r="AK111" s="16"/>
      <c r="AL111" s="27"/>
      <c r="AN111" s="27"/>
      <c r="AO111" s="16"/>
      <c r="AP111" s="27"/>
      <c r="AR111" s="27"/>
      <c r="AS111" s="16"/>
      <c r="AT111" s="27"/>
      <c r="AV111" s="27"/>
      <c r="AW111" s="16"/>
      <c r="AX111" s="27"/>
      <c r="AZ111" s="27"/>
      <c r="BA111" s="16"/>
      <c r="BB111" s="27"/>
      <c r="BD111" s="27"/>
      <c r="BE111" s="16"/>
      <c r="BF111" s="27"/>
      <c r="BH111" s="27"/>
      <c r="BI111" s="16"/>
      <c r="BJ111" s="27"/>
      <c r="BL111" s="27"/>
      <c r="BM111" s="16"/>
      <c r="BN111" s="27"/>
      <c r="BP111" s="27"/>
      <c r="BQ111" s="16"/>
      <c r="BR111" s="27"/>
      <c r="BT111" s="27"/>
      <c r="BU111" s="16"/>
      <c r="BV111" s="27"/>
      <c r="BX111" s="27"/>
      <c r="BY111" s="16"/>
      <c r="BZ111" s="27"/>
      <c r="CB111" s="27"/>
      <c r="CC111" s="16"/>
      <c r="CD111" s="27"/>
      <c r="CF111" s="27"/>
      <c r="CG111" s="16"/>
      <c r="CH111" s="27"/>
      <c r="CJ111" s="27"/>
      <c r="CK111" s="16"/>
      <c r="CL111" s="27"/>
      <c r="CN111" s="27"/>
      <c r="CO111" s="16"/>
      <c r="CP111" s="27"/>
      <c r="CR111" s="27"/>
      <c r="CS111" s="16"/>
      <c r="CT111" s="27"/>
      <c r="CV111" s="27"/>
      <c r="CW111" s="16"/>
      <c r="CX111" s="27"/>
      <c r="CZ111" s="27"/>
      <c r="DA111" s="16"/>
      <c r="DB111" s="27"/>
      <c r="DD111" s="16"/>
    </row>
    <row r="112" spans="1:108" s="14" customFormat="1" ht="21" x14ac:dyDescent="0.4">
      <c r="A112" s="27"/>
      <c r="B112" s="27"/>
      <c r="D112" s="16"/>
      <c r="E112" s="27"/>
      <c r="F112" s="27"/>
      <c r="H112" s="27"/>
      <c r="I112" s="16"/>
      <c r="J112" s="27"/>
      <c r="L112" s="27"/>
      <c r="M112" s="16"/>
      <c r="N112" s="27"/>
      <c r="P112" s="27"/>
      <c r="Q112" s="16"/>
      <c r="R112" s="27"/>
      <c r="T112" s="27"/>
      <c r="U112" s="16"/>
      <c r="V112" s="27"/>
      <c r="X112" s="27"/>
      <c r="Y112" s="16"/>
      <c r="Z112" s="27"/>
      <c r="AB112" s="27"/>
      <c r="AC112" s="16"/>
      <c r="AD112" s="27"/>
      <c r="AF112" s="27"/>
      <c r="AG112" s="16"/>
      <c r="AH112" s="27"/>
      <c r="AJ112" s="27"/>
      <c r="AK112" s="16"/>
      <c r="AL112" s="27"/>
      <c r="AN112" s="27"/>
      <c r="AO112" s="16"/>
      <c r="AP112" s="27"/>
      <c r="AR112" s="27"/>
      <c r="AS112" s="16"/>
      <c r="AT112" s="27"/>
      <c r="AV112" s="27"/>
      <c r="AW112" s="16"/>
      <c r="AX112" s="27"/>
      <c r="AZ112" s="27"/>
      <c r="BA112" s="16"/>
      <c r="BB112" s="27"/>
      <c r="BD112" s="27"/>
      <c r="BE112" s="16"/>
      <c r="BF112" s="27"/>
      <c r="BH112" s="27"/>
      <c r="BI112" s="16"/>
      <c r="BJ112" s="27"/>
      <c r="BL112" s="27"/>
      <c r="BM112" s="16"/>
      <c r="BN112" s="27"/>
      <c r="BP112" s="27"/>
      <c r="BQ112" s="16"/>
      <c r="BR112" s="27"/>
      <c r="BT112" s="27"/>
      <c r="BU112" s="16"/>
      <c r="BV112" s="27"/>
      <c r="BX112" s="27"/>
      <c r="BY112" s="16"/>
      <c r="BZ112" s="27"/>
      <c r="CB112" s="27"/>
      <c r="CC112" s="16"/>
      <c r="CD112" s="27"/>
      <c r="CF112" s="27"/>
      <c r="CG112" s="16"/>
      <c r="CH112" s="27"/>
      <c r="CJ112" s="27"/>
      <c r="CK112" s="16"/>
      <c r="CL112" s="27"/>
      <c r="CN112" s="27"/>
      <c r="CO112" s="16"/>
      <c r="CP112" s="27"/>
      <c r="CR112" s="27"/>
      <c r="CS112" s="16"/>
      <c r="CT112" s="27"/>
      <c r="CV112" s="27"/>
      <c r="CW112" s="16"/>
      <c r="CX112" s="27"/>
      <c r="CZ112" s="27"/>
      <c r="DA112" s="16"/>
      <c r="DB112" s="27"/>
      <c r="DD112" s="16"/>
    </row>
    <row r="113" spans="1:108" s="14" customFormat="1" ht="21" x14ac:dyDescent="0.4">
      <c r="A113" s="27"/>
      <c r="B113" s="27"/>
      <c r="D113" s="16"/>
      <c r="E113" s="27"/>
      <c r="F113" s="27"/>
      <c r="H113" s="27"/>
      <c r="I113" s="16"/>
      <c r="J113" s="27"/>
      <c r="L113" s="27"/>
      <c r="M113" s="16"/>
      <c r="N113" s="27"/>
      <c r="P113" s="27"/>
      <c r="Q113" s="16"/>
      <c r="R113" s="27"/>
      <c r="T113" s="27"/>
      <c r="U113" s="16"/>
      <c r="V113" s="27"/>
      <c r="X113" s="27"/>
      <c r="Y113" s="16"/>
      <c r="Z113" s="27"/>
      <c r="AB113" s="27"/>
      <c r="AC113" s="16"/>
      <c r="AD113" s="27"/>
      <c r="AF113" s="27"/>
      <c r="AG113" s="16"/>
      <c r="AH113" s="27"/>
      <c r="AJ113" s="27"/>
      <c r="AK113" s="16"/>
      <c r="AL113" s="27"/>
      <c r="AN113" s="27"/>
      <c r="AO113" s="16"/>
      <c r="AP113" s="27"/>
      <c r="AR113" s="27"/>
      <c r="AS113" s="16"/>
      <c r="AT113" s="27"/>
      <c r="AV113" s="27"/>
      <c r="AW113" s="16"/>
      <c r="AX113" s="27"/>
      <c r="AZ113" s="27"/>
      <c r="BA113" s="16"/>
      <c r="BB113" s="27"/>
      <c r="BD113" s="27"/>
      <c r="BE113" s="16"/>
      <c r="BF113" s="27"/>
      <c r="BH113" s="27"/>
      <c r="BI113" s="16"/>
      <c r="BJ113" s="27"/>
      <c r="BL113" s="27"/>
      <c r="BM113" s="16"/>
      <c r="BN113" s="27"/>
      <c r="BP113" s="27"/>
      <c r="BQ113" s="16"/>
      <c r="BR113" s="27"/>
      <c r="BT113" s="27"/>
      <c r="BU113" s="16"/>
      <c r="BV113" s="27"/>
      <c r="BX113" s="27"/>
      <c r="BY113" s="16"/>
      <c r="BZ113" s="27"/>
      <c r="CB113" s="27"/>
      <c r="CC113" s="16"/>
      <c r="CD113" s="27"/>
      <c r="CF113" s="27"/>
      <c r="CG113" s="16"/>
      <c r="CH113" s="27"/>
      <c r="CJ113" s="27"/>
      <c r="CK113" s="16"/>
      <c r="CL113" s="27"/>
      <c r="CN113" s="27"/>
      <c r="CO113" s="16"/>
      <c r="CP113" s="27"/>
      <c r="CR113" s="27"/>
      <c r="CS113" s="16"/>
      <c r="CT113" s="27"/>
      <c r="CV113" s="27"/>
      <c r="CW113" s="16"/>
      <c r="CX113" s="27"/>
      <c r="CZ113" s="27"/>
      <c r="DA113" s="16"/>
      <c r="DB113" s="27"/>
      <c r="DD113" s="16"/>
    </row>
    <row r="114" spans="1:108" s="14" customFormat="1" ht="21" x14ac:dyDescent="0.4">
      <c r="A114" s="27"/>
      <c r="B114" s="27"/>
      <c r="D114" s="16"/>
      <c r="E114" s="27"/>
      <c r="F114" s="27"/>
      <c r="H114" s="27"/>
      <c r="I114" s="16"/>
      <c r="J114" s="27"/>
      <c r="L114" s="27"/>
      <c r="M114" s="16"/>
      <c r="N114" s="27"/>
      <c r="P114" s="27"/>
      <c r="Q114" s="16"/>
      <c r="R114" s="27"/>
      <c r="T114" s="27"/>
      <c r="U114" s="16"/>
      <c r="V114" s="27"/>
      <c r="X114" s="27"/>
      <c r="Y114" s="16"/>
      <c r="Z114" s="27"/>
      <c r="AB114" s="27"/>
      <c r="AC114" s="16"/>
      <c r="AD114" s="27"/>
      <c r="AF114" s="27"/>
      <c r="AG114" s="16"/>
      <c r="AH114" s="27"/>
      <c r="AJ114" s="27"/>
      <c r="AK114" s="16"/>
      <c r="AL114" s="27"/>
      <c r="AN114" s="27"/>
      <c r="AO114" s="16"/>
      <c r="AP114" s="27"/>
      <c r="AR114" s="27"/>
      <c r="AS114" s="16"/>
      <c r="AT114" s="27"/>
      <c r="AV114" s="27"/>
      <c r="AW114" s="16"/>
      <c r="AX114" s="27"/>
      <c r="AZ114" s="27"/>
      <c r="BA114" s="16"/>
      <c r="BB114" s="27"/>
      <c r="BD114" s="27"/>
      <c r="BE114" s="16"/>
      <c r="BF114" s="27"/>
      <c r="BH114" s="27"/>
      <c r="BI114" s="16"/>
      <c r="BJ114" s="27"/>
      <c r="BL114" s="27"/>
      <c r="BM114" s="16"/>
      <c r="BN114" s="27"/>
      <c r="BP114" s="27"/>
      <c r="BQ114" s="16"/>
      <c r="BR114" s="27"/>
      <c r="BT114" s="27"/>
      <c r="BU114" s="16"/>
      <c r="BV114" s="27"/>
      <c r="BX114" s="27"/>
      <c r="BY114" s="16"/>
      <c r="BZ114" s="27"/>
      <c r="CB114" s="27"/>
      <c r="CC114" s="16"/>
      <c r="CD114" s="27"/>
      <c r="CF114" s="27"/>
      <c r="CG114" s="16"/>
      <c r="CH114" s="27"/>
      <c r="CJ114" s="27"/>
      <c r="CK114" s="16"/>
      <c r="CL114" s="27"/>
      <c r="CN114" s="27"/>
      <c r="CO114" s="16"/>
      <c r="CP114" s="27"/>
      <c r="CR114" s="27"/>
      <c r="CS114" s="16"/>
      <c r="CT114" s="27"/>
      <c r="CV114" s="27"/>
      <c r="CW114" s="16"/>
      <c r="CX114" s="27"/>
      <c r="CZ114" s="27"/>
      <c r="DA114" s="16"/>
      <c r="DB114" s="27"/>
      <c r="DD114" s="16"/>
    </row>
    <row r="115" spans="1:108" s="14" customFormat="1" ht="21" x14ac:dyDescent="0.4">
      <c r="A115" s="27"/>
      <c r="B115" s="27"/>
      <c r="D115" s="16"/>
      <c r="E115" s="27"/>
      <c r="F115" s="27"/>
      <c r="H115" s="27"/>
      <c r="I115" s="16"/>
      <c r="J115" s="27"/>
      <c r="L115" s="27"/>
      <c r="M115" s="16"/>
      <c r="N115" s="27"/>
      <c r="P115" s="27"/>
      <c r="Q115" s="16"/>
      <c r="R115" s="27"/>
      <c r="T115" s="27"/>
      <c r="U115" s="16"/>
      <c r="V115" s="27"/>
      <c r="X115" s="27"/>
      <c r="Y115" s="16"/>
      <c r="Z115" s="27"/>
      <c r="AB115" s="27"/>
      <c r="AC115" s="16"/>
      <c r="AD115" s="27"/>
      <c r="AF115" s="27"/>
      <c r="AG115" s="16"/>
      <c r="AH115" s="27"/>
      <c r="AJ115" s="27"/>
      <c r="AK115" s="16"/>
      <c r="AL115" s="27"/>
      <c r="AN115" s="27"/>
      <c r="AO115" s="16"/>
      <c r="AP115" s="27"/>
      <c r="AR115" s="27"/>
      <c r="AS115" s="16"/>
      <c r="AT115" s="27"/>
      <c r="AV115" s="27"/>
      <c r="AW115" s="16"/>
      <c r="AX115" s="27"/>
      <c r="AZ115" s="27"/>
      <c r="BA115" s="16"/>
      <c r="BB115" s="27"/>
      <c r="BD115" s="27"/>
      <c r="BE115" s="16"/>
      <c r="BF115" s="27"/>
      <c r="BH115" s="27"/>
      <c r="BI115" s="16"/>
      <c r="BJ115" s="27"/>
      <c r="BL115" s="27"/>
      <c r="BM115" s="16"/>
      <c r="BN115" s="27"/>
      <c r="BP115" s="27"/>
      <c r="BQ115" s="16"/>
      <c r="BR115" s="27"/>
      <c r="BT115" s="27"/>
      <c r="BU115" s="16"/>
      <c r="BV115" s="27"/>
      <c r="BX115" s="27"/>
      <c r="BY115" s="16"/>
      <c r="BZ115" s="27"/>
      <c r="CB115" s="27"/>
      <c r="CC115" s="16"/>
      <c r="CD115" s="27"/>
      <c r="CF115" s="27"/>
      <c r="CG115" s="16"/>
      <c r="CH115" s="27"/>
      <c r="CJ115" s="27"/>
      <c r="CK115" s="16"/>
      <c r="CL115" s="27"/>
      <c r="CN115" s="27"/>
      <c r="CO115" s="16"/>
      <c r="CP115" s="27"/>
      <c r="CR115" s="27"/>
      <c r="CS115" s="16"/>
      <c r="CT115" s="27"/>
      <c r="CV115" s="27"/>
      <c r="CW115" s="16"/>
      <c r="CX115" s="27"/>
      <c r="CZ115" s="27"/>
      <c r="DA115" s="16"/>
      <c r="DB115" s="27"/>
      <c r="DD115" s="16"/>
    </row>
    <row r="116" spans="1:108" s="14" customFormat="1" ht="21" x14ac:dyDescent="0.4">
      <c r="A116" s="27"/>
      <c r="B116" s="27"/>
      <c r="D116" s="16"/>
      <c r="E116" s="27"/>
      <c r="F116" s="27"/>
      <c r="H116" s="27"/>
      <c r="I116" s="16"/>
      <c r="J116" s="27"/>
      <c r="L116" s="27"/>
      <c r="M116" s="16"/>
      <c r="N116" s="27"/>
      <c r="P116" s="27"/>
      <c r="Q116" s="16"/>
      <c r="R116" s="27"/>
      <c r="T116" s="27"/>
      <c r="U116" s="16"/>
      <c r="V116" s="27"/>
      <c r="X116" s="27"/>
      <c r="Y116" s="16"/>
      <c r="Z116" s="27"/>
      <c r="AB116" s="27"/>
      <c r="AC116" s="16"/>
      <c r="AD116" s="27"/>
      <c r="AF116" s="27"/>
      <c r="AG116" s="16"/>
      <c r="AH116" s="27"/>
      <c r="AJ116" s="27"/>
      <c r="AK116" s="16"/>
      <c r="AL116" s="27"/>
      <c r="AN116" s="27"/>
      <c r="AO116" s="16"/>
      <c r="AP116" s="27"/>
      <c r="AR116" s="27"/>
      <c r="AS116" s="16"/>
      <c r="AT116" s="27"/>
      <c r="AV116" s="27"/>
      <c r="AW116" s="16"/>
      <c r="AX116" s="27"/>
      <c r="AZ116" s="27"/>
      <c r="BA116" s="16"/>
      <c r="BB116" s="27"/>
      <c r="BD116" s="27"/>
      <c r="BE116" s="16"/>
      <c r="BF116" s="27"/>
      <c r="BH116" s="27"/>
      <c r="BI116" s="16"/>
      <c r="BJ116" s="27"/>
      <c r="BL116" s="27"/>
      <c r="BM116" s="16"/>
      <c r="BN116" s="27"/>
      <c r="BP116" s="27"/>
      <c r="BQ116" s="16"/>
      <c r="BR116" s="27"/>
      <c r="BT116" s="27"/>
      <c r="BU116" s="16"/>
      <c r="BV116" s="27"/>
      <c r="BX116" s="27"/>
      <c r="BY116" s="16"/>
      <c r="BZ116" s="27"/>
      <c r="CB116" s="27"/>
      <c r="CC116" s="16"/>
      <c r="CD116" s="27"/>
      <c r="CF116" s="27"/>
      <c r="CG116" s="16"/>
      <c r="CH116" s="27"/>
      <c r="CJ116" s="27"/>
      <c r="CK116" s="16"/>
      <c r="CL116" s="27"/>
      <c r="CN116" s="27"/>
      <c r="CO116" s="16"/>
      <c r="CP116" s="27"/>
      <c r="CR116" s="27"/>
      <c r="CS116" s="16"/>
      <c r="CT116" s="27"/>
      <c r="CV116" s="27"/>
      <c r="CW116" s="16"/>
      <c r="CX116" s="27"/>
      <c r="CZ116" s="27"/>
      <c r="DA116" s="16"/>
      <c r="DB116" s="27"/>
      <c r="DD116" s="16"/>
    </row>
    <row r="117" spans="1:108" s="14" customFormat="1" ht="21" x14ac:dyDescent="0.4">
      <c r="A117" s="27"/>
      <c r="B117" s="27"/>
      <c r="D117" s="16"/>
      <c r="E117" s="27"/>
      <c r="F117" s="27"/>
      <c r="H117" s="27"/>
      <c r="I117" s="16"/>
      <c r="J117" s="27"/>
      <c r="L117" s="27"/>
      <c r="M117" s="16"/>
      <c r="N117" s="27"/>
      <c r="P117" s="27"/>
      <c r="Q117" s="16"/>
      <c r="R117" s="27"/>
      <c r="T117" s="27"/>
      <c r="U117" s="16"/>
      <c r="V117" s="27"/>
      <c r="X117" s="27"/>
      <c r="Y117" s="16"/>
      <c r="Z117" s="27"/>
      <c r="AB117" s="27"/>
      <c r="AC117" s="16"/>
      <c r="AD117" s="27"/>
      <c r="AF117" s="27"/>
      <c r="AG117" s="16"/>
      <c r="AH117" s="27"/>
      <c r="AJ117" s="27"/>
      <c r="AK117" s="16"/>
      <c r="AL117" s="27"/>
      <c r="AN117" s="27"/>
      <c r="AO117" s="16"/>
      <c r="AP117" s="27"/>
      <c r="AR117" s="27"/>
      <c r="AS117" s="16"/>
      <c r="AT117" s="27"/>
      <c r="AV117" s="27"/>
      <c r="AW117" s="16"/>
      <c r="AX117" s="27"/>
      <c r="AZ117" s="27"/>
      <c r="BA117" s="16"/>
      <c r="BB117" s="27"/>
      <c r="BD117" s="27"/>
      <c r="BE117" s="16"/>
      <c r="BF117" s="27"/>
      <c r="BH117" s="27"/>
      <c r="BI117" s="16"/>
      <c r="BJ117" s="27"/>
      <c r="BL117" s="27"/>
      <c r="BM117" s="16"/>
      <c r="BN117" s="27"/>
      <c r="BP117" s="27"/>
      <c r="BQ117" s="16"/>
      <c r="BR117" s="27"/>
      <c r="BT117" s="27"/>
      <c r="BU117" s="16"/>
      <c r="BV117" s="27"/>
      <c r="BX117" s="27"/>
      <c r="BY117" s="16"/>
      <c r="BZ117" s="27"/>
      <c r="CB117" s="27"/>
      <c r="CC117" s="16"/>
      <c r="CD117" s="27"/>
      <c r="CF117" s="27"/>
      <c r="CG117" s="16"/>
      <c r="CH117" s="27"/>
      <c r="CJ117" s="27"/>
      <c r="CK117" s="16"/>
      <c r="CL117" s="27"/>
      <c r="CN117" s="27"/>
      <c r="CO117" s="16"/>
      <c r="CP117" s="27"/>
      <c r="CR117" s="27"/>
      <c r="CS117" s="16"/>
      <c r="CT117" s="27"/>
      <c r="CV117" s="27"/>
      <c r="CW117" s="16"/>
      <c r="CX117" s="27"/>
      <c r="CZ117" s="27"/>
      <c r="DA117" s="16"/>
      <c r="DB117" s="27"/>
      <c r="DD117" s="16"/>
    </row>
    <row r="118" spans="1:108" s="14" customFormat="1" ht="21" x14ac:dyDescent="0.4">
      <c r="A118" s="27"/>
      <c r="B118" s="27"/>
      <c r="D118" s="16"/>
      <c r="E118" s="27"/>
      <c r="F118" s="27"/>
      <c r="H118" s="27"/>
      <c r="I118" s="16"/>
      <c r="J118" s="27"/>
      <c r="L118" s="27"/>
      <c r="M118" s="16"/>
      <c r="N118" s="27"/>
      <c r="P118" s="27"/>
      <c r="Q118" s="16"/>
      <c r="R118" s="27"/>
      <c r="T118" s="27"/>
      <c r="U118" s="16"/>
      <c r="V118" s="27"/>
      <c r="X118" s="27"/>
      <c r="Y118" s="16"/>
      <c r="Z118" s="27"/>
      <c r="AB118" s="27"/>
      <c r="AC118" s="16"/>
      <c r="AD118" s="27"/>
      <c r="AF118" s="27"/>
      <c r="AG118" s="16"/>
      <c r="AH118" s="27"/>
      <c r="AJ118" s="27"/>
      <c r="AK118" s="16"/>
      <c r="AL118" s="27"/>
      <c r="AN118" s="27"/>
      <c r="AO118" s="16"/>
      <c r="AP118" s="27"/>
      <c r="AR118" s="27"/>
      <c r="AS118" s="16"/>
      <c r="AT118" s="27"/>
      <c r="AV118" s="27"/>
      <c r="AW118" s="16"/>
      <c r="AX118" s="27"/>
      <c r="AZ118" s="27"/>
      <c r="BA118" s="16"/>
      <c r="BB118" s="27"/>
      <c r="BD118" s="27"/>
      <c r="BE118" s="16"/>
      <c r="BF118" s="27"/>
      <c r="BH118" s="27"/>
      <c r="BI118" s="16"/>
      <c r="BJ118" s="27"/>
      <c r="BL118" s="27"/>
      <c r="BM118" s="16"/>
      <c r="BN118" s="27"/>
      <c r="BP118" s="27"/>
      <c r="BQ118" s="16"/>
      <c r="BR118" s="27"/>
      <c r="BT118" s="27"/>
      <c r="BU118" s="16"/>
      <c r="BV118" s="27"/>
      <c r="BX118" s="27"/>
      <c r="BY118" s="16"/>
      <c r="BZ118" s="27"/>
      <c r="CB118" s="27"/>
      <c r="CC118" s="16"/>
      <c r="CD118" s="27"/>
      <c r="CF118" s="27"/>
      <c r="CG118" s="16"/>
      <c r="CH118" s="27"/>
      <c r="CJ118" s="27"/>
      <c r="CK118" s="16"/>
      <c r="CL118" s="27"/>
      <c r="CN118" s="27"/>
      <c r="CO118" s="16"/>
      <c r="CP118" s="27"/>
      <c r="CR118" s="27"/>
      <c r="CS118" s="16"/>
      <c r="CT118" s="27"/>
      <c r="CV118" s="27"/>
      <c r="CW118" s="16"/>
      <c r="CX118" s="27"/>
      <c r="CZ118" s="27"/>
      <c r="DA118" s="16"/>
      <c r="DB118" s="27"/>
      <c r="DD118" s="16"/>
    </row>
    <row r="119" spans="1:108" s="14" customFormat="1" ht="21" x14ac:dyDescent="0.4">
      <c r="A119" s="27"/>
      <c r="B119" s="27"/>
      <c r="D119" s="16"/>
      <c r="E119" s="27"/>
      <c r="F119" s="27"/>
      <c r="H119" s="27"/>
      <c r="I119" s="16"/>
      <c r="J119" s="27"/>
      <c r="L119" s="27"/>
      <c r="M119" s="16"/>
      <c r="N119" s="27"/>
      <c r="P119" s="27"/>
      <c r="Q119" s="16"/>
      <c r="R119" s="27"/>
      <c r="T119" s="27"/>
      <c r="U119" s="16"/>
      <c r="V119" s="27"/>
      <c r="X119" s="27"/>
      <c r="Y119" s="16"/>
      <c r="Z119" s="27"/>
      <c r="AB119" s="27"/>
      <c r="AC119" s="16"/>
      <c r="AD119" s="27"/>
      <c r="AF119" s="27"/>
      <c r="AG119" s="16"/>
      <c r="AH119" s="27"/>
      <c r="AJ119" s="27"/>
      <c r="AK119" s="16"/>
      <c r="AL119" s="27"/>
      <c r="AN119" s="27"/>
      <c r="AO119" s="16"/>
      <c r="AP119" s="27"/>
      <c r="AR119" s="27"/>
      <c r="AS119" s="16"/>
      <c r="AT119" s="27"/>
      <c r="AV119" s="27"/>
      <c r="AW119" s="16"/>
      <c r="AX119" s="27"/>
      <c r="AZ119" s="27"/>
      <c r="BA119" s="16"/>
      <c r="BB119" s="27"/>
      <c r="BD119" s="27"/>
      <c r="BE119" s="16"/>
      <c r="BF119" s="27"/>
      <c r="BH119" s="27"/>
      <c r="BI119" s="16"/>
      <c r="BJ119" s="27"/>
      <c r="BL119" s="27"/>
      <c r="BM119" s="16"/>
      <c r="BN119" s="27"/>
      <c r="BP119" s="27"/>
      <c r="BQ119" s="16"/>
      <c r="BR119" s="27"/>
      <c r="BT119" s="27"/>
      <c r="BU119" s="16"/>
      <c r="BV119" s="27"/>
      <c r="BX119" s="27"/>
      <c r="BY119" s="16"/>
      <c r="BZ119" s="27"/>
      <c r="CB119" s="27"/>
      <c r="CC119" s="16"/>
      <c r="CD119" s="27"/>
      <c r="CF119" s="27"/>
      <c r="CG119" s="16"/>
      <c r="CH119" s="27"/>
      <c r="CJ119" s="27"/>
      <c r="CK119" s="16"/>
      <c r="CL119" s="27"/>
      <c r="CN119" s="27"/>
      <c r="CO119" s="16"/>
      <c r="CP119" s="27"/>
      <c r="CR119" s="27"/>
      <c r="CS119" s="16"/>
      <c r="CT119" s="27"/>
      <c r="CV119" s="27"/>
      <c r="CW119" s="16"/>
      <c r="CX119" s="27"/>
      <c r="CZ119" s="27"/>
      <c r="DA119" s="16"/>
      <c r="DB119" s="27"/>
      <c r="DD119" s="16"/>
    </row>
    <row r="120" spans="1:108" s="14" customFormat="1" ht="21" x14ac:dyDescent="0.4">
      <c r="A120" s="27"/>
      <c r="B120" s="27"/>
      <c r="D120" s="16"/>
      <c r="E120" s="27"/>
      <c r="F120" s="27"/>
      <c r="H120" s="27"/>
      <c r="I120" s="16"/>
      <c r="J120" s="27"/>
      <c r="L120" s="27"/>
      <c r="M120" s="16"/>
      <c r="N120" s="27"/>
      <c r="P120" s="27"/>
      <c r="Q120" s="16"/>
      <c r="R120" s="27"/>
      <c r="T120" s="27"/>
      <c r="U120" s="16"/>
      <c r="V120" s="27"/>
      <c r="X120" s="27"/>
      <c r="Y120" s="16"/>
      <c r="Z120" s="27"/>
      <c r="AB120" s="27"/>
      <c r="AC120" s="16"/>
      <c r="AD120" s="27"/>
      <c r="AF120" s="27"/>
      <c r="AG120" s="16"/>
      <c r="AH120" s="27"/>
      <c r="AJ120" s="27"/>
      <c r="AK120" s="16"/>
      <c r="AL120" s="27"/>
      <c r="AN120" s="27"/>
      <c r="AO120" s="16"/>
      <c r="AP120" s="27"/>
      <c r="AR120" s="27"/>
      <c r="AS120" s="16"/>
      <c r="AT120" s="27"/>
      <c r="AV120" s="27"/>
      <c r="AW120" s="16"/>
      <c r="AX120" s="27"/>
      <c r="AZ120" s="27"/>
      <c r="BA120" s="16"/>
      <c r="BB120" s="27"/>
      <c r="BD120" s="27"/>
      <c r="BE120" s="16"/>
      <c r="BF120" s="27"/>
      <c r="BH120" s="27"/>
      <c r="BI120" s="16"/>
      <c r="BJ120" s="27"/>
      <c r="BL120" s="27"/>
      <c r="BM120" s="16"/>
      <c r="BN120" s="27"/>
      <c r="BP120" s="27"/>
      <c r="BQ120" s="16"/>
      <c r="BR120" s="27"/>
      <c r="BT120" s="27"/>
      <c r="BU120" s="16"/>
      <c r="BV120" s="27"/>
      <c r="BX120" s="27"/>
      <c r="BY120" s="16"/>
      <c r="BZ120" s="27"/>
      <c r="CB120" s="27"/>
      <c r="CC120" s="16"/>
      <c r="CD120" s="27"/>
      <c r="CF120" s="27"/>
      <c r="CG120" s="16"/>
      <c r="CH120" s="27"/>
      <c r="CJ120" s="27"/>
      <c r="CK120" s="16"/>
      <c r="CL120" s="27"/>
      <c r="CN120" s="27"/>
      <c r="CO120" s="16"/>
      <c r="CP120" s="27"/>
      <c r="CR120" s="27"/>
      <c r="CS120" s="16"/>
      <c r="CT120" s="27"/>
      <c r="CV120" s="27"/>
      <c r="CW120" s="16"/>
      <c r="CX120" s="27"/>
      <c r="CZ120" s="27"/>
      <c r="DA120" s="16"/>
      <c r="DB120" s="27"/>
      <c r="DD120" s="16"/>
    </row>
    <row r="121" spans="1:108" s="14" customFormat="1" ht="21" x14ac:dyDescent="0.4">
      <c r="A121" s="27"/>
      <c r="B121" s="27"/>
      <c r="D121" s="16"/>
      <c r="E121" s="27"/>
      <c r="F121" s="27"/>
      <c r="H121" s="27"/>
      <c r="I121" s="16"/>
      <c r="J121" s="27"/>
      <c r="L121" s="27"/>
      <c r="M121" s="16"/>
      <c r="N121" s="27"/>
      <c r="P121" s="27"/>
      <c r="Q121" s="16"/>
      <c r="R121" s="27"/>
      <c r="T121" s="27"/>
      <c r="U121" s="16"/>
      <c r="V121" s="27"/>
      <c r="X121" s="27"/>
      <c r="Y121" s="16"/>
      <c r="Z121" s="27"/>
      <c r="AB121" s="27"/>
      <c r="AC121" s="16"/>
      <c r="AD121" s="27"/>
      <c r="AF121" s="27"/>
      <c r="AG121" s="16"/>
      <c r="AH121" s="27"/>
      <c r="AJ121" s="27"/>
      <c r="AK121" s="16"/>
      <c r="AL121" s="27"/>
      <c r="AN121" s="27"/>
      <c r="AO121" s="16"/>
      <c r="AP121" s="27"/>
      <c r="AR121" s="27"/>
      <c r="AS121" s="16"/>
      <c r="AT121" s="27"/>
      <c r="AV121" s="27"/>
      <c r="AW121" s="16"/>
      <c r="AX121" s="27"/>
      <c r="AZ121" s="27"/>
      <c r="BA121" s="16"/>
      <c r="BB121" s="27"/>
      <c r="BD121" s="27"/>
      <c r="BE121" s="16"/>
      <c r="BF121" s="27"/>
      <c r="BH121" s="27"/>
      <c r="BI121" s="16"/>
      <c r="BJ121" s="27"/>
      <c r="BL121" s="27"/>
      <c r="BM121" s="16"/>
      <c r="BN121" s="27"/>
      <c r="BP121" s="27"/>
      <c r="BQ121" s="16"/>
      <c r="BR121" s="27"/>
      <c r="BT121" s="27"/>
      <c r="BU121" s="16"/>
      <c r="BV121" s="27"/>
      <c r="BX121" s="27"/>
      <c r="BY121" s="16"/>
      <c r="BZ121" s="27"/>
      <c r="CB121" s="27"/>
      <c r="CC121" s="16"/>
      <c r="CD121" s="27"/>
      <c r="CF121" s="27"/>
      <c r="CG121" s="16"/>
      <c r="CH121" s="27"/>
      <c r="CJ121" s="27"/>
      <c r="CK121" s="16"/>
      <c r="CL121" s="27"/>
      <c r="CN121" s="27"/>
      <c r="CO121" s="16"/>
      <c r="CP121" s="27"/>
      <c r="CR121" s="27"/>
      <c r="CS121" s="16"/>
      <c r="CT121" s="27"/>
      <c r="CV121" s="27"/>
      <c r="CW121" s="16"/>
      <c r="CX121" s="27"/>
      <c r="CZ121" s="27"/>
      <c r="DA121" s="16"/>
      <c r="DB121" s="27"/>
      <c r="DD121" s="16"/>
    </row>
    <row r="122" spans="1:108" s="14" customFormat="1" ht="21" x14ac:dyDescent="0.4">
      <c r="A122" s="27"/>
      <c r="B122" s="27"/>
      <c r="D122" s="16"/>
      <c r="E122" s="27"/>
      <c r="F122" s="27"/>
      <c r="H122" s="27"/>
      <c r="I122" s="16"/>
      <c r="J122" s="27"/>
      <c r="L122" s="27"/>
      <c r="M122" s="16"/>
      <c r="N122" s="27"/>
      <c r="P122" s="27"/>
      <c r="Q122" s="16"/>
      <c r="R122" s="27"/>
      <c r="T122" s="27"/>
      <c r="U122" s="16"/>
      <c r="V122" s="27"/>
      <c r="X122" s="27"/>
      <c r="Y122" s="16"/>
      <c r="Z122" s="27"/>
      <c r="AB122" s="27"/>
      <c r="AC122" s="16"/>
      <c r="AD122" s="27"/>
      <c r="AF122" s="27"/>
      <c r="AG122" s="16"/>
      <c r="AH122" s="27"/>
      <c r="AJ122" s="27"/>
      <c r="AK122" s="16"/>
      <c r="AL122" s="27"/>
      <c r="AN122" s="27"/>
      <c r="AO122" s="16"/>
      <c r="AP122" s="27"/>
      <c r="AR122" s="27"/>
      <c r="AS122" s="16"/>
      <c r="AT122" s="27"/>
      <c r="AV122" s="27"/>
      <c r="AW122" s="16"/>
      <c r="AX122" s="27"/>
      <c r="AZ122" s="27"/>
      <c r="BA122" s="16"/>
      <c r="BB122" s="27"/>
      <c r="BD122" s="27"/>
      <c r="BE122" s="16"/>
      <c r="BF122" s="27"/>
      <c r="BH122" s="27"/>
      <c r="BI122" s="16"/>
      <c r="BJ122" s="27"/>
      <c r="BL122" s="27"/>
      <c r="BM122" s="16"/>
      <c r="BN122" s="27"/>
      <c r="BP122" s="27"/>
      <c r="BQ122" s="16"/>
      <c r="BR122" s="27"/>
      <c r="BT122" s="27"/>
      <c r="BU122" s="16"/>
      <c r="BV122" s="27"/>
      <c r="BX122" s="27"/>
      <c r="BY122" s="16"/>
      <c r="BZ122" s="27"/>
      <c r="CB122" s="27"/>
      <c r="CC122" s="16"/>
      <c r="CD122" s="27"/>
      <c r="CF122" s="27"/>
      <c r="CG122" s="16"/>
      <c r="CH122" s="27"/>
      <c r="CJ122" s="27"/>
      <c r="CK122" s="16"/>
      <c r="CL122" s="27"/>
      <c r="CN122" s="27"/>
      <c r="CO122" s="16"/>
      <c r="CP122" s="27"/>
      <c r="CR122" s="27"/>
      <c r="CS122" s="16"/>
      <c r="CT122" s="27"/>
      <c r="CV122" s="27"/>
      <c r="CW122" s="16"/>
      <c r="CX122" s="27"/>
      <c r="CZ122" s="27"/>
      <c r="DA122" s="16"/>
      <c r="DB122" s="27"/>
      <c r="DD122" s="16"/>
    </row>
    <row r="123" spans="1:108" s="14" customFormat="1" ht="21" x14ac:dyDescent="0.4">
      <c r="A123" s="27"/>
      <c r="B123" s="27"/>
      <c r="D123" s="16"/>
      <c r="E123" s="27"/>
      <c r="F123" s="27"/>
      <c r="H123" s="27"/>
      <c r="I123" s="16"/>
      <c r="J123" s="27"/>
      <c r="L123" s="27"/>
      <c r="M123" s="16"/>
      <c r="N123" s="27"/>
      <c r="P123" s="27"/>
      <c r="Q123" s="16"/>
      <c r="R123" s="27"/>
      <c r="T123" s="27"/>
      <c r="U123" s="16"/>
      <c r="V123" s="27"/>
      <c r="X123" s="27"/>
      <c r="Y123" s="16"/>
      <c r="Z123" s="27"/>
      <c r="AB123" s="27"/>
      <c r="AC123" s="16"/>
      <c r="AD123" s="27"/>
      <c r="AF123" s="27"/>
      <c r="AG123" s="16"/>
      <c r="AH123" s="27"/>
      <c r="AJ123" s="27"/>
      <c r="AK123" s="16"/>
      <c r="AL123" s="27"/>
      <c r="AN123" s="27"/>
      <c r="AO123" s="16"/>
      <c r="AP123" s="27"/>
      <c r="AR123" s="27"/>
      <c r="AS123" s="16"/>
      <c r="AT123" s="27"/>
      <c r="AV123" s="27"/>
      <c r="AW123" s="16"/>
      <c r="AX123" s="27"/>
      <c r="AZ123" s="27"/>
      <c r="BA123" s="16"/>
      <c r="BB123" s="27"/>
      <c r="BD123" s="27"/>
      <c r="BE123" s="16"/>
      <c r="BF123" s="27"/>
      <c r="BH123" s="27"/>
      <c r="BI123" s="16"/>
      <c r="BJ123" s="27"/>
      <c r="BL123" s="27"/>
      <c r="BM123" s="16"/>
      <c r="BN123" s="27"/>
      <c r="BP123" s="27"/>
      <c r="BQ123" s="16"/>
      <c r="BR123" s="27"/>
      <c r="BT123" s="27"/>
      <c r="BU123" s="16"/>
      <c r="BV123" s="27"/>
      <c r="BX123" s="27"/>
      <c r="BY123" s="16"/>
      <c r="BZ123" s="27"/>
      <c r="CB123" s="27"/>
      <c r="CC123" s="16"/>
      <c r="CD123" s="27"/>
      <c r="CF123" s="27"/>
      <c r="CG123" s="16"/>
      <c r="CH123" s="27"/>
      <c r="CJ123" s="27"/>
      <c r="CK123" s="16"/>
      <c r="CL123" s="27"/>
      <c r="CN123" s="27"/>
      <c r="CO123" s="16"/>
      <c r="CP123" s="27"/>
      <c r="CR123" s="27"/>
      <c r="CS123" s="16"/>
      <c r="CT123" s="27"/>
      <c r="CV123" s="27"/>
      <c r="CW123" s="16"/>
      <c r="CX123" s="27"/>
      <c r="CZ123" s="27"/>
      <c r="DA123" s="16"/>
      <c r="DB123" s="27"/>
      <c r="DD123" s="16"/>
    </row>
    <row r="124" spans="1:108" s="14" customFormat="1" ht="21" x14ac:dyDescent="0.4">
      <c r="A124" s="27"/>
      <c r="B124" s="27"/>
      <c r="D124" s="16"/>
      <c r="E124" s="27"/>
      <c r="F124" s="27"/>
      <c r="H124" s="27"/>
      <c r="I124" s="16"/>
      <c r="J124" s="27"/>
      <c r="L124" s="27"/>
      <c r="M124" s="16"/>
      <c r="N124" s="27"/>
      <c r="P124" s="27"/>
      <c r="Q124" s="16"/>
      <c r="R124" s="27"/>
      <c r="T124" s="27"/>
      <c r="U124" s="16"/>
      <c r="V124" s="27"/>
      <c r="X124" s="27"/>
      <c r="Y124" s="16"/>
      <c r="Z124" s="27"/>
      <c r="AB124" s="27"/>
      <c r="AC124" s="16"/>
      <c r="AD124" s="27"/>
      <c r="AF124" s="27"/>
      <c r="AG124" s="16"/>
      <c r="AH124" s="27"/>
      <c r="AJ124" s="27"/>
      <c r="AK124" s="16"/>
      <c r="AL124" s="27"/>
      <c r="AN124" s="27"/>
      <c r="AO124" s="16"/>
      <c r="AP124" s="27"/>
      <c r="AR124" s="27"/>
      <c r="AS124" s="16"/>
      <c r="AT124" s="27"/>
      <c r="AV124" s="27"/>
      <c r="AW124" s="16"/>
      <c r="AX124" s="27"/>
      <c r="AZ124" s="27"/>
      <c r="BA124" s="16"/>
      <c r="BB124" s="27"/>
      <c r="BD124" s="27"/>
      <c r="BE124" s="16"/>
      <c r="BF124" s="27"/>
      <c r="BH124" s="27"/>
      <c r="BI124" s="16"/>
      <c r="BJ124" s="27"/>
      <c r="BL124" s="27"/>
      <c r="BM124" s="16"/>
      <c r="BN124" s="27"/>
      <c r="BP124" s="27"/>
      <c r="BQ124" s="16"/>
      <c r="BR124" s="27"/>
      <c r="BT124" s="27"/>
      <c r="BU124" s="16"/>
      <c r="BV124" s="27"/>
      <c r="BX124" s="27"/>
      <c r="BY124" s="16"/>
      <c r="BZ124" s="27"/>
      <c r="CB124" s="27"/>
      <c r="CC124" s="16"/>
      <c r="CD124" s="27"/>
      <c r="CF124" s="27"/>
      <c r="CG124" s="16"/>
      <c r="CH124" s="27"/>
      <c r="CJ124" s="27"/>
      <c r="CK124" s="16"/>
      <c r="CL124" s="27"/>
      <c r="CN124" s="27"/>
      <c r="CO124" s="16"/>
      <c r="CP124" s="27"/>
      <c r="CR124" s="27"/>
      <c r="CS124" s="16"/>
      <c r="CT124" s="27"/>
      <c r="CV124" s="27"/>
      <c r="CW124" s="16"/>
      <c r="CX124" s="27"/>
      <c r="CZ124" s="27"/>
      <c r="DA124" s="16"/>
      <c r="DB124" s="27"/>
      <c r="DD124" s="16"/>
    </row>
    <row r="125" spans="1:108" s="14" customFormat="1" ht="21" x14ac:dyDescent="0.4">
      <c r="A125" s="27"/>
      <c r="B125" s="27"/>
      <c r="D125" s="16"/>
      <c r="E125" s="27"/>
      <c r="F125" s="27"/>
      <c r="H125" s="27"/>
      <c r="I125" s="16"/>
      <c r="J125" s="27"/>
      <c r="L125" s="27"/>
      <c r="M125" s="16"/>
      <c r="N125" s="27"/>
      <c r="P125" s="27"/>
      <c r="Q125" s="16"/>
      <c r="R125" s="27"/>
      <c r="T125" s="27"/>
      <c r="U125" s="16"/>
      <c r="V125" s="27"/>
      <c r="X125" s="27"/>
      <c r="Y125" s="16"/>
      <c r="Z125" s="27"/>
      <c r="AB125" s="27"/>
      <c r="AC125" s="16"/>
      <c r="AD125" s="27"/>
      <c r="AF125" s="27"/>
      <c r="AG125" s="16"/>
      <c r="AH125" s="27"/>
      <c r="AJ125" s="27"/>
      <c r="AK125" s="16"/>
      <c r="AL125" s="27"/>
      <c r="AN125" s="27"/>
      <c r="AO125" s="16"/>
      <c r="AP125" s="27"/>
      <c r="AR125" s="27"/>
      <c r="AS125" s="16"/>
      <c r="AT125" s="27"/>
      <c r="AV125" s="27"/>
      <c r="AW125" s="16"/>
      <c r="AX125" s="27"/>
      <c r="AZ125" s="27"/>
      <c r="BA125" s="16"/>
      <c r="BB125" s="27"/>
      <c r="BD125" s="27"/>
      <c r="BE125" s="16"/>
      <c r="BF125" s="27"/>
      <c r="BH125" s="27"/>
      <c r="BI125" s="16"/>
      <c r="BJ125" s="27"/>
      <c r="BL125" s="27"/>
      <c r="BM125" s="16"/>
      <c r="BN125" s="27"/>
      <c r="BP125" s="27"/>
      <c r="BQ125" s="16"/>
      <c r="BR125" s="27"/>
      <c r="BT125" s="27"/>
      <c r="BU125" s="16"/>
      <c r="BV125" s="27"/>
      <c r="BX125" s="27"/>
      <c r="BY125" s="16"/>
      <c r="BZ125" s="27"/>
      <c r="CB125" s="27"/>
      <c r="CC125" s="16"/>
      <c r="CD125" s="27"/>
      <c r="CF125" s="27"/>
      <c r="CG125" s="16"/>
      <c r="CH125" s="27"/>
      <c r="CJ125" s="27"/>
      <c r="CK125" s="16"/>
      <c r="CL125" s="27"/>
      <c r="CN125" s="27"/>
      <c r="CO125" s="16"/>
      <c r="CP125" s="27"/>
      <c r="CR125" s="27"/>
      <c r="CS125" s="16"/>
      <c r="CT125" s="27"/>
      <c r="CV125" s="27"/>
      <c r="CW125" s="16"/>
      <c r="CX125" s="27"/>
      <c r="CZ125" s="27"/>
      <c r="DA125" s="16"/>
      <c r="DB125" s="27"/>
      <c r="DD125" s="16"/>
    </row>
    <row r="126" spans="1:108" s="14" customFormat="1" ht="21" x14ac:dyDescent="0.4">
      <c r="A126" s="27"/>
      <c r="B126" s="27"/>
      <c r="D126" s="16"/>
      <c r="E126" s="27"/>
      <c r="F126" s="27"/>
      <c r="H126" s="27"/>
      <c r="I126" s="16"/>
      <c r="J126" s="27"/>
      <c r="L126" s="27"/>
      <c r="M126" s="16"/>
      <c r="N126" s="27"/>
      <c r="P126" s="27"/>
      <c r="Q126" s="16"/>
      <c r="R126" s="27"/>
      <c r="T126" s="27"/>
      <c r="U126" s="16"/>
      <c r="V126" s="27"/>
      <c r="X126" s="27"/>
      <c r="Y126" s="16"/>
      <c r="Z126" s="27"/>
      <c r="AB126" s="27"/>
      <c r="AC126" s="16"/>
      <c r="AD126" s="27"/>
      <c r="AF126" s="27"/>
      <c r="AG126" s="16"/>
      <c r="AH126" s="27"/>
      <c r="AJ126" s="27"/>
      <c r="AK126" s="16"/>
      <c r="AL126" s="27"/>
      <c r="AN126" s="27"/>
      <c r="AO126" s="16"/>
      <c r="AP126" s="27"/>
      <c r="AR126" s="27"/>
      <c r="AS126" s="16"/>
      <c r="AT126" s="27"/>
      <c r="AV126" s="27"/>
      <c r="AW126" s="16"/>
      <c r="AX126" s="27"/>
      <c r="AZ126" s="27"/>
      <c r="BA126" s="16"/>
      <c r="BB126" s="27"/>
      <c r="BD126" s="27"/>
      <c r="BE126" s="16"/>
      <c r="BF126" s="27"/>
      <c r="BH126" s="27"/>
      <c r="BI126" s="16"/>
      <c r="BJ126" s="27"/>
      <c r="BL126" s="27"/>
      <c r="BM126" s="16"/>
      <c r="BN126" s="27"/>
      <c r="BP126" s="27"/>
      <c r="BQ126" s="16"/>
      <c r="BR126" s="27"/>
      <c r="BT126" s="27"/>
      <c r="BU126" s="16"/>
      <c r="BV126" s="27"/>
      <c r="BX126" s="27"/>
      <c r="BY126" s="16"/>
      <c r="BZ126" s="27"/>
      <c r="CB126" s="27"/>
      <c r="CC126" s="16"/>
      <c r="CD126" s="27"/>
      <c r="CF126" s="27"/>
      <c r="CG126" s="16"/>
      <c r="CH126" s="27"/>
      <c r="CJ126" s="27"/>
      <c r="CK126" s="16"/>
      <c r="CL126" s="27"/>
      <c r="CN126" s="27"/>
      <c r="CO126" s="16"/>
      <c r="CP126" s="27"/>
      <c r="CR126" s="27"/>
      <c r="CS126" s="16"/>
      <c r="CT126" s="27"/>
      <c r="CV126" s="27"/>
      <c r="CW126" s="16"/>
      <c r="CX126" s="27"/>
      <c r="CZ126" s="27"/>
      <c r="DA126" s="16"/>
      <c r="DB126" s="27"/>
      <c r="DD126" s="16"/>
    </row>
    <row r="127" spans="1:108" s="14" customFormat="1" ht="21" x14ac:dyDescent="0.4">
      <c r="A127" s="27"/>
      <c r="B127" s="27"/>
      <c r="D127" s="16"/>
      <c r="E127" s="27"/>
      <c r="F127" s="27"/>
      <c r="H127" s="27"/>
      <c r="I127" s="16"/>
      <c r="J127" s="27"/>
      <c r="L127" s="27"/>
      <c r="M127" s="16"/>
      <c r="N127" s="27"/>
      <c r="P127" s="27"/>
      <c r="Q127" s="16"/>
      <c r="R127" s="27"/>
      <c r="T127" s="27"/>
      <c r="U127" s="16"/>
      <c r="V127" s="27"/>
      <c r="X127" s="27"/>
      <c r="Y127" s="16"/>
      <c r="Z127" s="27"/>
      <c r="AB127" s="27"/>
      <c r="AC127" s="16"/>
      <c r="AD127" s="27"/>
      <c r="AF127" s="27"/>
      <c r="AG127" s="16"/>
      <c r="AH127" s="27"/>
      <c r="AJ127" s="27"/>
      <c r="AK127" s="16"/>
      <c r="AL127" s="27"/>
      <c r="AN127" s="27"/>
      <c r="AO127" s="16"/>
      <c r="AP127" s="27"/>
      <c r="AR127" s="27"/>
      <c r="AS127" s="16"/>
      <c r="AT127" s="27"/>
      <c r="AV127" s="27"/>
      <c r="AW127" s="16"/>
      <c r="AX127" s="27"/>
      <c r="AZ127" s="27"/>
      <c r="BA127" s="16"/>
      <c r="BB127" s="27"/>
      <c r="BD127" s="27"/>
      <c r="BE127" s="16"/>
      <c r="BF127" s="27"/>
      <c r="BH127" s="27"/>
      <c r="BI127" s="16"/>
      <c r="BJ127" s="27"/>
      <c r="BL127" s="27"/>
      <c r="BM127" s="16"/>
      <c r="BN127" s="27"/>
      <c r="BP127" s="27"/>
      <c r="BQ127" s="16"/>
      <c r="BR127" s="27"/>
      <c r="BT127" s="27"/>
      <c r="BU127" s="16"/>
      <c r="BV127" s="27"/>
      <c r="BX127" s="27"/>
      <c r="BY127" s="16"/>
      <c r="BZ127" s="27"/>
      <c r="CB127" s="27"/>
      <c r="CC127" s="16"/>
      <c r="CD127" s="27"/>
      <c r="CF127" s="27"/>
      <c r="CG127" s="16"/>
      <c r="CH127" s="27"/>
      <c r="CJ127" s="27"/>
      <c r="CK127" s="16"/>
      <c r="CL127" s="27"/>
      <c r="CN127" s="27"/>
      <c r="CO127" s="16"/>
      <c r="CP127" s="27"/>
      <c r="CR127" s="27"/>
      <c r="CS127" s="16"/>
      <c r="CT127" s="27"/>
      <c r="CV127" s="27"/>
      <c r="CW127" s="16"/>
      <c r="CX127" s="27"/>
      <c r="CZ127" s="27"/>
      <c r="DA127" s="16"/>
      <c r="DB127" s="27"/>
      <c r="DD127" s="16"/>
    </row>
    <row r="128" spans="1:108" s="14" customFormat="1" ht="21" x14ac:dyDescent="0.4">
      <c r="A128" s="27"/>
      <c r="B128" s="27"/>
      <c r="D128" s="16"/>
      <c r="E128" s="27"/>
      <c r="F128" s="27"/>
      <c r="H128" s="27"/>
      <c r="I128" s="16"/>
      <c r="J128" s="27"/>
      <c r="L128" s="27"/>
      <c r="M128" s="16"/>
      <c r="N128" s="27"/>
      <c r="P128" s="27"/>
      <c r="Q128" s="16"/>
      <c r="R128" s="27"/>
      <c r="T128" s="27"/>
      <c r="U128" s="16"/>
      <c r="V128" s="27"/>
      <c r="X128" s="27"/>
      <c r="Y128" s="16"/>
      <c r="Z128" s="27"/>
      <c r="AB128" s="27"/>
      <c r="AC128" s="16"/>
      <c r="AD128" s="27"/>
      <c r="AF128" s="27"/>
      <c r="AG128" s="16"/>
      <c r="AH128" s="27"/>
      <c r="AJ128" s="27"/>
      <c r="AK128" s="16"/>
      <c r="AL128" s="27"/>
      <c r="AN128" s="27"/>
      <c r="AO128" s="16"/>
      <c r="AP128" s="27"/>
      <c r="AR128" s="27"/>
      <c r="AS128" s="16"/>
      <c r="AT128" s="27"/>
      <c r="AV128" s="27"/>
      <c r="AW128" s="16"/>
      <c r="AX128" s="27"/>
      <c r="AZ128" s="27"/>
      <c r="BA128" s="16"/>
      <c r="BB128" s="27"/>
      <c r="BD128" s="27"/>
      <c r="BE128" s="16"/>
      <c r="BF128" s="27"/>
      <c r="BH128" s="27"/>
      <c r="BI128" s="16"/>
      <c r="BJ128" s="27"/>
      <c r="BL128" s="27"/>
      <c r="BM128" s="16"/>
      <c r="BN128" s="27"/>
      <c r="BP128" s="27"/>
      <c r="BQ128" s="16"/>
      <c r="BR128" s="27"/>
      <c r="BT128" s="27"/>
      <c r="BU128" s="16"/>
      <c r="BV128" s="27"/>
      <c r="BX128" s="27"/>
      <c r="BY128" s="16"/>
      <c r="BZ128" s="27"/>
      <c r="CB128" s="27"/>
      <c r="CC128" s="16"/>
      <c r="CD128" s="27"/>
      <c r="CF128" s="27"/>
      <c r="CG128" s="16"/>
      <c r="CH128" s="27"/>
      <c r="CJ128" s="27"/>
      <c r="CK128" s="16"/>
      <c r="CL128" s="27"/>
      <c r="CN128" s="27"/>
      <c r="CO128" s="16"/>
      <c r="CP128" s="27"/>
      <c r="CR128" s="27"/>
      <c r="CS128" s="16"/>
      <c r="CT128" s="27"/>
      <c r="CV128" s="27"/>
      <c r="CW128" s="16"/>
      <c r="CX128" s="27"/>
      <c r="CZ128" s="27"/>
      <c r="DA128" s="16"/>
      <c r="DB128" s="27"/>
      <c r="DD128" s="16"/>
    </row>
    <row r="129" spans="1:108" s="14" customFormat="1" ht="21" x14ac:dyDescent="0.4">
      <c r="A129" s="27"/>
      <c r="B129" s="27"/>
      <c r="D129" s="16"/>
      <c r="E129" s="27"/>
      <c r="F129" s="27"/>
      <c r="H129" s="27"/>
      <c r="I129" s="16"/>
      <c r="J129" s="27"/>
      <c r="L129" s="27"/>
      <c r="M129" s="16"/>
      <c r="N129" s="27"/>
      <c r="P129" s="27"/>
      <c r="Q129" s="16"/>
      <c r="R129" s="27"/>
      <c r="T129" s="27"/>
      <c r="U129" s="16"/>
      <c r="V129" s="27"/>
      <c r="X129" s="27"/>
      <c r="Y129" s="16"/>
      <c r="Z129" s="27"/>
      <c r="AB129" s="27"/>
      <c r="AC129" s="16"/>
      <c r="AD129" s="27"/>
      <c r="AF129" s="27"/>
      <c r="AG129" s="16"/>
      <c r="AH129" s="27"/>
      <c r="AJ129" s="27"/>
      <c r="AK129" s="16"/>
      <c r="AL129" s="27"/>
      <c r="AN129" s="27"/>
      <c r="AO129" s="16"/>
      <c r="AP129" s="27"/>
      <c r="AR129" s="27"/>
      <c r="AS129" s="16"/>
      <c r="AT129" s="27"/>
      <c r="AV129" s="27"/>
      <c r="AW129" s="16"/>
      <c r="AX129" s="27"/>
      <c r="AZ129" s="27"/>
      <c r="BA129" s="16"/>
      <c r="BB129" s="27"/>
      <c r="BD129" s="27"/>
      <c r="BE129" s="16"/>
      <c r="BF129" s="27"/>
      <c r="BH129" s="27"/>
      <c r="BI129" s="16"/>
      <c r="BJ129" s="27"/>
      <c r="BL129" s="27"/>
      <c r="BM129" s="16"/>
      <c r="BN129" s="27"/>
      <c r="BP129" s="27"/>
      <c r="BQ129" s="16"/>
      <c r="BR129" s="27"/>
      <c r="BT129" s="27"/>
      <c r="BU129" s="16"/>
      <c r="BV129" s="27"/>
      <c r="BX129" s="27"/>
      <c r="BY129" s="16"/>
      <c r="BZ129" s="27"/>
      <c r="CB129" s="27"/>
      <c r="CC129" s="16"/>
      <c r="CD129" s="27"/>
      <c r="CF129" s="27"/>
      <c r="CG129" s="16"/>
      <c r="CH129" s="27"/>
      <c r="CJ129" s="27"/>
      <c r="CK129" s="16"/>
      <c r="CL129" s="27"/>
      <c r="CN129" s="27"/>
      <c r="CO129" s="16"/>
      <c r="CP129" s="27"/>
      <c r="CR129" s="27"/>
      <c r="CS129" s="16"/>
      <c r="CT129" s="27"/>
      <c r="CV129" s="27"/>
      <c r="CW129" s="16"/>
      <c r="CX129" s="27"/>
      <c r="CZ129" s="27"/>
      <c r="DA129" s="16"/>
      <c r="DB129" s="27"/>
      <c r="DD129" s="16"/>
    </row>
    <row r="130" spans="1:108" s="14" customFormat="1" ht="21" x14ac:dyDescent="0.4">
      <c r="A130" s="27"/>
      <c r="B130" s="27"/>
      <c r="D130" s="16"/>
      <c r="E130" s="27"/>
      <c r="F130" s="27"/>
      <c r="H130" s="27"/>
      <c r="I130" s="16"/>
      <c r="J130" s="27"/>
      <c r="L130" s="27"/>
      <c r="M130" s="16"/>
      <c r="N130" s="27"/>
      <c r="P130" s="27"/>
      <c r="Q130" s="16"/>
      <c r="R130" s="27"/>
      <c r="T130" s="27"/>
      <c r="U130" s="16"/>
      <c r="V130" s="27"/>
      <c r="X130" s="27"/>
      <c r="Y130" s="16"/>
      <c r="Z130" s="27"/>
      <c r="AB130" s="27"/>
      <c r="AC130" s="16"/>
      <c r="AD130" s="27"/>
      <c r="AF130" s="27"/>
      <c r="AG130" s="16"/>
      <c r="AH130" s="27"/>
      <c r="AJ130" s="27"/>
      <c r="AK130" s="16"/>
      <c r="AL130" s="27"/>
      <c r="AN130" s="27"/>
      <c r="AO130" s="16"/>
      <c r="AP130" s="27"/>
      <c r="AR130" s="27"/>
      <c r="AS130" s="16"/>
      <c r="AT130" s="27"/>
      <c r="AV130" s="27"/>
      <c r="AW130" s="16"/>
      <c r="AX130" s="27"/>
      <c r="AZ130" s="27"/>
      <c r="BA130" s="16"/>
      <c r="BB130" s="27"/>
      <c r="BD130" s="27"/>
      <c r="BE130" s="16"/>
      <c r="BF130" s="27"/>
      <c r="BH130" s="27"/>
      <c r="BI130" s="16"/>
      <c r="BJ130" s="27"/>
      <c r="BL130" s="27"/>
      <c r="BM130" s="16"/>
      <c r="BN130" s="27"/>
      <c r="BP130" s="27"/>
      <c r="BQ130" s="16"/>
      <c r="BR130" s="27"/>
      <c r="BT130" s="27"/>
      <c r="BU130" s="16"/>
      <c r="BV130" s="27"/>
      <c r="BX130" s="27"/>
      <c r="BY130" s="16"/>
      <c r="BZ130" s="27"/>
      <c r="CB130" s="27"/>
      <c r="CC130" s="16"/>
      <c r="CD130" s="27"/>
      <c r="CF130" s="27"/>
      <c r="CG130" s="16"/>
      <c r="CH130" s="27"/>
      <c r="CJ130" s="27"/>
      <c r="CK130" s="16"/>
      <c r="CL130" s="27"/>
      <c r="CN130" s="27"/>
      <c r="CO130" s="16"/>
      <c r="CP130" s="27"/>
      <c r="CR130" s="27"/>
      <c r="CS130" s="16"/>
      <c r="CT130" s="27"/>
      <c r="CV130" s="27"/>
      <c r="CW130" s="16"/>
      <c r="CX130" s="27"/>
      <c r="CZ130" s="27"/>
      <c r="DA130" s="16"/>
      <c r="DB130" s="27"/>
      <c r="DD130" s="16"/>
    </row>
    <row r="131" spans="1:108" s="14" customFormat="1" ht="21" x14ac:dyDescent="0.4">
      <c r="A131" s="27"/>
      <c r="B131" s="27"/>
      <c r="D131" s="16"/>
      <c r="E131" s="27"/>
      <c r="F131" s="27"/>
      <c r="H131" s="27"/>
      <c r="I131" s="16"/>
      <c r="J131" s="27"/>
      <c r="L131" s="27"/>
      <c r="M131" s="16"/>
      <c r="N131" s="27"/>
      <c r="P131" s="27"/>
      <c r="Q131" s="16"/>
      <c r="R131" s="27"/>
      <c r="T131" s="27"/>
      <c r="U131" s="16"/>
      <c r="V131" s="27"/>
      <c r="X131" s="27"/>
      <c r="Y131" s="16"/>
      <c r="Z131" s="27"/>
      <c r="AB131" s="27"/>
      <c r="AC131" s="16"/>
      <c r="AD131" s="27"/>
      <c r="AF131" s="27"/>
      <c r="AG131" s="16"/>
      <c r="AH131" s="27"/>
      <c r="AJ131" s="27"/>
      <c r="AK131" s="16"/>
      <c r="AL131" s="27"/>
      <c r="AN131" s="27"/>
      <c r="AO131" s="16"/>
      <c r="AP131" s="27"/>
      <c r="AR131" s="27"/>
      <c r="AS131" s="16"/>
      <c r="AT131" s="27"/>
      <c r="AV131" s="27"/>
      <c r="AW131" s="16"/>
      <c r="AX131" s="27"/>
      <c r="AZ131" s="27"/>
      <c r="BA131" s="16"/>
      <c r="BB131" s="27"/>
      <c r="BD131" s="27"/>
      <c r="BE131" s="16"/>
      <c r="BF131" s="27"/>
      <c r="BH131" s="27"/>
      <c r="BI131" s="16"/>
      <c r="BJ131" s="27"/>
      <c r="BL131" s="27"/>
      <c r="BM131" s="16"/>
      <c r="BN131" s="27"/>
      <c r="BP131" s="27"/>
      <c r="BQ131" s="16"/>
      <c r="BR131" s="27"/>
      <c r="BT131" s="27"/>
      <c r="BU131" s="16"/>
      <c r="BV131" s="27"/>
      <c r="BX131" s="27"/>
      <c r="BY131" s="16"/>
      <c r="BZ131" s="27"/>
      <c r="CB131" s="27"/>
      <c r="CC131" s="16"/>
      <c r="CD131" s="27"/>
      <c r="CF131" s="27"/>
      <c r="CG131" s="16"/>
      <c r="CH131" s="27"/>
      <c r="CJ131" s="27"/>
      <c r="CK131" s="16"/>
      <c r="CL131" s="27"/>
      <c r="CN131" s="27"/>
      <c r="CO131" s="16"/>
      <c r="CP131" s="27"/>
      <c r="CR131" s="27"/>
      <c r="CS131" s="16"/>
      <c r="CT131" s="27"/>
      <c r="CV131" s="27"/>
      <c r="CW131" s="16"/>
      <c r="CX131" s="27"/>
      <c r="CZ131" s="27"/>
      <c r="DA131" s="16"/>
      <c r="DB131" s="27"/>
      <c r="DD131" s="16"/>
    </row>
    <row r="132" spans="1:108" s="14" customFormat="1" ht="21" x14ac:dyDescent="0.4">
      <c r="A132" s="27"/>
      <c r="B132" s="27"/>
      <c r="D132" s="16"/>
      <c r="E132" s="27"/>
      <c r="F132" s="27"/>
      <c r="H132" s="27"/>
      <c r="I132" s="16"/>
      <c r="J132" s="27"/>
      <c r="L132" s="27"/>
      <c r="M132" s="16"/>
      <c r="N132" s="27"/>
      <c r="P132" s="27"/>
      <c r="Q132" s="16"/>
      <c r="R132" s="27"/>
      <c r="T132" s="27"/>
      <c r="U132" s="16"/>
      <c r="V132" s="27"/>
      <c r="X132" s="27"/>
      <c r="Y132" s="16"/>
      <c r="Z132" s="27"/>
      <c r="AB132" s="27"/>
      <c r="AC132" s="16"/>
      <c r="AD132" s="27"/>
      <c r="AF132" s="27"/>
      <c r="AG132" s="16"/>
      <c r="AH132" s="27"/>
      <c r="AJ132" s="27"/>
      <c r="AK132" s="16"/>
      <c r="AL132" s="27"/>
      <c r="AN132" s="27"/>
      <c r="AO132" s="16"/>
      <c r="AP132" s="27"/>
      <c r="AR132" s="27"/>
      <c r="AS132" s="16"/>
      <c r="AT132" s="27"/>
      <c r="AV132" s="27"/>
      <c r="AW132" s="16"/>
      <c r="AX132" s="27"/>
      <c r="AZ132" s="27"/>
      <c r="BA132" s="16"/>
      <c r="BB132" s="27"/>
      <c r="BD132" s="27"/>
      <c r="BE132" s="16"/>
      <c r="BF132" s="27"/>
      <c r="BH132" s="27"/>
      <c r="BI132" s="16"/>
      <c r="BJ132" s="27"/>
      <c r="BL132" s="27"/>
      <c r="BM132" s="16"/>
      <c r="BN132" s="27"/>
      <c r="BP132" s="27"/>
      <c r="BQ132" s="16"/>
      <c r="BR132" s="27"/>
      <c r="BT132" s="27"/>
      <c r="BU132" s="16"/>
      <c r="BV132" s="27"/>
      <c r="BX132" s="27"/>
      <c r="BY132" s="16"/>
      <c r="BZ132" s="27"/>
      <c r="CB132" s="27"/>
      <c r="CC132" s="16"/>
      <c r="CD132" s="27"/>
      <c r="CF132" s="27"/>
      <c r="CG132" s="16"/>
      <c r="CH132" s="27"/>
      <c r="CJ132" s="27"/>
      <c r="CK132" s="16"/>
      <c r="CL132" s="27"/>
      <c r="CN132" s="27"/>
      <c r="CO132" s="16"/>
      <c r="CP132" s="27"/>
      <c r="CR132" s="27"/>
      <c r="CS132" s="16"/>
      <c r="CT132" s="27"/>
      <c r="CV132" s="27"/>
      <c r="CW132" s="16"/>
      <c r="CX132" s="27"/>
      <c r="CZ132" s="27"/>
      <c r="DA132" s="16"/>
      <c r="DB132" s="27"/>
      <c r="DD132" s="16"/>
    </row>
    <row r="133" spans="1:108" s="14" customFormat="1" ht="21" x14ac:dyDescent="0.4">
      <c r="A133" s="27"/>
      <c r="B133" s="27"/>
      <c r="D133" s="16"/>
      <c r="E133" s="27"/>
      <c r="F133" s="27"/>
      <c r="H133" s="27"/>
      <c r="I133" s="16"/>
      <c r="J133" s="27"/>
      <c r="L133" s="27"/>
      <c r="M133" s="16"/>
      <c r="N133" s="27"/>
      <c r="P133" s="27"/>
      <c r="Q133" s="16"/>
      <c r="R133" s="27"/>
      <c r="T133" s="27"/>
      <c r="U133" s="16"/>
      <c r="V133" s="27"/>
      <c r="X133" s="27"/>
      <c r="Y133" s="16"/>
      <c r="Z133" s="27"/>
      <c r="AB133" s="27"/>
      <c r="AC133" s="16"/>
      <c r="AD133" s="27"/>
      <c r="AF133" s="27"/>
      <c r="AG133" s="16"/>
      <c r="AH133" s="27"/>
      <c r="AJ133" s="27"/>
      <c r="AK133" s="16"/>
      <c r="AL133" s="27"/>
      <c r="AN133" s="27"/>
      <c r="AO133" s="16"/>
      <c r="AP133" s="27"/>
      <c r="AR133" s="27"/>
      <c r="AS133" s="16"/>
      <c r="AT133" s="27"/>
      <c r="AV133" s="27"/>
      <c r="AW133" s="16"/>
      <c r="AX133" s="27"/>
      <c r="AZ133" s="27"/>
      <c r="BA133" s="16"/>
      <c r="BB133" s="27"/>
      <c r="BD133" s="27"/>
      <c r="BE133" s="16"/>
      <c r="BF133" s="27"/>
      <c r="BH133" s="27"/>
      <c r="BI133" s="16"/>
      <c r="BJ133" s="27"/>
      <c r="BL133" s="27"/>
      <c r="BM133" s="16"/>
      <c r="BN133" s="27"/>
      <c r="BP133" s="27"/>
      <c r="BQ133" s="16"/>
      <c r="BR133" s="27"/>
      <c r="BT133" s="27"/>
      <c r="BU133" s="16"/>
      <c r="BV133" s="27"/>
      <c r="BX133" s="27"/>
      <c r="BY133" s="16"/>
      <c r="BZ133" s="27"/>
      <c r="CB133" s="27"/>
      <c r="CC133" s="16"/>
      <c r="CD133" s="27"/>
      <c r="CF133" s="27"/>
      <c r="CG133" s="16"/>
      <c r="CH133" s="27"/>
      <c r="CJ133" s="27"/>
      <c r="CK133" s="16"/>
      <c r="CL133" s="27"/>
      <c r="CN133" s="27"/>
      <c r="CO133" s="16"/>
      <c r="CP133" s="27"/>
      <c r="CR133" s="27"/>
      <c r="CS133" s="16"/>
      <c r="CT133" s="27"/>
      <c r="CV133" s="27"/>
      <c r="CW133" s="16"/>
      <c r="CX133" s="27"/>
      <c r="CZ133" s="27"/>
      <c r="DA133" s="16"/>
      <c r="DB133" s="27"/>
      <c r="DD133" s="16"/>
    </row>
    <row r="134" spans="1:108" s="14" customFormat="1" ht="21" x14ac:dyDescent="0.4">
      <c r="A134" s="27"/>
      <c r="B134" s="27"/>
      <c r="D134" s="16"/>
      <c r="E134" s="27"/>
      <c r="F134" s="27"/>
      <c r="H134" s="27"/>
      <c r="I134" s="16"/>
      <c r="J134" s="27"/>
      <c r="L134" s="27"/>
      <c r="M134" s="16"/>
      <c r="N134" s="27"/>
      <c r="P134" s="27"/>
      <c r="Q134" s="16"/>
      <c r="R134" s="27"/>
      <c r="T134" s="27"/>
      <c r="U134" s="16"/>
      <c r="V134" s="27"/>
      <c r="X134" s="27"/>
      <c r="Y134" s="16"/>
      <c r="Z134" s="27"/>
      <c r="AB134" s="27"/>
      <c r="AC134" s="16"/>
      <c r="AD134" s="27"/>
      <c r="AF134" s="27"/>
      <c r="AG134" s="16"/>
      <c r="AH134" s="27"/>
      <c r="AJ134" s="27"/>
      <c r="AK134" s="16"/>
      <c r="AL134" s="27"/>
      <c r="AN134" s="27"/>
      <c r="AO134" s="16"/>
      <c r="AP134" s="27"/>
      <c r="AR134" s="27"/>
      <c r="AS134" s="16"/>
      <c r="AT134" s="27"/>
      <c r="AV134" s="27"/>
      <c r="AW134" s="16"/>
      <c r="AX134" s="27"/>
      <c r="AZ134" s="27"/>
      <c r="BA134" s="16"/>
      <c r="BB134" s="27"/>
      <c r="BD134" s="27"/>
      <c r="BE134" s="16"/>
      <c r="BF134" s="27"/>
      <c r="BH134" s="27"/>
      <c r="BI134" s="16"/>
      <c r="BJ134" s="27"/>
      <c r="BL134" s="27"/>
      <c r="BM134" s="16"/>
      <c r="BN134" s="27"/>
      <c r="BP134" s="27"/>
      <c r="BQ134" s="16"/>
      <c r="BR134" s="27"/>
      <c r="BT134" s="27"/>
      <c r="BU134" s="16"/>
      <c r="BV134" s="27"/>
      <c r="BX134" s="27"/>
      <c r="BY134" s="16"/>
      <c r="BZ134" s="27"/>
      <c r="CB134" s="27"/>
      <c r="CC134" s="16"/>
      <c r="CD134" s="27"/>
      <c r="CF134" s="27"/>
      <c r="CG134" s="16"/>
      <c r="CH134" s="27"/>
      <c r="CJ134" s="27"/>
      <c r="CK134" s="16"/>
      <c r="CL134" s="27"/>
      <c r="CN134" s="27"/>
      <c r="CO134" s="16"/>
      <c r="CP134" s="27"/>
      <c r="CR134" s="27"/>
      <c r="CS134" s="16"/>
      <c r="CT134" s="27"/>
      <c r="CV134" s="27"/>
      <c r="CW134" s="16"/>
      <c r="CX134" s="27"/>
      <c r="CZ134" s="27"/>
      <c r="DA134" s="16"/>
      <c r="DB134" s="27"/>
      <c r="DD134" s="16"/>
    </row>
    <row r="135" spans="1:108" s="14" customFormat="1" ht="21" x14ac:dyDescent="0.4">
      <c r="A135" s="27"/>
      <c r="B135" s="27"/>
      <c r="D135" s="16"/>
      <c r="E135" s="27"/>
      <c r="F135" s="27"/>
      <c r="H135" s="27"/>
      <c r="I135" s="16"/>
      <c r="J135" s="27"/>
      <c r="L135" s="27"/>
      <c r="M135" s="16"/>
      <c r="N135" s="27"/>
      <c r="P135" s="27"/>
      <c r="Q135" s="16"/>
      <c r="R135" s="27"/>
      <c r="T135" s="27"/>
      <c r="U135" s="16"/>
      <c r="V135" s="27"/>
      <c r="X135" s="27"/>
      <c r="Y135" s="16"/>
      <c r="Z135" s="27"/>
      <c r="AB135" s="27"/>
      <c r="AC135" s="16"/>
      <c r="AD135" s="27"/>
      <c r="AF135" s="27"/>
      <c r="AG135" s="16"/>
      <c r="AH135" s="27"/>
      <c r="AJ135" s="27"/>
      <c r="AK135" s="16"/>
      <c r="AL135" s="27"/>
      <c r="AN135" s="27"/>
      <c r="AO135" s="16"/>
      <c r="AP135" s="27"/>
      <c r="AR135" s="27"/>
      <c r="AS135" s="16"/>
      <c r="AT135" s="27"/>
      <c r="AV135" s="27"/>
      <c r="AW135" s="16"/>
      <c r="AX135" s="27"/>
      <c r="AZ135" s="27"/>
      <c r="BA135" s="16"/>
      <c r="BB135" s="27"/>
      <c r="BD135" s="27"/>
      <c r="BE135" s="16"/>
      <c r="BF135" s="27"/>
      <c r="BH135" s="27"/>
      <c r="BI135" s="16"/>
      <c r="BJ135" s="27"/>
      <c r="BL135" s="27"/>
      <c r="BM135" s="16"/>
      <c r="BN135" s="27"/>
      <c r="BP135" s="27"/>
      <c r="BQ135" s="16"/>
      <c r="BR135" s="27"/>
      <c r="BT135" s="27"/>
      <c r="BU135" s="16"/>
      <c r="BV135" s="27"/>
      <c r="BX135" s="27"/>
      <c r="BY135" s="16"/>
      <c r="BZ135" s="27"/>
      <c r="CB135" s="27"/>
      <c r="CC135" s="16"/>
      <c r="CD135" s="27"/>
      <c r="CF135" s="27"/>
      <c r="CG135" s="16"/>
      <c r="CH135" s="27"/>
      <c r="CJ135" s="27"/>
      <c r="CK135" s="16"/>
      <c r="CL135" s="27"/>
      <c r="CN135" s="27"/>
      <c r="CO135" s="16"/>
      <c r="CP135" s="27"/>
      <c r="CR135" s="27"/>
      <c r="CS135" s="16"/>
      <c r="CT135" s="27"/>
      <c r="CV135" s="27"/>
      <c r="CW135" s="16"/>
      <c r="CX135" s="27"/>
      <c r="CZ135" s="27"/>
      <c r="DA135" s="16"/>
      <c r="DB135" s="27"/>
      <c r="DD135" s="16"/>
    </row>
    <row r="136" spans="1:108" s="14" customFormat="1" ht="21" x14ac:dyDescent="0.4">
      <c r="A136" s="27"/>
      <c r="B136" s="27"/>
      <c r="D136" s="16"/>
      <c r="E136" s="27"/>
      <c r="F136" s="27"/>
      <c r="H136" s="27"/>
      <c r="I136" s="16"/>
      <c r="J136" s="27"/>
      <c r="L136" s="27"/>
      <c r="M136" s="16"/>
      <c r="N136" s="27"/>
      <c r="P136" s="27"/>
      <c r="Q136" s="16"/>
      <c r="R136" s="27"/>
      <c r="T136" s="27"/>
      <c r="U136" s="16"/>
      <c r="V136" s="27"/>
      <c r="X136" s="27"/>
      <c r="Y136" s="16"/>
      <c r="Z136" s="27"/>
      <c r="AB136" s="27"/>
      <c r="AC136" s="16"/>
      <c r="AD136" s="27"/>
      <c r="AF136" s="27"/>
      <c r="AG136" s="16"/>
      <c r="AH136" s="27"/>
      <c r="AJ136" s="27"/>
      <c r="AK136" s="16"/>
      <c r="AL136" s="27"/>
      <c r="AN136" s="27"/>
      <c r="AO136" s="16"/>
      <c r="AP136" s="27"/>
      <c r="AR136" s="27"/>
      <c r="AS136" s="16"/>
      <c r="AT136" s="27"/>
      <c r="AV136" s="27"/>
      <c r="AW136" s="16"/>
      <c r="AX136" s="27"/>
      <c r="AZ136" s="27"/>
      <c r="BA136" s="16"/>
      <c r="BB136" s="27"/>
      <c r="BD136" s="27"/>
      <c r="BE136" s="16"/>
      <c r="BF136" s="27"/>
      <c r="BH136" s="27"/>
      <c r="BI136" s="16"/>
      <c r="BJ136" s="27"/>
      <c r="BL136" s="27"/>
      <c r="BM136" s="16"/>
      <c r="BN136" s="27"/>
      <c r="BP136" s="27"/>
      <c r="BQ136" s="16"/>
      <c r="BR136" s="27"/>
      <c r="BT136" s="27"/>
      <c r="BU136" s="16"/>
      <c r="BV136" s="27"/>
      <c r="BX136" s="27"/>
      <c r="BY136" s="16"/>
      <c r="BZ136" s="27"/>
      <c r="CB136" s="27"/>
      <c r="CC136" s="16"/>
      <c r="CD136" s="27"/>
      <c r="CF136" s="27"/>
      <c r="CG136" s="16"/>
      <c r="CH136" s="27"/>
      <c r="CJ136" s="27"/>
      <c r="CK136" s="16"/>
      <c r="CL136" s="27"/>
      <c r="CN136" s="27"/>
      <c r="CO136" s="16"/>
      <c r="CP136" s="27"/>
      <c r="CR136" s="27"/>
      <c r="CS136" s="16"/>
      <c r="CT136" s="27"/>
      <c r="CV136" s="27"/>
      <c r="CW136" s="16"/>
      <c r="CX136" s="27"/>
      <c r="CZ136" s="27"/>
      <c r="DA136" s="16"/>
      <c r="DB136" s="27"/>
      <c r="DD136" s="16"/>
    </row>
    <row r="137" spans="1:108" s="14" customFormat="1" ht="21" x14ac:dyDescent="0.4">
      <c r="A137" s="27"/>
      <c r="B137" s="27"/>
      <c r="D137" s="16"/>
      <c r="E137" s="27"/>
      <c r="F137" s="27"/>
      <c r="H137" s="27"/>
      <c r="I137" s="16"/>
      <c r="J137" s="27"/>
      <c r="L137" s="27"/>
      <c r="M137" s="16"/>
      <c r="N137" s="27"/>
      <c r="P137" s="27"/>
      <c r="Q137" s="16"/>
      <c r="R137" s="27"/>
      <c r="T137" s="27"/>
      <c r="U137" s="16"/>
      <c r="V137" s="27"/>
      <c r="X137" s="27"/>
      <c r="Y137" s="16"/>
      <c r="Z137" s="27"/>
      <c r="AB137" s="27"/>
      <c r="AC137" s="16"/>
      <c r="AD137" s="27"/>
      <c r="AF137" s="27"/>
      <c r="AG137" s="16"/>
      <c r="AH137" s="27"/>
      <c r="AJ137" s="27"/>
      <c r="AK137" s="16"/>
      <c r="AL137" s="27"/>
      <c r="AN137" s="27"/>
      <c r="AO137" s="16"/>
      <c r="AP137" s="27"/>
      <c r="AR137" s="27"/>
      <c r="AS137" s="16"/>
      <c r="AT137" s="27"/>
      <c r="AV137" s="27"/>
      <c r="AW137" s="16"/>
      <c r="AX137" s="27"/>
      <c r="AZ137" s="27"/>
      <c r="BA137" s="16"/>
      <c r="BB137" s="27"/>
      <c r="BD137" s="27"/>
      <c r="BE137" s="16"/>
      <c r="BF137" s="27"/>
      <c r="BH137" s="27"/>
      <c r="BI137" s="16"/>
      <c r="BJ137" s="27"/>
      <c r="BL137" s="27"/>
      <c r="BM137" s="16"/>
      <c r="BN137" s="27"/>
      <c r="BP137" s="27"/>
      <c r="BQ137" s="16"/>
      <c r="BR137" s="27"/>
      <c r="BT137" s="27"/>
      <c r="BU137" s="16"/>
      <c r="BV137" s="27"/>
      <c r="BX137" s="27"/>
      <c r="BY137" s="16"/>
      <c r="BZ137" s="27"/>
      <c r="CB137" s="27"/>
      <c r="CC137" s="16"/>
      <c r="CD137" s="27"/>
      <c r="CF137" s="27"/>
      <c r="CG137" s="16"/>
      <c r="CH137" s="27"/>
      <c r="CJ137" s="27"/>
      <c r="CK137" s="16"/>
      <c r="CL137" s="27"/>
      <c r="CN137" s="27"/>
      <c r="CO137" s="16"/>
      <c r="CP137" s="27"/>
      <c r="CR137" s="27"/>
      <c r="CS137" s="16"/>
      <c r="CT137" s="27"/>
      <c r="CV137" s="27"/>
      <c r="CW137" s="16"/>
      <c r="CX137" s="27"/>
      <c r="CZ137" s="27"/>
      <c r="DA137" s="16"/>
      <c r="DB137" s="27"/>
      <c r="DD137" s="16"/>
    </row>
    <row r="138" spans="1:108" s="14" customFormat="1" ht="21" x14ac:dyDescent="0.4">
      <c r="A138" s="27"/>
      <c r="B138" s="27"/>
      <c r="D138" s="16"/>
      <c r="E138" s="27"/>
      <c r="F138" s="27"/>
      <c r="H138" s="27"/>
      <c r="I138" s="16"/>
      <c r="J138" s="27"/>
      <c r="L138" s="27"/>
      <c r="M138" s="16"/>
      <c r="N138" s="27"/>
      <c r="P138" s="27"/>
      <c r="Q138" s="16"/>
      <c r="R138" s="27"/>
      <c r="T138" s="27"/>
      <c r="U138" s="16"/>
      <c r="V138" s="27"/>
      <c r="X138" s="27"/>
      <c r="Y138" s="16"/>
      <c r="Z138" s="27"/>
      <c r="AB138" s="27"/>
      <c r="AC138" s="16"/>
      <c r="AD138" s="27"/>
      <c r="AF138" s="27"/>
      <c r="AG138" s="16"/>
      <c r="AH138" s="27"/>
      <c r="AJ138" s="27"/>
      <c r="AK138" s="16"/>
      <c r="AL138" s="27"/>
      <c r="AN138" s="27"/>
      <c r="AO138" s="16"/>
      <c r="AP138" s="27"/>
      <c r="AR138" s="27"/>
      <c r="AS138" s="16"/>
      <c r="AT138" s="27"/>
      <c r="AV138" s="27"/>
      <c r="AW138" s="16"/>
      <c r="AX138" s="27"/>
      <c r="AZ138" s="27"/>
      <c r="BA138" s="16"/>
      <c r="BB138" s="27"/>
      <c r="BD138" s="27"/>
      <c r="BE138" s="16"/>
      <c r="BF138" s="27"/>
      <c r="BH138" s="27"/>
      <c r="BI138" s="16"/>
      <c r="BJ138" s="27"/>
      <c r="BL138" s="27"/>
      <c r="BM138" s="16"/>
      <c r="BN138" s="27"/>
      <c r="BP138" s="27"/>
      <c r="BQ138" s="16"/>
      <c r="BR138" s="27"/>
      <c r="BT138" s="27"/>
      <c r="BU138" s="16"/>
      <c r="BV138" s="27"/>
      <c r="BX138" s="27"/>
      <c r="BY138" s="16"/>
      <c r="BZ138" s="27"/>
      <c r="CB138" s="27"/>
      <c r="CC138" s="16"/>
      <c r="CD138" s="27"/>
      <c r="CF138" s="27"/>
      <c r="CG138" s="16"/>
      <c r="CH138" s="27"/>
      <c r="CJ138" s="27"/>
      <c r="CK138" s="16"/>
      <c r="CL138" s="27"/>
      <c r="CN138" s="27"/>
      <c r="CO138" s="16"/>
      <c r="CP138" s="27"/>
      <c r="CR138" s="27"/>
      <c r="CS138" s="16"/>
      <c r="CT138" s="27"/>
      <c r="CV138" s="27"/>
      <c r="CW138" s="16"/>
      <c r="CX138" s="27"/>
      <c r="CZ138" s="27"/>
      <c r="DA138" s="16"/>
      <c r="DB138" s="27"/>
      <c r="DD138" s="16"/>
    </row>
    <row r="139" spans="1:108" s="14" customFormat="1" ht="21" x14ac:dyDescent="0.4">
      <c r="A139" s="27"/>
      <c r="B139" s="27"/>
      <c r="D139" s="16"/>
      <c r="E139" s="27"/>
      <c r="F139" s="27"/>
      <c r="H139" s="27"/>
      <c r="I139" s="16"/>
      <c r="J139" s="27"/>
      <c r="L139" s="27"/>
      <c r="M139" s="16"/>
      <c r="N139" s="27"/>
      <c r="P139" s="27"/>
      <c r="Q139" s="16"/>
      <c r="R139" s="27"/>
      <c r="T139" s="27"/>
      <c r="U139" s="16"/>
      <c r="V139" s="27"/>
      <c r="X139" s="27"/>
      <c r="Y139" s="16"/>
      <c r="Z139" s="27"/>
      <c r="AB139" s="27"/>
      <c r="AC139" s="16"/>
      <c r="AD139" s="27"/>
      <c r="AF139" s="27"/>
      <c r="AG139" s="16"/>
      <c r="AH139" s="27"/>
      <c r="AJ139" s="27"/>
      <c r="AK139" s="16"/>
      <c r="AL139" s="27"/>
      <c r="AN139" s="27"/>
      <c r="AO139" s="16"/>
      <c r="AP139" s="27"/>
      <c r="AR139" s="27"/>
      <c r="AS139" s="16"/>
      <c r="AT139" s="27"/>
      <c r="AV139" s="27"/>
      <c r="AW139" s="16"/>
      <c r="AX139" s="27"/>
      <c r="AZ139" s="27"/>
      <c r="BA139" s="16"/>
      <c r="BB139" s="27"/>
      <c r="BD139" s="27"/>
      <c r="BE139" s="16"/>
      <c r="BF139" s="27"/>
      <c r="BH139" s="27"/>
      <c r="BI139" s="16"/>
      <c r="BJ139" s="27"/>
      <c r="BL139" s="27"/>
      <c r="BM139" s="16"/>
      <c r="BN139" s="27"/>
      <c r="BP139" s="27"/>
      <c r="BQ139" s="16"/>
      <c r="BR139" s="27"/>
      <c r="BT139" s="27"/>
      <c r="BU139" s="16"/>
      <c r="BV139" s="27"/>
      <c r="BX139" s="27"/>
      <c r="BY139" s="16"/>
      <c r="BZ139" s="27"/>
      <c r="CB139" s="27"/>
      <c r="CC139" s="16"/>
      <c r="CD139" s="27"/>
      <c r="CF139" s="27"/>
      <c r="CG139" s="16"/>
      <c r="CH139" s="27"/>
      <c r="CJ139" s="27"/>
      <c r="CK139" s="16"/>
      <c r="CL139" s="27"/>
      <c r="CN139" s="27"/>
      <c r="CO139" s="16"/>
      <c r="CP139" s="27"/>
      <c r="CR139" s="27"/>
      <c r="CS139" s="16"/>
      <c r="CT139" s="27"/>
      <c r="CV139" s="27"/>
      <c r="CW139" s="16"/>
      <c r="CX139" s="27"/>
      <c r="CZ139" s="27"/>
      <c r="DA139" s="16"/>
      <c r="DB139" s="27"/>
      <c r="DD139" s="16"/>
    </row>
    <row r="140" spans="1:108" s="14" customFormat="1" ht="21" x14ac:dyDescent="0.4">
      <c r="A140" s="27"/>
      <c r="B140" s="27"/>
      <c r="D140" s="16"/>
      <c r="E140" s="27"/>
      <c r="F140" s="27"/>
      <c r="H140" s="27"/>
      <c r="I140" s="16"/>
      <c r="J140" s="27"/>
      <c r="L140" s="27"/>
      <c r="M140" s="16"/>
      <c r="N140" s="27"/>
      <c r="P140" s="27"/>
      <c r="Q140" s="16"/>
      <c r="R140" s="27"/>
      <c r="T140" s="27"/>
      <c r="U140" s="16"/>
      <c r="V140" s="27"/>
      <c r="X140" s="27"/>
      <c r="Y140" s="16"/>
      <c r="Z140" s="27"/>
      <c r="AB140" s="27"/>
      <c r="AC140" s="16"/>
      <c r="AD140" s="27"/>
      <c r="AF140" s="27"/>
      <c r="AG140" s="16"/>
      <c r="AH140" s="27"/>
      <c r="AJ140" s="27"/>
      <c r="AK140" s="16"/>
      <c r="AL140" s="27"/>
      <c r="AN140" s="27"/>
      <c r="AO140" s="16"/>
      <c r="AP140" s="27"/>
      <c r="AR140" s="27"/>
      <c r="AS140" s="16"/>
      <c r="AT140" s="27"/>
      <c r="AV140" s="27"/>
      <c r="AW140" s="16"/>
      <c r="AX140" s="27"/>
      <c r="AZ140" s="27"/>
      <c r="BA140" s="16"/>
      <c r="BB140" s="27"/>
      <c r="BD140" s="27"/>
      <c r="BE140" s="16"/>
      <c r="BF140" s="27"/>
      <c r="BH140" s="27"/>
      <c r="BI140" s="16"/>
      <c r="BJ140" s="27"/>
      <c r="BL140" s="27"/>
      <c r="BM140" s="16"/>
      <c r="BN140" s="27"/>
      <c r="BP140" s="27"/>
      <c r="BQ140" s="16"/>
      <c r="BR140" s="27"/>
      <c r="BT140" s="27"/>
      <c r="BU140" s="16"/>
      <c r="BV140" s="27"/>
      <c r="BX140" s="27"/>
      <c r="BY140" s="16"/>
      <c r="BZ140" s="27"/>
      <c r="CB140" s="27"/>
      <c r="CC140" s="16"/>
      <c r="CD140" s="27"/>
      <c r="CF140" s="27"/>
      <c r="CG140" s="16"/>
      <c r="CH140" s="27"/>
      <c r="CJ140" s="27"/>
      <c r="CK140" s="16"/>
      <c r="CL140" s="27"/>
      <c r="CN140" s="27"/>
      <c r="CO140" s="16"/>
      <c r="CP140" s="27"/>
      <c r="CR140" s="27"/>
      <c r="CS140" s="16"/>
      <c r="CT140" s="27"/>
      <c r="CV140" s="27"/>
      <c r="CW140" s="16"/>
      <c r="CX140" s="27"/>
      <c r="CZ140" s="27"/>
      <c r="DA140" s="16"/>
      <c r="DB140" s="27"/>
      <c r="DD140" s="16"/>
    </row>
    <row r="141" spans="1:108" s="14" customFormat="1" ht="21" x14ac:dyDescent="0.4">
      <c r="A141" s="27"/>
      <c r="B141" s="27"/>
      <c r="D141" s="16"/>
      <c r="E141" s="27"/>
      <c r="F141" s="27"/>
      <c r="H141" s="27"/>
      <c r="I141" s="16"/>
      <c r="J141" s="27"/>
      <c r="L141" s="27"/>
      <c r="M141" s="16"/>
      <c r="N141" s="27"/>
      <c r="P141" s="27"/>
      <c r="Q141" s="16"/>
      <c r="R141" s="27"/>
      <c r="T141" s="27"/>
      <c r="U141" s="16"/>
      <c r="V141" s="27"/>
      <c r="X141" s="27"/>
      <c r="Y141" s="16"/>
      <c r="Z141" s="27"/>
      <c r="AB141" s="27"/>
      <c r="AC141" s="16"/>
      <c r="AD141" s="27"/>
      <c r="AF141" s="27"/>
      <c r="AG141" s="16"/>
      <c r="AH141" s="27"/>
      <c r="AJ141" s="27"/>
      <c r="AK141" s="16"/>
      <c r="AL141" s="27"/>
      <c r="AN141" s="27"/>
      <c r="AO141" s="16"/>
      <c r="AP141" s="27"/>
      <c r="AR141" s="27"/>
      <c r="AS141" s="16"/>
      <c r="AT141" s="27"/>
      <c r="AV141" s="27"/>
      <c r="AW141" s="16"/>
      <c r="AX141" s="27"/>
      <c r="AZ141" s="27"/>
      <c r="BA141" s="16"/>
      <c r="BB141" s="27"/>
      <c r="BD141" s="27"/>
      <c r="BE141" s="16"/>
      <c r="BF141" s="27"/>
      <c r="BH141" s="27"/>
      <c r="BI141" s="16"/>
      <c r="BJ141" s="27"/>
      <c r="BL141" s="27"/>
      <c r="BM141" s="16"/>
      <c r="BN141" s="27"/>
      <c r="BP141" s="27"/>
      <c r="BQ141" s="16"/>
      <c r="BR141" s="27"/>
      <c r="BT141" s="27"/>
      <c r="BU141" s="16"/>
      <c r="BV141" s="27"/>
      <c r="BX141" s="27"/>
      <c r="BY141" s="16"/>
      <c r="BZ141" s="27"/>
      <c r="CB141" s="27"/>
      <c r="CC141" s="16"/>
      <c r="CD141" s="27"/>
      <c r="CF141" s="27"/>
      <c r="CG141" s="16"/>
      <c r="CH141" s="27"/>
      <c r="CJ141" s="27"/>
      <c r="CK141" s="16"/>
      <c r="CL141" s="27"/>
      <c r="CN141" s="27"/>
      <c r="CO141" s="16"/>
      <c r="CP141" s="27"/>
      <c r="CR141" s="27"/>
      <c r="CS141" s="16"/>
      <c r="CT141" s="27"/>
      <c r="CV141" s="27"/>
      <c r="CW141" s="16"/>
      <c r="CX141" s="27"/>
      <c r="CZ141" s="27"/>
      <c r="DA141" s="16"/>
      <c r="DB141" s="27"/>
      <c r="DD141" s="16"/>
    </row>
    <row r="142" spans="1:108" s="14" customFormat="1" ht="21" x14ac:dyDescent="0.4">
      <c r="A142" s="27"/>
      <c r="B142" s="27"/>
      <c r="D142" s="16"/>
      <c r="E142" s="27"/>
      <c r="F142" s="27"/>
      <c r="H142" s="27"/>
      <c r="I142" s="16"/>
      <c r="J142" s="27"/>
      <c r="L142" s="27"/>
      <c r="M142" s="16"/>
      <c r="N142" s="27"/>
      <c r="P142" s="27"/>
      <c r="Q142" s="16"/>
      <c r="R142" s="27"/>
      <c r="T142" s="27"/>
      <c r="U142" s="16"/>
      <c r="V142" s="27"/>
      <c r="X142" s="27"/>
      <c r="Y142" s="16"/>
      <c r="Z142" s="27"/>
      <c r="AB142" s="27"/>
      <c r="AC142" s="16"/>
      <c r="AD142" s="27"/>
      <c r="AF142" s="27"/>
      <c r="AG142" s="16"/>
      <c r="AH142" s="27"/>
      <c r="AJ142" s="27"/>
      <c r="AK142" s="16"/>
      <c r="AL142" s="27"/>
      <c r="AN142" s="27"/>
      <c r="AO142" s="16"/>
      <c r="AP142" s="27"/>
      <c r="AR142" s="27"/>
      <c r="AS142" s="16"/>
      <c r="AT142" s="27"/>
      <c r="AV142" s="27"/>
      <c r="AW142" s="16"/>
      <c r="AX142" s="27"/>
      <c r="AZ142" s="27"/>
      <c r="BA142" s="16"/>
      <c r="BB142" s="27"/>
      <c r="BD142" s="27"/>
      <c r="BE142" s="16"/>
      <c r="BF142" s="27"/>
      <c r="BH142" s="27"/>
      <c r="BI142" s="16"/>
      <c r="BJ142" s="27"/>
      <c r="BL142" s="27"/>
      <c r="BM142" s="16"/>
      <c r="BN142" s="27"/>
      <c r="BP142" s="27"/>
      <c r="BQ142" s="16"/>
      <c r="BR142" s="27"/>
      <c r="BT142" s="27"/>
      <c r="BU142" s="16"/>
      <c r="BV142" s="27"/>
      <c r="BX142" s="27"/>
      <c r="BY142" s="16"/>
      <c r="BZ142" s="27"/>
      <c r="CB142" s="27"/>
      <c r="CC142" s="16"/>
      <c r="CD142" s="27"/>
      <c r="CF142" s="27"/>
      <c r="CG142" s="16"/>
      <c r="CH142" s="27"/>
      <c r="CJ142" s="27"/>
      <c r="CK142" s="16"/>
      <c r="CL142" s="27"/>
      <c r="CN142" s="27"/>
      <c r="CO142" s="16"/>
      <c r="CP142" s="27"/>
      <c r="CR142" s="27"/>
      <c r="CS142" s="16"/>
      <c r="CT142" s="27"/>
      <c r="CV142" s="27"/>
      <c r="CW142" s="16"/>
      <c r="CX142" s="27"/>
      <c r="CZ142" s="27"/>
      <c r="DA142" s="16"/>
      <c r="DB142" s="27"/>
      <c r="DD142" s="16"/>
    </row>
    <row r="143" spans="1:108" s="14" customFormat="1" ht="21" x14ac:dyDescent="0.4">
      <c r="A143" s="27"/>
      <c r="B143" s="27"/>
      <c r="D143" s="16"/>
      <c r="E143" s="27"/>
      <c r="F143" s="27"/>
      <c r="H143" s="27"/>
      <c r="I143" s="16"/>
      <c r="J143" s="27"/>
      <c r="L143" s="27"/>
      <c r="M143" s="16"/>
      <c r="N143" s="27"/>
      <c r="P143" s="27"/>
      <c r="Q143" s="16"/>
      <c r="R143" s="27"/>
      <c r="T143" s="27"/>
      <c r="U143" s="16"/>
      <c r="V143" s="27"/>
      <c r="X143" s="27"/>
      <c r="Y143" s="16"/>
      <c r="Z143" s="27"/>
      <c r="AB143" s="27"/>
      <c r="AC143" s="16"/>
      <c r="AD143" s="27"/>
      <c r="AF143" s="27"/>
      <c r="AG143" s="16"/>
      <c r="AH143" s="27"/>
      <c r="AJ143" s="27"/>
      <c r="AK143" s="16"/>
      <c r="AL143" s="27"/>
      <c r="AN143" s="27"/>
      <c r="AO143" s="16"/>
      <c r="AP143" s="27"/>
      <c r="AR143" s="27"/>
      <c r="AS143" s="16"/>
      <c r="AT143" s="27"/>
      <c r="AV143" s="27"/>
      <c r="AW143" s="16"/>
      <c r="AX143" s="27"/>
      <c r="AZ143" s="27"/>
      <c r="BA143" s="16"/>
      <c r="BB143" s="27"/>
      <c r="BD143" s="27"/>
      <c r="BE143" s="16"/>
      <c r="BF143" s="27"/>
      <c r="BH143" s="27"/>
      <c r="BI143" s="16"/>
      <c r="BJ143" s="27"/>
      <c r="BL143" s="27"/>
      <c r="BM143" s="16"/>
      <c r="BN143" s="27"/>
      <c r="BP143" s="27"/>
      <c r="BQ143" s="16"/>
      <c r="BR143" s="27"/>
      <c r="BT143" s="27"/>
      <c r="BU143" s="16"/>
      <c r="BV143" s="27"/>
      <c r="BX143" s="27"/>
      <c r="BY143" s="16"/>
      <c r="BZ143" s="27"/>
      <c r="CB143" s="27"/>
      <c r="CC143" s="16"/>
      <c r="CD143" s="27"/>
      <c r="CF143" s="27"/>
      <c r="CG143" s="16"/>
      <c r="CH143" s="27"/>
      <c r="CJ143" s="27"/>
      <c r="CK143" s="16"/>
      <c r="CL143" s="27"/>
      <c r="CN143" s="27"/>
      <c r="CO143" s="16"/>
      <c r="CP143" s="27"/>
      <c r="CR143" s="27"/>
      <c r="CS143" s="16"/>
      <c r="CT143" s="27"/>
      <c r="CV143" s="27"/>
      <c r="CW143" s="16"/>
      <c r="CX143" s="27"/>
      <c r="CZ143" s="27"/>
      <c r="DA143" s="16"/>
      <c r="DB143" s="27"/>
      <c r="DD143" s="16"/>
    </row>
    <row r="144" spans="1:108" s="14" customFormat="1" ht="21" x14ac:dyDescent="0.4">
      <c r="A144" s="27"/>
      <c r="B144" s="27"/>
      <c r="D144" s="16"/>
      <c r="E144" s="27"/>
      <c r="F144" s="27"/>
      <c r="H144" s="27"/>
      <c r="I144" s="16"/>
      <c r="J144" s="27"/>
      <c r="L144" s="27"/>
      <c r="M144" s="16"/>
      <c r="N144" s="27"/>
      <c r="P144" s="27"/>
      <c r="Q144" s="16"/>
      <c r="R144" s="27"/>
      <c r="T144" s="27"/>
      <c r="U144" s="16"/>
      <c r="V144" s="27"/>
      <c r="X144" s="27"/>
      <c r="Y144" s="16"/>
      <c r="Z144" s="27"/>
      <c r="AB144" s="27"/>
      <c r="AC144" s="16"/>
      <c r="AD144" s="27"/>
      <c r="AF144" s="27"/>
      <c r="AG144" s="16"/>
      <c r="AH144" s="27"/>
      <c r="AJ144" s="27"/>
      <c r="AK144" s="16"/>
      <c r="AL144" s="27"/>
      <c r="AN144" s="27"/>
      <c r="AO144" s="16"/>
      <c r="AP144" s="27"/>
      <c r="AR144" s="27"/>
      <c r="AS144" s="16"/>
      <c r="AT144" s="27"/>
      <c r="AV144" s="27"/>
      <c r="AW144" s="16"/>
      <c r="AX144" s="27"/>
      <c r="AZ144" s="27"/>
      <c r="BA144" s="16"/>
      <c r="BB144" s="27"/>
      <c r="BD144" s="27"/>
      <c r="BE144" s="16"/>
      <c r="BF144" s="27"/>
      <c r="BH144" s="27"/>
      <c r="BI144" s="16"/>
      <c r="BJ144" s="27"/>
      <c r="BL144" s="27"/>
      <c r="BM144" s="16"/>
      <c r="BN144" s="27"/>
      <c r="BP144" s="27"/>
      <c r="BQ144" s="16"/>
      <c r="BR144" s="27"/>
      <c r="BT144" s="27"/>
      <c r="BU144" s="16"/>
      <c r="BV144" s="27"/>
      <c r="BX144" s="27"/>
      <c r="BY144" s="16"/>
      <c r="BZ144" s="27"/>
      <c r="CB144" s="27"/>
      <c r="CC144" s="16"/>
      <c r="CD144" s="27"/>
      <c r="CF144" s="27"/>
      <c r="CG144" s="16"/>
      <c r="CH144" s="27"/>
      <c r="CJ144" s="27"/>
      <c r="CK144" s="16"/>
      <c r="CL144" s="27"/>
      <c r="CN144" s="27"/>
      <c r="CO144" s="16"/>
      <c r="CP144" s="27"/>
      <c r="CR144" s="27"/>
      <c r="CS144" s="16"/>
      <c r="CT144" s="27"/>
      <c r="CV144" s="27"/>
      <c r="CW144" s="16"/>
      <c r="CX144" s="27"/>
      <c r="CZ144" s="27"/>
      <c r="DA144" s="16"/>
      <c r="DB144" s="27"/>
      <c r="DD144" s="16"/>
    </row>
    <row r="145" spans="1:108" s="14" customFormat="1" ht="21" x14ac:dyDescent="0.4">
      <c r="A145" s="27"/>
      <c r="B145" s="27"/>
      <c r="D145" s="16"/>
      <c r="E145" s="27"/>
      <c r="F145" s="27"/>
      <c r="H145" s="27"/>
      <c r="I145" s="16"/>
      <c r="J145" s="27"/>
      <c r="L145" s="27"/>
      <c r="M145" s="16"/>
      <c r="N145" s="27"/>
      <c r="P145" s="27"/>
      <c r="Q145" s="16"/>
      <c r="R145" s="27"/>
      <c r="T145" s="27"/>
      <c r="U145" s="16"/>
      <c r="V145" s="27"/>
      <c r="X145" s="27"/>
      <c r="Y145" s="16"/>
      <c r="Z145" s="27"/>
      <c r="AB145" s="27"/>
      <c r="AC145" s="16"/>
      <c r="AD145" s="27"/>
      <c r="AF145" s="27"/>
      <c r="AG145" s="16"/>
      <c r="AH145" s="27"/>
      <c r="AJ145" s="27"/>
      <c r="AK145" s="16"/>
      <c r="AL145" s="27"/>
      <c r="AN145" s="27"/>
      <c r="AO145" s="16"/>
      <c r="AP145" s="27"/>
      <c r="AR145" s="27"/>
      <c r="AS145" s="16"/>
      <c r="AT145" s="27"/>
      <c r="AV145" s="27"/>
      <c r="AW145" s="16"/>
      <c r="AX145" s="27"/>
      <c r="AZ145" s="27"/>
      <c r="BA145" s="16"/>
      <c r="BB145" s="27"/>
      <c r="BD145" s="27"/>
      <c r="BE145" s="16"/>
      <c r="BF145" s="27"/>
      <c r="BH145" s="27"/>
      <c r="BI145" s="16"/>
      <c r="BJ145" s="27"/>
      <c r="BL145" s="27"/>
      <c r="BM145" s="16"/>
      <c r="BN145" s="27"/>
      <c r="BP145" s="27"/>
      <c r="BQ145" s="16"/>
      <c r="BR145" s="27"/>
      <c r="BT145" s="27"/>
      <c r="BU145" s="16"/>
      <c r="BV145" s="27"/>
      <c r="BX145" s="27"/>
      <c r="BY145" s="16"/>
      <c r="BZ145" s="27"/>
      <c r="CB145" s="27"/>
      <c r="CC145" s="16"/>
      <c r="CD145" s="27"/>
      <c r="CF145" s="27"/>
      <c r="CG145" s="16"/>
      <c r="CH145" s="27"/>
      <c r="CJ145" s="27"/>
      <c r="CK145" s="16"/>
      <c r="CL145" s="27"/>
      <c r="CN145" s="27"/>
      <c r="CO145" s="16"/>
      <c r="CP145" s="27"/>
      <c r="CR145" s="27"/>
      <c r="CS145" s="16"/>
      <c r="CT145" s="27"/>
      <c r="CV145" s="27"/>
      <c r="CW145" s="16"/>
      <c r="CX145" s="27"/>
      <c r="CZ145" s="27"/>
      <c r="DA145" s="16"/>
      <c r="DB145" s="27"/>
      <c r="DD145" s="16"/>
    </row>
    <row r="146" spans="1:108" s="14" customFormat="1" ht="21" x14ac:dyDescent="0.4">
      <c r="A146" s="27"/>
      <c r="B146" s="27"/>
      <c r="D146" s="16"/>
      <c r="E146" s="27"/>
      <c r="F146" s="27"/>
      <c r="H146" s="27"/>
      <c r="I146" s="16"/>
      <c r="J146" s="27"/>
      <c r="L146" s="27"/>
      <c r="M146" s="16"/>
      <c r="N146" s="27"/>
      <c r="P146" s="27"/>
      <c r="Q146" s="16"/>
      <c r="R146" s="27"/>
      <c r="T146" s="27"/>
      <c r="U146" s="16"/>
      <c r="V146" s="27"/>
      <c r="X146" s="27"/>
      <c r="Y146" s="16"/>
      <c r="Z146" s="27"/>
      <c r="AB146" s="27"/>
      <c r="AC146" s="16"/>
      <c r="AD146" s="27"/>
      <c r="AF146" s="27"/>
      <c r="AG146" s="16"/>
      <c r="AH146" s="27"/>
      <c r="AJ146" s="27"/>
      <c r="AK146" s="16"/>
      <c r="AL146" s="27"/>
      <c r="AN146" s="27"/>
      <c r="AO146" s="16"/>
      <c r="AP146" s="27"/>
      <c r="AR146" s="27"/>
      <c r="AS146" s="16"/>
      <c r="AT146" s="27"/>
      <c r="AV146" s="27"/>
      <c r="AW146" s="16"/>
      <c r="AX146" s="27"/>
      <c r="AZ146" s="27"/>
      <c r="BA146" s="16"/>
      <c r="BB146" s="27"/>
      <c r="BD146" s="27"/>
      <c r="BE146" s="16"/>
      <c r="BF146" s="27"/>
      <c r="BH146" s="27"/>
      <c r="BI146" s="16"/>
      <c r="BJ146" s="27"/>
      <c r="BL146" s="27"/>
      <c r="BM146" s="16"/>
      <c r="BN146" s="27"/>
      <c r="BP146" s="27"/>
      <c r="BQ146" s="16"/>
      <c r="BR146" s="27"/>
      <c r="BT146" s="27"/>
      <c r="BU146" s="16"/>
      <c r="BV146" s="27"/>
      <c r="BX146" s="27"/>
      <c r="BY146" s="16"/>
      <c r="BZ146" s="27"/>
      <c r="CB146" s="27"/>
      <c r="CC146" s="16"/>
      <c r="CD146" s="27"/>
      <c r="CF146" s="27"/>
      <c r="CG146" s="16"/>
      <c r="CH146" s="27"/>
      <c r="CJ146" s="27"/>
      <c r="CK146" s="16"/>
      <c r="CL146" s="27"/>
      <c r="CN146" s="27"/>
      <c r="CO146" s="16"/>
      <c r="CP146" s="27"/>
      <c r="CR146" s="27"/>
      <c r="CS146" s="16"/>
      <c r="CT146" s="27"/>
      <c r="CV146" s="27"/>
      <c r="CW146" s="16"/>
      <c r="CX146" s="27"/>
      <c r="CZ146" s="27"/>
      <c r="DA146" s="16"/>
      <c r="DB146" s="27"/>
      <c r="DD146" s="16"/>
    </row>
    <row r="147" spans="1:108" s="14" customFormat="1" ht="21" x14ac:dyDescent="0.4">
      <c r="A147" s="27"/>
      <c r="B147" s="27"/>
      <c r="D147" s="16"/>
      <c r="E147" s="27"/>
      <c r="F147" s="27"/>
      <c r="H147" s="27"/>
      <c r="I147" s="16"/>
      <c r="J147" s="27"/>
      <c r="L147" s="27"/>
      <c r="M147" s="16"/>
      <c r="N147" s="27"/>
      <c r="P147" s="27"/>
      <c r="Q147" s="16"/>
      <c r="R147" s="27"/>
      <c r="T147" s="27"/>
      <c r="U147" s="16"/>
      <c r="V147" s="27"/>
      <c r="X147" s="27"/>
      <c r="Y147" s="16"/>
      <c r="Z147" s="27"/>
      <c r="AB147" s="27"/>
      <c r="AC147" s="16"/>
      <c r="AD147" s="27"/>
      <c r="AF147" s="27"/>
      <c r="AG147" s="16"/>
      <c r="AH147" s="27"/>
      <c r="AJ147" s="27"/>
      <c r="AK147" s="16"/>
      <c r="AL147" s="27"/>
      <c r="AN147" s="27"/>
      <c r="AO147" s="16"/>
      <c r="AP147" s="27"/>
      <c r="AR147" s="27"/>
      <c r="AS147" s="16"/>
      <c r="AT147" s="27"/>
      <c r="AV147" s="27"/>
      <c r="AW147" s="16"/>
      <c r="AX147" s="27"/>
      <c r="AZ147" s="27"/>
      <c r="BA147" s="16"/>
      <c r="BB147" s="27"/>
      <c r="BD147" s="27"/>
      <c r="BE147" s="16"/>
      <c r="BF147" s="27"/>
      <c r="BH147" s="27"/>
      <c r="BI147" s="16"/>
      <c r="BJ147" s="27"/>
      <c r="BL147" s="27"/>
      <c r="BM147" s="16"/>
      <c r="BN147" s="27"/>
      <c r="BP147" s="27"/>
      <c r="BQ147" s="16"/>
      <c r="BR147" s="27"/>
      <c r="BT147" s="27"/>
      <c r="BU147" s="16"/>
      <c r="BV147" s="27"/>
      <c r="BX147" s="27"/>
      <c r="BY147" s="16"/>
      <c r="BZ147" s="27"/>
      <c r="CB147" s="27"/>
      <c r="CC147" s="16"/>
      <c r="CD147" s="27"/>
      <c r="CF147" s="27"/>
      <c r="CG147" s="16"/>
      <c r="CH147" s="27"/>
      <c r="CJ147" s="27"/>
      <c r="CK147" s="16"/>
      <c r="CL147" s="27"/>
      <c r="CN147" s="27"/>
      <c r="CO147" s="16"/>
      <c r="CP147" s="27"/>
      <c r="CR147" s="27"/>
      <c r="CS147" s="16"/>
      <c r="CT147" s="27"/>
      <c r="CV147" s="27"/>
      <c r="CW147" s="16"/>
      <c r="CX147" s="27"/>
      <c r="CZ147" s="27"/>
      <c r="DA147" s="16"/>
      <c r="DB147" s="27"/>
      <c r="DD147" s="16"/>
    </row>
    <row r="148" spans="1:108" s="14" customFormat="1" ht="21" x14ac:dyDescent="0.4">
      <c r="A148" s="27"/>
      <c r="B148" s="27"/>
      <c r="D148" s="16"/>
      <c r="E148" s="27"/>
      <c r="F148" s="27"/>
      <c r="H148" s="27"/>
      <c r="I148" s="16"/>
      <c r="J148" s="27"/>
      <c r="L148" s="27"/>
      <c r="M148" s="16"/>
      <c r="N148" s="27"/>
      <c r="P148" s="27"/>
      <c r="Q148" s="16"/>
      <c r="R148" s="27"/>
      <c r="T148" s="27"/>
      <c r="U148" s="16"/>
      <c r="V148" s="27"/>
      <c r="X148" s="27"/>
      <c r="Y148" s="16"/>
      <c r="Z148" s="27"/>
      <c r="AB148" s="27"/>
      <c r="AC148" s="16"/>
      <c r="AD148" s="27"/>
      <c r="AF148" s="27"/>
      <c r="AG148" s="16"/>
      <c r="AH148" s="27"/>
      <c r="AJ148" s="27"/>
      <c r="AK148" s="16"/>
      <c r="AL148" s="27"/>
      <c r="AN148" s="27"/>
      <c r="AO148" s="16"/>
      <c r="AP148" s="27"/>
      <c r="AR148" s="27"/>
      <c r="AS148" s="16"/>
      <c r="AT148" s="27"/>
      <c r="AV148" s="27"/>
      <c r="AW148" s="16"/>
      <c r="AX148" s="27"/>
      <c r="AZ148" s="27"/>
      <c r="BA148" s="16"/>
      <c r="BB148" s="27"/>
      <c r="BD148" s="27"/>
      <c r="BE148" s="16"/>
      <c r="BF148" s="27"/>
      <c r="BH148" s="27"/>
      <c r="BI148" s="16"/>
      <c r="BJ148" s="27"/>
      <c r="BL148" s="27"/>
      <c r="BM148" s="16"/>
      <c r="BN148" s="27"/>
      <c r="BP148" s="27"/>
      <c r="BQ148" s="16"/>
      <c r="BR148" s="27"/>
      <c r="BT148" s="27"/>
      <c r="BU148" s="16"/>
      <c r="BV148" s="27"/>
      <c r="BX148" s="27"/>
      <c r="BY148" s="16"/>
      <c r="BZ148" s="27"/>
      <c r="CB148" s="27"/>
      <c r="CC148" s="16"/>
      <c r="CD148" s="27"/>
      <c r="CF148" s="27"/>
      <c r="CG148" s="16"/>
      <c r="CH148" s="27"/>
      <c r="CJ148" s="27"/>
      <c r="CK148" s="16"/>
      <c r="CL148" s="27"/>
      <c r="CN148" s="27"/>
      <c r="CO148" s="16"/>
      <c r="CP148" s="27"/>
      <c r="CR148" s="27"/>
      <c r="CS148" s="16"/>
      <c r="CT148" s="27"/>
      <c r="CV148" s="27"/>
      <c r="CW148" s="16"/>
      <c r="CX148" s="27"/>
      <c r="CZ148" s="27"/>
      <c r="DA148" s="16"/>
      <c r="DB148" s="27"/>
      <c r="DD148" s="16"/>
    </row>
    <row r="149" spans="1:108" s="14" customFormat="1" ht="21" x14ac:dyDescent="0.4">
      <c r="A149" s="27"/>
      <c r="B149" s="27"/>
      <c r="D149" s="16"/>
      <c r="E149" s="27"/>
      <c r="F149" s="27"/>
      <c r="H149" s="27"/>
      <c r="I149" s="16"/>
      <c r="J149" s="27"/>
      <c r="L149" s="27"/>
      <c r="M149" s="16"/>
      <c r="N149" s="27"/>
      <c r="P149" s="27"/>
      <c r="Q149" s="16"/>
      <c r="R149" s="27"/>
      <c r="T149" s="27"/>
      <c r="U149" s="16"/>
      <c r="V149" s="27"/>
      <c r="X149" s="27"/>
      <c r="Y149" s="16"/>
      <c r="Z149" s="27"/>
      <c r="AB149" s="27"/>
      <c r="AC149" s="16"/>
      <c r="AD149" s="27"/>
      <c r="AF149" s="27"/>
      <c r="AG149" s="16"/>
      <c r="AH149" s="27"/>
      <c r="AJ149" s="27"/>
      <c r="AK149" s="16"/>
      <c r="AL149" s="27"/>
      <c r="AN149" s="27"/>
      <c r="AO149" s="16"/>
      <c r="AP149" s="27"/>
      <c r="AR149" s="27"/>
      <c r="AS149" s="16"/>
      <c r="AT149" s="27"/>
      <c r="AV149" s="27"/>
      <c r="AW149" s="16"/>
      <c r="AX149" s="27"/>
      <c r="AZ149" s="27"/>
      <c r="BA149" s="16"/>
      <c r="BB149" s="27"/>
      <c r="BD149" s="27"/>
      <c r="BE149" s="16"/>
      <c r="BF149" s="27"/>
      <c r="BH149" s="27"/>
      <c r="BI149" s="16"/>
      <c r="BJ149" s="27"/>
      <c r="BL149" s="27"/>
      <c r="BM149" s="16"/>
      <c r="BN149" s="27"/>
      <c r="BP149" s="27"/>
      <c r="BQ149" s="16"/>
      <c r="BR149" s="27"/>
      <c r="BT149" s="27"/>
      <c r="BU149" s="16"/>
      <c r="BV149" s="27"/>
      <c r="BX149" s="27"/>
      <c r="BY149" s="16"/>
      <c r="BZ149" s="27"/>
      <c r="CB149" s="27"/>
      <c r="CC149" s="16"/>
      <c r="CD149" s="27"/>
      <c r="CF149" s="27"/>
      <c r="CG149" s="16"/>
      <c r="CH149" s="27"/>
      <c r="CJ149" s="27"/>
      <c r="CK149" s="16"/>
      <c r="CL149" s="27"/>
      <c r="CN149" s="27"/>
      <c r="CO149" s="16"/>
      <c r="CP149" s="27"/>
      <c r="CR149" s="27"/>
      <c r="CS149" s="16"/>
      <c r="CT149" s="27"/>
      <c r="CV149" s="27"/>
      <c r="CW149" s="16"/>
      <c r="CX149" s="27"/>
      <c r="CZ149" s="27"/>
      <c r="DA149" s="16"/>
      <c r="DB149" s="27"/>
      <c r="DD149" s="16"/>
    </row>
    <row r="150" spans="1:108" s="14" customFormat="1" ht="21" x14ac:dyDescent="0.4">
      <c r="A150" s="27"/>
      <c r="B150" s="27"/>
      <c r="D150" s="16"/>
      <c r="E150" s="27"/>
      <c r="F150" s="27"/>
      <c r="H150" s="27"/>
      <c r="I150" s="16"/>
      <c r="J150" s="27"/>
      <c r="L150" s="27"/>
      <c r="M150" s="16"/>
      <c r="N150" s="27"/>
      <c r="P150" s="27"/>
      <c r="Q150" s="16"/>
      <c r="R150" s="27"/>
      <c r="T150" s="27"/>
      <c r="U150" s="16"/>
      <c r="V150" s="27"/>
      <c r="X150" s="27"/>
      <c r="Y150" s="16"/>
      <c r="Z150" s="27"/>
      <c r="AB150" s="27"/>
      <c r="AC150" s="16"/>
      <c r="AD150" s="27"/>
      <c r="AF150" s="27"/>
      <c r="AG150" s="16"/>
      <c r="AH150" s="27"/>
      <c r="AJ150" s="27"/>
      <c r="AK150" s="16"/>
      <c r="AL150" s="27"/>
      <c r="AN150" s="27"/>
      <c r="AO150" s="16"/>
      <c r="AP150" s="27"/>
      <c r="AR150" s="27"/>
      <c r="AS150" s="16"/>
      <c r="AT150" s="27"/>
      <c r="AV150" s="27"/>
      <c r="AW150" s="16"/>
      <c r="AX150" s="27"/>
      <c r="AZ150" s="27"/>
      <c r="BA150" s="16"/>
      <c r="BB150" s="27"/>
      <c r="BD150" s="27"/>
      <c r="BE150" s="16"/>
      <c r="BF150" s="27"/>
      <c r="BH150" s="27"/>
      <c r="BI150" s="16"/>
      <c r="BJ150" s="27"/>
      <c r="BL150" s="27"/>
      <c r="BM150" s="16"/>
      <c r="BN150" s="27"/>
      <c r="BP150" s="27"/>
      <c r="BQ150" s="16"/>
      <c r="BR150" s="27"/>
      <c r="BT150" s="27"/>
      <c r="BU150" s="16"/>
      <c r="BV150" s="27"/>
      <c r="BX150" s="27"/>
      <c r="BY150" s="16"/>
      <c r="BZ150" s="27"/>
      <c r="CB150" s="27"/>
      <c r="CC150" s="16"/>
      <c r="CD150" s="27"/>
      <c r="CF150" s="27"/>
      <c r="CG150" s="16"/>
      <c r="CH150" s="27"/>
      <c r="CJ150" s="27"/>
      <c r="CK150" s="16"/>
      <c r="CL150" s="27"/>
      <c r="CN150" s="27"/>
      <c r="CO150" s="16"/>
      <c r="CP150" s="27"/>
      <c r="CR150" s="27"/>
      <c r="CS150" s="16"/>
      <c r="CT150" s="27"/>
      <c r="CV150" s="27"/>
      <c r="CW150" s="16"/>
      <c r="CX150" s="27"/>
      <c r="CZ150" s="27"/>
      <c r="DA150" s="16"/>
      <c r="DB150" s="27"/>
      <c r="DD150" s="16"/>
    </row>
    <row r="151" spans="1:108" s="14" customFormat="1" ht="21" x14ac:dyDescent="0.4">
      <c r="A151" s="27"/>
      <c r="B151" s="27"/>
      <c r="D151" s="16"/>
      <c r="E151" s="27"/>
      <c r="F151" s="27"/>
      <c r="H151" s="27"/>
      <c r="I151" s="16"/>
      <c r="J151" s="27"/>
      <c r="L151" s="27"/>
      <c r="M151" s="16"/>
      <c r="N151" s="27"/>
      <c r="P151" s="27"/>
      <c r="Q151" s="16"/>
      <c r="R151" s="27"/>
      <c r="T151" s="27"/>
      <c r="U151" s="16"/>
      <c r="V151" s="27"/>
      <c r="X151" s="27"/>
      <c r="Y151" s="16"/>
      <c r="Z151" s="27"/>
      <c r="AB151" s="27"/>
      <c r="AC151" s="16"/>
      <c r="AD151" s="27"/>
      <c r="AF151" s="27"/>
      <c r="AG151" s="16"/>
      <c r="AH151" s="27"/>
      <c r="AJ151" s="27"/>
      <c r="AK151" s="16"/>
      <c r="AL151" s="27"/>
      <c r="AN151" s="27"/>
      <c r="AO151" s="16"/>
      <c r="AP151" s="27"/>
      <c r="AR151" s="27"/>
      <c r="AS151" s="16"/>
      <c r="AT151" s="27"/>
      <c r="AV151" s="27"/>
      <c r="AW151" s="16"/>
      <c r="AX151" s="27"/>
      <c r="AZ151" s="27"/>
      <c r="BA151" s="16"/>
      <c r="BB151" s="27"/>
      <c r="BD151" s="27"/>
      <c r="BE151" s="16"/>
      <c r="BF151" s="27"/>
      <c r="BH151" s="27"/>
      <c r="BI151" s="16"/>
      <c r="BJ151" s="27"/>
      <c r="BL151" s="27"/>
      <c r="BM151" s="16"/>
      <c r="BN151" s="27"/>
      <c r="BP151" s="27"/>
      <c r="BQ151" s="16"/>
      <c r="BR151" s="27"/>
      <c r="BT151" s="27"/>
      <c r="BU151" s="16"/>
      <c r="BV151" s="27"/>
      <c r="BX151" s="27"/>
      <c r="BY151" s="16"/>
      <c r="BZ151" s="27"/>
      <c r="CB151" s="27"/>
      <c r="CC151" s="16"/>
      <c r="CD151" s="27"/>
      <c r="CF151" s="27"/>
      <c r="CG151" s="16"/>
      <c r="CH151" s="27"/>
      <c r="CJ151" s="27"/>
      <c r="CK151" s="16"/>
      <c r="CL151" s="27"/>
      <c r="CN151" s="27"/>
      <c r="CO151" s="16"/>
      <c r="CP151" s="27"/>
      <c r="CR151" s="27"/>
      <c r="CS151" s="16"/>
      <c r="CT151" s="27"/>
      <c r="CV151" s="27"/>
      <c r="CW151" s="16"/>
      <c r="CX151" s="27"/>
      <c r="CZ151" s="27"/>
      <c r="DA151" s="16"/>
      <c r="DB151" s="27"/>
      <c r="DD151" s="16"/>
    </row>
    <row r="152" spans="1:108" s="14" customFormat="1" ht="21" x14ac:dyDescent="0.4">
      <c r="A152" s="27"/>
      <c r="B152" s="27"/>
      <c r="D152" s="16"/>
      <c r="E152" s="27"/>
      <c r="F152" s="27"/>
      <c r="H152" s="27"/>
      <c r="I152" s="16"/>
      <c r="J152" s="27"/>
      <c r="L152" s="27"/>
      <c r="M152" s="16"/>
      <c r="N152" s="27"/>
      <c r="P152" s="27"/>
      <c r="Q152" s="16"/>
      <c r="R152" s="27"/>
      <c r="T152" s="27"/>
      <c r="U152" s="16"/>
      <c r="V152" s="27"/>
      <c r="X152" s="27"/>
      <c r="Y152" s="16"/>
      <c r="Z152" s="27"/>
      <c r="AB152" s="27"/>
      <c r="AC152" s="16"/>
      <c r="AD152" s="27"/>
      <c r="AF152" s="27"/>
      <c r="AG152" s="16"/>
      <c r="AH152" s="27"/>
      <c r="AJ152" s="27"/>
      <c r="AK152" s="16"/>
      <c r="AL152" s="27"/>
      <c r="AN152" s="27"/>
      <c r="AO152" s="16"/>
      <c r="AP152" s="27"/>
      <c r="AR152" s="27"/>
      <c r="AS152" s="16"/>
      <c r="AT152" s="27"/>
      <c r="AV152" s="27"/>
      <c r="AW152" s="16"/>
      <c r="AX152" s="27"/>
      <c r="AZ152" s="27"/>
      <c r="BA152" s="16"/>
      <c r="BB152" s="27"/>
      <c r="BD152" s="27"/>
      <c r="BE152" s="16"/>
      <c r="BF152" s="27"/>
      <c r="BH152" s="27"/>
      <c r="BI152" s="16"/>
      <c r="BJ152" s="27"/>
      <c r="BL152" s="27"/>
      <c r="BM152" s="16"/>
      <c r="BN152" s="27"/>
      <c r="BP152" s="27"/>
      <c r="BQ152" s="16"/>
      <c r="BR152" s="27"/>
      <c r="BT152" s="27"/>
      <c r="BU152" s="16"/>
      <c r="BV152" s="27"/>
      <c r="BX152" s="27"/>
      <c r="BY152" s="16"/>
      <c r="BZ152" s="27"/>
      <c r="CB152" s="27"/>
      <c r="CC152" s="16"/>
      <c r="CD152" s="27"/>
      <c r="CF152" s="27"/>
      <c r="CG152" s="16"/>
      <c r="CH152" s="27"/>
      <c r="CJ152" s="27"/>
      <c r="CK152" s="16"/>
      <c r="CL152" s="27"/>
      <c r="CN152" s="27"/>
      <c r="CO152" s="16"/>
      <c r="CP152" s="27"/>
      <c r="CR152" s="27"/>
      <c r="CS152" s="16"/>
      <c r="CT152" s="27"/>
      <c r="CV152" s="27"/>
      <c r="CW152" s="16"/>
      <c r="CX152" s="27"/>
      <c r="CZ152" s="27"/>
      <c r="DA152" s="16"/>
      <c r="DB152" s="27"/>
      <c r="DD152" s="16"/>
    </row>
    <row r="153" spans="1:108" s="14" customFormat="1" ht="21" x14ac:dyDescent="0.4">
      <c r="A153" s="27"/>
      <c r="B153" s="27"/>
      <c r="D153" s="16"/>
      <c r="E153" s="27"/>
      <c r="F153" s="27"/>
      <c r="H153" s="27"/>
      <c r="I153" s="16"/>
      <c r="J153" s="27"/>
      <c r="L153" s="27"/>
      <c r="M153" s="16"/>
      <c r="N153" s="27"/>
      <c r="P153" s="27"/>
      <c r="Q153" s="16"/>
      <c r="R153" s="27"/>
      <c r="T153" s="27"/>
      <c r="U153" s="16"/>
      <c r="V153" s="27"/>
      <c r="X153" s="27"/>
      <c r="Y153" s="16"/>
      <c r="Z153" s="27"/>
      <c r="AB153" s="27"/>
      <c r="AC153" s="16"/>
      <c r="AD153" s="27"/>
      <c r="AF153" s="27"/>
      <c r="AG153" s="16"/>
      <c r="AH153" s="27"/>
      <c r="AJ153" s="27"/>
      <c r="AK153" s="16"/>
      <c r="AL153" s="27"/>
      <c r="AN153" s="27"/>
      <c r="AO153" s="16"/>
      <c r="AP153" s="27"/>
      <c r="AR153" s="27"/>
      <c r="AS153" s="16"/>
      <c r="AT153" s="27"/>
      <c r="AV153" s="27"/>
      <c r="AW153" s="16"/>
      <c r="AX153" s="27"/>
      <c r="AZ153" s="27"/>
      <c r="BA153" s="16"/>
      <c r="BB153" s="27"/>
      <c r="BD153" s="27"/>
      <c r="BE153" s="16"/>
      <c r="BF153" s="27"/>
      <c r="BH153" s="27"/>
      <c r="BI153" s="16"/>
      <c r="BJ153" s="27"/>
      <c r="BL153" s="27"/>
      <c r="BM153" s="16"/>
      <c r="BN153" s="27"/>
      <c r="BP153" s="27"/>
      <c r="BQ153" s="16"/>
      <c r="BR153" s="27"/>
      <c r="BT153" s="27"/>
      <c r="BU153" s="16"/>
      <c r="BV153" s="27"/>
      <c r="BX153" s="27"/>
      <c r="BY153" s="16"/>
      <c r="BZ153" s="27"/>
      <c r="CB153" s="27"/>
      <c r="CC153" s="16"/>
      <c r="CD153" s="27"/>
      <c r="CF153" s="27"/>
      <c r="CG153" s="16"/>
      <c r="CH153" s="27"/>
      <c r="CJ153" s="27"/>
      <c r="CK153" s="16"/>
      <c r="CL153" s="27"/>
      <c r="CN153" s="27"/>
      <c r="CO153" s="16"/>
      <c r="CP153" s="27"/>
      <c r="CR153" s="27"/>
      <c r="CS153" s="16"/>
      <c r="CT153" s="27"/>
      <c r="CV153" s="27"/>
      <c r="CW153" s="16"/>
      <c r="CX153" s="27"/>
      <c r="CZ153" s="27"/>
      <c r="DA153" s="16"/>
      <c r="DB153" s="27"/>
      <c r="DD153" s="16"/>
    </row>
    <row r="154" spans="1:108" s="14" customFormat="1" ht="21" x14ac:dyDescent="0.4">
      <c r="A154" s="27"/>
      <c r="B154" s="27"/>
      <c r="D154" s="16"/>
      <c r="E154" s="27"/>
      <c r="F154" s="27"/>
      <c r="H154" s="27"/>
      <c r="I154" s="16"/>
      <c r="J154" s="27"/>
      <c r="L154" s="27"/>
      <c r="M154" s="16"/>
      <c r="N154" s="27"/>
      <c r="P154" s="27"/>
      <c r="Q154" s="16"/>
      <c r="R154" s="27"/>
      <c r="T154" s="27"/>
      <c r="U154" s="16"/>
      <c r="V154" s="27"/>
      <c r="X154" s="27"/>
      <c r="Y154" s="16"/>
      <c r="Z154" s="27"/>
      <c r="AB154" s="27"/>
      <c r="AC154" s="16"/>
      <c r="AD154" s="27"/>
      <c r="AF154" s="27"/>
      <c r="AG154" s="16"/>
      <c r="AH154" s="27"/>
      <c r="AJ154" s="27"/>
      <c r="AK154" s="16"/>
      <c r="AL154" s="27"/>
      <c r="AN154" s="27"/>
      <c r="AO154" s="16"/>
      <c r="AP154" s="27"/>
      <c r="AR154" s="27"/>
      <c r="AS154" s="16"/>
      <c r="AT154" s="27"/>
      <c r="AV154" s="27"/>
      <c r="AW154" s="16"/>
      <c r="AX154" s="27"/>
      <c r="AZ154" s="27"/>
      <c r="BA154" s="16"/>
      <c r="BB154" s="27"/>
      <c r="BD154" s="27"/>
      <c r="BE154" s="16"/>
      <c r="BF154" s="27"/>
      <c r="BH154" s="27"/>
      <c r="BI154" s="16"/>
      <c r="BJ154" s="27"/>
      <c r="BL154" s="27"/>
      <c r="BM154" s="16"/>
      <c r="BN154" s="27"/>
      <c r="BP154" s="27"/>
      <c r="BQ154" s="16"/>
      <c r="BR154" s="27"/>
      <c r="BT154" s="27"/>
      <c r="BU154" s="16"/>
      <c r="BV154" s="27"/>
      <c r="BX154" s="27"/>
      <c r="BY154" s="16"/>
      <c r="BZ154" s="27"/>
      <c r="CB154" s="27"/>
      <c r="CC154" s="16"/>
      <c r="CD154" s="27"/>
      <c r="CF154" s="27"/>
      <c r="CG154" s="16"/>
      <c r="CH154" s="27"/>
      <c r="CJ154" s="27"/>
      <c r="CK154" s="16"/>
      <c r="CL154" s="27"/>
      <c r="CN154" s="27"/>
      <c r="CO154" s="16"/>
      <c r="CP154" s="27"/>
      <c r="CR154" s="27"/>
      <c r="CS154" s="16"/>
      <c r="CT154" s="27"/>
      <c r="CV154" s="27"/>
      <c r="CW154" s="16"/>
      <c r="CX154" s="27"/>
      <c r="CZ154" s="27"/>
      <c r="DA154" s="16"/>
      <c r="DB154" s="27"/>
      <c r="DD154" s="16"/>
    </row>
    <row r="155" spans="1:108" s="14" customFormat="1" ht="21" x14ac:dyDescent="0.4">
      <c r="A155" s="27"/>
      <c r="B155" s="27"/>
      <c r="D155" s="16"/>
      <c r="E155" s="27"/>
      <c r="F155" s="27"/>
      <c r="H155" s="27"/>
      <c r="I155" s="16"/>
      <c r="J155" s="27"/>
      <c r="L155" s="27"/>
      <c r="M155" s="16"/>
      <c r="N155" s="27"/>
      <c r="P155" s="27"/>
      <c r="Q155" s="16"/>
      <c r="R155" s="27"/>
      <c r="T155" s="27"/>
      <c r="U155" s="16"/>
      <c r="V155" s="27"/>
      <c r="X155" s="27"/>
      <c r="Y155" s="16"/>
      <c r="Z155" s="27"/>
      <c r="AB155" s="27"/>
      <c r="AC155" s="16"/>
      <c r="AD155" s="27"/>
      <c r="AF155" s="27"/>
      <c r="AG155" s="16"/>
      <c r="AH155" s="27"/>
      <c r="AJ155" s="27"/>
      <c r="AK155" s="16"/>
      <c r="AL155" s="27"/>
      <c r="AN155" s="27"/>
      <c r="AO155" s="16"/>
      <c r="AP155" s="27"/>
      <c r="AR155" s="27"/>
      <c r="AS155" s="16"/>
      <c r="AT155" s="27"/>
      <c r="AV155" s="27"/>
      <c r="AW155" s="16"/>
      <c r="AX155" s="27"/>
      <c r="AZ155" s="27"/>
      <c r="BA155" s="16"/>
      <c r="BB155" s="27"/>
      <c r="BD155" s="27"/>
      <c r="BE155" s="16"/>
      <c r="BF155" s="27"/>
      <c r="BH155" s="27"/>
      <c r="BI155" s="16"/>
      <c r="BJ155" s="27"/>
      <c r="BL155" s="27"/>
      <c r="BM155" s="16"/>
      <c r="BN155" s="27"/>
      <c r="BP155" s="27"/>
      <c r="BQ155" s="16"/>
      <c r="BR155" s="27"/>
      <c r="BT155" s="27"/>
      <c r="BU155" s="16"/>
      <c r="BV155" s="27"/>
      <c r="BX155" s="27"/>
      <c r="BY155" s="16"/>
      <c r="BZ155" s="27"/>
      <c r="CB155" s="27"/>
      <c r="CC155" s="16"/>
      <c r="CD155" s="27"/>
      <c r="CF155" s="27"/>
      <c r="CG155" s="16"/>
      <c r="CH155" s="27"/>
      <c r="CJ155" s="27"/>
      <c r="CK155" s="16"/>
      <c r="CL155" s="27"/>
      <c r="CN155" s="27"/>
      <c r="CO155" s="16"/>
      <c r="CP155" s="27"/>
      <c r="CR155" s="27"/>
      <c r="CS155" s="16"/>
      <c r="CT155" s="27"/>
      <c r="CV155" s="27"/>
      <c r="CW155" s="16"/>
      <c r="CX155" s="27"/>
      <c r="CZ155" s="27"/>
      <c r="DA155" s="16"/>
      <c r="DB155" s="27"/>
      <c r="DD155" s="16"/>
    </row>
    <row r="156" spans="1:108" s="14" customFormat="1" ht="21" x14ac:dyDescent="0.4">
      <c r="A156" s="27"/>
      <c r="B156" s="27"/>
      <c r="D156" s="16"/>
      <c r="E156" s="27"/>
      <c r="F156" s="27"/>
      <c r="H156" s="27"/>
      <c r="I156" s="16"/>
      <c r="J156" s="27"/>
      <c r="L156" s="27"/>
      <c r="M156" s="16"/>
      <c r="N156" s="27"/>
      <c r="P156" s="27"/>
      <c r="Q156" s="16"/>
      <c r="R156" s="27"/>
      <c r="T156" s="27"/>
      <c r="U156" s="16"/>
      <c r="V156" s="27"/>
      <c r="X156" s="27"/>
      <c r="Y156" s="16"/>
      <c r="Z156" s="27"/>
      <c r="AB156" s="27"/>
      <c r="AC156" s="16"/>
      <c r="AD156" s="27"/>
      <c r="AF156" s="27"/>
      <c r="AG156" s="16"/>
      <c r="AH156" s="27"/>
      <c r="AJ156" s="27"/>
      <c r="AK156" s="16"/>
      <c r="AL156" s="27"/>
      <c r="AN156" s="27"/>
      <c r="AO156" s="16"/>
      <c r="AP156" s="27"/>
      <c r="AR156" s="27"/>
      <c r="AS156" s="16"/>
      <c r="AT156" s="27"/>
      <c r="AV156" s="27"/>
      <c r="AW156" s="16"/>
      <c r="AX156" s="27"/>
      <c r="AZ156" s="27"/>
      <c r="BA156" s="16"/>
      <c r="BB156" s="27"/>
      <c r="BD156" s="27"/>
      <c r="BE156" s="16"/>
      <c r="BF156" s="27"/>
      <c r="BH156" s="27"/>
      <c r="BI156" s="16"/>
      <c r="BJ156" s="27"/>
      <c r="BL156" s="27"/>
      <c r="BM156" s="16"/>
      <c r="BN156" s="27"/>
      <c r="BP156" s="27"/>
      <c r="BQ156" s="16"/>
      <c r="BR156" s="27"/>
      <c r="BT156" s="27"/>
      <c r="BU156" s="16"/>
      <c r="BV156" s="27"/>
      <c r="BX156" s="27"/>
      <c r="BY156" s="16"/>
      <c r="BZ156" s="27"/>
      <c r="CB156" s="27"/>
      <c r="CC156" s="16"/>
      <c r="CD156" s="27"/>
      <c r="CF156" s="27"/>
      <c r="CG156" s="16"/>
      <c r="CH156" s="27"/>
      <c r="CJ156" s="27"/>
      <c r="CK156" s="16"/>
      <c r="CL156" s="27"/>
      <c r="CN156" s="27"/>
      <c r="CO156" s="16"/>
      <c r="CP156" s="27"/>
      <c r="CR156" s="27"/>
      <c r="CS156" s="16"/>
      <c r="CT156" s="27"/>
      <c r="CV156" s="27"/>
      <c r="CW156" s="16"/>
      <c r="CX156" s="27"/>
      <c r="CZ156" s="27"/>
      <c r="DA156" s="16"/>
      <c r="DB156" s="27"/>
      <c r="DD156" s="16"/>
    </row>
    <row r="157" spans="1:108" s="14" customFormat="1" ht="21" x14ac:dyDescent="0.4">
      <c r="A157" s="27"/>
      <c r="B157" s="27"/>
      <c r="D157" s="16"/>
      <c r="E157" s="27"/>
      <c r="F157" s="27"/>
      <c r="H157" s="27"/>
      <c r="I157" s="16"/>
      <c r="J157" s="27"/>
      <c r="L157" s="27"/>
      <c r="M157" s="16"/>
      <c r="N157" s="27"/>
      <c r="P157" s="27"/>
      <c r="Q157" s="16"/>
      <c r="R157" s="27"/>
      <c r="T157" s="27"/>
      <c r="U157" s="16"/>
      <c r="V157" s="27"/>
      <c r="X157" s="27"/>
      <c r="Y157" s="16"/>
      <c r="Z157" s="27"/>
      <c r="AB157" s="27"/>
      <c r="AC157" s="16"/>
      <c r="AD157" s="27"/>
      <c r="AF157" s="27"/>
      <c r="AG157" s="16"/>
      <c r="AH157" s="27"/>
      <c r="AJ157" s="27"/>
      <c r="AK157" s="16"/>
      <c r="AL157" s="27"/>
      <c r="AN157" s="27"/>
      <c r="AO157" s="16"/>
      <c r="AP157" s="27"/>
      <c r="AR157" s="27"/>
      <c r="AS157" s="16"/>
      <c r="AT157" s="27"/>
      <c r="AV157" s="27"/>
      <c r="AW157" s="16"/>
      <c r="AX157" s="27"/>
      <c r="AZ157" s="27"/>
      <c r="BA157" s="16"/>
      <c r="BB157" s="27"/>
      <c r="BD157" s="27"/>
      <c r="BE157" s="16"/>
      <c r="BF157" s="27"/>
      <c r="BH157" s="27"/>
      <c r="BI157" s="16"/>
      <c r="BJ157" s="27"/>
      <c r="BL157" s="27"/>
      <c r="BM157" s="16"/>
      <c r="BN157" s="27"/>
      <c r="BP157" s="27"/>
      <c r="BQ157" s="16"/>
      <c r="BR157" s="27"/>
      <c r="BT157" s="27"/>
      <c r="BU157" s="16"/>
      <c r="BV157" s="27"/>
      <c r="BX157" s="27"/>
      <c r="BY157" s="16"/>
      <c r="BZ157" s="27"/>
      <c r="CB157" s="27"/>
      <c r="CC157" s="16"/>
      <c r="CD157" s="27"/>
      <c r="CF157" s="27"/>
      <c r="CG157" s="16"/>
      <c r="CH157" s="27"/>
      <c r="CJ157" s="27"/>
      <c r="CK157" s="16"/>
      <c r="CL157" s="27"/>
      <c r="CN157" s="27"/>
      <c r="CO157" s="16"/>
      <c r="CP157" s="27"/>
      <c r="CR157" s="27"/>
      <c r="CS157" s="16"/>
      <c r="CT157" s="27"/>
      <c r="CV157" s="27"/>
      <c r="CW157" s="16"/>
      <c r="CX157" s="27"/>
      <c r="CZ157" s="27"/>
      <c r="DA157" s="16"/>
      <c r="DB157" s="27"/>
      <c r="DD157" s="16"/>
    </row>
    <row r="158" spans="1:108" s="14" customFormat="1" ht="21" x14ac:dyDescent="0.4">
      <c r="A158" s="27"/>
      <c r="B158" s="27"/>
      <c r="D158" s="16"/>
      <c r="E158" s="27"/>
      <c r="F158" s="27"/>
      <c r="H158" s="27"/>
      <c r="I158" s="16"/>
      <c r="J158" s="27"/>
      <c r="L158" s="27"/>
      <c r="M158" s="16"/>
      <c r="N158" s="27"/>
      <c r="P158" s="27"/>
      <c r="Q158" s="16"/>
      <c r="R158" s="27"/>
      <c r="T158" s="27"/>
      <c r="U158" s="16"/>
      <c r="V158" s="27"/>
      <c r="X158" s="27"/>
      <c r="Y158" s="16"/>
      <c r="Z158" s="27"/>
      <c r="AB158" s="27"/>
      <c r="AC158" s="16"/>
      <c r="AD158" s="27"/>
      <c r="AF158" s="27"/>
      <c r="AG158" s="16"/>
      <c r="AH158" s="27"/>
      <c r="AJ158" s="27"/>
      <c r="AK158" s="16"/>
      <c r="AL158" s="27"/>
      <c r="AN158" s="27"/>
      <c r="AO158" s="16"/>
      <c r="AP158" s="27"/>
      <c r="AR158" s="27"/>
      <c r="AS158" s="16"/>
      <c r="AT158" s="27"/>
      <c r="AV158" s="27"/>
      <c r="AW158" s="16"/>
      <c r="AX158" s="27"/>
      <c r="AZ158" s="27"/>
      <c r="BA158" s="16"/>
      <c r="BB158" s="27"/>
      <c r="BD158" s="27"/>
      <c r="BE158" s="16"/>
      <c r="BF158" s="27"/>
      <c r="BH158" s="27"/>
      <c r="BI158" s="16"/>
      <c r="BJ158" s="27"/>
      <c r="BL158" s="27"/>
      <c r="BM158" s="16"/>
      <c r="BN158" s="27"/>
      <c r="BP158" s="27"/>
      <c r="BQ158" s="16"/>
      <c r="BR158" s="27"/>
      <c r="BT158" s="27"/>
      <c r="BU158" s="16"/>
      <c r="BV158" s="27"/>
      <c r="BX158" s="27"/>
      <c r="BY158" s="16"/>
      <c r="BZ158" s="27"/>
      <c r="CB158" s="27"/>
      <c r="CC158" s="16"/>
      <c r="CD158" s="27"/>
      <c r="CF158" s="27"/>
      <c r="CG158" s="16"/>
      <c r="CH158" s="27"/>
      <c r="CJ158" s="27"/>
      <c r="CK158" s="16"/>
      <c r="CL158" s="27"/>
      <c r="CN158" s="27"/>
      <c r="CO158" s="16"/>
      <c r="CP158" s="27"/>
      <c r="CR158" s="27"/>
      <c r="CS158" s="16"/>
      <c r="CT158" s="27"/>
      <c r="CV158" s="27"/>
      <c r="CW158" s="16"/>
      <c r="CX158" s="27"/>
      <c r="CZ158" s="27"/>
      <c r="DA158" s="16"/>
      <c r="DB158" s="27"/>
      <c r="DD158" s="16"/>
    </row>
    <row r="159" spans="1:108" s="14" customFormat="1" ht="21" x14ac:dyDescent="0.4">
      <c r="A159" s="27"/>
      <c r="B159" s="27"/>
      <c r="D159" s="16"/>
      <c r="E159" s="27"/>
      <c r="F159" s="27"/>
      <c r="H159" s="27"/>
      <c r="I159" s="16"/>
      <c r="J159" s="27"/>
      <c r="L159" s="27"/>
      <c r="M159" s="16"/>
      <c r="N159" s="27"/>
      <c r="P159" s="27"/>
      <c r="Q159" s="16"/>
      <c r="R159" s="27"/>
      <c r="T159" s="27"/>
      <c r="U159" s="16"/>
      <c r="V159" s="27"/>
      <c r="X159" s="27"/>
      <c r="Y159" s="16"/>
      <c r="Z159" s="27"/>
      <c r="AB159" s="27"/>
      <c r="AC159" s="16"/>
      <c r="AD159" s="27"/>
      <c r="AF159" s="27"/>
      <c r="AG159" s="16"/>
      <c r="AH159" s="27"/>
      <c r="AJ159" s="27"/>
      <c r="AK159" s="16"/>
      <c r="AL159" s="27"/>
      <c r="AN159" s="27"/>
      <c r="AO159" s="16"/>
      <c r="AP159" s="27"/>
      <c r="AR159" s="27"/>
      <c r="AS159" s="16"/>
      <c r="AT159" s="27"/>
      <c r="AV159" s="27"/>
      <c r="AW159" s="16"/>
      <c r="AX159" s="27"/>
      <c r="AZ159" s="27"/>
      <c r="BA159" s="16"/>
      <c r="BB159" s="27"/>
      <c r="BD159" s="27"/>
      <c r="BE159" s="16"/>
      <c r="BF159" s="27"/>
      <c r="BH159" s="27"/>
      <c r="BI159" s="16"/>
      <c r="BJ159" s="27"/>
      <c r="BL159" s="27"/>
      <c r="BM159" s="16"/>
      <c r="BN159" s="27"/>
      <c r="BP159" s="27"/>
      <c r="BQ159" s="16"/>
      <c r="BR159" s="27"/>
      <c r="BT159" s="27"/>
      <c r="BU159" s="16"/>
      <c r="BV159" s="27"/>
      <c r="BX159" s="27"/>
      <c r="BY159" s="16"/>
      <c r="BZ159" s="27"/>
      <c r="CB159" s="27"/>
      <c r="CC159" s="16"/>
      <c r="CD159" s="27"/>
      <c r="CF159" s="27"/>
      <c r="CG159" s="16"/>
      <c r="CH159" s="27"/>
      <c r="CJ159" s="27"/>
      <c r="CK159" s="16"/>
      <c r="CL159" s="27"/>
      <c r="CN159" s="27"/>
      <c r="CO159" s="16"/>
      <c r="CP159" s="27"/>
      <c r="CR159" s="27"/>
      <c r="CS159" s="16"/>
      <c r="CT159" s="27"/>
      <c r="CV159" s="27"/>
      <c r="CW159" s="16"/>
      <c r="CX159" s="27"/>
      <c r="CZ159" s="27"/>
      <c r="DA159" s="16"/>
      <c r="DB159" s="27"/>
      <c r="DD159" s="16"/>
    </row>
    <row r="160" spans="1:108" s="14" customFormat="1" ht="21" x14ac:dyDescent="0.4">
      <c r="A160" s="27"/>
      <c r="B160" s="27"/>
      <c r="D160" s="16"/>
      <c r="E160" s="27"/>
      <c r="F160" s="27"/>
      <c r="H160" s="27"/>
      <c r="I160" s="16"/>
      <c r="J160" s="27"/>
      <c r="L160" s="27"/>
      <c r="M160" s="16"/>
      <c r="N160" s="27"/>
      <c r="P160" s="27"/>
      <c r="Q160" s="16"/>
      <c r="R160" s="27"/>
      <c r="T160" s="27"/>
      <c r="U160" s="16"/>
      <c r="V160" s="27"/>
      <c r="X160" s="27"/>
      <c r="Y160" s="16"/>
      <c r="Z160" s="27"/>
      <c r="AB160" s="27"/>
      <c r="AC160" s="16"/>
      <c r="AD160" s="27"/>
      <c r="AF160" s="27"/>
      <c r="AG160" s="16"/>
      <c r="AH160" s="27"/>
      <c r="AJ160" s="27"/>
      <c r="AK160" s="16"/>
      <c r="AL160" s="27"/>
      <c r="AN160" s="27"/>
      <c r="AO160" s="16"/>
      <c r="AP160" s="27"/>
      <c r="AR160" s="27"/>
      <c r="AS160" s="16"/>
      <c r="AT160" s="27"/>
      <c r="AV160" s="27"/>
      <c r="AW160" s="16"/>
      <c r="AX160" s="27"/>
      <c r="AZ160" s="27"/>
      <c r="BA160" s="16"/>
      <c r="BB160" s="27"/>
      <c r="BD160" s="27"/>
      <c r="BE160" s="16"/>
      <c r="BF160" s="27"/>
      <c r="BH160" s="27"/>
      <c r="BI160" s="16"/>
      <c r="BJ160" s="27"/>
      <c r="BL160" s="27"/>
      <c r="BM160" s="16"/>
      <c r="BN160" s="27"/>
      <c r="BP160" s="27"/>
      <c r="BQ160" s="16"/>
      <c r="BR160" s="27"/>
      <c r="BT160" s="27"/>
      <c r="BU160" s="16"/>
      <c r="BV160" s="27"/>
      <c r="BX160" s="27"/>
      <c r="BY160" s="16"/>
      <c r="BZ160" s="27"/>
      <c r="CB160" s="27"/>
      <c r="CC160" s="16"/>
      <c r="CD160" s="27"/>
      <c r="CF160" s="27"/>
      <c r="CG160" s="16"/>
      <c r="CH160" s="27"/>
      <c r="CJ160" s="27"/>
      <c r="CK160" s="16"/>
      <c r="CL160" s="27"/>
      <c r="CN160" s="27"/>
      <c r="CO160" s="16"/>
      <c r="CP160" s="27"/>
      <c r="CR160" s="27"/>
      <c r="CS160" s="16"/>
      <c r="CT160" s="27"/>
      <c r="CV160" s="27"/>
      <c r="CW160" s="16"/>
      <c r="CX160" s="27"/>
      <c r="CZ160" s="27"/>
      <c r="DA160" s="16"/>
      <c r="DB160" s="27"/>
      <c r="DD160" s="16"/>
    </row>
    <row r="161" spans="1:108" s="14" customFormat="1" ht="21" x14ac:dyDescent="0.4">
      <c r="A161" s="27"/>
      <c r="B161" s="27"/>
      <c r="D161" s="16"/>
      <c r="E161" s="27"/>
      <c r="F161" s="27"/>
      <c r="H161" s="27"/>
      <c r="I161" s="16"/>
      <c r="J161" s="27"/>
      <c r="L161" s="27"/>
      <c r="M161" s="16"/>
      <c r="N161" s="27"/>
      <c r="P161" s="27"/>
      <c r="Q161" s="16"/>
      <c r="R161" s="27"/>
      <c r="T161" s="27"/>
      <c r="U161" s="16"/>
      <c r="V161" s="27"/>
      <c r="X161" s="27"/>
      <c r="Y161" s="16"/>
      <c r="Z161" s="27"/>
      <c r="AB161" s="27"/>
      <c r="AC161" s="16"/>
      <c r="AD161" s="27"/>
      <c r="AF161" s="27"/>
      <c r="AG161" s="16"/>
      <c r="AH161" s="27"/>
      <c r="AJ161" s="27"/>
      <c r="AK161" s="16"/>
      <c r="AL161" s="27"/>
      <c r="AN161" s="27"/>
      <c r="AO161" s="16"/>
      <c r="AP161" s="27"/>
      <c r="AR161" s="27"/>
      <c r="AS161" s="16"/>
      <c r="AT161" s="27"/>
      <c r="AV161" s="27"/>
      <c r="AW161" s="16"/>
      <c r="AX161" s="27"/>
      <c r="AZ161" s="27"/>
      <c r="BA161" s="16"/>
      <c r="BB161" s="27"/>
      <c r="BD161" s="27"/>
      <c r="BE161" s="16"/>
      <c r="BF161" s="27"/>
      <c r="BH161" s="27"/>
      <c r="BI161" s="16"/>
      <c r="BJ161" s="27"/>
      <c r="BL161" s="27"/>
      <c r="BM161" s="16"/>
      <c r="BN161" s="27"/>
      <c r="BP161" s="27"/>
      <c r="BQ161" s="16"/>
      <c r="BR161" s="27"/>
      <c r="BT161" s="27"/>
      <c r="BU161" s="16"/>
      <c r="BV161" s="27"/>
      <c r="BX161" s="27"/>
      <c r="BY161" s="16"/>
      <c r="BZ161" s="27"/>
      <c r="CB161" s="27"/>
      <c r="CC161" s="16"/>
      <c r="CD161" s="27"/>
      <c r="CF161" s="27"/>
      <c r="CG161" s="16"/>
      <c r="CH161" s="27"/>
      <c r="CJ161" s="27"/>
      <c r="CK161" s="16"/>
      <c r="CL161" s="27"/>
      <c r="CN161" s="27"/>
      <c r="CO161" s="16"/>
      <c r="CP161" s="27"/>
      <c r="CR161" s="27"/>
      <c r="CS161" s="16"/>
      <c r="CT161" s="27"/>
      <c r="CV161" s="27"/>
      <c r="CW161" s="16"/>
      <c r="CX161" s="27"/>
      <c r="CZ161" s="27"/>
      <c r="DA161" s="16"/>
      <c r="DB161" s="27"/>
      <c r="DD161" s="16"/>
    </row>
    <row r="162" spans="1:108" s="14" customFormat="1" ht="21" x14ac:dyDescent="0.4">
      <c r="A162" s="27"/>
      <c r="B162" s="27"/>
      <c r="D162" s="16"/>
      <c r="E162" s="27"/>
      <c r="F162" s="27"/>
      <c r="H162" s="27"/>
      <c r="I162" s="16"/>
      <c r="J162" s="27"/>
      <c r="L162" s="27"/>
      <c r="M162" s="16"/>
      <c r="N162" s="27"/>
      <c r="P162" s="27"/>
      <c r="Q162" s="16"/>
      <c r="R162" s="27"/>
      <c r="T162" s="27"/>
      <c r="U162" s="16"/>
      <c r="V162" s="27"/>
      <c r="X162" s="27"/>
      <c r="Y162" s="16"/>
      <c r="Z162" s="27"/>
      <c r="AB162" s="27"/>
      <c r="AC162" s="16"/>
      <c r="AD162" s="27"/>
      <c r="AF162" s="27"/>
      <c r="AG162" s="16"/>
      <c r="AH162" s="27"/>
      <c r="AJ162" s="27"/>
      <c r="AK162" s="16"/>
      <c r="AL162" s="27"/>
      <c r="AN162" s="27"/>
      <c r="AO162" s="16"/>
      <c r="AP162" s="27"/>
      <c r="AR162" s="27"/>
      <c r="AS162" s="16"/>
      <c r="AT162" s="27"/>
      <c r="AV162" s="27"/>
      <c r="AW162" s="16"/>
      <c r="AX162" s="27"/>
      <c r="AZ162" s="27"/>
      <c r="BA162" s="16"/>
      <c r="BB162" s="27"/>
      <c r="BD162" s="27"/>
      <c r="BE162" s="16"/>
      <c r="BF162" s="27"/>
      <c r="BH162" s="27"/>
      <c r="BI162" s="16"/>
      <c r="BJ162" s="27"/>
      <c r="BL162" s="27"/>
      <c r="BM162" s="16"/>
      <c r="BN162" s="27"/>
      <c r="BP162" s="27"/>
      <c r="BQ162" s="16"/>
      <c r="BR162" s="27"/>
      <c r="BT162" s="27"/>
      <c r="BU162" s="16"/>
      <c r="BV162" s="27"/>
      <c r="BX162" s="27"/>
      <c r="BY162" s="16"/>
      <c r="BZ162" s="27"/>
      <c r="CB162" s="27"/>
      <c r="CC162" s="16"/>
      <c r="CD162" s="27"/>
      <c r="CF162" s="27"/>
      <c r="CG162" s="16"/>
      <c r="CH162" s="27"/>
      <c r="CJ162" s="27"/>
      <c r="CK162" s="16"/>
      <c r="CL162" s="27"/>
      <c r="CN162" s="27"/>
      <c r="CO162" s="16"/>
      <c r="CP162" s="27"/>
      <c r="CR162" s="27"/>
      <c r="CS162" s="16"/>
      <c r="CT162" s="27"/>
      <c r="CV162" s="27"/>
      <c r="CW162" s="16"/>
      <c r="CX162" s="27"/>
      <c r="CZ162" s="27"/>
      <c r="DA162" s="16"/>
      <c r="DB162" s="27"/>
      <c r="DD162" s="16"/>
    </row>
    <row r="163" spans="1:108" s="14" customFormat="1" ht="21" x14ac:dyDescent="0.4">
      <c r="A163" s="27"/>
      <c r="B163" s="27"/>
      <c r="D163" s="16"/>
      <c r="E163" s="27"/>
      <c r="F163" s="27"/>
      <c r="H163" s="27"/>
      <c r="I163" s="16"/>
      <c r="J163" s="27"/>
      <c r="L163" s="27"/>
      <c r="M163" s="16"/>
      <c r="N163" s="27"/>
      <c r="P163" s="27"/>
      <c r="Q163" s="16"/>
      <c r="R163" s="27"/>
      <c r="T163" s="27"/>
      <c r="U163" s="16"/>
      <c r="V163" s="27"/>
      <c r="X163" s="27"/>
      <c r="Y163" s="16"/>
      <c r="Z163" s="27"/>
      <c r="AB163" s="27"/>
      <c r="AC163" s="16"/>
      <c r="AD163" s="27"/>
      <c r="AF163" s="27"/>
      <c r="AG163" s="16"/>
      <c r="AH163" s="27"/>
      <c r="AJ163" s="27"/>
      <c r="AK163" s="16"/>
      <c r="AL163" s="27"/>
      <c r="AN163" s="27"/>
      <c r="AO163" s="16"/>
      <c r="AP163" s="27"/>
      <c r="AR163" s="27"/>
      <c r="AS163" s="16"/>
      <c r="AT163" s="27"/>
      <c r="AV163" s="27"/>
      <c r="AW163" s="16"/>
      <c r="AX163" s="27"/>
      <c r="AZ163" s="27"/>
      <c r="BA163" s="16"/>
      <c r="BB163" s="27"/>
      <c r="BD163" s="27"/>
      <c r="BE163" s="16"/>
      <c r="BF163" s="27"/>
      <c r="BH163" s="27"/>
      <c r="BI163" s="16"/>
      <c r="BJ163" s="27"/>
      <c r="BL163" s="27"/>
      <c r="BM163" s="16"/>
      <c r="BN163" s="27"/>
      <c r="BP163" s="27"/>
      <c r="BQ163" s="16"/>
      <c r="BR163" s="27"/>
      <c r="BT163" s="27"/>
      <c r="BU163" s="16"/>
      <c r="BV163" s="27"/>
      <c r="BX163" s="27"/>
      <c r="BY163" s="16"/>
      <c r="BZ163" s="27"/>
      <c r="CB163" s="27"/>
      <c r="CC163" s="16"/>
      <c r="CD163" s="27"/>
      <c r="CF163" s="27"/>
      <c r="CG163" s="16"/>
      <c r="CH163" s="27"/>
      <c r="CJ163" s="27"/>
      <c r="CK163" s="16"/>
      <c r="CL163" s="27"/>
      <c r="CN163" s="27"/>
      <c r="CO163" s="16"/>
      <c r="CP163" s="27"/>
      <c r="CR163" s="27"/>
      <c r="CS163" s="16"/>
      <c r="CT163" s="27"/>
      <c r="CV163" s="27"/>
      <c r="CW163" s="16"/>
      <c r="CX163" s="27"/>
      <c r="CZ163" s="27"/>
      <c r="DA163" s="16"/>
      <c r="DB163" s="27"/>
      <c r="DD163" s="16"/>
    </row>
    <row r="164" spans="1:108" s="14" customFormat="1" ht="21" x14ac:dyDescent="0.4">
      <c r="A164" s="27"/>
      <c r="B164" s="27"/>
      <c r="D164" s="16"/>
      <c r="E164" s="27"/>
      <c r="F164" s="27"/>
      <c r="H164" s="27"/>
      <c r="I164" s="16"/>
      <c r="J164" s="27"/>
      <c r="L164" s="27"/>
      <c r="M164" s="16"/>
      <c r="N164" s="27"/>
      <c r="P164" s="27"/>
      <c r="Q164" s="16"/>
      <c r="R164" s="27"/>
      <c r="T164" s="27"/>
      <c r="U164" s="16"/>
      <c r="V164" s="27"/>
      <c r="X164" s="27"/>
      <c r="Y164" s="16"/>
      <c r="Z164" s="27"/>
      <c r="AB164" s="27"/>
      <c r="AC164" s="16"/>
      <c r="AD164" s="27"/>
      <c r="AF164" s="27"/>
      <c r="AG164" s="16"/>
      <c r="AH164" s="27"/>
      <c r="AJ164" s="27"/>
      <c r="AK164" s="16"/>
      <c r="AL164" s="27"/>
      <c r="AN164" s="27"/>
      <c r="AO164" s="16"/>
      <c r="AP164" s="27"/>
      <c r="AR164" s="27"/>
      <c r="AS164" s="16"/>
      <c r="AT164" s="27"/>
      <c r="AV164" s="27"/>
      <c r="AW164" s="16"/>
      <c r="AX164" s="27"/>
      <c r="AZ164" s="27"/>
      <c r="BA164" s="16"/>
      <c r="BB164" s="27"/>
      <c r="BD164" s="27"/>
      <c r="BE164" s="16"/>
      <c r="BF164" s="27"/>
      <c r="BH164" s="27"/>
      <c r="BI164" s="16"/>
      <c r="BJ164" s="27"/>
      <c r="BL164" s="27"/>
      <c r="BM164" s="16"/>
      <c r="BN164" s="27"/>
      <c r="BP164" s="27"/>
      <c r="BQ164" s="16"/>
      <c r="BR164" s="27"/>
      <c r="BT164" s="27"/>
      <c r="BU164" s="16"/>
      <c r="BV164" s="27"/>
      <c r="BX164" s="27"/>
      <c r="BY164" s="16"/>
      <c r="BZ164" s="27"/>
      <c r="CB164" s="27"/>
      <c r="CC164" s="16"/>
      <c r="CD164" s="27"/>
      <c r="CF164" s="27"/>
      <c r="CG164" s="16"/>
      <c r="CH164" s="27"/>
      <c r="CJ164" s="27"/>
      <c r="CK164" s="16"/>
      <c r="CL164" s="27"/>
      <c r="CN164" s="27"/>
      <c r="CO164" s="16"/>
      <c r="CP164" s="27"/>
      <c r="CR164" s="27"/>
      <c r="CS164" s="16"/>
      <c r="CT164" s="27"/>
      <c r="CV164" s="27"/>
      <c r="CW164" s="16"/>
      <c r="CX164" s="27"/>
      <c r="CZ164" s="27"/>
      <c r="DA164" s="16"/>
      <c r="DB164" s="27"/>
      <c r="DD164" s="16"/>
    </row>
    <row r="165" spans="1:108" s="14" customFormat="1" ht="21" x14ac:dyDescent="0.4">
      <c r="A165" s="27"/>
      <c r="B165" s="27"/>
      <c r="D165" s="16"/>
      <c r="E165" s="27"/>
      <c r="F165" s="27"/>
      <c r="H165" s="27"/>
      <c r="I165" s="16"/>
      <c r="J165" s="27"/>
      <c r="L165" s="27"/>
      <c r="M165" s="16"/>
      <c r="N165" s="27"/>
      <c r="P165" s="27"/>
      <c r="Q165" s="16"/>
      <c r="R165" s="27"/>
      <c r="T165" s="27"/>
      <c r="U165" s="16"/>
      <c r="V165" s="27"/>
      <c r="X165" s="27"/>
      <c r="Y165" s="16"/>
      <c r="Z165" s="27"/>
      <c r="AB165" s="27"/>
      <c r="AC165" s="16"/>
      <c r="AD165" s="27"/>
      <c r="AF165" s="27"/>
      <c r="AG165" s="16"/>
      <c r="AH165" s="27"/>
      <c r="AJ165" s="27"/>
      <c r="AK165" s="16"/>
      <c r="AL165" s="27"/>
      <c r="AN165" s="27"/>
      <c r="AO165" s="16"/>
      <c r="AP165" s="27"/>
      <c r="AR165" s="27"/>
      <c r="AS165" s="16"/>
      <c r="AT165" s="27"/>
      <c r="AV165" s="27"/>
      <c r="AW165" s="16"/>
      <c r="AX165" s="27"/>
      <c r="AZ165" s="27"/>
      <c r="BA165" s="16"/>
      <c r="BB165" s="27"/>
      <c r="BD165" s="27"/>
      <c r="BE165" s="16"/>
      <c r="BF165" s="27"/>
      <c r="BH165" s="27"/>
      <c r="BI165" s="16"/>
      <c r="BJ165" s="27"/>
      <c r="BL165" s="27"/>
      <c r="BM165" s="16"/>
      <c r="BN165" s="27"/>
      <c r="BP165" s="27"/>
      <c r="BQ165" s="16"/>
      <c r="BR165" s="27"/>
      <c r="BT165" s="27"/>
      <c r="BU165" s="16"/>
      <c r="BV165" s="27"/>
      <c r="BX165" s="27"/>
      <c r="BY165" s="16"/>
      <c r="BZ165" s="27"/>
      <c r="CB165" s="27"/>
      <c r="CC165" s="16"/>
      <c r="CD165" s="27"/>
      <c r="CF165" s="27"/>
      <c r="CG165" s="16"/>
      <c r="CH165" s="27"/>
      <c r="CJ165" s="27"/>
      <c r="CK165" s="16"/>
      <c r="CL165" s="27"/>
      <c r="CN165" s="27"/>
      <c r="CO165" s="16"/>
      <c r="CP165" s="27"/>
      <c r="CR165" s="27"/>
      <c r="CS165" s="16"/>
      <c r="CT165" s="27"/>
      <c r="CV165" s="27"/>
      <c r="CW165" s="16"/>
      <c r="CX165" s="27"/>
      <c r="CZ165" s="27"/>
      <c r="DA165" s="16"/>
      <c r="DB165" s="27"/>
      <c r="DD165" s="16"/>
    </row>
    <row r="166" spans="1:108" s="14" customFormat="1" ht="21" x14ac:dyDescent="0.4">
      <c r="A166" s="27"/>
      <c r="B166" s="27"/>
      <c r="D166" s="16"/>
      <c r="E166" s="27"/>
      <c r="F166" s="27"/>
      <c r="H166" s="27"/>
      <c r="I166" s="16"/>
      <c r="J166" s="27"/>
      <c r="L166" s="27"/>
      <c r="M166" s="16"/>
      <c r="N166" s="27"/>
      <c r="P166" s="27"/>
      <c r="Q166" s="16"/>
      <c r="R166" s="27"/>
      <c r="T166" s="27"/>
      <c r="U166" s="16"/>
      <c r="V166" s="27"/>
      <c r="X166" s="27"/>
      <c r="Y166" s="16"/>
      <c r="Z166" s="27"/>
      <c r="AB166" s="27"/>
      <c r="AC166" s="16"/>
      <c r="AD166" s="27"/>
      <c r="AF166" s="27"/>
      <c r="AG166" s="16"/>
      <c r="AH166" s="27"/>
      <c r="AJ166" s="27"/>
      <c r="AK166" s="16"/>
      <c r="AL166" s="27"/>
      <c r="AN166" s="27"/>
      <c r="AO166" s="16"/>
      <c r="AP166" s="27"/>
      <c r="AR166" s="27"/>
      <c r="AS166" s="16"/>
      <c r="AT166" s="27"/>
      <c r="AV166" s="27"/>
      <c r="AW166" s="16"/>
      <c r="AX166" s="27"/>
      <c r="AZ166" s="27"/>
      <c r="BA166" s="16"/>
      <c r="BB166" s="27"/>
      <c r="BD166" s="27"/>
      <c r="BE166" s="16"/>
      <c r="BF166" s="27"/>
      <c r="BH166" s="27"/>
      <c r="BI166" s="16"/>
      <c r="BJ166" s="27"/>
      <c r="BL166" s="27"/>
      <c r="BM166" s="16"/>
      <c r="BN166" s="27"/>
      <c r="BP166" s="27"/>
      <c r="BQ166" s="16"/>
      <c r="BR166" s="27"/>
      <c r="BT166" s="27"/>
      <c r="BU166" s="16"/>
      <c r="BV166" s="27"/>
      <c r="BX166" s="27"/>
      <c r="BY166" s="16"/>
      <c r="BZ166" s="27"/>
      <c r="CB166" s="27"/>
      <c r="CC166" s="16"/>
      <c r="CD166" s="27"/>
      <c r="CF166" s="27"/>
      <c r="CG166" s="16"/>
      <c r="CH166" s="27"/>
      <c r="CJ166" s="27"/>
      <c r="CK166" s="16"/>
      <c r="CL166" s="27"/>
      <c r="CN166" s="27"/>
      <c r="CO166" s="16"/>
      <c r="CP166" s="27"/>
      <c r="CR166" s="27"/>
      <c r="CS166" s="16"/>
      <c r="CT166" s="27"/>
      <c r="CV166" s="27"/>
      <c r="CW166" s="16"/>
      <c r="CX166" s="27"/>
      <c r="CZ166" s="27"/>
      <c r="DA166" s="16"/>
      <c r="DB166" s="27"/>
      <c r="DD166" s="16"/>
    </row>
    <row r="167" spans="1:108" s="14" customFormat="1" ht="21" x14ac:dyDescent="0.4">
      <c r="A167" s="27"/>
      <c r="B167" s="27"/>
      <c r="D167" s="16"/>
      <c r="E167" s="27"/>
      <c r="F167" s="27"/>
      <c r="H167" s="27"/>
      <c r="I167" s="16"/>
      <c r="J167" s="27"/>
      <c r="L167" s="27"/>
      <c r="M167" s="16"/>
      <c r="N167" s="27"/>
      <c r="P167" s="27"/>
      <c r="Q167" s="16"/>
      <c r="R167" s="27"/>
      <c r="T167" s="27"/>
      <c r="U167" s="16"/>
      <c r="V167" s="27"/>
      <c r="X167" s="27"/>
      <c r="Y167" s="16"/>
      <c r="Z167" s="27"/>
      <c r="AB167" s="27"/>
      <c r="AC167" s="16"/>
      <c r="AD167" s="27"/>
      <c r="AF167" s="27"/>
      <c r="AG167" s="16"/>
      <c r="AH167" s="27"/>
      <c r="AJ167" s="27"/>
      <c r="AK167" s="16"/>
      <c r="AL167" s="27"/>
      <c r="AN167" s="27"/>
      <c r="AO167" s="16"/>
      <c r="AP167" s="27"/>
      <c r="AR167" s="27"/>
      <c r="AS167" s="16"/>
      <c r="AT167" s="27"/>
      <c r="AV167" s="27"/>
      <c r="AW167" s="16"/>
      <c r="AX167" s="27"/>
      <c r="AZ167" s="27"/>
      <c r="BA167" s="16"/>
      <c r="BB167" s="27"/>
      <c r="BD167" s="27"/>
      <c r="BE167" s="16"/>
      <c r="BF167" s="27"/>
      <c r="BH167" s="27"/>
      <c r="BI167" s="16"/>
      <c r="BJ167" s="27"/>
      <c r="BL167" s="27"/>
      <c r="BM167" s="16"/>
      <c r="BN167" s="27"/>
      <c r="BP167" s="27"/>
      <c r="BQ167" s="16"/>
      <c r="BR167" s="27"/>
      <c r="BT167" s="27"/>
      <c r="BU167" s="16"/>
      <c r="BV167" s="27"/>
      <c r="BX167" s="27"/>
      <c r="BY167" s="16"/>
      <c r="BZ167" s="27"/>
      <c r="CB167" s="27"/>
      <c r="CC167" s="16"/>
      <c r="CD167" s="27"/>
      <c r="CF167" s="27"/>
      <c r="CG167" s="16"/>
      <c r="CH167" s="27"/>
      <c r="CJ167" s="27"/>
      <c r="CK167" s="16"/>
      <c r="CL167" s="27"/>
      <c r="CN167" s="27"/>
      <c r="CO167" s="16"/>
      <c r="CP167" s="27"/>
      <c r="CR167" s="27"/>
      <c r="CS167" s="16"/>
      <c r="CT167" s="27"/>
      <c r="CV167" s="27"/>
      <c r="CW167" s="16"/>
      <c r="CX167" s="27"/>
      <c r="CZ167" s="27"/>
      <c r="DA167" s="16"/>
      <c r="DB167" s="27"/>
      <c r="DD167" s="16"/>
    </row>
    <row r="168" spans="1:108" s="14" customFormat="1" ht="21" x14ac:dyDescent="0.4">
      <c r="A168" s="27"/>
      <c r="B168" s="27"/>
      <c r="D168" s="16"/>
      <c r="E168" s="27"/>
      <c r="F168" s="27"/>
      <c r="H168" s="27"/>
      <c r="I168" s="16"/>
      <c r="J168" s="27"/>
      <c r="L168" s="27"/>
      <c r="M168" s="16"/>
      <c r="N168" s="27"/>
      <c r="P168" s="27"/>
      <c r="Q168" s="16"/>
      <c r="R168" s="27"/>
      <c r="T168" s="27"/>
      <c r="U168" s="16"/>
      <c r="V168" s="27"/>
      <c r="X168" s="27"/>
      <c r="Y168" s="16"/>
      <c r="Z168" s="27"/>
      <c r="AB168" s="27"/>
      <c r="AC168" s="16"/>
      <c r="AD168" s="27"/>
      <c r="AF168" s="27"/>
      <c r="AG168" s="16"/>
      <c r="AH168" s="27"/>
      <c r="AJ168" s="27"/>
      <c r="AK168" s="16"/>
      <c r="AL168" s="27"/>
      <c r="AN168" s="27"/>
      <c r="AO168" s="16"/>
      <c r="AP168" s="27"/>
      <c r="AR168" s="27"/>
      <c r="AS168" s="16"/>
      <c r="AT168" s="27"/>
      <c r="AV168" s="27"/>
      <c r="AW168" s="16"/>
      <c r="AX168" s="27"/>
      <c r="AZ168" s="27"/>
      <c r="BA168" s="16"/>
      <c r="BB168" s="27"/>
      <c r="BD168" s="27"/>
      <c r="BE168" s="16"/>
      <c r="BF168" s="27"/>
      <c r="BH168" s="27"/>
      <c r="BI168" s="16"/>
      <c r="BJ168" s="27"/>
      <c r="BL168" s="27"/>
      <c r="BM168" s="16"/>
      <c r="BN168" s="27"/>
      <c r="BP168" s="27"/>
      <c r="BQ168" s="16"/>
      <c r="BR168" s="27"/>
      <c r="BT168" s="27"/>
      <c r="BU168" s="16"/>
      <c r="BV168" s="27"/>
      <c r="BX168" s="27"/>
      <c r="BY168" s="16"/>
      <c r="BZ168" s="27"/>
      <c r="CB168" s="27"/>
      <c r="CC168" s="16"/>
      <c r="CD168" s="27"/>
      <c r="CF168" s="27"/>
      <c r="CG168" s="16"/>
      <c r="CH168" s="27"/>
      <c r="CJ168" s="27"/>
      <c r="CK168" s="16"/>
      <c r="CL168" s="27"/>
      <c r="CN168" s="27"/>
      <c r="CO168" s="16"/>
      <c r="CP168" s="27"/>
      <c r="CR168" s="27"/>
      <c r="CS168" s="16"/>
      <c r="CT168" s="27"/>
      <c r="CV168" s="27"/>
      <c r="CW168" s="16"/>
      <c r="CX168" s="27"/>
      <c r="CZ168" s="27"/>
      <c r="DA168" s="16"/>
      <c r="DB168" s="27"/>
      <c r="DD168" s="16"/>
    </row>
    <row r="169" spans="1:108" s="14" customFormat="1" ht="21" x14ac:dyDescent="0.4">
      <c r="A169" s="27"/>
      <c r="B169" s="27"/>
      <c r="D169" s="16"/>
      <c r="E169" s="27"/>
      <c r="F169" s="27"/>
      <c r="H169" s="27"/>
      <c r="I169" s="16"/>
      <c r="J169" s="27"/>
      <c r="L169" s="27"/>
      <c r="M169" s="16"/>
      <c r="N169" s="27"/>
      <c r="P169" s="27"/>
      <c r="Q169" s="16"/>
      <c r="R169" s="27"/>
      <c r="T169" s="27"/>
      <c r="U169" s="16"/>
      <c r="V169" s="27"/>
      <c r="X169" s="27"/>
      <c r="Y169" s="16"/>
      <c r="Z169" s="27"/>
      <c r="AB169" s="27"/>
      <c r="AC169" s="16"/>
      <c r="AD169" s="27"/>
      <c r="AF169" s="27"/>
      <c r="AG169" s="16"/>
      <c r="AH169" s="27"/>
      <c r="AJ169" s="27"/>
      <c r="AK169" s="16"/>
      <c r="AL169" s="27"/>
      <c r="AN169" s="27"/>
      <c r="AO169" s="16"/>
      <c r="AP169" s="27"/>
      <c r="AR169" s="27"/>
      <c r="AS169" s="16"/>
      <c r="AT169" s="27"/>
      <c r="AV169" s="27"/>
      <c r="AW169" s="16"/>
      <c r="AX169" s="27"/>
      <c r="AZ169" s="27"/>
      <c r="BA169" s="16"/>
      <c r="BB169" s="27"/>
      <c r="BD169" s="27"/>
      <c r="BE169" s="16"/>
      <c r="BF169" s="27"/>
      <c r="BH169" s="27"/>
      <c r="BI169" s="16"/>
      <c r="BJ169" s="27"/>
      <c r="BL169" s="27"/>
      <c r="BM169" s="16"/>
      <c r="BN169" s="27"/>
      <c r="BP169" s="27"/>
      <c r="BQ169" s="16"/>
      <c r="BR169" s="27"/>
      <c r="BT169" s="27"/>
      <c r="BU169" s="16"/>
      <c r="BV169" s="27"/>
      <c r="BX169" s="27"/>
      <c r="BY169" s="16"/>
      <c r="BZ169" s="27"/>
      <c r="CB169" s="27"/>
      <c r="CC169" s="16"/>
      <c r="CD169" s="27"/>
      <c r="CF169" s="27"/>
      <c r="CG169" s="16"/>
      <c r="CH169" s="27"/>
      <c r="CJ169" s="27"/>
      <c r="CK169" s="16"/>
      <c r="CL169" s="27"/>
      <c r="CN169" s="27"/>
      <c r="CO169" s="16"/>
      <c r="CP169" s="27"/>
      <c r="CR169" s="27"/>
      <c r="CS169" s="16"/>
      <c r="CT169" s="27"/>
      <c r="CV169" s="27"/>
      <c r="CW169" s="16"/>
      <c r="CX169" s="27"/>
      <c r="CZ169" s="27"/>
      <c r="DA169" s="16"/>
      <c r="DB169" s="27"/>
      <c r="DD169" s="16"/>
    </row>
    <row r="170" spans="1:108" s="14" customFormat="1" ht="21" x14ac:dyDescent="0.4">
      <c r="A170" s="27"/>
      <c r="B170" s="27"/>
      <c r="D170" s="16"/>
      <c r="E170" s="27"/>
      <c r="F170" s="27"/>
      <c r="H170" s="27"/>
      <c r="I170" s="16"/>
      <c r="J170" s="27"/>
      <c r="L170" s="27"/>
      <c r="M170" s="16"/>
      <c r="N170" s="27"/>
      <c r="P170" s="27"/>
      <c r="Q170" s="16"/>
      <c r="R170" s="27"/>
      <c r="T170" s="27"/>
      <c r="U170" s="16"/>
      <c r="V170" s="27"/>
      <c r="X170" s="27"/>
      <c r="Y170" s="16"/>
      <c r="Z170" s="27"/>
      <c r="AB170" s="27"/>
      <c r="AC170" s="16"/>
      <c r="AD170" s="27"/>
      <c r="AF170" s="27"/>
      <c r="AG170" s="16"/>
      <c r="AH170" s="27"/>
      <c r="AJ170" s="27"/>
      <c r="AK170" s="16"/>
      <c r="AL170" s="27"/>
      <c r="AN170" s="27"/>
      <c r="AO170" s="16"/>
      <c r="AP170" s="27"/>
      <c r="AR170" s="27"/>
      <c r="AS170" s="16"/>
      <c r="AT170" s="27"/>
      <c r="AV170" s="27"/>
      <c r="AW170" s="16"/>
      <c r="AX170" s="27"/>
      <c r="AZ170" s="27"/>
      <c r="BA170" s="16"/>
      <c r="BB170" s="27"/>
      <c r="BD170" s="27"/>
      <c r="BE170" s="16"/>
      <c r="BF170" s="27"/>
      <c r="BH170" s="27"/>
      <c r="BI170" s="16"/>
      <c r="BJ170" s="27"/>
      <c r="BL170" s="27"/>
      <c r="BM170" s="16"/>
      <c r="BN170" s="27"/>
      <c r="BP170" s="27"/>
      <c r="BQ170" s="16"/>
      <c r="BR170" s="27"/>
      <c r="BT170" s="27"/>
      <c r="BU170" s="16"/>
      <c r="BV170" s="27"/>
      <c r="BX170" s="27"/>
      <c r="BY170" s="16"/>
      <c r="BZ170" s="27"/>
      <c r="CB170" s="27"/>
      <c r="CC170" s="16"/>
      <c r="CD170" s="27"/>
      <c r="CF170" s="27"/>
      <c r="CG170" s="16"/>
      <c r="CH170" s="27"/>
      <c r="CJ170" s="27"/>
      <c r="CK170" s="16"/>
      <c r="CL170" s="27"/>
      <c r="CN170" s="27"/>
      <c r="CO170" s="16"/>
      <c r="CP170" s="27"/>
      <c r="CR170" s="27"/>
      <c r="CS170" s="16"/>
      <c r="CT170" s="27"/>
      <c r="CV170" s="27"/>
      <c r="CW170" s="16"/>
      <c r="CX170" s="27"/>
      <c r="CZ170" s="27"/>
      <c r="DA170" s="16"/>
      <c r="DB170" s="27"/>
      <c r="DD170" s="16"/>
    </row>
    <row r="171" spans="1:108" s="14" customFormat="1" ht="21" x14ac:dyDescent="0.4">
      <c r="A171" s="27"/>
      <c r="B171" s="27"/>
      <c r="D171" s="16"/>
      <c r="E171" s="27"/>
      <c r="F171" s="27"/>
      <c r="H171" s="27"/>
      <c r="I171" s="16"/>
      <c r="J171" s="27"/>
      <c r="L171" s="27"/>
      <c r="M171" s="16"/>
      <c r="N171" s="27"/>
      <c r="P171" s="27"/>
      <c r="Q171" s="16"/>
      <c r="R171" s="27"/>
      <c r="T171" s="27"/>
      <c r="U171" s="16"/>
      <c r="V171" s="27"/>
      <c r="X171" s="27"/>
      <c r="Y171" s="16"/>
      <c r="Z171" s="27"/>
      <c r="AB171" s="27"/>
      <c r="AC171" s="16"/>
      <c r="AD171" s="27"/>
      <c r="AF171" s="27"/>
      <c r="AG171" s="16"/>
      <c r="AH171" s="27"/>
      <c r="AJ171" s="27"/>
      <c r="AK171" s="16"/>
      <c r="AL171" s="27"/>
      <c r="AN171" s="27"/>
      <c r="AO171" s="16"/>
      <c r="AP171" s="27"/>
      <c r="AR171" s="27"/>
      <c r="AS171" s="16"/>
      <c r="AT171" s="27"/>
      <c r="AV171" s="27"/>
      <c r="AW171" s="16"/>
      <c r="AX171" s="27"/>
      <c r="AZ171" s="27"/>
      <c r="BA171" s="16"/>
      <c r="BB171" s="27"/>
      <c r="BD171" s="27"/>
      <c r="BE171" s="16"/>
      <c r="BF171" s="27"/>
      <c r="BH171" s="27"/>
      <c r="BI171" s="16"/>
      <c r="BJ171" s="27"/>
      <c r="BL171" s="27"/>
      <c r="BM171" s="16"/>
      <c r="BN171" s="27"/>
      <c r="BP171" s="27"/>
      <c r="BQ171" s="16"/>
      <c r="BR171" s="27"/>
      <c r="BT171" s="27"/>
      <c r="BU171" s="16"/>
      <c r="BV171" s="27"/>
      <c r="BX171" s="27"/>
      <c r="BY171" s="16"/>
      <c r="BZ171" s="27"/>
      <c r="CB171" s="27"/>
      <c r="CC171" s="16"/>
      <c r="CD171" s="27"/>
      <c r="CF171" s="27"/>
      <c r="CG171" s="16"/>
      <c r="CH171" s="27"/>
      <c r="CJ171" s="27"/>
      <c r="CK171" s="16"/>
      <c r="CL171" s="27"/>
      <c r="CN171" s="27"/>
      <c r="CO171" s="16"/>
      <c r="CP171" s="27"/>
      <c r="CR171" s="27"/>
      <c r="CS171" s="16"/>
      <c r="CT171" s="27"/>
      <c r="CV171" s="27"/>
      <c r="CW171" s="16"/>
      <c r="CX171" s="27"/>
      <c r="CZ171" s="27"/>
      <c r="DA171" s="16"/>
      <c r="DB171" s="27"/>
      <c r="DD171" s="16"/>
    </row>
    <row r="172" spans="1:108" s="14" customFormat="1" ht="21" x14ac:dyDescent="0.4">
      <c r="A172" s="27"/>
      <c r="B172" s="27"/>
      <c r="D172" s="16"/>
      <c r="E172" s="27"/>
      <c r="F172" s="27"/>
      <c r="H172" s="27"/>
      <c r="I172" s="16"/>
      <c r="J172" s="27"/>
      <c r="L172" s="27"/>
      <c r="M172" s="16"/>
      <c r="N172" s="27"/>
      <c r="P172" s="27"/>
      <c r="Q172" s="16"/>
      <c r="R172" s="27"/>
      <c r="T172" s="27"/>
      <c r="U172" s="16"/>
      <c r="V172" s="27"/>
      <c r="X172" s="27"/>
      <c r="Y172" s="16"/>
      <c r="Z172" s="27"/>
      <c r="AB172" s="27"/>
      <c r="AC172" s="16"/>
      <c r="AD172" s="27"/>
      <c r="AF172" s="27"/>
      <c r="AG172" s="16"/>
      <c r="AH172" s="27"/>
      <c r="AJ172" s="27"/>
      <c r="AK172" s="16"/>
      <c r="AL172" s="27"/>
      <c r="AN172" s="27"/>
      <c r="AO172" s="16"/>
      <c r="AP172" s="27"/>
      <c r="AR172" s="27"/>
      <c r="AS172" s="16"/>
      <c r="AT172" s="27"/>
      <c r="AV172" s="27"/>
      <c r="AW172" s="16"/>
      <c r="AX172" s="27"/>
      <c r="AZ172" s="27"/>
      <c r="BA172" s="16"/>
      <c r="BB172" s="27"/>
      <c r="BD172" s="27"/>
      <c r="BE172" s="16"/>
      <c r="BF172" s="27"/>
      <c r="BH172" s="27"/>
      <c r="BI172" s="16"/>
      <c r="BJ172" s="27"/>
      <c r="BL172" s="27"/>
      <c r="BM172" s="16"/>
      <c r="BN172" s="27"/>
      <c r="BP172" s="27"/>
      <c r="BQ172" s="16"/>
      <c r="BR172" s="27"/>
      <c r="BT172" s="27"/>
      <c r="BU172" s="16"/>
      <c r="BV172" s="27"/>
      <c r="BX172" s="27"/>
      <c r="BY172" s="16"/>
      <c r="BZ172" s="27"/>
      <c r="CB172" s="27"/>
      <c r="CC172" s="16"/>
      <c r="CD172" s="27"/>
      <c r="CF172" s="27"/>
      <c r="CG172" s="16"/>
      <c r="CH172" s="27"/>
      <c r="CJ172" s="27"/>
      <c r="CK172" s="16"/>
      <c r="CL172" s="27"/>
      <c r="CN172" s="27"/>
      <c r="CO172" s="16"/>
      <c r="CP172" s="27"/>
      <c r="CR172" s="27"/>
      <c r="CS172" s="16"/>
      <c r="CT172" s="27"/>
      <c r="CV172" s="27"/>
      <c r="CW172" s="16"/>
      <c r="CX172" s="27"/>
      <c r="CZ172" s="27"/>
      <c r="DA172" s="16"/>
      <c r="DB172" s="27"/>
      <c r="DD172" s="16"/>
    </row>
    <row r="173" spans="1:108" s="14" customFormat="1" ht="21" x14ac:dyDescent="0.4">
      <c r="A173" s="27"/>
      <c r="B173" s="27"/>
      <c r="D173" s="16"/>
      <c r="E173" s="27"/>
      <c r="F173" s="27"/>
      <c r="H173" s="27"/>
      <c r="I173" s="16"/>
      <c r="J173" s="27"/>
      <c r="L173" s="27"/>
      <c r="M173" s="16"/>
      <c r="N173" s="27"/>
      <c r="P173" s="27"/>
      <c r="Q173" s="16"/>
      <c r="R173" s="27"/>
      <c r="T173" s="27"/>
      <c r="U173" s="16"/>
      <c r="V173" s="27"/>
      <c r="X173" s="27"/>
      <c r="Y173" s="16"/>
      <c r="Z173" s="27"/>
      <c r="AB173" s="27"/>
      <c r="AC173" s="16"/>
      <c r="AD173" s="27"/>
      <c r="AF173" s="27"/>
      <c r="AG173" s="16"/>
      <c r="AH173" s="27"/>
      <c r="AJ173" s="27"/>
      <c r="AK173" s="16"/>
      <c r="AL173" s="27"/>
      <c r="AN173" s="27"/>
      <c r="AO173" s="16"/>
      <c r="AP173" s="27"/>
      <c r="AR173" s="27"/>
      <c r="AS173" s="16"/>
      <c r="AT173" s="27"/>
      <c r="AV173" s="27"/>
      <c r="AW173" s="16"/>
      <c r="AX173" s="27"/>
      <c r="AZ173" s="27"/>
      <c r="BA173" s="16"/>
      <c r="BB173" s="27"/>
      <c r="BD173" s="27"/>
      <c r="BE173" s="16"/>
      <c r="BF173" s="27"/>
      <c r="BH173" s="27"/>
      <c r="BI173" s="16"/>
      <c r="BJ173" s="27"/>
      <c r="BL173" s="27"/>
      <c r="BM173" s="16"/>
      <c r="BN173" s="27"/>
      <c r="BP173" s="27"/>
      <c r="BQ173" s="16"/>
      <c r="BR173" s="27"/>
      <c r="BT173" s="27"/>
      <c r="BU173" s="16"/>
      <c r="BV173" s="27"/>
      <c r="BX173" s="27"/>
      <c r="BY173" s="16"/>
      <c r="BZ173" s="27"/>
      <c r="CB173" s="27"/>
      <c r="CC173" s="16"/>
      <c r="CD173" s="27"/>
      <c r="CF173" s="27"/>
      <c r="CG173" s="16"/>
      <c r="CH173" s="27"/>
      <c r="CJ173" s="27"/>
      <c r="CK173" s="16"/>
      <c r="CL173" s="27"/>
      <c r="CN173" s="27"/>
      <c r="CO173" s="16"/>
      <c r="CP173" s="27"/>
      <c r="CR173" s="27"/>
      <c r="CS173" s="16"/>
      <c r="CT173" s="27"/>
      <c r="CV173" s="27"/>
      <c r="CW173" s="16"/>
      <c r="CX173" s="27"/>
      <c r="CZ173" s="27"/>
      <c r="DA173" s="16"/>
      <c r="DB173" s="27"/>
      <c r="DD173" s="16"/>
    </row>
    <row r="174" spans="1:108" s="14" customFormat="1" ht="21" x14ac:dyDescent="0.4">
      <c r="A174" s="27"/>
      <c r="B174" s="27"/>
      <c r="D174" s="16"/>
      <c r="E174" s="27"/>
      <c r="F174" s="27"/>
      <c r="H174" s="27"/>
      <c r="I174" s="16"/>
      <c r="J174" s="27"/>
      <c r="L174" s="27"/>
      <c r="M174" s="16"/>
      <c r="N174" s="27"/>
      <c r="P174" s="27"/>
      <c r="Q174" s="16"/>
      <c r="R174" s="27"/>
      <c r="T174" s="27"/>
      <c r="U174" s="16"/>
      <c r="V174" s="27"/>
      <c r="X174" s="27"/>
      <c r="Y174" s="16"/>
      <c r="Z174" s="27"/>
      <c r="AB174" s="27"/>
      <c r="AC174" s="16"/>
      <c r="AD174" s="27"/>
      <c r="AF174" s="27"/>
      <c r="AG174" s="16"/>
      <c r="AH174" s="27"/>
      <c r="AJ174" s="27"/>
      <c r="AK174" s="16"/>
      <c r="AL174" s="27"/>
      <c r="AN174" s="27"/>
      <c r="AO174" s="16"/>
      <c r="AP174" s="27"/>
      <c r="AR174" s="27"/>
      <c r="AS174" s="16"/>
      <c r="AT174" s="27"/>
      <c r="AV174" s="27"/>
      <c r="AW174" s="16"/>
      <c r="AX174" s="27"/>
      <c r="AZ174" s="27"/>
      <c r="BA174" s="16"/>
      <c r="BB174" s="27"/>
      <c r="BD174" s="27"/>
      <c r="BE174" s="16"/>
      <c r="BF174" s="27"/>
      <c r="BH174" s="27"/>
      <c r="BI174" s="16"/>
      <c r="BJ174" s="27"/>
      <c r="BL174" s="27"/>
      <c r="BM174" s="16"/>
      <c r="BN174" s="27"/>
      <c r="BP174" s="27"/>
      <c r="BQ174" s="16"/>
      <c r="BR174" s="27"/>
      <c r="BT174" s="27"/>
      <c r="BU174" s="16"/>
      <c r="BV174" s="27"/>
      <c r="BX174" s="27"/>
      <c r="BY174" s="16"/>
      <c r="BZ174" s="27"/>
      <c r="CB174" s="27"/>
      <c r="CC174" s="16"/>
      <c r="CD174" s="27"/>
      <c r="CF174" s="27"/>
      <c r="CG174" s="16"/>
      <c r="CH174" s="27"/>
      <c r="CJ174" s="27"/>
      <c r="CK174" s="16"/>
      <c r="CL174" s="27"/>
      <c r="CN174" s="27"/>
      <c r="CO174" s="16"/>
      <c r="CP174" s="27"/>
      <c r="CR174" s="27"/>
      <c r="CS174" s="16"/>
      <c r="CT174" s="27"/>
      <c r="CV174" s="27"/>
      <c r="CW174" s="16"/>
      <c r="CX174" s="27"/>
      <c r="CZ174" s="27"/>
      <c r="DA174" s="16"/>
      <c r="DB174" s="27"/>
      <c r="DD174" s="16"/>
    </row>
    <row r="175" spans="1:108" s="14" customFormat="1" ht="21" x14ac:dyDescent="0.4">
      <c r="A175" s="27"/>
      <c r="B175" s="27"/>
      <c r="D175" s="16"/>
      <c r="E175" s="27"/>
      <c r="F175" s="27"/>
      <c r="H175" s="27"/>
      <c r="I175" s="16"/>
      <c r="J175" s="27"/>
      <c r="L175" s="27"/>
      <c r="M175" s="16"/>
      <c r="N175" s="27"/>
      <c r="P175" s="27"/>
      <c r="Q175" s="16"/>
      <c r="R175" s="27"/>
      <c r="T175" s="27"/>
      <c r="U175" s="16"/>
      <c r="V175" s="27"/>
      <c r="X175" s="27"/>
      <c r="Y175" s="16"/>
      <c r="Z175" s="27"/>
      <c r="AB175" s="27"/>
      <c r="AC175" s="16"/>
      <c r="AD175" s="27"/>
      <c r="AF175" s="27"/>
      <c r="AG175" s="16"/>
      <c r="AH175" s="27"/>
      <c r="AJ175" s="27"/>
      <c r="AK175" s="16"/>
      <c r="AL175" s="27"/>
      <c r="AN175" s="27"/>
      <c r="AO175" s="16"/>
      <c r="AP175" s="27"/>
      <c r="AR175" s="27"/>
      <c r="AS175" s="16"/>
      <c r="AT175" s="27"/>
      <c r="AV175" s="27"/>
      <c r="AW175" s="16"/>
      <c r="AX175" s="27"/>
      <c r="AZ175" s="27"/>
      <c r="BA175" s="16"/>
      <c r="BB175" s="27"/>
      <c r="BD175" s="27"/>
      <c r="BE175" s="16"/>
      <c r="BF175" s="27"/>
      <c r="BH175" s="27"/>
      <c r="BI175" s="16"/>
      <c r="BJ175" s="27"/>
      <c r="BL175" s="27"/>
      <c r="BM175" s="16"/>
      <c r="BN175" s="27"/>
      <c r="BP175" s="27"/>
      <c r="BQ175" s="16"/>
      <c r="BR175" s="27"/>
      <c r="BT175" s="27"/>
      <c r="BU175" s="16"/>
      <c r="BV175" s="27"/>
      <c r="BX175" s="27"/>
      <c r="BY175" s="16"/>
      <c r="BZ175" s="27"/>
      <c r="CB175" s="27"/>
      <c r="CC175" s="16"/>
      <c r="CD175" s="27"/>
      <c r="CF175" s="27"/>
      <c r="CG175" s="16"/>
      <c r="CH175" s="27"/>
      <c r="CJ175" s="27"/>
      <c r="CK175" s="16"/>
      <c r="CL175" s="27"/>
      <c r="CN175" s="27"/>
      <c r="CO175" s="16"/>
      <c r="CP175" s="27"/>
      <c r="CR175" s="27"/>
      <c r="CS175" s="16"/>
      <c r="CT175" s="27"/>
      <c r="CV175" s="27"/>
      <c r="CW175" s="16"/>
      <c r="CX175" s="27"/>
      <c r="CZ175" s="27"/>
      <c r="DA175" s="16"/>
      <c r="DB175" s="27"/>
      <c r="DD175" s="16"/>
    </row>
    <row r="176" spans="1:108" s="14" customFormat="1" ht="21" x14ac:dyDescent="0.4">
      <c r="A176" s="27"/>
      <c r="B176" s="27"/>
      <c r="D176" s="16"/>
      <c r="E176" s="27"/>
      <c r="F176" s="27"/>
      <c r="H176" s="27"/>
      <c r="I176" s="16"/>
      <c r="J176" s="27"/>
      <c r="L176" s="27"/>
      <c r="M176" s="16"/>
      <c r="N176" s="27"/>
      <c r="P176" s="27"/>
      <c r="Q176" s="16"/>
      <c r="R176" s="27"/>
      <c r="T176" s="27"/>
      <c r="U176" s="16"/>
      <c r="V176" s="27"/>
      <c r="X176" s="27"/>
      <c r="Y176" s="16"/>
      <c r="Z176" s="27"/>
      <c r="AB176" s="27"/>
      <c r="AC176" s="16"/>
      <c r="AD176" s="27"/>
      <c r="AF176" s="27"/>
      <c r="AG176" s="16"/>
      <c r="AH176" s="27"/>
      <c r="AJ176" s="27"/>
      <c r="AK176" s="16"/>
      <c r="AL176" s="27"/>
      <c r="AN176" s="27"/>
      <c r="AO176" s="16"/>
      <c r="AP176" s="27"/>
      <c r="AR176" s="27"/>
      <c r="AS176" s="16"/>
      <c r="AT176" s="27"/>
      <c r="AV176" s="27"/>
      <c r="AW176" s="16"/>
      <c r="AX176" s="27"/>
      <c r="AZ176" s="27"/>
      <c r="BA176" s="16"/>
      <c r="BB176" s="27"/>
      <c r="BD176" s="27"/>
      <c r="BE176" s="16"/>
      <c r="BF176" s="27"/>
      <c r="BH176" s="27"/>
      <c r="BI176" s="16"/>
      <c r="BJ176" s="27"/>
      <c r="BL176" s="27"/>
      <c r="BM176" s="16"/>
      <c r="BN176" s="27"/>
      <c r="BP176" s="27"/>
      <c r="BQ176" s="16"/>
      <c r="BR176" s="27"/>
      <c r="BT176" s="27"/>
      <c r="BU176" s="16"/>
      <c r="BV176" s="27"/>
      <c r="BX176" s="27"/>
      <c r="BY176" s="16"/>
      <c r="BZ176" s="27"/>
      <c r="CB176" s="27"/>
      <c r="CC176" s="16"/>
      <c r="CD176" s="27"/>
      <c r="CF176" s="27"/>
      <c r="CG176" s="16"/>
      <c r="CH176" s="27"/>
      <c r="CJ176" s="27"/>
      <c r="CK176" s="16"/>
      <c r="CL176" s="27"/>
      <c r="CN176" s="27"/>
      <c r="CO176" s="16"/>
      <c r="CP176" s="27"/>
      <c r="CR176" s="27"/>
      <c r="CS176" s="16"/>
      <c r="CT176" s="27"/>
      <c r="CV176" s="27"/>
      <c r="CW176" s="16"/>
      <c r="CX176" s="27"/>
      <c r="CZ176" s="27"/>
      <c r="DA176" s="16"/>
      <c r="DB176" s="27"/>
      <c r="DD176" s="16"/>
    </row>
    <row r="177" spans="1:108" s="14" customFormat="1" ht="21" x14ac:dyDescent="0.4">
      <c r="A177" s="27"/>
      <c r="B177" s="27"/>
      <c r="D177" s="16"/>
      <c r="E177" s="27"/>
      <c r="F177" s="27"/>
      <c r="H177" s="27"/>
      <c r="I177" s="16"/>
      <c r="J177" s="27"/>
      <c r="L177" s="27"/>
      <c r="M177" s="16"/>
      <c r="N177" s="27"/>
      <c r="P177" s="27"/>
      <c r="Q177" s="16"/>
      <c r="R177" s="27"/>
      <c r="T177" s="27"/>
      <c r="U177" s="16"/>
      <c r="V177" s="27"/>
      <c r="X177" s="27"/>
      <c r="Y177" s="16"/>
      <c r="Z177" s="27"/>
      <c r="AB177" s="27"/>
      <c r="AC177" s="16"/>
      <c r="AD177" s="27"/>
      <c r="AF177" s="27"/>
      <c r="AG177" s="16"/>
      <c r="AH177" s="27"/>
      <c r="AJ177" s="27"/>
      <c r="AK177" s="16"/>
      <c r="AL177" s="27"/>
      <c r="AN177" s="27"/>
      <c r="AO177" s="16"/>
      <c r="AP177" s="27"/>
      <c r="AR177" s="27"/>
      <c r="AS177" s="16"/>
      <c r="AT177" s="27"/>
      <c r="AV177" s="27"/>
      <c r="AW177" s="16"/>
      <c r="AX177" s="27"/>
      <c r="AZ177" s="27"/>
      <c r="BA177" s="16"/>
      <c r="BB177" s="27"/>
      <c r="BD177" s="27"/>
      <c r="BE177" s="16"/>
      <c r="BF177" s="27"/>
      <c r="BH177" s="27"/>
      <c r="BI177" s="16"/>
      <c r="BJ177" s="27"/>
      <c r="BL177" s="27"/>
      <c r="BM177" s="16"/>
      <c r="BN177" s="27"/>
      <c r="BP177" s="27"/>
      <c r="BQ177" s="16"/>
      <c r="BR177" s="27"/>
      <c r="BT177" s="27"/>
      <c r="BU177" s="16"/>
      <c r="BV177" s="27"/>
      <c r="BX177" s="27"/>
      <c r="BY177" s="16"/>
      <c r="BZ177" s="27"/>
      <c r="CB177" s="27"/>
      <c r="CC177" s="16"/>
      <c r="CD177" s="27"/>
      <c r="CF177" s="27"/>
      <c r="CG177" s="16"/>
      <c r="CH177" s="27"/>
      <c r="CJ177" s="27"/>
      <c r="CK177" s="16"/>
      <c r="CL177" s="27"/>
      <c r="CN177" s="27"/>
      <c r="CO177" s="16"/>
      <c r="CP177" s="27"/>
      <c r="CR177" s="27"/>
      <c r="CS177" s="16"/>
      <c r="CT177" s="27"/>
      <c r="CV177" s="27"/>
      <c r="CW177" s="16"/>
      <c r="CX177" s="27"/>
      <c r="CZ177" s="27"/>
      <c r="DA177" s="16"/>
      <c r="DB177" s="27"/>
      <c r="DD177" s="16"/>
    </row>
    <row r="178" spans="1:108" s="14" customFormat="1" ht="21" x14ac:dyDescent="0.4">
      <c r="A178" s="27"/>
      <c r="B178" s="27"/>
      <c r="D178" s="16"/>
      <c r="E178" s="27"/>
      <c r="F178" s="27"/>
      <c r="H178" s="27"/>
      <c r="I178" s="16"/>
      <c r="J178" s="27"/>
      <c r="L178" s="27"/>
      <c r="M178" s="16"/>
      <c r="N178" s="27"/>
      <c r="P178" s="27"/>
      <c r="Q178" s="16"/>
      <c r="R178" s="27"/>
      <c r="T178" s="27"/>
      <c r="U178" s="16"/>
      <c r="V178" s="27"/>
      <c r="X178" s="27"/>
      <c r="Y178" s="16"/>
      <c r="Z178" s="27"/>
      <c r="AB178" s="27"/>
      <c r="AC178" s="16"/>
      <c r="AD178" s="27"/>
      <c r="AF178" s="27"/>
      <c r="AG178" s="16"/>
      <c r="AH178" s="27"/>
      <c r="AJ178" s="27"/>
      <c r="AK178" s="16"/>
      <c r="AL178" s="27"/>
      <c r="AN178" s="27"/>
      <c r="AO178" s="16"/>
      <c r="AP178" s="27"/>
      <c r="AR178" s="27"/>
      <c r="AS178" s="16"/>
      <c r="AT178" s="27"/>
      <c r="AV178" s="27"/>
      <c r="AW178" s="16"/>
      <c r="AX178" s="27"/>
      <c r="AZ178" s="27"/>
      <c r="BA178" s="16"/>
      <c r="BB178" s="27"/>
      <c r="BD178" s="27"/>
      <c r="BE178" s="16"/>
      <c r="BF178" s="27"/>
      <c r="BH178" s="27"/>
      <c r="BI178" s="16"/>
      <c r="BJ178" s="27"/>
      <c r="BL178" s="27"/>
      <c r="BM178" s="16"/>
      <c r="BN178" s="27"/>
      <c r="BP178" s="27"/>
      <c r="BQ178" s="16"/>
      <c r="BR178" s="27"/>
      <c r="BT178" s="27"/>
      <c r="BU178" s="16"/>
      <c r="BV178" s="27"/>
      <c r="BX178" s="27"/>
      <c r="BY178" s="16"/>
      <c r="BZ178" s="27"/>
      <c r="CB178" s="27"/>
      <c r="CC178" s="16"/>
      <c r="CD178" s="27"/>
      <c r="CF178" s="27"/>
      <c r="CG178" s="16"/>
      <c r="CH178" s="27"/>
      <c r="CJ178" s="27"/>
      <c r="CK178" s="16"/>
      <c r="CL178" s="27"/>
      <c r="CN178" s="27"/>
      <c r="CO178" s="16"/>
      <c r="CP178" s="27"/>
      <c r="CR178" s="27"/>
      <c r="CS178" s="16"/>
      <c r="CT178" s="27"/>
      <c r="CV178" s="27"/>
      <c r="CW178" s="16"/>
      <c r="CX178" s="27"/>
      <c r="CZ178" s="27"/>
      <c r="DA178" s="16"/>
      <c r="DB178" s="27"/>
      <c r="DD178" s="16"/>
    </row>
    <row r="179" spans="1:108" s="14" customFormat="1" ht="21" x14ac:dyDescent="0.4">
      <c r="A179" s="27"/>
      <c r="B179" s="27"/>
      <c r="D179" s="16"/>
      <c r="E179" s="27"/>
      <c r="F179" s="27"/>
      <c r="H179" s="27"/>
      <c r="I179" s="16"/>
      <c r="J179" s="27"/>
      <c r="L179" s="27"/>
      <c r="M179" s="16"/>
      <c r="N179" s="27"/>
      <c r="P179" s="27"/>
      <c r="Q179" s="16"/>
      <c r="R179" s="27"/>
      <c r="T179" s="27"/>
      <c r="U179" s="16"/>
      <c r="V179" s="27"/>
      <c r="X179" s="27"/>
      <c r="Y179" s="16"/>
      <c r="Z179" s="27"/>
      <c r="AB179" s="27"/>
      <c r="AC179" s="16"/>
      <c r="AD179" s="27"/>
      <c r="AF179" s="27"/>
      <c r="AG179" s="16"/>
      <c r="AH179" s="27"/>
      <c r="AJ179" s="27"/>
      <c r="AK179" s="16"/>
      <c r="AL179" s="27"/>
      <c r="AN179" s="27"/>
      <c r="AO179" s="16"/>
      <c r="AP179" s="27"/>
      <c r="AR179" s="27"/>
      <c r="AS179" s="16"/>
      <c r="AT179" s="27"/>
      <c r="AV179" s="27"/>
      <c r="AW179" s="16"/>
      <c r="AX179" s="27"/>
      <c r="AZ179" s="27"/>
      <c r="BA179" s="16"/>
      <c r="BB179" s="27"/>
      <c r="BD179" s="27"/>
      <c r="BE179" s="16"/>
      <c r="BF179" s="27"/>
      <c r="BH179" s="27"/>
      <c r="BI179" s="16"/>
      <c r="BJ179" s="27"/>
      <c r="BL179" s="27"/>
      <c r="BM179" s="16"/>
      <c r="BN179" s="27"/>
      <c r="BP179" s="27"/>
      <c r="BQ179" s="16"/>
      <c r="BR179" s="27"/>
      <c r="BT179" s="27"/>
      <c r="BU179" s="16"/>
      <c r="BV179" s="27"/>
      <c r="BX179" s="27"/>
      <c r="BY179" s="16"/>
      <c r="BZ179" s="27"/>
      <c r="CB179" s="27"/>
      <c r="CC179" s="16"/>
      <c r="CD179" s="27"/>
      <c r="CF179" s="27"/>
      <c r="CG179" s="16"/>
      <c r="CH179" s="27"/>
      <c r="CJ179" s="27"/>
      <c r="CK179" s="16"/>
      <c r="CL179" s="27"/>
      <c r="CN179" s="27"/>
      <c r="CO179" s="16"/>
      <c r="CP179" s="27"/>
      <c r="CR179" s="27"/>
      <c r="CS179" s="16"/>
      <c r="CT179" s="27"/>
      <c r="CV179" s="27"/>
      <c r="CW179" s="16"/>
      <c r="CX179" s="27"/>
      <c r="CZ179" s="27"/>
      <c r="DA179" s="16"/>
      <c r="DB179" s="27"/>
      <c r="DD179" s="16"/>
    </row>
    <row r="180" spans="1:108" s="14" customFormat="1" ht="21" x14ac:dyDescent="0.4">
      <c r="A180" s="27"/>
      <c r="B180" s="27"/>
      <c r="D180" s="16"/>
      <c r="E180" s="27"/>
      <c r="F180" s="27"/>
      <c r="H180" s="27"/>
      <c r="I180" s="16"/>
      <c r="J180" s="27"/>
      <c r="L180" s="27"/>
      <c r="M180" s="16"/>
      <c r="N180" s="27"/>
      <c r="P180" s="27"/>
      <c r="Q180" s="16"/>
      <c r="R180" s="27"/>
      <c r="T180" s="27"/>
      <c r="U180" s="16"/>
      <c r="V180" s="27"/>
      <c r="X180" s="27"/>
      <c r="Y180" s="16"/>
      <c r="Z180" s="27"/>
      <c r="AB180" s="27"/>
      <c r="AC180" s="16"/>
      <c r="AD180" s="27"/>
      <c r="AF180" s="27"/>
      <c r="AG180" s="16"/>
      <c r="AH180" s="27"/>
      <c r="AJ180" s="27"/>
      <c r="AK180" s="16"/>
      <c r="AL180" s="27"/>
      <c r="AN180" s="27"/>
      <c r="AO180" s="16"/>
      <c r="AP180" s="27"/>
      <c r="AR180" s="27"/>
      <c r="AS180" s="16"/>
      <c r="AT180" s="27"/>
      <c r="AV180" s="27"/>
      <c r="AW180" s="16"/>
      <c r="AX180" s="27"/>
      <c r="AZ180" s="27"/>
      <c r="BA180" s="16"/>
      <c r="BB180" s="27"/>
      <c r="BD180" s="27"/>
      <c r="BE180" s="16"/>
      <c r="BF180" s="27"/>
      <c r="BH180" s="27"/>
      <c r="BI180" s="16"/>
      <c r="BJ180" s="27"/>
      <c r="BL180" s="27"/>
      <c r="BM180" s="16"/>
      <c r="BN180" s="27"/>
      <c r="BP180" s="27"/>
      <c r="BQ180" s="16"/>
      <c r="BR180" s="27"/>
      <c r="BT180" s="27"/>
      <c r="BU180" s="16"/>
      <c r="BV180" s="27"/>
      <c r="BX180" s="27"/>
      <c r="BY180" s="16"/>
      <c r="BZ180" s="27"/>
      <c r="CB180" s="27"/>
      <c r="CC180" s="16"/>
      <c r="CD180" s="27"/>
      <c r="CF180" s="27"/>
      <c r="CG180" s="16"/>
      <c r="CH180" s="27"/>
      <c r="CJ180" s="27"/>
      <c r="CK180" s="16"/>
      <c r="CL180" s="27"/>
      <c r="CN180" s="27"/>
      <c r="CO180" s="16"/>
      <c r="CP180" s="27"/>
      <c r="CR180" s="27"/>
      <c r="CS180" s="16"/>
      <c r="CT180" s="27"/>
      <c r="CV180" s="27"/>
      <c r="CW180" s="16"/>
      <c r="CX180" s="27"/>
      <c r="CZ180" s="27"/>
      <c r="DA180" s="16"/>
      <c r="DB180" s="27"/>
      <c r="DD180" s="16"/>
    </row>
    <row r="181" spans="1:108" s="14" customFormat="1" ht="21" x14ac:dyDescent="0.4">
      <c r="A181" s="27"/>
      <c r="B181" s="27"/>
      <c r="D181" s="16"/>
      <c r="E181" s="27"/>
      <c r="F181" s="27"/>
      <c r="H181" s="27"/>
      <c r="I181" s="16"/>
      <c r="J181" s="27"/>
      <c r="L181" s="27"/>
      <c r="M181" s="16"/>
      <c r="N181" s="27"/>
      <c r="P181" s="27"/>
      <c r="Q181" s="16"/>
      <c r="R181" s="27"/>
      <c r="T181" s="27"/>
      <c r="U181" s="16"/>
      <c r="V181" s="27"/>
      <c r="X181" s="27"/>
      <c r="Y181" s="16"/>
      <c r="Z181" s="27"/>
      <c r="AB181" s="27"/>
      <c r="AC181" s="16"/>
      <c r="AD181" s="27"/>
      <c r="AF181" s="27"/>
      <c r="AG181" s="16"/>
      <c r="AH181" s="27"/>
      <c r="AJ181" s="27"/>
      <c r="AK181" s="16"/>
      <c r="AL181" s="27"/>
      <c r="AN181" s="27"/>
      <c r="AO181" s="16"/>
      <c r="AP181" s="27"/>
      <c r="AR181" s="27"/>
      <c r="AS181" s="16"/>
      <c r="AT181" s="27"/>
      <c r="AV181" s="27"/>
      <c r="AW181" s="16"/>
      <c r="AX181" s="27"/>
      <c r="AZ181" s="27"/>
      <c r="BA181" s="16"/>
      <c r="BB181" s="27"/>
      <c r="BD181" s="27"/>
      <c r="BE181" s="16"/>
      <c r="BF181" s="27"/>
      <c r="BH181" s="27"/>
      <c r="BI181" s="16"/>
      <c r="BJ181" s="27"/>
      <c r="BL181" s="27"/>
      <c r="BM181" s="16"/>
      <c r="BN181" s="27"/>
      <c r="BP181" s="27"/>
      <c r="BQ181" s="16"/>
      <c r="BR181" s="27"/>
      <c r="BT181" s="27"/>
      <c r="BU181" s="16"/>
      <c r="BV181" s="27"/>
      <c r="BX181" s="27"/>
      <c r="BY181" s="16"/>
      <c r="BZ181" s="27"/>
      <c r="CB181" s="27"/>
      <c r="CC181" s="16"/>
      <c r="CD181" s="27"/>
      <c r="CF181" s="27"/>
      <c r="CG181" s="16"/>
      <c r="CH181" s="27"/>
      <c r="CJ181" s="27"/>
      <c r="CK181" s="16"/>
      <c r="CL181" s="27"/>
      <c r="CN181" s="27"/>
      <c r="CO181" s="16"/>
      <c r="CP181" s="27"/>
      <c r="CR181" s="27"/>
      <c r="CS181" s="16"/>
      <c r="CT181" s="27"/>
      <c r="CV181" s="27"/>
      <c r="CW181" s="16"/>
      <c r="CX181" s="27"/>
      <c r="CZ181" s="27"/>
      <c r="DA181" s="16"/>
      <c r="DB181" s="27"/>
      <c r="DD181" s="16"/>
    </row>
    <row r="182" spans="1:108" s="14" customFormat="1" ht="21" x14ac:dyDescent="0.4">
      <c r="A182" s="27"/>
      <c r="B182" s="27"/>
      <c r="D182" s="16"/>
      <c r="E182" s="27"/>
      <c r="F182" s="27"/>
      <c r="H182" s="27"/>
      <c r="I182" s="16"/>
      <c r="J182" s="27"/>
      <c r="L182" s="27"/>
      <c r="M182" s="16"/>
      <c r="N182" s="27"/>
      <c r="P182" s="27"/>
      <c r="Q182" s="16"/>
      <c r="R182" s="27"/>
      <c r="T182" s="27"/>
      <c r="U182" s="16"/>
      <c r="V182" s="27"/>
      <c r="X182" s="27"/>
      <c r="Y182" s="16"/>
      <c r="Z182" s="27"/>
      <c r="AB182" s="27"/>
      <c r="AC182" s="16"/>
      <c r="AD182" s="27"/>
      <c r="AF182" s="27"/>
      <c r="AG182" s="16"/>
      <c r="AH182" s="27"/>
      <c r="AJ182" s="27"/>
      <c r="AK182" s="16"/>
      <c r="AL182" s="27"/>
      <c r="AN182" s="27"/>
      <c r="AO182" s="16"/>
      <c r="AP182" s="27"/>
      <c r="AR182" s="27"/>
      <c r="AS182" s="16"/>
      <c r="AT182" s="27"/>
      <c r="AV182" s="27"/>
      <c r="AW182" s="16"/>
      <c r="AX182" s="27"/>
      <c r="AZ182" s="27"/>
      <c r="BA182" s="16"/>
      <c r="BB182" s="27"/>
      <c r="BD182" s="27"/>
      <c r="BE182" s="16"/>
      <c r="BF182" s="27"/>
      <c r="BH182" s="27"/>
      <c r="BI182" s="16"/>
      <c r="BJ182" s="27"/>
      <c r="BL182" s="27"/>
      <c r="BM182" s="16"/>
      <c r="BN182" s="27"/>
      <c r="BP182" s="27"/>
      <c r="BQ182" s="16"/>
      <c r="BR182" s="27"/>
      <c r="BT182" s="27"/>
      <c r="BU182" s="16"/>
      <c r="BV182" s="27"/>
      <c r="BX182" s="27"/>
      <c r="BY182" s="16"/>
      <c r="BZ182" s="27"/>
      <c r="CB182" s="27"/>
      <c r="CC182" s="16"/>
      <c r="CD182" s="27"/>
      <c r="CF182" s="27"/>
      <c r="CG182" s="16"/>
      <c r="CH182" s="27"/>
      <c r="CJ182" s="27"/>
      <c r="CK182" s="16"/>
      <c r="CL182" s="27"/>
      <c r="CN182" s="27"/>
      <c r="CO182" s="16"/>
      <c r="CP182" s="27"/>
      <c r="CR182" s="27"/>
      <c r="CS182" s="16"/>
      <c r="CT182" s="27"/>
      <c r="CV182" s="27"/>
      <c r="CW182" s="16"/>
      <c r="CX182" s="27"/>
      <c r="CZ182" s="27"/>
      <c r="DA182" s="16"/>
      <c r="DB182" s="27"/>
      <c r="DD182" s="16"/>
    </row>
    <row r="183" spans="1:108" s="14" customFormat="1" ht="21" x14ac:dyDescent="0.4">
      <c r="A183" s="27"/>
      <c r="B183" s="27"/>
      <c r="D183" s="16"/>
      <c r="E183" s="27"/>
      <c r="F183" s="27"/>
      <c r="H183" s="27"/>
      <c r="I183" s="16"/>
      <c r="J183" s="27"/>
      <c r="L183" s="27"/>
      <c r="M183" s="16"/>
      <c r="N183" s="27"/>
      <c r="P183" s="27"/>
      <c r="Q183" s="16"/>
      <c r="R183" s="27"/>
      <c r="T183" s="27"/>
      <c r="U183" s="16"/>
      <c r="V183" s="27"/>
      <c r="X183" s="27"/>
      <c r="Y183" s="16"/>
      <c r="Z183" s="27"/>
      <c r="AB183" s="27"/>
      <c r="AC183" s="16"/>
      <c r="AD183" s="27"/>
      <c r="AF183" s="27"/>
      <c r="AG183" s="16"/>
      <c r="AH183" s="27"/>
      <c r="AJ183" s="27"/>
      <c r="AK183" s="16"/>
      <c r="AL183" s="27"/>
      <c r="AN183" s="27"/>
      <c r="AO183" s="16"/>
      <c r="AP183" s="27"/>
      <c r="AR183" s="27"/>
      <c r="AS183" s="16"/>
      <c r="AT183" s="27"/>
      <c r="AV183" s="27"/>
      <c r="AW183" s="16"/>
      <c r="AX183" s="27"/>
      <c r="AZ183" s="27"/>
      <c r="BA183" s="16"/>
      <c r="BB183" s="27"/>
      <c r="BD183" s="27"/>
      <c r="BE183" s="16"/>
      <c r="BF183" s="27"/>
      <c r="BH183" s="27"/>
      <c r="BI183" s="16"/>
      <c r="BJ183" s="27"/>
      <c r="BL183" s="27"/>
      <c r="BM183" s="16"/>
      <c r="BN183" s="27"/>
      <c r="BP183" s="27"/>
      <c r="BQ183" s="16"/>
      <c r="BR183" s="27"/>
      <c r="BT183" s="27"/>
      <c r="BU183" s="16"/>
      <c r="BV183" s="27"/>
      <c r="BX183" s="27"/>
      <c r="BY183" s="16"/>
      <c r="BZ183" s="27"/>
      <c r="CB183" s="27"/>
      <c r="CC183" s="16"/>
      <c r="CD183" s="27"/>
      <c r="CF183" s="27"/>
      <c r="CG183" s="16"/>
      <c r="CH183" s="27"/>
      <c r="CJ183" s="27"/>
      <c r="CK183" s="16"/>
      <c r="CL183" s="27"/>
      <c r="CN183" s="27"/>
      <c r="CO183" s="16"/>
      <c r="CP183" s="27"/>
      <c r="CR183" s="27"/>
      <c r="CS183" s="16"/>
      <c r="CT183" s="27"/>
      <c r="CV183" s="27"/>
      <c r="CW183" s="16"/>
      <c r="CX183" s="27"/>
      <c r="CZ183" s="27"/>
      <c r="DA183" s="16"/>
      <c r="DB183" s="27"/>
      <c r="DD183" s="16"/>
    </row>
    <row r="184" spans="1:108" s="14" customFormat="1" ht="21" x14ac:dyDescent="0.4">
      <c r="A184" s="27"/>
      <c r="B184" s="27"/>
      <c r="D184" s="16"/>
      <c r="E184" s="27"/>
      <c r="F184" s="27"/>
      <c r="H184" s="27"/>
      <c r="I184" s="16"/>
      <c r="J184" s="27"/>
      <c r="L184" s="27"/>
      <c r="M184" s="16"/>
      <c r="N184" s="27"/>
      <c r="P184" s="27"/>
      <c r="Q184" s="16"/>
      <c r="R184" s="27"/>
      <c r="T184" s="27"/>
      <c r="U184" s="16"/>
      <c r="V184" s="27"/>
      <c r="X184" s="27"/>
      <c r="Y184" s="16"/>
      <c r="Z184" s="27"/>
      <c r="AB184" s="27"/>
      <c r="AC184" s="16"/>
      <c r="AD184" s="27"/>
      <c r="AF184" s="27"/>
      <c r="AG184" s="16"/>
      <c r="AH184" s="27"/>
      <c r="AJ184" s="27"/>
      <c r="AK184" s="16"/>
      <c r="AL184" s="27"/>
      <c r="AN184" s="27"/>
      <c r="AO184" s="16"/>
      <c r="AP184" s="27"/>
      <c r="AR184" s="27"/>
      <c r="AS184" s="16"/>
      <c r="AT184" s="27"/>
      <c r="AV184" s="27"/>
      <c r="AW184" s="16"/>
      <c r="AX184" s="27"/>
      <c r="AZ184" s="27"/>
      <c r="BA184" s="16"/>
      <c r="BB184" s="27"/>
      <c r="BD184" s="27"/>
      <c r="BE184" s="16"/>
      <c r="BF184" s="27"/>
      <c r="BH184" s="27"/>
      <c r="BI184" s="16"/>
      <c r="BJ184" s="27"/>
      <c r="BL184" s="27"/>
      <c r="BM184" s="16"/>
      <c r="BN184" s="27"/>
      <c r="BP184" s="27"/>
      <c r="BQ184" s="16"/>
      <c r="BR184" s="27"/>
      <c r="BT184" s="27"/>
      <c r="BU184" s="16"/>
      <c r="BV184" s="27"/>
      <c r="BX184" s="27"/>
      <c r="BY184" s="16"/>
      <c r="BZ184" s="27"/>
      <c r="CB184" s="27"/>
      <c r="CC184" s="16"/>
      <c r="CD184" s="27"/>
      <c r="CF184" s="27"/>
      <c r="CG184" s="16"/>
      <c r="CH184" s="27"/>
      <c r="CJ184" s="27"/>
      <c r="CK184" s="16"/>
      <c r="CL184" s="27"/>
      <c r="CN184" s="27"/>
      <c r="CO184" s="16"/>
      <c r="CP184" s="27"/>
      <c r="CR184" s="27"/>
      <c r="CS184" s="16"/>
      <c r="CT184" s="27"/>
      <c r="CV184" s="27"/>
      <c r="CW184" s="16"/>
      <c r="CX184" s="27"/>
      <c r="CZ184" s="27"/>
      <c r="DA184" s="16"/>
      <c r="DB184" s="27"/>
      <c r="DD184" s="16"/>
    </row>
    <row r="185" spans="1:108" s="14" customFormat="1" ht="21" x14ac:dyDescent="0.4">
      <c r="A185" s="27"/>
      <c r="B185" s="27"/>
      <c r="D185" s="16"/>
      <c r="E185" s="27"/>
      <c r="F185" s="27"/>
      <c r="H185" s="27"/>
      <c r="I185" s="16"/>
      <c r="J185" s="27"/>
      <c r="L185" s="27"/>
      <c r="M185" s="16"/>
      <c r="N185" s="27"/>
      <c r="P185" s="27"/>
      <c r="Q185" s="16"/>
      <c r="R185" s="27"/>
      <c r="T185" s="27"/>
      <c r="U185" s="16"/>
      <c r="V185" s="27"/>
      <c r="X185" s="27"/>
      <c r="Y185" s="16"/>
      <c r="Z185" s="27"/>
      <c r="AB185" s="27"/>
      <c r="AC185" s="16"/>
      <c r="AD185" s="27"/>
      <c r="AF185" s="27"/>
      <c r="AG185" s="16"/>
      <c r="AH185" s="27"/>
      <c r="AJ185" s="27"/>
      <c r="AK185" s="16"/>
      <c r="AL185" s="27"/>
      <c r="AN185" s="27"/>
      <c r="AO185" s="16"/>
      <c r="AP185" s="27"/>
      <c r="AR185" s="27"/>
      <c r="AS185" s="16"/>
      <c r="AT185" s="27"/>
      <c r="AV185" s="27"/>
      <c r="AW185" s="16"/>
      <c r="AX185" s="27"/>
      <c r="AZ185" s="27"/>
      <c r="BA185" s="16"/>
      <c r="BB185" s="27"/>
      <c r="BD185" s="27"/>
      <c r="BE185" s="16"/>
      <c r="BF185" s="27"/>
      <c r="BH185" s="27"/>
      <c r="BI185" s="16"/>
      <c r="BJ185" s="27"/>
      <c r="BL185" s="27"/>
      <c r="BM185" s="16"/>
      <c r="BN185" s="27"/>
      <c r="BP185" s="27"/>
      <c r="BQ185" s="16"/>
      <c r="BR185" s="27"/>
      <c r="BT185" s="27"/>
      <c r="BU185" s="16"/>
      <c r="BV185" s="27"/>
      <c r="BX185" s="27"/>
      <c r="BY185" s="16"/>
      <c r="BZ185" s="27"/>
      <c r="CB185" s="27"/>
      <c r="CC185" s="16"/>
      <c r="CD185" s="27"/>
      <c r="CF185" s="27"/>
      <c r="CG185" s="16"/>
      <c r="CH185" s="27"/>
      <c r="CJ185" s="27"/>
      <c r="CK185" s="16"/>
      <c r="CL185" s="27"/>
      <c r="CN185" s="27"/>
      <c r="CO185" s="16"/>
      <c r="CP185" s="27"/>
      <c r="CR185" s="27"/>
      <c r="CS185" s="16"/>
      <c r="CT185" s="27"/>
      <c r="CV185" s="27"/>
      <c r="CW185" s="16"/>
      <c r="CX185" s="27"/>
      <c r="CZ185" s="27"/>
      <c r="DA185" s="16"/>
      <c r="DB185" s="27"/>
      <c r="DD185" s="16"/>
    </row>
    <row r="186" spans="1:108" s="14" customFormat="1" ht="21" x14ac:dyDescent="0.4">
      <c r="A186" s="27"/>
      <c r="B186" s="27"/>
      <c r="D186" s="16"/>
      <c r="E186" s="27"/>
      <c r="F186" s="27"/>
      <c r="H186" s="27"/>
      <c r="I186" s="16"/>
      <c r="J186" s="27"/>
      <c r="L186" s="27"/>
      <c r="M186" s="16"/>
      <c r="N186" s="27"/>
      <c r="P186" s="27"/>
      <c r="Q186" s="16"/>
      <c r="R186" s="27"/>
      <c r="T186" s="27"/>
      <c r="U186" s="16"/>
      <c r="V186" s="27"/>
      <c r="X186" s="27"/>
      <c r="Y186" s="16"/>
      <c r="Z186" s="27"/>
      <c r="AB186" s="27"/>
      <c r="AC186" s="16"/>
      <c r="AD186" s="27"/>
      <c r="AF186" s="27"/>
      <c r="AG186" s="16"/>
      <c r="AH186" s="27"/>
      <c r="AJ186" s="27"/>
      <c r="AK186" s="16"/>
      <c r="AL186" s="27"/>
      <c r="AN186" s="27"/>
      <c r="AO186" s="16"/>
      <c r="AP186" s="27"/>
      <c r="AR186" s="27"/>
      <c r="AS186" s="16"/>
      <c r="AT186" s="27"/>
      <c r="AV186" s="27"/>
      <c r="AW186" s="16"/>
      <c r="AX186" s="27"/>
      <c r="AZ186" s="27"/>
      <c r="BA186" s="16"/>
      <c r="BB186" s="27"/>
      <c r="BD186" s="27"/>
      <c r="BE186" s="16"/>
      <c r="BF186" s="27"/>
      <c r="BH186" s="27"/>
      <c r="BI186" s="16"/>
      <c r="BJ186" s="27"/>
      <c r="BL186" s="27"/>
      <c r="BM186" s="16"/>
      <c r="BN186" s="27"/>
      <c r="BP186" s="27"/>
      <c r="BQ186" s="16"/>
      <c r="BR186" s="27"/>
      <c r="BT186" s="27"/>
      <c r="BU186" s="16"/>
      <c r="BV186" s="27"/>
      <c r="BX186" s="27"/>
      <c r="BY186" s="16"/>
      <c r="BZ186" s="27"/>
      <c r="CB186" s="27"/>
      <c r="CC186" s="16"/>
      <c r="CD186" s="27"/>
      <c r="CF186" s="27"/>
      <c r="CG186" s="16"/>
      <c r="CH186" s="27"/>
      <c r="CJ186" s="27"/>
      <c r="CK186" s="16"/>
      <c r="CL186" s="27"/>
      <c r="CN186" s="27"/>
      <c r="CO186" s="16"/>
      <c r="CP186" s="27"/>
      <c r="CR186" s="27"/>
      <c r="CS186" s="16"/>
      <c r="CT186" s="27"/>
      <c r="CV186" s="27"/>
      <c r="CW186" s="16"/>
      <c r="CX186" s="27"/>
      <c r="CZ186" s="27"/>
      <c r="DA186" s="16"/>
      <c r="DB186" s="27"/>
      <c r="DD186" s="16"/>
    </row>
    <row r="187" spans="1:108" s="14" customFormat="1" ht="21" x14ac:dyDescent="0.4">
      <c r="A187" s="27"/>
      <c r="B187" s="27"/>
      <c r="D187" s="16"/>
      <c r="E187" s="27"/>
      <c r="F187" s="27"/>
      <c r="H187" s="27"/>
      <c r="I187" s="16"/>
      <c r="J187" s="27"/>
      <c r="L187" s="27"/>
      <c r="M187" s="16"/>
      <c r="N187" s="27"/>
      <c r="P187" s="27"/>
      <c r="Q187" s="16"/>
      <c r="R187" s="27"/>
      <c r="T187" s="27"/>
      <c r="U187" s="16"/>
      <c r="V187" s="27"/>
      <c r="X187" s="27"/>
      <c r="Y187" s="16"/>
      <c r="Z187" s="27"/>
      <c r="AB187" s="27"/>
      <c r="AC187" s="16"/>
      <c r="AD187" s="27"/>
      <c r="AF187" s="27"/>
      <c r="AG187" s="16"/>
      <c r="AH187" s="27"/>
      <c r="AJ187" s="27"/>
      <c r="AK187" s="16"/>
      <c r="AL187" s="27"/>
      <c r="AN187" s="27"/>
      <c r="AO187" s="16"/>
      <c r="AP187" s="27"/>
      <c r="AR187" s="27"/>
      <c r="AS187" s="16"/>
      <c r="AT187" s="27"/>
      <c r="AV187" s="27"/>
      <c r="AW187" s="16"/>
      <c r="AX187" s="27"/>
      <c r="AZ187" s="27"/>
      <c r="BA187" s="16"/>
      <c r="BB187" s="27"/>
      <c r="BD187" s="27"/>
      <c r="BE187" s="16"/>
      <c r="BF187" s="27"/>
      <c r="BH187" s="27"/>
      <c r="BI187" s="16"/>
      <c r="BJ187" s="27"/>
      <c r="BL187" s="27"/>
      <c r="BM187" s="16"/>
      <c r="BN187" s="27"/>
      <c r="BP187" s="27"/>
      <c r="BQ187" s="16"/>
      <c r="BR187" s="27"/>
      <c r="BT187" s="27"/>
      <c r="BU187" s="16"/>
      <c r="BV187" s="27"/>
      <c r="BX187" s="27"/>
      <c r="BY187" s="16"/>
      <c r="BZ187" s="27"/>
      <c r="CB187" s="27"/>
      <c r="CC187" s="16"/>
      <c r="CD187" s="27"/>
      <c r="CF187" s="27"/>
      <c r="CG187" s="16"/>
      <c r="CH187" s="27"/>
      <c r="CJ187" s="27"/>
      <c r="CK187" s="16"/>
      <c r="CL187" s="27"/>
      <c r="CN187" s="27"/>
      <c r="CO187" s="16"/>
      <c r="CP187" s="27"/>
      <c r="CR187" s="27"/>
      <c r="CS187" s="16"/>
      <c r="CT187" s="27"/>
      <c r="CV187" s="27"/>
      <c r="CW187" s="16"/>
      <c r="CX187" s="27"/>
      <c r="CZ187" s="27"/>
      <c r="DA187" s="16"/>
      <c r="DB187" s="27"/>
      <c r="DD187" s="16"/>
    </row>
    <row r="188" spans="1:108" s="14" customFormat="1" ht="21" x14ac:dyDescent="0.4">
      <c r="A188" s="27"/>
      <c r="B188" s="27"/>
      <c r="D188" s="16"/>
      <c r="E188" s="27"/>
      <c r="F188" s="27"/>
      <c r="H188" s="27"/>
      <c r="I188" s="16"/>
      <c r="J188" s="27"/>
      <c r="L188" s="27"/>
      <c r="M188" s="16"/>
      <c r="N188" s="27"/>
      <c r="P188" s="27"/>
      <c r="Q188" s="16"/>
      <c r="R188" s="27"/>
      <c r="T188" s="27"/>
      <c r="U188" s="16"/>
      <c r="V188" s="27"/>
      <c r="X188" s="27"/>
      <c r="Y188" s="16"/>
      <c r="Z188" s="27"/>
      <c r="AB188" s="27"/>
      <c r="AC188" s="16"/>
      <c r="AD188" s="27"/>
      <c r="AF188" s="27"/>
      <c r="AG188" s="16"/>
      <c r="AH188" s="27"/>
      <c r="AJ188" s="27"/>
      <c r="AK188" s="16"/>
      <c r="AL188" s="27"/>
      <c r="AN188" s="27"/>
      <c r="AO188" s="16"/>
      <c r="AP188" s="27"/>
      <c r="AR188" s="27"/>
      <c r="AS188" s="16"/>
      <c r="AT188" s="27"/>
      <c r="AV188" s="27"/>
      <c r="AW188" s="16"/>
      <c r="AX188" s="27"/>
      <c r="AZ188" s="27"/>
      <c r="BA188" s="16"/>
      <c r="BB188" s="27"/>
      <c r="BD188" s="27"/>
      <c r="BE188" s="16"/>
      <c r="BF188" s="27"/>
      <c r="BH188" s="27"/>
      <c r="BI188" s="16"/>
      <c r="BJ188" s="27"/>
      <c r="BL188" s="27"/>
      <c r="BM188" s="16"/>
      <c r="BN188" s="27"/>
      <c r="BP188" s="27"/>
      <c r="BQ188" s="16"/>
      <c r="BR188" s="27"/>
      <c r="BT188" s="27"/>
      <c r="BU188" s="16"/>
      <c r="BV188" s="27"/>
      <c r="BX188" s="27"/>
      <c r="BY188" s="16"/>
      <c r="BZ188" s="27"/>
      <c r="CB188" s="27"/>
      <c r="CC188" s="16"/>
      <c r="CD188" s="27"/>
      <c r="CF188" s="27"/>
      <c r="CG188" s="16"/>
      <c r="CH188" s="27"/>
      <c r="CJ188" s="27"/>
      <c r="CK188" s="16"/>
      <c r="CL188" s="27"/>
      <c r="CN188" s="27"/>
      <c r="CO188" s="16"/>
      <c r="CP188" s="27"/>
      <c r="CR188" s="27"/>
      <c r="CS188" s="16"/>
      <c r="CT188" s="27"/>
      <c r="CV188" s="27"/>
      <c r="CW188" s="16"/>
      <c r="CX188" s="27"/>
      <c r="CZ188" s="27"/>
      <c r="DA188" s="16"/>
      <c r="DB188" s="27"/>
      <c r="DD188" s="16"/>
    </row>
    <row r="189" spans="1:108" s="14" customFormat="1" ht="21" x14ac:dyDescent="0.4">
      <c r="A189" s="27"/>
      <c r="B189" s="27"/>
      <c r="D189" s="16"/>
      <c r="E189" s="27"/>
      <c r="F189" s="27"/>
      <c r="H189" s="27"/>
      <c r="I189" s="16"/>
      <c r="J189" s="27"/>
      <c r="L189" s="27"/>
      <c r="M189" s="16"/>
      <c r="N189" s="27"/>
      <c r="P189" s="27"/>
      <c r="Q189" s="16"/>
      <c r="R189" s="27"/>
      <c r="T189" s="27"/>
      <c r="U189" s="16"/>
      <c r="V189" s="27"/>
      <c r="X189" s="27"/>
      <c r="Y189" s="16"/>
      <c r="Z189" s="27"/>
      <c r="AB189" s="27"/>
      <c r="AC189" s="16"/>
      <c r="AD189" s="27"/>
      <c r="AF189" s="27"/>
      <c r="AG189" s="16"/>
      <c r="AH189" s="27"/>
      <c r="AJ189" s="27"/>
      <c r="AK189" s="16"/>
      <c r="AL189" s="27"/>
      <c r="AN189" s="27"/>
      <c r="AO189" s="16"/>
      <c r="AP189" s="27"/>
      <c r="AR189" s="27"/>
      <c r="AS189" s="16"/>
      <c r="AT189" s="27"/>
      <c r="AV189" s="27"/>
      <c r="AW189" s="16"/>
      <c r="AX189" s="27"/>
      <c r="AZ189" s="27"/>
      <c r="BA189" s="16"/>
      <c r="BB189" s="27"/>
      <c r="BD189" s="27"/>
      <c r="BE189" s="16"/>
      <c r="BF189" s="27"/>
      <c r="BH189" s="27"/>
      <c r="BI189" s="16"/>
      <c r="BJ189" s="27"/>
      <c r="BL189" s="27"/>
      <c r="BM189" s="16"/>
      <c r="BN189" s="27"/>
      <c r="BP189" s="27"/>
      <c r="BQ189" s="16"/>
      <c r="BR189" s="27"/>
      <c r="BT189" s="27"/>
      <c r="BU189" s="16"/>
      <c r="BV189" s="27"/>
      <c r="BX189" s="27"/>
      <c r="BY189" s="16"/>
      <c r="BZ189" s="27"/>
      <c r="CB189" s="27"/>
      <c r="CC189" s="16"/>
      <c r="CD189" s="27"/>
      <c r="CF189" s="27"/>
      <c r="CG189" s="16"/>
      <c r="CH189" s="27"/>
      <c r="CJ189" s="27"/>
      <c r="CK189" s="16"/>
      <c r="CL189" s="27"/>
      <c r="CN189" s="27"/>
      <c r="CO189" s="16"/>
      <c r="CP189" s="27"/>
      <c r="CR189" s="27"/>
      <c r="CS189" s="16"/>
      <c r="CT189" s="27"/>
      <c r="CV189" s="27"/>
      <c r="CW189" s="16"/>
      <c r="CX189" s="27"/>
      <c r="CZ189" s="27"/>
      <c r="DA189" s="16"/>
      <c r="DB189" s="27"/>
      <c r="DD189" s="16"/>
    </row>
    <row r="190" spans="1:108" s="14" customFormat="1" ht="21" x14ac:dyDescent="0.4">
      <c r="A190" s="27"/>
      <c r="B190" s="27"/>
      <c r="D190" s="16"/>
      <c r="E190" s="27"/>
      <c r="F190" s="27"/>
      <c r="H190" s="27"/>
      <c r="I190" s="16"/>
      <c r="J190" s="27"/>
      <c r="L190" s="27"/>
      <c r="M190" s="16"/>
      <c r="N190" s="27"/>
      <c r="P190" s="27"/>
      <c r="Q190" s="16"/>
      <c r="R190" s="27"/>
      <c r="T190" s="27"/>
      <c r="U190" s="16"/>
      <c r="V190" s="27"/>
      <c r="X190" s="27"/>
      <c r="Y190" s="16"/>
      <c r="Z190" s="27"/>
      <c r="AB190" s="27"/>
      <c r="AC190" s="16"/>
      <c r="AD190" s="27"/>
      <c r="AF190" s="27"/>
      <c r="AG190" s="16"/>
      <c r="AH190" s="27"/>
      <c r="AJ190" s="27"/>
      <c r="AK190" s="16"/>
      <c r="AL190" s="27"/>
      <c r="AN190" s="27"/>
      <c r="AO190" s="16"/>
      <c r="AP190" s="27"/>
      <c r="AR190" s="27"/>
      <c r="AS190" s="16"/>
      <c r="AT190" s="27"/>
      <c r="AV190" s="27"/>
      <c r="AW190" s="16"/>
      <c r="AX190" s="27"/>
      <c r="AZ190" s="27"/>
      <c r="BA190" s="16"/>
      <c r="BB190" s="27"/>
      <c r="BD190" s="27"/>
      <c r="BE190" s="16"/>
      <c r="BF190" s="27"/>
      <c r="BH190" s="27"/>
      <c r="BI190" s="16"/>
      <c r="BJ190" s="27"/>
      <c r="BL190" s="27"/>
      <c r="BM190" s="16"/>
      <c r="BN190" s="27"/>
      <c r="BP190" s="27"/>
      <c r="BQ190" s="16"/>
      <c r="BR190" s="27"/>
      <c r="BT190" s="27"/>
      <c r="BU190" s="16"/>
      <c r="BV190" s="27"/>
      <c r="BX190" s="27"/>
      <c r="BY190" s="16"/>
      <c r="BZ190" s="27"/>
      <c r="CB190" s="27"/>
      <c r="CC190" s="16"/>
      <c r="CD190" s="27"/>
      <c r="CF190" s="27"/>
      <c r="CG190" s="16"/>
      <c r="CH190" s="27"/>
      <c r="CJ190" s="27"/>
      <c r="CK190" s="16"/>
      <c r="CL190" s="27"/>
      <c r="CN190" s="27"/>
      <c r="CO190" s="16"/>
      <c r="CP190" s="27"/>
      <c r="CR190" s="27"/>
      <c r="CS190" s="16"/>
      <c r="CT190" s="27"/>
      <c r="CV190" s="27"/>
      <c r="CW190" s="16"/>
      <c r="CX190" s="27"/>
      <c r="CZ190" s="27"/>
      <c r="DA190" s="16"/>
      <c r="DB190" s="27"/>
      <c r="DD190" s="16"/>
    </row>
    <row r="191" spans="1:108" s="14" customFormat="1" ht="21" x14ac:dyDescent="0.4">
      <c r="A191" s="27"/>
      <c r="B191" s="27"/>
      <c r="D191" s="16"/>
      <c r="E191" s="27"/>
      <c r="F191" s="27"/>
      <c r="H191" s="27"/>
      <c r="I191" s="16"/>
      <c r="J191" s="27"/>
      <c r="L191" s="27"/>
      <c r="M191" s="16"/>
      <c r="N191" s="27"/>
      <c r="P191" s="27"/>
      <c r="Q191" s="16"/>
      <c r="R191" s="27"/>
      <c r="T191" s="27"/>
      <c r="U191" s="16"/>
      <c r="V191" s="27"/>
      <c r="X191" s="27"/>
      <c r="Y191" s="16"/>
      <c r="Z191" s="27"/>
      <c r="AB191" s="27"/>
      <c r="AC191" s="16"/>
      <c r="AD191" s="27"/>
      <c r="AF191" s="27"/>
      <c r="AG191" s="16"/>
      <c r="AH191" s="27"/>
      <c r="AJ191" s="27"/>
      <c r="AK191" s="16"/>
      <c r="AL191" s="27"/>
      <c r="AN191" s="27"/>
      <c r="AO191" s="16"/>
      <c r="AP191" s="27"/>
      <c r="AR191" s="27"/>
      <c r="AS191" s="16"/>
      <c r="AT191" s="27"/>
      <c r="AV191" s="27"/>
      <c r="AW191" s="16"/>
      <c r="AX191" s="27"/>
      <c r="AZ191" s="27"/>
      <c r="BA191" s="16"/>
      <c r="BB191" s="27"/>
      <c r="BD191" s="27"/>
      <c r="BE191" s="16"/>
      <c r="BF191" s="27"/>
      <c r="BH191" s="27"/>
      <c r="BI191" s="16"/>
      <c r="BJ191" s="27"/>
      <c r="BL191" s="27"/>
      <c r="BM191" s="16"/>
      <c r="BN191" s="27"/>
      <c r="BP191" s="27"/>
      <c r="BQ191" s="16"/>
      <c r="BR191" s="27"/>
      <c r="BT191" s="27"/>
      <c r="BU191" s="16"/>
      <c r="BV191" s="27"/>
      <c r="BX191" s="27"/>
      <c r="BY191" s="16"/>
      <c r="BZ191" s="27"/>
      <c r="CB191" s="27"/>
      <c r="CC191" s="16"/>
      <c r="CD191" s="27"/>
      <c r="CF191" s="27"/>
      <c r="CG191" s="16"/>
      <c r="CH191" s="27"/>
      <c r="CJ191" s="27"/>
      <c r="CK191" s="16"/>
      <c r="CL191" s="27"/>
      <c r="CN191" s="27"/>
      <c r="CO191" s="16"/>
      <c r="CP191" s="27"/>
      <c r="CR191" s="27"/>
      <c r="CS191" s="16"/>
      <c r="CT191" s="27"/>
      <c r="CV191" s="27"/>
      <c r="CW191" s="16"/>
      <c r="CX191" s="27"/>
      <c r="CZ191" s="27"/>
      <c r="DA191" s="16"/>
      <c r="DB191" s="27"/>
      <c r="DD191" s="16"/>
    </row>
    <row r="192" spans="1:108" s="14" customFormat="1" ht="21" x14ac:dyDescent="0.4">
      <c r="A192" s="27"/>
      <c r="B192" s="27"/>
      <c r="D192" s="16"/>
      <c r="E192" s="27"/>
      <c r="F192" s="27"/>
      <c r="H192" s="27"/>
      <c r="I192" s="16"/>
      <c r="J192" s="27"/>
      <c r="L192" s="27"/>
      <c r="M192" s="16"/>
      <c r="N192" s="27"/>
      <c r="P192" s="27"/>
      <c r="Q192" s="16"/>
      <c r="R192" s="27"/>
      <c r="T192" s="27"/>
      <c r="U192" s="16"/>
      <c r="V192" s="27"/>
      <c r="X192" s="27"/>
      <c r="Y192" s="16"/>
      <c r="Z192" s="27"/>
      <c r="AB192" s="27"/>
      <c r="AC192" s="16"/>
      <c r="AD192" s="27"/>
      <c r="AF192" s="27"/>
      <c r="AG192" s="16"/>
      <c r="AH192" s="27"/>
      <c r="AJ192" s="27"/>
      <c r="AK192" s="16"/>
      <c r="AL192" s="27"/>
      <c r="AN192" s="27"/>
      <c r="AO192" s="16"/>
      <c r="AP192" s="27"/>
      <c r="AR192" s="27"/>
      <c r="AS192" s="16"/>
      <c r="AT192" s="27"/>
      <c r="AV192" s="27"/>
      <c r="AW192" s="16"/>
      <c r="AX192" s="27"/>
      <c r="AZ192" s="27"/>
      <c r="BA192" s="16"/>
      <c r="BB192" s="27"/>
      <c r="BD192" s="27"/>
      <c r="BE192" s="16"/>
      <c r="BF192" s="27"/>
      <c r="BH192" s="27"/>
      <c r="BI192" s="16"/>
      <c r="BJ192" s="27"/>
      <c r="BL192" s="27"/>
      <c r="BM192" s="16"/>
      <c r="BN192" s="27"/>
      <c r="BP192" s="27"/>
      <c r="BQ192" s="16"/>
      <c r="BR192" s="27"/>
      <c r="BT192" s="27"/>
      <c r="BU192" s="16"/>
      <c r="BV192" s="27"/>
      <c r="BX192" s="27"/>
      <c r="BY192" s="16"/>
      <c r="BZ192" s="27"/>
      <c r="CB192" s="27"/>
      <c r="CC192" s="16"/>
      <c r="CD192" s="27"/>
      <c r="CF192" s="27"/>
      <c r="CG192" s="16"/>
      <c r="CH192" s="27"/>
      <c r="CJ192" s="27"/>
      <c r="CK192" s="16"/>
      <c r="CL192" s="27"/>
      <c r="CN192" s="27"/>
      <c r="CO192" s="16"/>
      <c r="CP192" s="27"/>
      <c r="CR192" s="27"/>
      <c r="CS192" s="16"/>
      <c r="CT192" s="27"/>
      <c r="CV192" s="27"/>
      <c r="CW192" s="16"/>
      <c r="CX192" s="27"/>
      <c r="CZ192" s="27"/>
      <c r="DA192" s="16"/>
      <c r="DB192" s="27"/>
      <c r="DD192" s="16"/>
    </row>
    <row r="193" spans="1:108" s="14" customFormat="1" ht="21" x14ac:dyDescent="0.4">
      <c r="A193" s="27"/>
      <c r="B193" s="27"/>
      <c r="D193" s="16"/>
      <c r="E193" s="27"/>
      <c r="F193" s="27"/>
      <c r="H193" s="27"/>
      <c r="I193" s="16"/>
      <c r="J193" s="27"/>
      <c r="L193" s="27"/>
      <c r="M193" s="16"/>
      <c r="N193" s="27"/>
      <c r="P193" s="27"/>
      <c r="Q193" s="16"/>
      <c r="R193" s="27"/>
      <c r="T193" s="27"/>
      <c r="U193" s="16"/>
      <c r="V193" s="27"/>
      <c r="X193" s="27"/>
      <c r="Y193" s="16"/>
      <c r="Z193" s="27"/>
      <c r="AB193" s="27"/>
      <c r="AC193" s="16"/>
      <c r="AD193" s="27"/>
      <c r="AF193" s="27"/>
      <c r="AG193" s="16"/>
      <c r="AH193" s="27"/>
      <c r="AJ193" s="27"/>
      <c r="AK193" s="16"/>
      <c r="AL193" s="27"/>
      <c r="AN193" s="27"/>
      <c r="AO193" s="16"/>
      <c r="AP193" s="27"/>
      <c r="AR193" s="27"/>
      <c r="AS193" s="16"/>
      <c r="AT193" s="27"/>
      <c r="AV193" s="27"/>
      <c r="AW193" s="16"/>
      <c r="AX193" s="27"/>
      <c r="AZ193" s="27"/>
      <c r="BA193" s="16"/>
      <c r="BB193" s="27"/>
      <c r="BD193" s="27"/>
      <c r="BE193" s="16"/>
      <c r="BF193" s="27"/>
      <c r="BH193" s="27"/>
      <c r="BI193" s="16"/>
      <c r="BJ193" s="27"/>
      <c r="BL193" s="27"/>
      <c r="BM193" s="16"/>
      <c r="BN193" s="27"/>
      <c r="BP193" s="27"/>
      <c r="BQ193" s="16"/>
      <c r="BR193" s="27"/>
      <c r="BT193" s="27"/>
      <c r="BU193" s="16"/>
      <c r="BV193" s="27"/>
      <c r="BX193" s="27"/>
      <c r="BY193" s="16"/>
      <c r="BZ193" s="27"/>
      <c r="CB193" s="27"/>
      <c r="CC193" s="16"/>
      <c r="CD193" s="27"/>
      <c r="CF193" s="27"/>
      <c r="CG193" s="16"/>
      <c r="CH193" s="27"/>
      <c r="CJ193" s="27"/>
      <c r="CK193" s="16"/>
      <c r="CL193" s="27"/>
      <c r="CN193" s="27"/>
      <c r="CO193" s="16"/>
      <c r="CP193" s="27"/>
      <c r="CR193" s="27"/>
      <c r="CS193" s="16"/>
      <c r="CT193" s="27"/>
      <c r="CV193" s="27"/>
      <c r="CW193" s="16"/>
      <c r="CX193" s="27"/>
      <c r="CZ193" s="27"/>
      <c r="DA193" s="16"/>
      <c r="DB193" s="27"/>
      <c r="DD193" s="16"/>
    </row>
    <row r="194" spans="1:108" s="14" customFormat="1" ht="21" x14ac:dyDescent="0.4">
      <c r="A194" s="27"/>
      <c r="B194" s="27"/>
      <c r="D194" s="16"/>
      <c r="E194" s="27"/>
      <c r="F194" s="27"/>
      <c r="H194" s="27"/>
      <c r="I194" s="16"/>
      <c r="J194" s="27"/>
      <c r="L194" s="27"/>
      <c r="M194" s="16"/>
      <c r="N194" s="27"/>
      <c r="P194" s="27"/>
      <c r="Q194" s="16"/>
      <c r="R194" s="27"/>
      <c r="T194" s="27"/>
      <c r="U194" s="16"/>
      <c r="V194" s="27"/>
      <c r="X194" s="27"/>
      <c r="Y194" s="16"/>
      <c r="Z194" s="27"/>
      <c r="AB194" s="27"/>
      <c r="AC194" s="16"/>
      <c r="AD194" s="27"/>
      <c r="AF194" s="27"/>
      <c r="AG194" s="16"/>
      <c r="AH194" s="27"/>
      <c r="AJ194" s="27"/>
      <c r="AK194" s="16"/>
      <c r="AL194" s="27"/>
      <c r="AN194" s="27"/>
      <c r="AO194" s="16"/>
      <c r="AP194" s="27"/>
      <c r="AR194" s="27"/>
      <c r="AS194" s="16"/>
      <c r="AT194" s="27"/>
      <c r="AV194" s="27"/>
      <c r="AW194" s="16"/>
      <c r="AX194" s="27"/>
      <c r="AZ194" s="27"/>
      <c r="BA194" s="16"/>
      <c r="BB194" s="27"/>
      <c r="BD194" s="27"/>
      <c r="BE194" s="16"/>
      <c r="BF194" s="27"/>
      <c r="BH194" s="27"/>
      <c r="BI194" s="16"/>
      <c r="BJ194" s="27"/>
      <c r="BL194" s="27"/>
      <c r="BM194" s="16"/>
      <c r="BN194" s="27"/>
      <c r="BP194" s="27"/>
      <c r="BQ194" s="16"/>
      <c r="BR194" s="27"/>
      <c r="BT194" s="27"/>
      <c r="BU194" s="16"/>
      <c r="BV194" s="27"/>
      <c r="BX194" s="27"/>
      <c r="BY194" s="16"/>
      <c r="BZ194" s="27"/>
      <c r="CB194" s="27"/>
      <c r="CC194" s="16"/>
      <c r="CD194" s="27"/>
      <c r="CF194" s="27"/>
      <c r="CG194" s="16"/>
      <c r="CH194" s="27"/>
      <c r="CJ194" s="27"/>
      <c r="CK194" s="16"/>
      <c r="CL194" s="27"/>
      <c r="CN194" s="27"/>
      <c r="CO194" s="16"/>
      <c r="CP194" s="27"/>
      <c r="CR194" s="27"/>
      <c r="CS194" s="16"/>
      <c r="CT194" s="27"/>
      <c r="CV194" s="27"/>
      <c r="CW194" s="16"/>
      <c r="CX194" s="27"/>
      <c r="CZ194" s="27"/>
      <c r="DA194" s="16"/>
      <c r="DB194" s="27"/>
      <c r="DD194" s="16"/>
    </row>
    <row r="195" spans="1:108" s="14" customFormat="1" ht="21" x14ac:dyDescent="0.4">
      <c r="A195" s="27"/>
      <c r="B195" s="27"/>
      <c r="D195" s="16"/>
      <c r="E195" s="27"/>
      <c r="F195" s="27"/>
      <c r="H195" s="27"/>
      <c r="I195" s="16"/>
      <c r="J195" s="27"/>
      <c r="L195" s="27"/>
      <c r="M195" s="16"/>
      <c r="N195" s="27"/>
      <c r="P195" s="27"/>
      <c r="Q195" s="16"/>
      <c r="R195" s="27"/>
      <c r="T195" s="27"/>
      <c r="U195" s="16"/>
      <c r="V195" s="27"/>
      <c r="X195" s="27"/>
      <c r="Y195" s="16"/>
      <c r="Z195" s="27"/>
      <c r="AB195" s="27"/>
      <c r="AC195" s="16"/>
      <c r="AD195" s="27"/>
      <c r="AF195" s="27"/>
      <c r="AG195" s="16"/>
      <c r="AH195" s="27"/>
      <c r="AJ195" s="27"/>
      <c r="AK195" s="16"/>
      <c r="AL195" s="27"/>
      <c r="AN195" s="27"/>
      <c r="AO195" s="16"/>
      <c r="AP195" s="27"/>
      <c r="AR195" s="27"/>
      <c r="AS195" s="16"/>
      <c r="AT195" s="27"/>
      <c r="AV195" s="27"/>
      <c r="AW195" s="16"/>
      <c r="AX195" s="27"/>
      <c r="AZ195" s="27"/>
      <c r="BA195" s="16"/>
      <c r="BB195" s="27"/>
      <c r="BD195" s="27"/>
      <c r="BE195" s="16"/>
      <c r="BF195" s="27"/>
      <c r="BH195" s="27"/>
      <c r="BI195" s="16"/>
      <c r="BJ195" s="27"/>
      <c r="BL195" s="27"/>
      <c r="BM195" s="16"/>
      <c r="BN195" s="27"/>
      <c r="BP195" s="27"/>
      <c r="BQ195" s="16"/>
      <c r="BR195" s="27"/>
      <c r="BT195" s="27"/>
      <c r="BU195" s="16"/>
      <c r="BV195" s="27"/>
      <c r="BX195" s="27"/>
      <c r="BY195" s="16"/>
      <c r="BZ195" s="27"/>
      <c r="CB195" s="27"/>
      <c r="CC195" s="16"/>
      <c r="CD195" s="27"/>
      <c r="CF195" s="27"/>
      <c r="CG195" s="16"/>
      <c r="CH195" s="27"/>
      <c r="CJ195" s="27"/>
      <c r="CK195" s="16"/>
      <c r="CL195" s="27"/>
      <c r="CN195" s="27"/>
      <c r="CO195" s="16"/>
      <c r="CP195" s="27"/>
      <c r="CR195" s="27"/>
      <c r="CS195" s="16"/>
      <c r="CT195" s="27"/>
      <c r="CV195" s="27"/>
      <c r="CW195" s="16"/>
      <c r="CX195" s="27"/>
      <c r="CZ195" s="27"/>
      <c r="DA195" s="16"/>
      <c r="DB195" s="27"/>
      <c r="DD195" s="16"/>
    </row>
    <row r="196" spans="1:108" s="14" customFormat="1" ht="21" x14ac:dyDescent="0.4">
      <c r="A196" s="27"/>
      <c r="B196" s="27"/>
      <c r="D196" s="16"/>
      <c r="E196" s="27"/>
      <c r="F196" s="27"/>
      <c r="H196" s="27"/>
      <c r="I196" s="16"/>
      <c r="J196" s="27"/>
      <c r="L196" s="27"/>
      <c r="M196" s="16"/>
      <c r="N196" s="27"/>
      <c r="P196" s="27"/>
      <c r="Q196" s="16"/>
      <c r="R196" s="27"/>
      <c r="T196" s="27"/>
      <c r="U196" s="16"/>
      <c r="V196" s="27"/>
      <c r="X196" s="27"/>
      <c r="Y196" s="16"/>
      <c r="Z196" s="27"/>
      <c r="AB196" s="27"/>
      <c r="AC196" s="16"/>
      <c r="AD196" s="27"/>
      <c r="AF196" s="27"/>
      <c r="AG196" s="16"/>
      <c r="AH196" s="27"/>
      <c r="AJ196" s="27"/>
      <c r="AK196" s="16"/>
      <c r="AL196" s="27"/>
      <c r="AN196" s="27"/>
      <c r="AO196" s="16"/>
      <c r="AP196" s="27"/>
      <c r="AR196" s="27"/>
      <c r="AS196" s="16"/>
      <c r="AT196" s="27"/>
      <c r="AV196" s="27"/>
      <c r="AW196" s="16"/>
      <c r="AX196" s="27"/>
      <c r="AZ196" s="27"/>
      <c r="BA196" s="16"/>
      <c r="BB196" s="27"/>
      <c r="BD196" s="27"/>
      <c r="BE196" s="16"/>
      <c r="BF196" s="27"/>
      <c r="BH196" s="27"/>
      <c r="BI196" s="16"/>
      <c r="BJ196" s="27"/>
      <c r="BL196" s="27"/>
      <c r="BM196" s="16"/>
      <c r="BN196" s="27"/>
      <c r="BP196" s="27"/>
      <c r="BQ196" s="16"/>
      <c r="BR196" s="27"/>
      <c r="BT196" s="27"/>
      <c r="BU196" s="16"/>
      <c r="BV196" s="27"/>
      <c r="BX196" s="27"/>
      <c r="BY196" s="16"/>
      <c r="BZ196" s="27"/>
      <c r="CB196" s="27"/>
      <c r="CC196" s="16"/>
      <c r="CD196" s="27"/>
      <c r="CF196" s="27"/>
      <c r="CG196" s="16"/>
      <c r="CH196" s="27"/>
      <c r="CJ196" s="27"/>
      <c r="CK196" s="16"/>
      <c r="CL196" s="27"/>
      <c r="CN196" s="27"/>
      <c r="CO196" s="16"/>
      <c r="CP196" s="27"/>
      <c r="CR196" s="27"/>
      <c r="CS196" s="16"/>
      <c r="CT196" s="27"/>
      <c r="CV196" s="27"/>
      <c r="CW196" s="16"/>
      <c r="CX196" s="27"/>
      <c r="CZ196" s="27"/>
      <c r="DA196" s="16"/>
      <c r="DB196" s="27"/>
      <c r="DD196" s="16"/>
    </row>
    <row r="197" spans="1:108" s="14" customFormat="1" ht="21" x14ac:dyDescent="0.4">
      <c r="A197" s="27"/>
      <c r="B197" s="27"/>
      <c r="D197" s="16"/>
      <c r="E197" s="27"/>
      <c r="F197" s="27"/>
      <c r="H197" s="27"/>
      <c r="I197" s="16"/>
      <c r="J197" s="27"/>
      <c r="L197" s="27"/>
      <c r="M197" s="16"/>
      <c r="N197" s="27"/>
      <c r="P197" s="27"/>
      <c r="Q197" s="16"/>
      <c r="R197" s="27"/>
      <c r="T197" s="27"/>
      <c r="U197" s="16"/>
      <c r="V197" s="27"/>
      <c r="X197" s="27"/>
      <c r="Y197" s="16"/>
      <c r="Z197" s="27"/>
      <c r="AB197" s="27"/>
      <c r="AC197" s="16"/>
      <c r="AD197" s="27"/>
      <c r="AF197" s="27"/>
      <c r="AG197" s="16"/>
      <c r="AH197" s="27"/>
      <c r="AJ197" s="27"/>
      <c r="AK197" s="16"/>
      <c r="AL197" s="27"/>
      <c r="AN197" s="27"/>
      <c r="AO197" s="16"/>
      <c r="AP197" s="27"/>
      <c r="AR197" s="27"/>
      <c r="AS197" s="16"/>
      <c r="AT197" s="27"/>
      <c r="AV197" s="27"/>
      <c r="AW197" s="16"/>
      <c r="AX197" s="27"/>
      <c r="AZ197" s="27"/>
      <c r="BA197" s="16"/>
      <c r="BB197" s="27"/>
      <c r="BD197" s="27"/>
      <c r="BE197" s="16"/>
      <c r="BF197" s="27"/>
      <c r="BH197" s="27"/>
      <c r="BI197" s="16"/>
      <c r="BJ197" s="27"/>
      <c r="BL197" s="27"/>
      <c r="BM197" s="16"/>
      <c r="BN197" s="27"/>
      <c r="BP197" s="27"/>
      <c r="BQ197" s="16"/>
      <c r="BR197" s="27"/>
      <c r="BT197" s="27"/>
      <c r="BU197" s="16"/>
      <c r="BV197" s="27"/>
      <c r="BX197" s="27"/>
      <c r="BY197" s="16"/>
      <c r="BZ197" s="27"/>
      <c r="CB197" s="27"/>
      <c r="CC197" s="16"/>
      <c r="CD197" s="27"/>
      <c r="CF197" s="27"/>
      <c r="CG197" s="16"/>
      <c r="CH197" s="27"/>
      <c r="CJ197" s="27"/>
      <c r="CK197" s="16"/>
      <c r="CL197" s="27"/>
      <c r="CN197" s="27"/>
      <c r="CO197" s="16"/>
      <c r="CP197" s="27"/>
      <c r="CR197" s="27"/>
      <c r="CS197" s="16"/>
      <c r="CT197" s="27"/>
      <c r="CV197" s="27"/>
      <c r="CW197" s="16"/>
      <c r="CX197" s="27"/>
      <c r="CZ197" s="27"/>
      <c r="DA197" s="16"/>
      <c r="DB197" s="27"/>
      <c r="DD197" s="16"/>
    </row>
    <row r="198" spans="1:108" s="14" customFormat="1" ht="21" x14ac:dyDescent="0.4">
      <c r="A198" s="27"/>
      <c r="B198" s="27"/>
      <c r="D198" s="16"/>
      <c r="E198" s="27"/>
      <c r="F198" s="27"/>
      <c r="H198" s="27"/>
      <c r="I198" s="16"/>
      <c r="J198" s="27"/>
      <c r="L198" s="27"/>
      <c r="M198" s="16"/>
      <c r="N198" s="27"/>
      <c r="P198" s="27"/>
      <c r="Q198" s="16"/>
      <c r="R198" s="27"/>
      <c r="T198" s="27"/>
      <c r="U198" s="16"/>
      <c r="V198" s="27"/>
      <c r="X198" s="27"/>
      <c r="Y198" s="16"/>
      <c r="Z198" s="27"/>
      <c r="AB198" s="27"/>
      <c r="AC198" s="16"/>
      <c r="AD198" s="27"/>
      <c r="AF198" s="27"/>
      <c r="AG198" s="16"/>
      <c r="AH198" s="27"/>
      <c r="AJ198" s="27"/>
      <c r="AK198" s="16"/>
      <c r="AL198" s="27"/>
      <c r="AN198" s="27"/>
      <c r="AO198" s="16"/>
      <c r="AP198" s="27"/>
      <c r="AR198" s="27"/>
      <c r="AS198" s="16"/>
      <c r="AT198" s="27"/>
      <c r="AV198" s="27"/>
      <c r="AW198" s="16"/>
      <c r="AX198" s="27"/>
      <c r="AZ198" s="27"/>
      <c r="BA198" s="16"/>
      <c r="BB198" s="27"/>
      <c r="BD198" s="27"/>
      <c r="BE198" s="16"/>
      <c r="BF198" s="27"/>
      <c r="BH198" s="27"/>
      <c r="BI198" s="16"/>
      <c r="BJ198" s="27"/>
      <c r="BL198" s="27"/>
      <c r="BM198" s="16"/>
      <c r="BN198" s="27"/>
      <c r="BP198" s="27"/>
      <c r="BQ198" s="16"/>
      <c r="BR198" s="27"/>
      <c r="BT198" s="27"/>
      <c r="BU198" s="16"/>
      <c r="BV198" s="27"/>
      <c r="BX198" s="27"/>
      <c r="BY198" s="16"/>
      <c r="BZ198" s="27"/>
      <c r="CB198" s="27"/>
      <c r="CC198" s="16"/>
      <c r="CD198" s="27"/>
      <c r="CF198" s="27"/>
      <c r="CG198" s="16"/>
      <c r="CH198" s="27"/>
      <c r="CJ198" s="27"/>
      <c r="CK198" s="16"/>
      <c r="CL198" s="27"/>
      <c r="CN198" s="27"/>
      <c r="CO198" s="16"/>
      <c r="CP198" s="27"/>
      <c r="CR198" s="27"/>
      <c r="CS198" s="16"/>
      <c r="CT198" s="27"/>
      <c r="CV198" s="27"/>
      <c r="CW198" s="16"/>
      <c r="CX198" s="27"/>
      <c r="CZ198" s="27"/>
      <c r="DA198" s="16"/>
      <c r="DB198" s="27"/>
      <c r="DD198" s="16"/>
    </row>
    <row r="199" spans="1:108" s="14" customFormat="1" ht="21" x14ac:dyDescent="0.4">
      <c r="A199" s="27"/>
      <c r="B199" s="27"/>
      <c r="D199" s="16"/>
      <c r="E199" s="27"/>
      <c r="F199" s="27"/>
      <c r="H199" s="27"/>
      <c r="I199" s="16"/>
      <c r="J199" s="27"/>
      <c r="L199" s="27"/>
      <c r="M199" s="16"/>
      <c r="N199" s="27"/>
      <c r="P199" s="27"/>
      <c r="Q199" s="16"/>
      <c r="R199" s="27"/>
      <c r="T199" s="27"/>
      <c r="U199" s="16"/>
      <c r="V199" s="27"/>
      <c r="X199" s="27"/>
      <c r="Y199" s="16"/>
      <c r="Z199" s="27"/>
      <c r="AB199" s="27"/>
      <c r="AC199" s="16"/>
      <c r="AD199" s="27"/>
      <c r="AF199" s="27"/>
      <c r="AG199" s="16"/>
      <c r="AH199" s="27"/>
      <c r="AJ199" s="27"/>
      <c r="AK199" s="16"/>
      <c r="AL199" s="27"/>
      <c r="AN199" s="27"/>
      <c r="AO199" s="16"/>
      <c r="AP199" s="27"/>
      <c r="AR199" s="27"/>
      <c r="AS199" s="16"/>
      <c r="AT199" s="27"/>
      <c r="AV199" s="27"/>
      <c r="AW199" s="16"/>
      <c r="AX199" s="27"/>
      <c r="AZ199" s="27"/>
      <c r="BA199" s="16"/>
      <c r="BB199" s="27"/>
      <c r="BD199" s="27"/>
      <c r="BE199" s="16"/>
      <c r="BF199" s="27"/>
      <c r="BH199" s="27"/>
      <c r="BI199" s="16"/>
      <c r="BJ199" s="27"/>
      <c r="BL199" s="27"/>
      <c r="BM199" s="16"/>
      <c r="BN199" s="27"/>
      <c r="BP199" s="27"/>
      <c r="BQ199" s="16"/>
      <c r="BR199" s="27"/>
      <c r="BT199" s="27"/>
      <c r="BU199" s="16"/>
      <c r="BV199" s="27"/>
      <c r="BX199" s="27"/>
      <c r="BY199" s="16"/>
      <c r="BZ199" s="27"/>
      <c r="CB199" s="27"/>
      <c r="CC199" s="16"/>
      <c r="CD199" s="27"/>
      <c r="CF199" s="27"/>
      <c r="CG199" s="16"/>
      <c r="CH199" s="27"/>
      <c r="CJ199" s="27"/>
      <c r="CK199" s="16"/>
      <c r="CL199" s="27"/>
      <c r="CN199" s="27"/>
      <c r="CO199" s="16"/>
      <c r="CP199" s="27"/>
      <c r="CR199" s="27"/>
      <c r="CS199" s="16"/>
      <c r="CT199" s="27"/>
      <c r="CV199" s="27"/>
      <c r="CW199" s="16"/>
      <c r="CX199" s="27"/>
      <c r="CZ199" s="27"/>
      <c r="DA199" s="16"/>
      <c r="DB199" s="27"/>
      <c r="DD199" s="16"/>
    </row>
    <row r="200" spans="1:108" s="14" customFormat="1" ht="21" x14ac:dyDescent="0.4">
      <c r="A200" s="27"/>
      <c r="B200" s="27"/>
      <c r="D200" s="16"/>
      <c r="E200" s="27"/>
      <c r="F200" s="27"/>
      <c r="H200" s="27"/>
      <c r="I200" s="16"/>
      <c r="J200" s="27"/>
      <c r="L200" s="27"/>
      <c r="M200" s="16"/>
      <c r="N200" s="27"/>
      <c r="P200" s="27"/>
      <c r="Q200" s="16"/>
      <c r="R200" s="27"/>
      <c r="T200" s="27"/>
      <c r="U200" s="16"/>
      <c r="V200" s="27"/>
      <c r="X200" s="27"/>
      <c r="Y200" s="16"/>
      <c r="Z200" s="27"/>
      <c r="AB200" s="27"/>
      <c r="AC200" s="16"/>
      <c r="AD200" s="27"/>
      <c r="AF200" s="27"/>
      <c r="AG200" s="16"/>
      <c r="AH200" s="27"/>
      <c r="AJ200" s="27"/>
      <c r="AK200" s="16"/>
      <c r="AL200" s="27"/>
      <c r="AN200" s="27"/>
      <c r="AO200" s="16"/>
      <c r="AP200" s="27"/>
      <c r="AR200" s="27"/>
      <c r="AS200" s="16"/>
      <c r="AT200" s="27"/>
      <c r="AV200" s="27"/>
      <c r="AW200" s="16"/>
      <c r="AX200" s="27"/>
      <c r="AZ200" s="27"/>
      <c r="BA200" s="16"/>
      <c r="BB200" s="27"/>
      <c r="BD200" s="27"/>
      <c r="BE200" s="16"/>
      <c r="BF200" s="27"/>
      <c r="BH200" s="27"/>
      <c r="BI200" s="16"/>
      <c r="BJ200" s="27"/>
      <c r="BL200" s="27"/>
      <c r="BM200" s="16"/>
      <c r="BN200" s="27"/>
      <c r="BP200" s="27"/>
      <c r="BQ200" s="16"/>
      <c r="BR200" s="27"/>
      <c r="BT200" s="27"/>
      <c r="BU200" s="16"/>
      <c r="BV200" s="27"/>
      <c r="BX200" s="27"/>
      <c r="BY200" s="16"/>
      <c r="BZ200" s="27"/>
      <c r="CB200" s="27"/>
      <c r="CC200" s="16"/>
      <c r="CD200" s="27"/>
      <c r="CF200" s="27"/>
      <c r="CG200" s="16"/>
      <c r="CH200" s="27"/>
      <c r="CJ200" s="27"/>
      <c r="CK200" s="16"/>
      <c r="CL200" s="27"/>
      <c r="CN200" s="27"/>
      <c r="CO200" s="16"/>
      <c r="CP200" s="27"/>
      <c r="CR200" s="27"/>
      <c r="CS200" s="16"/>
      <c r="CT200" s="27"/>
      <c r="CV200" s="27"/>
      <c r="CW200" s="16"/>
      <c r="CX200" s="27"/>
      <c r="CZ200" s="27"/>
      <c r="DA200" s="16"/>
      <c r="DB200" s="27"/>
      <c r="DD200" s="16"/>
    </row>
    <row r="201" spans="1:108" s="14" customFormat="1" ht="21" x14ac:dyDescent="0.4">
      <c r="A201" s="27"/>
      <c r="B201" s="27"/>
      <c r="D201" s="16"/>
      <c r="E201" s="27"/>
      <c r="F201" s="27"/>
      <c r="H201" s="27"/>
      <c r="I201" s="16"/>
      <c r="J201" s="27"/>
      <c r="L201" s="27"/>
      <c r="M201" s="16"/>
      <c r="N201" s="27"/>
      <c r="P201" s="27"/>
      <c r="Q201" s="16"/>
      <c r="R201" s="27"/>
      <c r="T201" s="27"/>
      <c r="U201" s="16"/>
      <c r="V201" s="27"/>
      <c r="X201" s="27"/>
      <c r="Y201" s="16"/>
      <c r="Z201" s="27"/>
      <c r="AB201" s="27"/>
      <c r="AC201" s="16"/>
      <c r="AD201" s="27"/>
      <c r="AF201" s="27"/>
      <c r="AG201" s="16"/>
      <c r="AH201" s="27"/>
      <c r="AJ201" s="27"/>
      <c r="AK201" s="16"/>
      <c r="AL201" s="27"/>
      <c r="AN201" s="27"/>
      <c r="AO201" s="16"/>
      <c r="AP201" s="27"/>
      <c r="AR201" s="27"/>
      <c r="AS201" s="16"/>
      <c r="AT201" s="27"/>
      <c r="AV201" s="27"/>
      <c r="AW201" s="16"/>
      <c r="AX201" s="27"/>
      <c r="AZ201" s="27"/>
      <c r="BA201" s="16"/>
      <c r="BB201" s="27"/>
      <c r="BD201" s="27"/>
      <c r="BE201" s="16"/>
      <c r="BF201" s="27"/>
      <c r="BH201" s="27"/>
      <c r="BI201" s="16"/>
      <c r="BJ201" s="27"/>
      <c r="BL201" s="27"/>
      <c r="BM201" s="16"/>
      <c r="BN201" s="27"/>
      <c r="BP201" s="27"/>
      <c r="BQ201" s="16"/>
      <c r="BR201" s="27"/>
      <c r="BT201" s="27"/>
      <c r="BU201" s="16"/>
      <c r="BV201" s="27"/>
      <c r="BX201" s="27"/>
      <c r="BY201" s="16"/>
      <c r="BZ201" s="27"/>
      <c r="CB201" s="27"/>
      <c r="CC201" s="16"/>
      <c r="CD201" s="27"/>
      <c r="CF201" s="27"/>
      <c r="CG201" s="16"/>
      <c r="CH201" s="27"/>
      <c r="CJ201" s="27"/>
      <c r="CK201" s="16"/>
      <c r="CL201" s="27"/>
      <c r="CN201" s="27"/>
      <c r="CO201" s="16"/>
      <c r="CP201" s="27"/>
      <c r="CR201" s="27"/>
      <c r="CS201" s="16"/>
      <c r="CT201" s="27"/>
      <c r="CV201" s="27"/>
      <c r="CW201" s="16"/>
      <c r="CX201" s="27"/>
      <c r="CZ201" s="27"/>
      <c r="DA201" s="16"/>
      <c r="DB201" s="27"/>
      <c r="DD201" s="16"/>
    </row>
    <row r="202" spans="1:108" s="14" customFormat="1" ht="21" x14ac:dyDescent="0.4">
      <c r="A202" s="27"/>
      <c r="B202" s="27"/>
      <c r="D202" s="16"/>
      <c r="E202" s="27"/>
      <c r="F202" s="27"/>
      <c r="H202" s="27"/>
      <c r="I202" s="16"/>
      <c r="J202" s="27"/>
      <c r="L202" s="27"/>
      <c r="M202" s="16"/>
      <c r="N202" s="27"/>
      <c r="P202" s="27"/>
      <c r="Q202" s="16"/>
      <c r="R202" s="27"/>
      <c r="T202" s="27"/>
      <c r="U202" s="16"/>
      <c r="V202" s="27"/>
      <c r="X202" s="27"/>
      <c r="Y202" s="16"/>
      <c r="Z202" s="27"/>
      <c r="AB202" s="27"/>
      <c r="AC202" s="16"/>
      <c r="AD202" s="27"/>
      <c r="AF202" s="27"/>
      <c r="AG202" s="16"/>
      <c r="AH202" s="27"/>
      <c r="AJ202" s="27"/>
      <c r="AK202" s="16"/>
      <c r="AL202" s="27"/>
      <c r="AN202" s="27"/>
      <c r="AO202" s="16"/>
      <c r="AP202" s="27"/>
      <c r="AR202" s="27"/>
      <c r="AS202" s="16"/>
      <c r="AT202" s="27"/>
      <c r="AV202" s="27"/>
      <c r="AW202" s="16"/>
      <c r="AX202" s="27"/>
      <c r="AZ202" s="27"/>
      <c r="BA202" s="16"/>
      <c r="BB202" s="27"/>
      <c r="BD202" s="27"/>
      <c r="BE202" s="16"/>
      <c r="BF202" s="27"/>
      <c r="BH202" s="27"/>
      <c r="BI202" s="16"/>
      <c r="BJ202" s="27"/>
      <c r="BL202" s="27"/>
      <c r="BM202" s="16"/>
      <c r="BN202" s="27"/>
      <c r="BP202" s="27"/>
      <c r="BQ202" s="16"/>
      <c r="BR202" s="27"/>
      <c r="BT202" s="27"/>
      <c r="BU202" s="16"/>
      <c r="BV202" s="27"/>
      <c r="BX202" s="27"/>
      <c r="BY202" s="16"/>
      <c r="BZ202" s="27"/>
      <c r="CB202" s="27"/>
      <c r="CC202" s="16"/>
      <c r="CD202" s="27"/>
      <c r="CF202" s="27"/>
      <c r="CG202" s="16"/>
      <c r="CH202" s="27"/>
      <c r="CJ202" s="27"/>
      <c r="CK202" s="16"/>
      <c r="CL202" s="27"/>
      <c r="CN202" s="27"/>
      <c r="CO202" s="16"/>
      <c r="CP202" s="27"/>
      <c r="CR202" s="27"/>
      <c r="CS202" s="16"/>
      <c r="CT202" s="27"/>
      <c r="CV202" s="27"/>
      <c r="CW202" s="16"/>
      <c r="CX202" s="27"/>
      <c r="CZ202" s="27"/>
      <c r="DA202" s="16"/>
      <c r="DB202" s="27"/>
      <c r="DD202" s="16"/>
    </row>
    <row r="203" spans="1:108" s="14" customFormat="1" ht="21" x14ac:dyDescent="0.4">
      <c r="A203" s="27"/>
      <c r="B203" s="27"/>
      <c r="D203" s="16"/>
      <c r="E203" s="27"/>
      <c r="F203" s="27"/>
      <c r="H203" s="27"/>
      <c r="I203" s="16"/>
      <c r="J203" s="27"/>
      <c r="L203" s="27"/>
      <c r="M203" s="16"/>
      <c r="N203" s="27"/>
      <c r="P203" s="27"/>
      <c r="Q203" s="16"/>
      <c r="R203" s="27"/>
      <c r="T203" s="27"/>
      <c r="U203" s="16"/>
      <c r="V203" s="27"/>
      <c r="X203" s="27"/>
      <c r="Y203" s="16"/>
      <c r="Z203" s="27"/>
      <c r="AB203" s="27"/>
      <c r="AC203" s="16"/>
      <c r="AD203" s="27"/>
      <c r="AF203" s="27"/>
      <c r="AG203" s="16"/>
      <c r="AH203" s="27"/>
      <c r="AJ203" s="27"/>
      <c r="AK203" s="16"/>
      <c r="AL203" s="27"/>
      <c r="AN203" s="27"/>
      <c r="AO203" s="16"/>
      <c r="AP203" s="27"/>
      <c r="AR203" s="27"/>
      <c r="AS203" s="16"/>
      <c r="AT203" s="27"/>
      <c r="AV203" s="27"/>
      <c r="AW203" s="16"/>
      <c r="AX203" s="27"/>
      <c r="AZ203" s="27"/>
      <c r="BA203" s="16"/>
      <c r="BB203" s="27"/>
      <c r="BD203" s="27"/>
      <c r="BE203" s="16"/>
      <c r="BF203" s="27"/>
      <c r="BH203" s="27"/>
      <c r="BI203" s="16"/>
      <c r="BJ203" s="27"/>
      <c r="BL203" s="27"/>
      <c r="BM203" s="16"/>
      <c r="BN203" s="27"/>
      <c r="BP203" s="27"/>
      <c r="BQ203" s="16"/>
      <c r="BR203" s="27"/>
      <c r="BT203" s="27"/>
      <c r="BU203" s="16"/>
      <c r="BV203" s="27"/>
      <c r="BX203" s="27"/>
      <c r="BY203" s="16"/>
      <c r="BZ203" s="27"/>
      <c r="CB203" s="27"/>
      <c r="CC203" s="16"/>
      <c r="CD203" s="27"/>
      <c r="CF203" s="27"/>
      <c r="CG203" s="16"/>
      <c r="CH203" s="27"/>
      <c r="CJ203" s="27"/>
      <c r="CK203" s="16"/>
      <c r="CL203" s="27"/>
      <c r="CN203" s="27"/>
      <c r="CO203" s="16"/>
      <c r="CP203" s="27"/>
      <c r="CR203" s="27"/>
      <c r="CS203" s="16"/>
      <c r="CT203" s="27"/>
      <c r="CV203" s="27"/>
      <c r="CW203" s="16"/>
      <c r="CX203" s="27"/>
      <c r="CZ203" s="27"/>
      <c r="DA203" s="16"/>
      <c r="DB203" s="27"/>
      <c r="DD203" s="16"/>
    </row>
    <row r="204" spans="1:108" s="14" customFormat="1" ht="21" x14ac:dyDescent="0.4">
      <c r="A204" s="27"/>
      <c r="B204" s="27"/>
      <c r="D204" s="16"/>
      <c r="E204" s="27"/>
      <c r="F204" s="27"/>
      <c r="H204" s="27"/>
      <c r="I204" s="16"/>
      <c r="J204" s="27"/>
      <c r="L204" s="27"/>
      <c r="M204" s="16"/>
      <c r="N204" s="27"/>
      <c r="P204" s="27"/>
      <c r="Q204" s="16"/>
      <c r="R204" s="27"/>
      <c r="T204" s="27"/>
      <c r="U204" s="16"/>
      <c r="V204" s="27"/>
      <c r="X204" s="27"/>
      <c r="Y204" s="16"/>
      <c r="Z204" s="27"/>
      <c r="AB204" s="27"/>
      <c r="AC204" s="16"/>
      <c r="AD204" s="27"/>
      <c r="AF204" s="27"/>
      <c r="AG204" s="16"/>
      <c r="AH204" s="27"/>
      <c r="AJ204" s="27"/>
      <c r="AK204" s="16"/>
      <c r="AL204" s="27"/>
      <c r="AN204" s="27"/>
      <c r="AO204" s="16"/>
      <c r="AP204" s="27"/>
      <c r="AR204" s="27"/>
      <c r="AS204" s="16"/>
      <c r="AT204" s="27"/>
      <c r="AV204" s="27"/>
      <c r="AW204" s="16"/>
      <c r="AX204" s="27"/>
      <c r="AZ204" s="27"/>
      <c r="BA204" s="16"/>
      <c r="BB204" s="27"/>
      <c r="BD204" s="27"/>
      <c r="BE204" s="16"/>
      <c r="BF204" s="27"/>
      <c r="BH204" s="27"/>
      <c r="BI204" s="16"/>
      <c r="BJ204" s="27"/>
      <c r="BL204" s="27"/>
      <c r="BM204" s="16"/>
      <c r="BN204" s="27"/>
      <c r="BP204" s="27"/>
      <c r="BQ204" s="16"/>
      <c r="BR204" s="27"/>
      <c r="BT204" s="27"/>
      <c r="BU204" s="16"/>
      <c r="BV204" s="27"/>
      <c r="BX204" s="27"/>
      <c r="BY204" s="16"/>
      <c r="BZ204" s="27"/>
      <c r="CB204" s="27"/>
      <c r="CC204" s="16"/>
      <c r="CD204" s="27"/>
      <c r="CF204" s="27"/>
      <c r="CG204" s="16"/>
      <c r="CH204" s="27"/>
      <c r="CJ204" s="27"/>
      <c r="CK204" s="16"/>
      <c r="CL204" s="27"/>
      <c r="CN204" s="27"/>
      <c r="CO204" s="16"/>
      <c r="CP204" s="27"/>
      <c r="CR204" s="27"/>
      <c r="CS204" s="16"/>
      <c r="CT204" s="27"/>
      <c r="CV204" s="27"/>
      <c r="CW204" s="16"/>
      <c r="CX204" s="27"/>
      <c r="CZ204" s="27"/>
      <c r="DA204" s="16"/>
      <c r="DB204" s="27"/>
      <c r="DD204" s="16"/>
    </row>
    <row r="205" spans="1:108" s="14" customFormat="1" ht="21" x14ac:dyDescent="0.4">
      <c r="A205" s="27"/>
      <c r="B205" s="27"/>
      <c r="D205" s="16"/>
      <c r="E205" s="27"/>
      <c r="F205" s="27"/>
      <c r="H205" s="27"/>
      <c r="I205" s="16"/>
      <c r="J205" s="27"/>
      <c r="L205" s="27"/>
      <c r="M205" s="16"/>
      <c r="N205" s="27"/>
      <c r="P205" s="27"/>
      <c r="Q205" s="16"/>
      <c r="R205" s="27"/>
      <c r="T205" s="27"/>
      <c r="U205" s="16"/>
      <c r="V205" s="27"/>
      <c r="X205" s="27"/>
      <c r="Y205" s="16"/>
      <c r="Z205" s="27"/>
      <c r="AB205" s="27"/>
      <c r="AC205" s="16"/>
      <c r="AD205" s="27"/>
      <c r="AF205" s="27"/>
      <c r="AG205" s="16"/>
      <c r="AH205" s="27"/>
      <c r="AJ205" s="27"/>
      <c r="AK205" s="16"/>
      <c r="AL205" s="27"/>
      <c r="AN205" s="27"/>
      <c r="AO205" s="16"/>
      <c r="AP205" s="27"/>
      <c r="AR205" s="27"/>
      <c r="AS205" s="16"/>
      <c r="AT205" s="27"/>
      <c r="AV205" s="27"/>
      <c r="AW205" s="16"/>
      <c r="AX205" s="27"/>
      <c r="AZ205" s="27"/>
      <c r="BA205" s="16"/>
      <c r="BB205" s="27"/>
      <c r="BD205" s="27"/>
      <c r="BE205" s="16"/>
      <c r="BF205" s="27"/>
      <c r="BH205" s="27"/>
      <c r="BI205" s="16"/>
      <c r="BJ205" s="27"/>
      <c r="BL205" s="27"/>
      <c r="BM205" s="16"/>
      <c r="BN205" s="27"/>
      <c r="BP205" s="27"/>
      <c r="BQ205" s="16"/>
      <c r="BR205" s="27"/>
      <c r="BT205" s="27"/>
      <c r="BU205" s="16"/>
      <c r="BV205" s="27"/>
      <c r="BX205" s="27"/>
      <c r="BY205" s="16"/>
      <c r="BZ205" s="27"/>
      <c r="CB205" s="27"/>
      <c r="CC205" s="16"/>
      <c r="CD205" s="27"/>
      <c r="CF205" s="27"/>
      <c r="CG205" s="16"/>
      <c r="CH205" s="27"/>
      <c r="CJ205" s="27"/>
      <c r="CK205" s="16"/>
      <c r="CL205" s="27"/>
      <c r="CN205" s="27"/>
      <c r="CO205" s="16"/>
      <c r="CP205" s="27"/>
      <c r="CR205" s="27"/>
      <c r="CS205" s="16"/>
      <c r="CT205" s="27"/>
      <c r="CV205" s="27"/>
      <c r="CW205" s="16"/>
      <c r="CX205" s="27"/>
      <c r="CZ205" s="27"/>
      <c r="DA205" s="16"/>
      <c r="DB205" s="27"/>
      <c r="DD205" s="16"/>
    </row>
    <row r="206" spans="1:108" s="14" customFormat="1" ht="21" x14ac:dyDescent="0.4">
      <c r="A206" s="27"/>
      <c r="B206" s="27"/>
      <c r="D206" s="16"/>
      <c r="E206" s="27"/>
      <c r="F206" s="27"/>
      <c r="H206" s="27"/>
      <c r="I206" s="16"/>
      <c r="J206" s="27"/>
      <c r="L206" s="27"/>
      <c r="M206" s="16"/>
      <c r="N206" s="27"/>
      <c r="P206" s="27"/>
      <c r="Q206" s="16"/>
      <c r="R206" s="27"/>
      <c r="T206" s="27"/>
      <c r="U206" s="16"/>
      <c r="V206" s="27"/>
      <c r="X206" s="27"/>
      <c r="Y206" s="16"/>
      <c r="Z206" s="27"/>
      <c r="AB206" s="27"/>
      <c r="AC206" s="16"/>
      <c r="AD206" s="27"/>
      <c r="AF206" s="27"/>
      <c r="AG206" s="16"/>
      <c r="AH206" s="27"/>
      <c r="AJ206" s="27"/>
      <c r="AK206" s="16"/>
      <c r="AL206" s="27"/>
      <c r="AN206" s="27"/>
      <c r="AO206" s="16"/>
      <c r="AP206" s="27"/>
      <c r="AR206" s="27"/>
      <c r="AS206" s="16"/>
      <c r="AT206" s="27"/>
      <c r="AV206" s="27"/>
      <c r="AW206" s="16"/>
      <c r="AX206" s="27"/>
      <c r="AZ206" s="27"/>
      <c r="BA206" s="16"/>
      <c r="BB206" s="27"/>
      <c r="BD206" s="27"/>
      <c r="BE206" s="16"/>
      <c r="BF206" s="27"/>
      <c r="BH206" s="27"/>
      <c r="BI206" s="16"/>
      <c r="BJ206" s="27"/>
      <c r="BL206" s="27"/>
      <c r="BM206" s="16"/>
      <c r="BN206" s="27"/>
      <c r="BP206" s="27"/>
      <c r="BQ206" s="16"/>
      <c r="BR206" s="27"/>
      <c r="BT206" s="27"/>
      <c r="BU206" s="16"/>
      <c r="BV206" s="27"/>
      <c r="BX206" s="27"/>
      <c r="BY206" s="16"/>
      <c r="BZ206" s="27"/>
      <c r="CB206" s="27"/>
      <c r="CC206" s="16"/>
      <c r="CD206" s="27"/>
      <c r="CF206" s="27"/>
      <c r="CG206" s="16"/>
      <c r="CH206" s="27"/>
      <c r="CJ206" s="27"/>
      <c r="CK206" s="16"/>
      <c r="CL206" s="27"/>
      <c r="CN206" s="27"/>
      <c r="CO206" s="16"/>
      <c r="CP206" s="27"/>
      <c r="CR206" s="27"/>
      <c r="CS206" s="16"/>
      <c r="CT206" s="27"/>
      <c r="CV206" s="27"/>
      <c r="CW206" s="16"/>
      <c r="CX206" s="27"/>
      <c r="CZ206" s="27"/>
      <c r="DA206" s="16"/>
      <c r="DB206" s="27"/>
      <c r="DD206" s="16"/>
    </row>
    <row r="207" spans="1:108" s="14" customFormat="1" ht="21" x14ac:dyDescent="0.4">
      <c r="A207" s="27"/>
      <c r="B207" s="27"/>
      <c r="D207" s="16"/>
      <c r="E207" s="27"/>
      <c r="F207" s="27"/>
      <c r="H207" s="27"/>
      <c r="I207" s="16"/>
      <c r="J207" s="27"/>
      <c r="L207" s="27"/>
      <c r="M207" s="16"/>
      <c r="N207" s="27"/>
      <c r="P207" s="27"/>
      <c r="Q207" s="16"/>
      <c r="R207" s="27"/>
      <c r="T207" s="27"/>
      <c r="U207" s="16"/>
      <c r="V207" s="27"/>
      <c r="X207" s="27"/>
      <c r="Y207" s="16"/>
      <c r="Z207" s="27"/>
      <c r="AB207" s="27"/>
      <c r="AC207" s="16"/>
      <c r="AD207" s="27"/>
      <c r="AF207" s="27"/>
      <c r="AG207" s="16"/>
      <c r="AH207" s="27"/>
      <c r="AJ207" s="27"/>
      <c r="AK207" s="16"/>
      <c r="AL207" s="27"/>
      <c r="AN207" s="27"/>
      <c r="AO207" s="16"/>
      <c r="AP207" s="27"/>
      <c r="AR207" s="27"/>
      <c r="AS207" s="16"/>
      <c r="AT207" s="27"/>
      <c r="AV207" s="27"/>
      <c r="AW207" s="16"/>
      <c r="AX207" s="27"/>
      <c r="AZ207" s="27"/>
      <c r="BA207" s="16"/>
      <c r="BB207" s="27"/>
      <c r="BD207" s="27"/>
      <c r="BE207" s="16"/>
      <c r="BF207" s="27"/>
      <c r="BH207" s="27"/>
      <c r="BI207" s="16"/>
      <c r="BJ207" s="27"/>
      <c r="BL207" s="27"/>
      <c r="BM207" s="16"/>
      <c r="BN207" s="27"/>
      <c r="BP207" s="27"/>
      <c r="BQ207" s="16"/>
      <c r="BR207" s="27"/>
      <c r="BT207" s="27"/>
      <c r="BU207" s="16"/>
      <c r="BV207" s="27"/>
      <c r="BX207" s="27"/>
      <c r="BY207" s="16"/>
      <c r="BZ207" s="27"/>
      <c r="CB207" s="27"/>
      <c r="CC207" s="16"/>
      <c r="CD207" s="27"/>
      <c r="CF207" s="27"/>
      <c r="CG207" s="16"/>
      <c r="CH207" s="27"/>
      <c r="CJ207" s="27"/>
      <c r="CK207" s="16"/>
      <c r="CL207" s="27"/>
      <c r="CN207" s="27"/>
      <c r="CO207" s="16"/>
      <c r="CP207" s="27"/>
      <c r="CR207" s="27"/>
      <c r="CS207" s="16"/>
      <c r="CT207" s="27"/>
      <c r="CV207" s="27"/>
      <c r="CW207" s="16"/>
      <c r="CX207" s="27"/>
      <c r="CZ207" s="27"/>
      <c r="DA207" s="16"/>
      <c r="DB207" s="27"/>
      <c r="DD207" s="16"/>
    </row>
    <row r="208" spans="1:108" s="14" customFormat="1" ht="21" x14ac:dyDescent="0.4">
      <c r="A208" s="27"/>
      <c r="B208" s="27"/>
      <c r="D208" s="16"/>
      <c r="E208" s="27"/>
      <c r="F208" s="27"/>
      <c r="H208" s="27"/>
      <c r="I208" s="16"/>
      <c r="J208" s="27"/>
      <c r="L208" s="27"/>
      <c r="M208" s="16"/>
      <c r="N208" s="27"/>
      <c r="P208" s="27"/>
      <c r="Q208" s="16"/>
      <c r="R208" s="27"/>
      <c r="T208" s="27"/>
      <c r="U208" s="16"/>
      <c r="V208" s="27"/>
      <c r="X208" s="27"/>
      <c r="Y208" s="16"/>
      <c r="Z208" s="27"/>
      <c r="AB208" s="27"/>
      <c r="AC208" s="16"/>
      <c r="AD208" s="27"/>
      <c r="AF208" s="27"/>
      <c r="AG208" s="16"/>
      <c r="AH208" s="27"/>
      <c r="AJ208" s="27"/>
      <c r="AK208" s="16"/>
      <c r="AL208" s="27"/>
      <c r="AN208" s="27"/>
      <c r="AO208" s="16"/>
      <c r="AP208" s="27"/>
      <c r="AR208" s="27"/>
      <c r="AS208" s="16"/>
      <c r="AT208" s="27"/>
      <c r="AV208" s="27"/>
      <c r="AW208" s="16"/>
      <c r="AX208" s="27"/>
      <c r="AZ208" s="27"/>
      <c r="BA208" s="16"/>
      <c r="BB208" s="27"/>
      <c r="BD208" s="27"/>
      <c r="BE208" s="16"/>
      <c r="BF208" s="27"/>
      <c r="BH208" s="27"/>
      <c r="BI208" s="16"/>
      <c r="BJ208" s="27"/>
      <c r="BL208" s="27"/>
      <c r="BM208" s="16"/>
      <c r="BN208" s="27"/>
      <c r="BP208" s="27"/>
      <c r="BQ208" s="16"/>
      <c r="BR208" s="27"/>
      <c r="BT208" s="27"/>
      <c r="BU208" s="16"/>
      <c r="BV208" s="27"/>
      <c r="BX208" s="27"/>
      <c r="BY208" s="16"/>
      <c r="BZ208" s="27"/>
      <c r="CB208" s="27"/>
      <c r="CC208" s="16"/>
      <c r="CD208" s="27"/>
      <c r="CF208" s="27"/>
      <c r="CG208" s="16"/>
      <c r="CH208" s="27"/>
      <c r="CJ208" s="27"/>
      <c r="CK208" s="16"/>
      <c r="CL208" s="27"/>
      <c r="CN208" s="27"/>
      <c r="CO208" s="16"/>
      <c r="CP208" s="27"/>
      <c r="CR208" s="27"/>
      <c r="CS208" s="16"/>
      <c r="CT208" s="27"/>
      <c r="CV208" s="27"/>
      <c r="CW208" s="16"/>
      <c r="CX208" s="27"/>
      <c r="CZ208" s="27"/>
      <c r="DA208" s="16"/>
      <c r="DB208" s="27"/>
      <c r="DD208" s="16"/>
    </row>
    <row r="209" spans="1:108" s="14" customFormat="1" ht="21" x14ac:dyDescent="0.4">
      <c r="A209" s="27"/>
      <c r="B209" s="27"/>
      <c r="D209" s="16"/>
      <c r="E209" s="27"/>
      <c r="F209" s="27"/>
      <c r="H209" s="27"/>
      <c r="I209" s="16"/>
      <c r="J209" s="27"/>
      <c r="L209" s="27"/>
      <c r="M209" s="16"/>
      <c r="N209" s="27"/>
      <c r="P209" s="27"/>
      <c r="Q209" s="16"/>
      <c r="R209" s="27"/>
      <c r="T209" s="27"/>
      <c r="U209" s="16"/>
      <c r="V209" s="27"/>
      <c r="X209" s="27"/>
      <c r="Y209" s="16"/>
      <c r="Z209" s="27"/>
      <c r="AB209" s="27"/>
      <c r="AC209" s="16"/>
      <c r="AD209" s="27"/>
      <c r="AF209" s="27"/>
      <c r="AG209" s="16"/>
      <c r="AH209" s="27"/>
      <c r="AJ209" s="27"/>
      <c r="AK209" s="16"/>
      <c r="AL209" s="27"/>
      <c r="AN209" s="27"/>
      <c r="AO209" s="16"/>
      <c r="AP209" s="27"/>
      <c r="AR209" s="27"/>
      <c r="AS209" s="16"/>
      <c r="AT209" s="27"/>
      <c r="AV209" s="27"/>
      <c r="AW209" s="16"/>
      <c r="AX209" s="27"/>
      <c r="AZ209" s="27"/>
      <c r="BA209" s="16"/>
      <c r="BB209" s="27"/>
      <c r="BD209" s="27"/>
      <c r="BE209" s="16"/>
      <c r="BF209" s="27"/>
      <c r="BH209" s="27"/>
      <c r="BI209" s="16"/>
      <c r="BJ209" s="27"/>
      <c r="BL209" s="27"/>
      <c r="BM209" s="16"/>
      <c r="BN209" s="27"/>
      <c r="BP209" s="27"/>
      <c r="BQ209" s="16"/>
      <c r="BR209" s="27"/>
      <c r="BT209" s="27"/>
      <c r="BU209" s="16"/>
      <c r="BV209" s="27"/>
      <c r="BX209" s="27"/>
      <c r="BY209" s="16"/>
      <c r="BZ209" s="27"/>
      <c r="CB209" s="27"/>
      <c r="CC209" s="16"/>
      <c r="CD209" s="27"/>
      <c r="CF209" s="27"/>
      <c r="CG209" s="16"/>
      <c r="CH209" s="27"/>
      <c r="CJ209" s="27"/>
      <c r="CK209" s="16"/>
      <c r="CL209" s="27"/>
      <c r="CN209" s="27"/>
      <c r="CO209" s="16"/>
      <c r="CP209" s="27"/>
      <c r="CR209" s="27"/>
      <c r="CS209" s="16"/>
      <c r="CT209" s="27"/>
      <c r="CV209" s="27"/>
      <c r="CW209" s="16"/>
      <c r="CX209" s="27"/>
      <c r="CZ209" s="27"/>
      <c r="DA209" s="16"/>
      <c r="DB209" s="27"/>
      <c r="DD209" s="16"/>
    </row>
    <row r="210" spans="1:108" s="14" customFormat="1" ht="21" x14ac:dyDescent="0.4">
      <c r="A210" s="27"/>
      <c r="B210" s="27"/>
      <c r="D210" s="16"/>
      <c r="E210" s="27"/>
      <c r="F210" s="27"/>
      <c r="H210" s="27"/>
      <c r="I210" s="16"/>
      <c r="J210" s="27"/>
      <c r="L210" s="27"/>
      <c r="M210" s="16"/>
      <c r="N210" s="27"/>
      <c r="P210" s="27"/>
      <c r="Q210" s="16"/>
      <c r="R210" s="27"/>
      <c r="T210" s="27"/>
      <c r="U210" s="16"/>
      <c r="V210" s="27"/>
      <c r="X210" s="27"/>
      <c r="Y210" s="16"/>
      <c r="Z210" s="27"/>
      <c r="AB210" s="27"/>
      <c r="AC210" s="16"/>
      <c r="AD210" s="27"/>
      <c r="AF210" s="27"/>
      <c r="AG210" s="16"/>
      <c r="AH210" s="27"/>
      <c r="AJ210" s="27"/>
      <c r="AK210" s="16"/>
      <c r="AL210" s="27"/>
      <c r="AN210" s="27"/>
      <c r="AO210" s="16"/>
      <c r="AP210" s="27"/>
      <c r="AR210" s="27"/>
      <c r="AS210" s="16"/>
      <c r="AT210" s="27"/>
      <c r="AV210" s="27"/>
      <c r="AW210" s="16"/>
      <c r="AX210" s="27"/>
      <c r="AZ210" s="27"/>
      <c r="BA210" s="16"/>
      <c r="BB210" s="27"/>
      <c r="BD210" s="27"/>
      <c r="BE210" s="16"/>
      <c r="BF210" s="27"/>
      <c r="BH210" s="27"/>
      <c r="BI210" s="16"/>
      <c r="BJ210" s="27"/>
      <c r="BL210" s="27"/>
      <c r="BM210" s="16"/>
      <c r="BN210" s="27"/>
      <c r="BP210" s="27"/>
      <c r="BQ210" s="16"/>
      <c r="BR210" s="27"/>
      <c r="BT210" s="27"/>
      <c r="BU210" s="16"/>
      <c r="BV210" s="27"/>
      <c r="BX210" s="27"/>
      <c r="BY210" s="16"/>
      <c r="BZ210" s="27"/>
      <c r="CB210" s="27"/>
      <c r="CC210" s="16"/>
      <c r="CD210" s="27"/>
      <c r="CF210" s="27"/>
      <c r="CG210" s="16"/>
      <c r="CH210" s="27"/>
      <c r="CJ210" s="27"/>
      <c r="CK210" s="16"/>
      <c r="CL210" s="27"/>
      <c r="CN210" s="27"/>
      <c r="CO210" s="16"/>
      <c r="CP210" s="27"/>
      <c r="CR210" s="27"/>
      <c r="CS210" s="16"/>
      <c r="CT210" s="27"/>
      <c r="CV210" s="27"/>
      <c r="CW210" s="16"/>
      <c r="CX210" s="27"/>
      <c r="CZ210" s="27"/>
      <c r="DA210" s="16"/>
      <c r="DB210" s="27"/>
      <c r="DD210" s="16"/>
    </row>
    <row r="211" spans="1:108" s="14" customFormat="1" ht="21" x14ac:dyDescent="0.4">
      <c r="A211" s="27"/>
      <c r="B211" s="27"/>
      <c r="D211" s="16"/>
      <c r="E211" s="27"/>
      <c r="F211" s="27"/>
      <c r="H211" s="27"/>
      <c r="I211" s="16"/>
      <c r="J211" s="27"/>
      <c r="L211" s="27"/>
      <c r="M211" s="16"/>
      <c r="N211" s="27"/>
      <c r="P211" s="27"/>
      <c r="Q211" s="16"/>
      <c r="R211" s="27"/>
      <c r="T211" s="27"/>
      <c r="U211" s="16"/>
      <c r="V211" s="27"/>
      <c r="X211" s="27"/>
      <c r="Y211" s="16"/>
      <c r="Z211" s="27"/>
      <c r="AB211" s="27"/>
      <c r="AC211" s="16"/>
      <c r="AD211" s="27"/>
      <c r="AF211" s="27"/>
      <c r="AG211" s="16"/>
      <c r="AH211" s="27"/>
      <c r="AJ211" s="27"/>
      <c r="AK211" s="16"/>
      <c r="AL211" s="27"/>
      <c r="AN211" s="27"/>
      <c r="AO211" s="16"/>
      <c r="AP211" s="27"/>
      <c r="AR211" s="27"/>
      <c r="AS211" s="16"/>
      <c r="AT211" s="27"/>
      <c r="AV211" s="27"/>
      <c r="AW211" s="16"/>
      <c r="AX211" s="27"/>
      <c r="AZ211" s="27"/>
      <c r="BA211" s="16"/>
      <c r="BB211" s="27"/>
      <c r="BD211" s="27"/>
      <c r="BE211" s="16"/>
      <c r="BF211" s="27"/>
      <c r="BH211" s="27"/>
      <c r="BI211" s="16"/>
      <c r="BJ211" s="27"/>
      <c r="BL211" s="27"/>
      <c r="BM211" s="16"/>
      <c r="BN211" s="27"/>
      <c r="BP211" s="27"/>
      <c r="BQ211" s="16"/>
      <c r="BR211" s="27"/>
      <c r="BT211" s="27"/>
      <c r="BU211" s="16"/>
      <c r="BV211" s="27"/>
      <c r="BX211" s="27"/>
      <c r="BY211" s="16"/>
      <c r="BZ211" s="27"/>
      <c r="CB211" s="27"/>
      <c r="CC211" s="16"/>
      <c r="CD211" s="27"/>
      <c r="CF211" s="27"/>
      <c r="CG211" s="16"/>
      <c r="CH211" s="27"/>
      <c r="CJ211" s="27"/>
      <c r="CK211" s="16"/>
      <c r="CL211" s="27"/>
      <c r="CN211" s="27"/>
      <c r="CO211" s="16"/>
      <c r="CP211" s="27"/>
      <c r="CR211" s="27"/>
      <c r="CS211" s="16"/>
      <c r="CT211" s="27"/>
      <c r="CV211" s="27"/>
      <c r="CW211" s="16"/>
      <c r="CX211" s="27"/>
      <c r="CZ211" s="27"/>
      <c r="DA211" s="16"/>
      <c r="DB211" s="27"/>
      <c r="DD211" s="16"/>
    </row>
    <row r="212" spans="1:108" s="14" customFormat="1" ht="21" x14ac:dyDescent="0.4">
      <c r="A212" s="27"/>
      <c r="B212" s="27"/>
      <c r="D212" s="16"/>
      <c r="E212" s="27"/>
      <c r="F212" s="27"/>
      <c r="H212" s="27"/>
      <c r="I212" s="16"/>
      <c r="J212" s="27"/>
      <c r="L212" s="27"/>
      <c r="M212" s="16"/>
      <c r="N212" s="27"/>
      <c r="P212" s="27"/>
      <c r="Q212" s="16"/>
      <c r="R212" s="27"/>
      <c r="T212" s="27"/>
      <c r="U212" s="16"/>
      <c r="V212" s="27"/>
      <c r="X212" s="27"/>
      <c r="Y212" s="16"/>
      <c r="Z212" s="27"/>
      <c r="AB212" s="27"/>
      <c r="AC212" s="16"/>
      <c r="AD212" s="27"/>
      <c r="AF212" s="27"/>
      <c r="AG212" s="16"/>
      <c r="AH212" s="27"/>
      <c r="AJ212" s="27"/>
      <c r="AK212" s="16"/>
      <c r="AL212" s="27"/>
      <c r="AN212" s="27"/>
      <c r="AO212" s="16"/>
      <c r="AP212" s="27"/>
      <c r="AR212" s="27"/>
      <c r="AS212" s="16"/>
      <c r="AT212" s="27"/>
      <c r="AV212" s="27"/>
      <c r="AW212" s="16"/>
      <c r="AX212" s="27"/>
      <c r="AZ212" s="27"/>
      <c r="BA212" s="16"/>
      <c r="BB212" s="27"/>
      <c r="BD212" s="27"/>
      <c r="BE212" s="16"/>
      <c r="BF212" s="27"/>
      <c r="BH212" s="27"/>
      <c r="BI212" s="16"/>
      <c r="BJ212" s="27"/>
      <c r="BL212" s="27"/>
      <c r="BM212" s="16"/>
      <c r="BN212" s="27"/>
      <c r="BP212" s="27"/>
      <c r="BQ212" s="16"/>
      <c r="BR212" s="27"/>
      <c r="BT212" s="27"/>
      <c r="BU212" s="16"/>
      <c r="BV212" s="27"/>
      <c r="BX212" s="27"/>
      <c r="BY212" s="16"/>
      <c r="BZ212" s="27"/>
      <c r="CB212" s="27"/>
      <c r="CC212" s="16"/>
      <c r="CD212" s="27"/>
      <c r="CF212" s="27"/>
      <c r="CG212" s="16"/>
      <c r="CH212" s="27"/>
      <c r="CJ212" s="27"/>
      <c r="CK212" s="16"/>
      <c r="CL212" s="27"/>
      <c r="CN212" s="27"/>
      <c r="CO212" s="16"/>
      <c r="CP212" s="27"/>
      <c r="CR212" s="27"/>
      <c r="CS212" s="16"/>
      <c r="CT212" s="27"/>
      <c r="CV212" s="27"/>
      <c r="CW212" s="16"/>
      <c r="CX212" s="27"/>
      <c r="CZ212" s="27"/>
      <c r="DA212" s="16"/>
      <c r="DB212" s="27"/>
      <c r="DD212" s="16"/>
    </row>
    <row r="213" spans="1:108" s="14" customFormat="1" ht="21" x14ac:dyDescent="0.4">
      <c r="A213" s="27"/>
      <c r="B213" s="27"/>
      <c r="D213" s="16"/>
      <c r="E213" s="27"/>
      <c r="F213" s="27"/>
      <c r="H213" s="27"/>
      <c r="I213" s="16"/>
      <c r="J213" s="27"/>
      <c r="L213" s="27"/>
      <c r="M213" s="16"/>
      <c r="N213" s="27"/>
      <c r="P213" s="27"/>
      <c r="Q213" s="16"/>
      <c r="R213" s="27"/>
      <c r="T213" s="27"/>
      <c r="U213" s="16"/>
      <c r="V213" s="27"/>
      <c r="X213" s="27"/>
      <c r="Y213" s="16"/>
      <c r="Z213" s="27"/>
      <c r="AB213" s="27"/>
      <c r="AC213" s="16"/>
      <c r="AD213" s="27"/>
      <c r="AF213" s="27"/>
      <c r="AG213" s="16"/>
      <c r="AH213" s="27"/>
      <c r="AJ213" s="27"/>
      <c r="AK213" s="16"/>
      <c r="AL213" s="27"/>
      <c r="AN213" s="27"/>
      <c r="AO213" s="16"/>
      <c r="AP213" s="27"/>
      <c r="AR213" s="27"/>
      <c r="AS213" s="16"/>
      <c r="AT213" s="27"/>
      <c r="AV213" s="27"/>
      <c r="AW213" s="16"/>
      <c r="AX213" s="27"/>
      <c r="AZ213" s="27"/>
      <c r="BA213" s="16"/>
      <c r="BB213" s="27"/>
      <c r="BD213" s="27"/>
      <c r="BE213" s="16"/>
      <c r="BF213" s="27"/>
      <c r="BH213" s="27"/>
      <c r="BI213" s="16"/>
      <c r="BJ213" s="27"/>
      <c r="BL213" s="27"/>
      <c r="BM213" s="16"/>
      <c r="BN213" s="27"/>
      <c r="BP213" s="27"/>
      <c r="BQ213" s="16"/>
      <c r="BR213" s="27"/>
      <c r="BT213" s="27"/>
      <c r="BU213" s="16"/>
      <c r="BV213" s="27"/>
      <c r="BX213" s="27"/>
      <c r="BY213" s="16"/>
      <c r="BZ213" s="27"/>
      <c r="CB213" s="27"/>
      <c r="CC213" s="16"/>
      <c r="CD213" s="27"/>
      <c r="CF213" s="27"/>
      <c r="CG213" s="16"/>
      <c r="CH213" s="27"/>
      <c r="CJ213" s="27"/>
      <c r="CK213" s="16"/>
      <c r="CL213" s="27"/>
      <c r="CN213" s="27"/>
      <c r="CO213" s="16"/>
      <c r="CP213" s="27"/>
      <c r="CR213" s="27"/>
      <c r="CS213" s="16"/>
      <c r="CT213" s="27"/>
      <c r="CV213" s="27"/>
      <c r="CW213" s="16"/>
      <c r="CX213" s="27"/>
      <c r="CZ213" s="27"/>
      <c r="DA213" s="16"/>
      <c r="DB213" s="27"/>
      <c r="DD213" s="16"/>
    </row>
    <row r="214" spans="1:108" s="14" customFormat="1" ht="21" x14ac:dyDescent="0.4">
      <c r="A214" s="27"/>
      <c r="B214" s="27"/>
      <c r="D214" s="16"/>
      <c r="E214" s="27"/>
      <c r="F214" s="27"/>
      <c r="H214" s="27"/>
      <c r="I214" s="16"/>
      <c r="J214" s="27"/>
      <c r="L214" s="27"/>
      <c r="M214" s="16"/>
      <c r="N214" s="27"/>
      <c r="P214" s="27"/>
      <c r="Q214" s="16"/>
      <c r="R214" s="27"/>
      <c r="T214" s="27"/>
      <c r="U214" s="16"/>
      <c r="V214" s="27"/>
      <c r="X214" s="27"/>
      <c r="Y214" s="16"/>
      <c r="Z214" s="27"/>
      <c r="AB214" s="27"/>
      <c r="AC214" s="16"/>
      <c r="AD214" s="27"/>
      <c r="AF214" s="27"/>
      <c r="AG214" s="16"/>
      <c r="AH214" s="27"/>
      <c r="AJ214" s="27"/>
      <c r="AK214" s="16"/>
      <c r="AL214" s="27"/>
      <c r="AN214" s="27"/>
      <c r="AO214" s="16"/>
      <c r="AP214" s="27"/>
      <c r="AR214" s="27"/>
      <c r="AS214" s="16"/>
      <c r="AT214" s="27"/>
      <c r="AV214" s="27"/>
      <c r="AW214" s="16"/>
      <c r="AX214" s="27"/>
      <c r="AZ214" s="27"/>
      <c r="BA214" s="16"/>
      <c r="BB214" s="27"/>
      <c r="BD214" s="27"/>
      <c r="BE214" s="16"/>
      <c r="BF214" s="27"/>
      <c r="BH214" s="27"/>
      <c r="BI214" s="16"/>
      <c r="BJ214" s="27"/>
      <c r="BL214" s="27"/>
      <c r="BM214" s="16"/>
      <c r="BN214" s="27"/>
      <c r="BP214" s="27"/>
      <c r="BQ214" s="16"/>
      <c r="BR214" s="27"/>
      <c r="BT214" s="27"/>
      <c r="BU214" s="16"/>
      <c r="BV214" s="27"/>
      <c r="BX214" s="27"/>
      <c r="BY214" s="16"/>
      <c r="BZ214" s="27"/>
      <c r="CB214" s="27"/>
      <c r="CC214" s="16"/>
      <c r="CD214" s="27"/>
      <c r="CF214" s="27"/>
      <c r="CG214" s="16"/>
      <c r="CH214" s="27"/>
      <c r="CJ214" s="27"/>
      <c r="CK214" s="16"/>
      <c r="CL214" s="27"/>
      <c r="CN214" s="27"/>
      <c r="CO214" s="16"/>
      <c r="CP214" s="27"/>
      <c r="CR214" s="27"/>
      <c r="CS214" s="16"/>
      <c r="CT214" s="27"/>
      <c r="CV214" s="27"/>
      <c r="CW214" s="16"/>
      <c r="CX214" s="27"/>
      <c r="CZ214" s="27"/>
      <c r="DA214" s="16"/>
      <c r="DB214" s="27"/>
      <c r="DD214" s="16"/>
    </row>
    <row r="215" spans="1:108" s="14" customFormat="1" ht="21" x14ac:dyDescent="0.4">
      <c r="A215" s="27"/>
      <c r="B215" s="27"/>
      <c r="D215" s="16"/>
      <c r="E215" s="27"/>
      <c r="F215" s="27"/>
      <c r="H215" s="27"/>
      <c r="I215" s="16"/>
      <c r="J215" s="27"/>
      <c r="L215" s="27"/>
      <c r="M215" s="16"/>
      <c r="N215" s="27"/>
      <c r="P215" s="27"/>
      <c r="Q215" s="16"/>
      <c r="R215" s="27"/>
      <c r="T215" s="27"/>
      <c r="U215" s="16"/>
      <c r="V215" s="27"/>
      <c r="X215" s="27"/>
      <c r="Y215" s="16"/>
      <c r="Z215" s="27"/>
      <c r="AB215" s="27"/>
      <c r="AC215" s="16"/>
      <c r="AD215" s="27"/>
      <c r="AF215" s="27"/>
      <c r="AG215" s="16"/>
      <c r="AH215" s="27"/>
      <c r="AJ215" s="27"/>
      <c r="AK215" s="16"/>
      <c r="AL215" s="27"/>
      <c r="AN215" s="27"/>
      <c r="AO215" s="16"/>
      <c r="AP215" s="27"/>
      <c r="AR215" s="27"/>
      <c r="AS215" s="16"/>
      <c r="AT215" s="27"/>
      <c r="AV215" s="27"/>
      <c r="AW215" s="16"/>
      <c r="AX215" s="27"/>
      <c r="AZ215" s="27"/>
      <c r="BA215" s="16"/>
      <c r="BB215" s="27"/>
      <c r="BD215" s="27"/>
      <c r="BE215" s="16"/>
      <c r="BF215" s="27"/>
      <c r="BH215" s="27"/>
      <c r="BI215" s="16"/>
      <c r="BJ215" s="27"/>
      <c r="BL215" s="27"/>
      <c r="BM215" s="16"/>
      <c r="BN215" s="27"/>
      <c r="BP215" s="27"/>
      <c r="BQ215" s="16"/>
      <c r="BR215" s="27"/>
      <c r="BT215" s="27"/>
      <c r="BU215" s="16"/>
      <c r="BV215" s="27"/>
      <c r="BX215" s="27"/>
      <c r="BY215" s="16"/>
      <c r="BZ215" s="27"/>
      <c r="CB215" s="27"/>
      <c r="CC215" s="16"/>
      <c r="CD215" s="27"/>
      <c r="CF215" s="27"/>
      <c r="CG215" s="16"/>
      <c r="CH215" s="27"/>
      <c r="CJ215" s="27"/>
      <c r="CK215" s="16"/>
      <c r="CL215" s="27"/>
      <c r="CN215" s="27"/>
      <c r="CO215" s="16"/>
      <c r="CP215" s="27"/>
      <c r="CR215" s="27"/>
      <c r="CS215" s="16"/>
      <c r="CT215" s="27"/>
      <c r="CV215" s="27"/>
      <c r="CW215" s="16"/>
      <c r="CX215" s="27"/>
      <c r="CZ215" s="27"/>
      <c r="DA215" s="16"/>
      <c r="DB215" s="27"/>
      <c r="DD215" s="16"/>
    </row>
    <row r="216" spans="1:108" s="14" customFormat="1" ht="21" x14ac:dyDescent="0.4">
      <c r="A216" s="27"/>
      <c r="B216" s="27"/>
      <c r="D216" s="16"/>
      <c r="E216" s="27"/>
      <c r="F216" s="27"/>
      <c r="H216" s="27"/>
      <c r="I216" s="16"/>
      <c r="J216" s="27"/>
      <c r="L216" s="27"/>
      <c r="M216" s="16"/>
      <c r="N216" s="27"/>
      <c r="P216" s="27"/>
      <c r="Q216" s="16"/>
      <c r="R216" s="27"/>
      <c r="T216" s="27"/>
      <c r="U216" s="16"/>
      <c r="V216" s="27"/>
      <c r="X216" s="27"/>
      <c r="Y216" s="16"/>
      <c r="Z216" s="27"/>
      <c r="AB216" s="27"/>
      <c r="AC216" s="16"/>
      <c r="AD216" s="27"/>
      <c r="AF216" s="27"/>
      <c r="AG216" s="16"/>
      <c r="AH216" s="27"/>
      <c r="AJ216" s="27"/>
      <c r="AK216" s="16"/>
      <c r="AL216" s="27"/>
      <c r="AN216" s="27"/>
      <c r="AO216" s="16"/>
      <c r="AP216" s="27"/>
      <c r="AR216" s="27"/>
      <c r="AS216" s="16"/>
      <c r="AT216" s="27"/>
      <c r="AV216" s="27"/>
      <c r="AW216" s="16"/>
      <c r="AX216" s="27"/>
      <c r="AZ216" s="27"/>
      <c r="BA216" s="16"/>
      <c r="BB216" s="27"/>
      <c r="BD216" s="27"/>
      <c r="BE216" s="16"/>
      <c r="BF216" s="27"/>
      <c r="BH216" s="27"/>
      <c r="BI216" s="16"/>
      <c r="BJ216" s="27"/>
      <c r="BL216" s="27"/>
      <c r="BM216" s="16"/>
      <c r="BN216" s="27"/>
      <c r="BP216" s="27"/>
      <c r="BQ216" s="16"/>
      <c r="BR216" s="27"/>
      <c r="BT216" s="27"/>
      <c r="BU216" s="16"/>
      <c r="BV216" s="27"/>
      <c r="BX216" s="27"/>
      <c r="BY216" s="16"/>
      <c r="BZ216" s="27"/>
      <c r="CB216" s="27"/>
      <c r="CC216" s="16"/>
      <c r="CD216" s="27"/>
      <c r="CF216" s="27"/>
      <c r="CG216" s="16"/>
      <c r="CH216" s="27"/>
      <c r="CJ216" s="27"/>
      <c r="CK216" s="16"/>
      <c r="CL216" s="27"/>
      <c r="CN216" s="27"/>
      <c r="CO216" s="16"/>
      <c r="CP216" s="27"/>
      <c r="CR216" s="27"/>
      <c r="CS216" s="16"/>
      <c r="CT216" s="27"/>
      <c r="CV216" s="27"/>
      <c r="CW216" s="16"/>
      <c r="CX216" s="27"/>
      <c r="CZ216" s="27"/>
      <c r="DA216" s="16"/>
      <c r="DB216" s="27"/>
      <c r="DD216" s="16"/>
    </row>
    <row r="217" spans="1:108" s="14" customFormat="1" ht="21" x14ac:dyDescent="0.4">
      <c r="A217" s="27"/>
      <c r="B217" s="27"/>
      <c r="D217" s="16"/>
      <c r="E217" s="27"/>
      <c r="F217" s="27"/>
      <c r="H217" s="27"/>
      <c r="I217" s="16"/>
      <c r="J217" s="27"/>
      <c r="L217" s="27"/>
      <c r="M217" s="16"/>
      <c r="N217" s="27"/>
      <c r="P217" s="27"/>
      <c r="Q217" s="16"/>
      <c r="R217" s="27"/>
      <c r="T217" s="27"/>
      <c r="U217" s="16"/>
      <c r="V217" s="27"/>
      <c r="X217" s="27"/>
      <c r="Y217" s="16"/>
      <c r="Z217" s="27"/>
      <c r="AB217" s="27"/>
      <c r="AC217" s="16"/>
      <c r="AD217" s="27"/>
      <c r="AF217" s="27"/>
      <c r="AG217" s="16"/>
      <c r="AH217" s="27"/>
      <c r="AJ217" s="27"/>
      <c r="AK217" s="16"/>
      <c r="AL217" s="27"/>
      <c r="AN217" s="27"/>
      <c r="AO217" s="16"/>
      <c r="AP217" s="27"/>
      <c r="AR217" s="27"/>
      <c r="AS217" s="16"/>
      <c r="AT217" s="27"/>
      <c r="AV217" s="27"/>
      <c r="AW217" s="16"/>
      <c r="AX217" s="27"/>
      <c r="AZ217" s="27"/>
      <c r="BA217" s="16"/>
      <c r="BB217" s="27"/>
      <c r="BD217" s="27"/>
      <c r="BE217" s="16"/>
      <c r="BF217" s="27"/>
      <c r="BH217" s="27"/>
      <c r="BI217" s="16"/>
      <c r="BJ217" s="27"/>
      <c r="BL217" s="27"/>
      <c r="BM217" s="16"/>
      <c r="BN217" s="27"/>
      <c r="BP217" s="27"/>
      <c r="BQ217" s="16"/>
      <c r="BR217" s="27"/>
      <c r="BT217" s="27"/>
      <c r="BU217" s="16"/>
      <c r="BV217" s="27"/>
      <c r="BX217" s="27"/>
      <c r="BY217" s="16"/>
      <c r="BZ217" s="27"/>
      <c r="CB217" s="27"/>
      <c r="CC217" s="16"/>
      <c r="CD217" s="27"/>
      <c r="CF217" s="27"/>
      <c r="CG217" s="16"/>
      <c r="CH217" s="27"/>
      <c r="CJ217" s="27"/>
      <c r="CK217" s="16"/>
      <c r="CL217" s="27"/>
      <c r="CN217" s="27"/>
      <c r="CO217" s="16"/>
      <c r="CP217" s="27"/>
      <c r="CR217" s="27"/>
      <c r="CS217" s="16"/>
      <c r="CT217" s="27"/>
      <c r="CV217" s="27"/>
      <c r="CW217" s="16"/>
      <c r="CX217" s="27"/>
      <c r="CZ217" s="27"/>
      <c r="DA217" s="16"/>
      <c r="DB217" s="27"/>
      <c r="DD217" s="16"/>
    </row>
    <row r="218" spans="1:108" s="14" customFormat="1" ht="21" x14ac:dyDescent="0.4">
      <c r="A218" s="27"/>
      <c r="B218" s="27"/>
      <c r="D218" s="16"/>
      <c r="E218" s="27"/>
      <c r="F218" s="27"/>
      <c r="H218" s="27"/>
      <c r="I218" s="16"/>
      <c r="J218" s="27"/>
      <c r="L218" s="27"/>
      <c r="M218" s="16"/>
      <c r="N218" s="27"/>
      <c r="P218" s="27"/>
      <c r="Q218" s="16"/>
      <c r="R218" s="27"/>
      <c r="T218" s="27"/>
      <c r="U218" s="16"/>
      <c r="V218" s="27"/>
      <c r="X218" s="27"/>
      <c r="Y218" s="16"/>
      <c r="Z218" s="27"/>
      <c r="AB218" s="27"/>
      <c r="AC218" s="16"/>
      <c r="AD218" s="27"/>
      <c r="AF218" s="27"/>
      <c r="AG218" s="16"/>
      <c r="AH218" s="27"/>
      <c r="AJ218" s="27"/>
      <c r="AK218" s="16"/>
      <c r="AL218" s="27"/>
      <c r="AN218" s="27"/>
      <c r="AO218" s="16"/>
      <c r="AP218" s="27"/>
      <c r="AR218" s="27"/>
      <c r="AS218" s="16"/>
      <c r="AT218" s="27"/>
      <c r="AV218" s="27"/>
      <c r="AW218" s="16"/>
      <c r="AX218" s="27"/>
      <c r="AZ218" s="27"/>
      <c r="BA218" s="16"/>
      <c r="BB218" s="27"/>
      <c r="BD218" s="27"/>
      <c r="BE218" s="16"/>
      <c r="BF218" s="27"/>
      <c r="BH218" s="27"/>
      <c r="BI218" s="16"/>
      <c r="BJ218" s="27"/>
      <c r="BL218" s="27"/>
      <c r="BM218" s="16"/>
      <c r="BN218" s="27"/>
      <c r="BP218" s="27"/>
      <c r="BQ218" s="16"/>
      <c r="BR218" s="27"/>
      <c r="BT218" s="27"/>
      <c r="BU218" s="16"/>
      <c r="BV218" s="27"/>
      <c r="BX218" s="27"/>
      <c r="BY218" s="16"/>
      <c r="BZ218" s="27"/>
      <c r="CB218" s="27"/>
      <c r="CC218" s="16"/>
      <c r="CD218" s="27"/>
      <c r="CF218" s="27"/>
      <c r="CG218" s="16"/>
      <c r="CH218" s="27"/>
      <c r="CJ218" s="27"/>
      <c r="CK218" s="16"/>
      <c r="CL218" s="27"/>
      <c r="CN218" s="27"/>
      <c r="CO218" s="16"/>
      <c r="CP218" s="27"/>
      <c r="CR218" s="27"/>
      <c r="CS218" s="16"/>
      <c r="CT218" s="27"/>
      <c r="CV218" s="27"/>
      <c r="CW218" s="16"/>
      <c r="CX218" s="27"/>
      <c r="CZ218" s="27"/>
      <c r="DA218" s="16"/>
      <c r="DB218" s="27"/>
      <c r="DD218" s="16"/>
    </row>
    <row r="219" spans="1:108" s="14" customFormat="1" ht="21" x14ac:dyDescent="0.4">
      <c r="A219" s="27"/>
      <c r="B219" s="27"/>
      <c r="D219" s="16"/>
      <c r="E219" s="27"/>
      <c r="F219" s="27"/>
      <c r="H219" s="27"/>
      <c r="I219" s="16"/>
      <c r="J219" s="27"/>
      <c r="L219" s="27"/>
      <c r="M219" s="16"/>
      <c r="N219" s="27"/>
      <c r="P219" s="27"/>
      <c r="Q219" s="16"/>
      <c r="R219" s="27"/>
      <c r="T219" s="27"/>
      <c r="U219" s="16"/>
      <c r="V219" s="27"/>
      <c r="X219" s="27"/>
      <c r="Y219" s="16"/>
      <c r="Z219" s="27"/>
      <c r="AB219" s="27"/>
      <c r="AC219" s="16"/>
      <c r="AD219" s="27"/>
      <c r="AF219" s="27"/>
      <c r="AG219" s="16"/>
      <c r="AH219" s="27"/>
      <c r="AJ219" s="27"/>
      <c r="AK219" s="16"/>
      <c r="AL219" s="27"/>
      <c r="AN219" s="27"/>
      <c r="AO219" s="16"/>
      <c r="AP219" s="27"/>
      <c r="AR219" s="27"/>
      <c r="AS219" s="16"/>
      <c r="AT219" s="27"/>
      <c r="AV219" s="27"/>
      <c r="AW219" s="16"/>
      <c r="AX219" s="27"/>
      <c r="AZ219" s="27"/>
      <c r="BA219" s="16"/>
      <c r="BB219" s="27"/>
      <c r="BD219" s="27"/>
      <c r="BE219" s="16"/>
      <c r="BF219" s="27"/>
      <c r="BH219" s="27"/>
      <c r="BI219" s="16"/>
      <c r="BJ219" s="27"/>
      <c r="BL219" s="27"/>
      <c r="BM219" s="16"/>
      <c r="BN219" s="27"/>
      <c r="BP219" s="27"/>
      <c r="BQ219" s="16"/>
      <c r="BR219" s="27"/>
      <c r="BT219" s="27"/>
      <c r="BU219" s="16"/>
      <c r="BV219" s="27"/>
      <c r="BX219" s="27"/>
      <c r="BY219" s="16"/>
      <c r="BZ219" s="27"/>
      <c r="CB219" s="27"/>
      <c r="CC219" s="16"/>
      <c r="CD219" s="27"/>
      <c r="CF219" s="27"/>
      <c r="CG219" s="16"/>
      <c r="CH219" s="27"/>
      <c r="CJ219" s="27"/>
      <c r="CK219" s="16"/>
      <c r="CL219" s="27"/>
      <c r="CN219" s="27"/>
      <c r="CO219" s="16"/>
      <c r="CP219" s="27"/>
      <c r="CR219" s="27"/>
      <c r="CS219" s="16"/>
      <c r="CT219" s="27"/>
      <c r="CV219" s="27"/>
      <c r="CW219" s="16"/>
      <c r="CX219" s="27"/>
      <c r="CZ219" s="27"/>
      <c r="DA219" s="16"/>
      <c r="DB219" s="27"/>
      <c r="DD219" s="16"/>
    </row>
    <row r="220" spans="1:108" s="14" customFormat="1" ht="21" x14ac:dyDescent="0.4">
      <c r="A220" s="27"/>
      <c r="B220" s="27"/>
      <c r="D220" s="16"/>
      <c r="E220" s="27"/>
      <c r="F220" s="27"/>
      <c r="H220" s="27"/>
      <c r="I220" s="16"/>
      <c r="J220" s="27"/>
      <c r="L220" s="27"/>
      <c r="M220" s="16"/>
      <c r="N220" s="27"/>
      <c r="P220" s="27"/>
      <c r="Q220" s="16"/>
      <c r="R220" s="27"/>
      <c r="T220" s="27"/>
      <c r="U220" s="16"/>
      <c r="V220" s="27"/>
      <c r="X220" s="27"/>
      <c r="Y220" s="16"/>
      <c r="Z220" s="27"/>
      <c r="AB220" s="27"/>
      <c r="AC220" s="16"/>
      <c r="AD220" s="27"/>
      <c r="AF220" s="27"/>
      <c r="AG220" s="16"/>
      <c r="AH220" s="27"/>
      <c r="AJ220" s="27"/>
      <c r="AK220" s="16"/>
      <c r="AL220" s="27"/>
      <c r="AN220" s="27"/>
      <c r="AO220" s="16"/>
      <c r="AP220" s="27"/>
      <c r="AR220" s="27"/>
      <c r="AS220" s="16"/>
      <c r="AT220" s="27"/>
      <c r="AV220" s="27"/>
      <c r="AW220" s="16"/>
      <c r="AX220" s="27"/>
      <c r="AZ220" s="27"/>
      <c r="BA220" s="16"/>
      <c r="BB220" s="27"/>
      <c r="BD220" s="27"/>
      <c r="BE220" s="16"/>
      <c r="BF220" s="27"/>
      <c r="BH220" s="27"/>
      <c r="BI220" s="16"/>
      <c r="BJ220" s="27"/>
      <c r="BL220" s="27"/>
      <c r="BM220" s="16"/>
      <c r="BN220" s="27"/>
      <c r="BP220" s="27"/>
      <c r="BQ220" s="16"/>
      <c r="BR220" s="27"/>
      <c r="BT220" s="27"/>
      <c r="BU220" s="16"/>
      <c r="BV220" s="27"/>
      <c r="BX220" s="27"/>
      <c r="BY220" s="16"/>
      <c r="BZ220" s="27"/>
      <c r="CB220" s="27"/>
      <c r="CC220" s="16"/>
      <c r="CD220" s="27"/>
      <c r="CF220" s="27"/>
      <c r="CG220" s="16"/>
      <c r="CH220" s="27"/>
      <c r="CJ220" s="27"/>
      <c r="CK220" s="16"/>
      <c r="CL220" s="27"/>
      <c r="CN220" s="27"/>
      <c r="CO220" s="16"/>
      <c r="CP220" s="27"/>
      <c r="CR220" s="27"/>
      <c r="CS220" s="16"/>
      <c r="CT220" s="27"/>
      <c r="CV220" s="27"/>
      <c r="CW220" s="16"/>
      <c r="CX220" s="27"/>
      <c r="CZ220" s="27"/>
      <c r="DA220" s="16"/>
      <c r="DB220" s="27"/>
      <c r="DD220" s="16"/>
    </row>
    <row r="221" spans="1:108" s="14" customFormat="1" ht="21" x14ac:dyDescent="0.4">
      <c r="A221" s="27"/>
      <c r="B221" s="27"/>
      <c r="D221" s="16"/>
      <c r="E221" s="27"/>
      <c r="F221" s="27"/>
      <c r="H221" s="27"/>
      <c r="I221" s="16"/>
      <c r="J221" s="27"/>
      <c r="L221" s="27"/>
      <c r="M221" s="16"/>
      <c r="N221" s="27"/>
      <c r="P221" s="27"/>
      <c r="Q221" s="16"/>
      <c r="R221" s="27"/>
      <c r="T221" s="27"/>
      <c r="U221" s="16"/>
      <c r="V221" s="27"/>
      <c r="X221" s="27"/>
      <c r="Y221" s="16"/>
      <c r="Z221" s="27"/>
      <c r="AB221" s="27"/>
      <c r="AC221" s="16"/>
      <c r="AD221" s="27"/>
      <c r="AF221" s="27"/>
      <c r="AG221" s="16"/>
      <c r="AH221" s="27"/>
      <c r="AJ221" s="27"/>
      <c r="AK221" s="16"/>
      <c r="AL221" s="27"/>
      <c r="AN221" s="27"/>
      <c r="AO221" s="16"/>
      <c r="AP221" s="27"/>
      <c r="AR221" s="27"/>
      <c r="AS221" s="16"/>
      <c r="AT221" s="27"/>
      <c r="AV221" s="27"/>
      <c r="AW221" s="16"/>
      <c r="AX221" s="27"/>
      <c r="AZ221" s="27"/>
      <c r="BA221" s="16"/>
      <c r="BB221" s="27"/>
      <c r="BD221" s="27"/>
      <c r="BE221" s="16"/>
      <c r="BF221" s="27"/>
      <c r="BH221" s="27"/>
      <c r="BI221" s="16"/>
      <c r="BJ221" s="27"/>
      <c r="BL221" s="27"/>
      <c r="BM221" s="16"/>
      <c r="BN221" s="27"/>
      <c r="BP221" s="27"/>
      <c r="BQ221" s="16"/>
      <c r="BR221" s="27"/>
      <c r="BT221" s="27"/>
      <c r="BU221" s="16"/>
      <c r="BV221" s="27"/>
      <c r="BX221" s="27"/>
      <c r="BY221" s="16"/>
      <c r="BZ221" s="27"/>
      <c r="CB221" s="27"/>
      <c r="CC221" s="16"/>
      <c r="CD221" s="27"/>
      <c r="CF221" s="27"/>
      <c r="CG221" s="16"/>
      <c r="CH221" s="27"/>
      <c r="CJ221" s="27"/>
      <c r="CK221" s="16"/>
      <c r="CL221" s="27"/>
      <c r="CN221" s="27"/>
      <c r="CO221" s="16"/>
      <c r="CP221" s="27"/>
      <c r="CR221" s="27"/>
      <c r="CS221" s="16"/>
      <c r="CT221" s="27"/>
      <c r="CV221" s="27"/>
      <c r="CW221" s="16"/>
      <c r="CX221" s="27"/>
      <c r="CZ221" s="27"/>
      <c r="DA221" s="16"/>
      <c r="DB221" s="27"/>
      <c r="DD221" s="16"/>
    </row>
    <row r="222" spans="1:108" s="14" customFormat="1" ht="21" x14ac:dyDescent="0.4">
      <c r="A222" s="27"/>
      <c r="B222" s="27"/>
      <c r="D222" s="16"/>
      <c r="E222" s="27"/>
      <c r="F222" s="27"/>
      <c r="H222" s="27"/>
      <c r="I222" s="16"/>
      <c r="J222" s="27"/>
      <c r="L222" s="27"/>
      <c r="M222" s="16"/>
      <c r="N222" s="27"/>
      <c r="P222" s="27"/>
      <c r="Q222" s="16"/>
      <c r="R222" s="27"/>
      <c r="T222" s="27"/>
      <c r="U222" s="16"/>
      <c r="V222" s="27"/>
      <c r="X222" s="27"/>
      <c r="Y222" s="16"/>
      <c r="Z222" s="27"/>
      <c r="AB222" s="27"/>
      <c r="AC222" s="16"/>
      <c r="AD222" s="27"/>
      <c r="AF222" s="27"/>
      <c r="AG222" s="16"/>
      <c r="AH222" s="27"/>
      <c r="AJ222" s="27"/>
      <c r="AK222" s="16"/>
      <c r="AL222" s="27"/>
      <c r="AN222" s="27"/>
      <c r="AO222" s="16"/>
      <c r="AP222" s="27"/>
      <c r="AR222" s="27"/>
      <c r="AS222" s="16"/>
      <c r="AT222" s="27"/>
      <c r="AV222" s="27"/>
      <c r="AW222" s="16"/>
      <c r="AX222" s="27"/>
      <c r="AZ222" s="27"/>
      <c r="BA222" s="16"/>
      <c r="BB222" s="27"/>
      <c r="BD222" s="27"/>
      <c r="BE222" s="16"/>
      <c r="BF222" s="27"/>
      <c r="BH222" s="27"/>
      <c r="BI222" s="16"/>
      <c r="BJ222" s="27"/>
      <c r="BL222" s="27"/>
      <c r="BM222" s="16"/>
      <c r="BN222" s="27"/>
      <c r="BP222" s="27"/>
      <c r="BQ222" s="16"/>
      <c r="BR222" s="27"/>
      <c r="BT222" s="27"/>
      <c r="BU222" s="16"/>
      <c r="BV222" s="27"/>
      <c r="BX222" s="27"/>
      <c r="BY222" s="16"/>
      <c r="BZ222" s="27"/>
      <c r="CB222" s="27"/>
      <c r="CC222" s="16"/>
      <c r="CD222" s="27"/>
      <c r="CF222" s="27"/>
      <c r="CG222" s="16"/>
      <c r="CH222" s="27"/>
      <c r="CJ222" s="27"/>
      <c r="CK222" s="16"/>
      <c r="CL222" s="27"/>
      <c r="CN222" s="27"/>
      <c r="CO222" s="16"/>
      <c r="CP222" s="27"/>
      <c r="CR222" s="27"/>
      <c r="CS222" s="16"/>
      <c r="CT222" s="27"/>
      <c r="CV222" s="27"/>
      <c r="CW222" s="16"/>
      <c r="CX222" s="27"/>
      <c r="CZ222" s="27"/>
      <c r="DA222" s="16"/>
      <c r="DB222" s="27"/>
      <c r="DD222" s="16"/>
    </row>
    <row r="223" spans="1:108" s="14" customFormat="1" ht="21" x14ac:dyDescent="0.4">
      <c r="A223" s="27"/>
      <c r="B223" s="27"/>
      <c r="D223" s="16"/>
      <c r="E223" s="27"/>
      <c r="F223" s="27"/>
      <c r="H223" s="27"/>
      <c r="I223" s="16"/>
      <c r="J223" s="27"/>
      <c r="L223" s="27"/>
      <c r="M223" s="16"/>
      <c r="N223" s="27"/>
      <c r="P223" s="27"/>
      <c r="Q223" s="16"/>
      <c r="R223" s="27"/>
      <c r="T223" s="27"/>
      <c r="U223" s="16"/>
      <c r="V223" s="27"/>
      <c r="X223" s="27"/>
      <c r="Y223" s="16"/>
      <c r="Z223" s="27"/>
      <c r="AB223" s="27"/>
      <c r="AC223" s="16"/>
      <c r="AD223" s="27"/>
      <c r="AF223" s="27"/>
      <c r="AG223" s="16"/>
      <c r="AH223" s="27"/>
      <c r="AJ223" s="27"/>
      <c r="AK223" s="16"/>
      <c r="AL223" s="27"/>
      <c r="AN223" s="27"/>
      <c r="AO223" s="16"/>
      <c r="AP223" s="27"/>
      <c r="AR223" s="27"/>
      <c r="AS223" s="16"/>
      <c r="AT223" s="27"/>
      <c r="AV223" s="27"/>
      <c r="AW223" s="16"/>
      <c r="AX223" s="27"/>
      <c r="AZ223" s="27"/>
      <c r="BA223" s="16"/>
      <c r="BB223" s="27"/>
      <c r="BD223" s="27"/>
      <c r="BE223" s="16"/>
      <c r="BF223" s="27"/>
      <c r="BH223" s="27"/>
      <c r="BI223" s="16"/>
      <c r="BJ223" s="27"/>
      <c r="BL223" s="27"/>
      <c r="BM223" s="16"/>
      <c r="BN223" s="27"/>
      <c r="BP223" s="27"/>
      <c r="BQ223" s="16"/>
      <c r="BR223" s="27"/>
      <c r="BT223" s="27"/>
      <c r="BU223" s="16"/>
      <c r="BV223" s="27"/>
      <c r="BX223" s="27"/>
      <c r="BY223" s="16"/>
      <c r="BZ223" s="27"/>
      <c r="CB223" s="27"/>
      <c r="CC223" s="16"/>
      <c r="CD223" s="27"/>
      <c r="CF223" s="27"/>
      <c r="CG223" s="16"/>
      <c r="CH223" s="27"/>
      <c r="CJ223" s="27"/>
      <c r="CK223" s="16"/>
      <c r="CL223" s="27"/>
      <c r="CN223" s="27"/>
      <c r="CO223" s="16"/>
      <c r="CP223" s="27"/>
      <c r="CR223" s="27"/>
      <c r="CS223" s="16"/>
      <c r="CT223" s="27"/>
      <c r="CV223" s="27"/>
      <c r="CW223" s="16"/>
      <c r="CX223" s="27"/>
      <c r="CZ223" s="27"/>
      <c r="DA223" s="16"/>
      <c r="DB223" s="27"/>
      <c r="DD223" s="16"/>
    </row>
    <row r="224" spans="1:108" s="14" customFormat="1" ht="21" x14ac:dyDescent="0.4">
      <c r="A224" s="27"/>
      <c r="B224" s="27"/>
      <c r="D224" s="16"/>
      <c r="E224" s="27"/>
      <c r="F224" s="27"/>
      <c r="H224" s="27"/>
      <c r="I224" s="16"/>
      <c r="J224" s="27"/>
      <c r="L224" s="27"/>
      <c r="M224" s="16"/>
      <c r="N224" s="27"/>
      <c r="P224" s="27"/>
      <c r="Q224" s="16"/>
      <c r="R224" s="27"/>
      <c r="T224" s="27"/>
      <c r="U224" s="16"/>
      <c r="V224" s="27"/>
      <c r="X224" s="27"/>
      <c r="Y224" s="16"/>
      <c r="Z224" s="27"/>
      <c r="AB224" s="27"/>
      <c r="AC224" s="16"/>
      <c r="AD224" s="27"/>
      <c r="AF224" s="27"/>
      <c r="AG224" s="16"/>
      <c r="AH224" s="27"/>
      <c r="AJ224" s="27"/>
      <c r="AK224" s="16"/>
      <c r="AL224" s="27"/>
      <c r="AN224" s="27"/>
      <c r="AO224" s="16"/>
      <c r="AP224" s="27"/>
      <c r="AR224" s="27"/>
      <c r="AS224" s="16"/>
      <c r="AT224" s="27"/>
      <c r="AV224" s="27"/>
      <c r="AW224" s="16"/>
      <c r="AX224" s="27"/>
      <c r="AZ224" s="27"/>
      <c r="BA224" s="16"/>
      <c r="BB224" s="27"/>
      <c r="BD224" s="27"/>
      <c r="BE224" s="16"/>
      <c r="BF224" s="27"/>
      <c r="BH224" s="27"/>
      <c r="BI224" s="16"/>
      <c r="BJ224" s="27"/>
      <c r="BL224" s="27"/>
      <c r="BM224" s="16"/>
      <c r="BN224" s="27"/>
      <c r="BP224" s="27"/>
      <c r="BQ224" s="16"/>
      <c r="BR224" s="27"/>
      <c r="BT224" s="27"/>
      <c r="BU224" s="16"/>
      <c r="BV224" s="27"/>
      <c r="BX224" s="27"/>
      <c r="BY224" s="16"/>
      <c r="BZ224" s="27"/>
      <c r="CB224" s="27"/>
      <c r="CC224" s="16"/>
      <c r="CD224" s="27"/>
      <c r="CF224" s="27"/>
      <c r="CG224" s="16"/>
      <c r="CH224" s="27"/>
      <c r="CJ224" s="27"/>
      <c r="CK224" s="16"/>
      <c r="CL224" s="27"/>
      <c r="CN224" s="27"/>
      <c r="CO224" s="16"/>
      <c r="CP224" s="27"/>
      <c r="CR224" s="27"/>
      <c r="CS224" s="16"/>
      <c r="CT224" s="27"/>
      <c r="CV224" s="27"/>
      <c r="CW224" s="16"/>
      <c r="CX224" s="27"/>
      <c r="CZ224" s="27"/>
      <c r="DA224" s="16"/>
      <c r="DB224" s="27"/>
      <c r="DD224" s="16"/>
    </row>
    <row r="225" spans="1:108" s="14" customFormat="1" ht="21" x14ac:dyDescent="0.4">
      <c r="A225" s="27"/>
      <c r="B225" s="27"/>
      <c r="D225" s="16"/>
      <c r="E225" s="27"/>
      <c r="F225" s="27"/>
      <c r="H225" s="27"/>
      <c r="I225" s="16"/>
      <c r="J225" s="27"/>
      <c r="L225" s="27"/>
      <c r="M225" s="16"/>
      <c r="N225" s="27"/>
      <c r="P225" s="27"/>
      <c r="Q225" s="16"/>
      <c r="R225" s="27"/>
      <c r="T225" s="27"/>
      <c r="U225" s="16"/>
      <c r="V225" s="27"/>
      <c r="X225" s="27"/>
      <c r="Y225" s="16"/>
      <c r="Z225" s="27"/>
      <c r="AB225" s="27"/>
      <c r="AC225" s="16"/>
      <c r="AD225" s="27"/>
      <c r="AF225" s="27"/>
      <c r="AG225" s="16"/>
      <c r="AH225" s="27"/>
      <c r="AJ225" s="27"/>
      <c r="AK225" s="16"/>
      <c r="AL225" s="27"/>
      <c r="AN225" s="27"/>
      <c r="AO225" s="16"/>
      <c r="AP225" s="27"/>
      <c r="AR225" s="27"/>
      <c r="AS225" s="16"/>
      <c r="AT225" s="27"/>
      <c r="AV225" s="27"/>
      <c r="AW225" s="16"/>
      <c r="AX225" s="27"/>
      <c r="AZ225" s="27"/>
      <c r="BA225" s="16"/>
      <c r="BB225" s="27"/>
      <c r="BD225" s="27"/>
      <c r="BE225" s="16"/>
      <c r="BF225" s="27"/>
      <c r="BH225" s="27"/>
      <c r="BI225" s="16"/>
      <c r="BJ225" s="27"/>
      <c r="BL225" s="27"/>
      <c r="BM225" s="16"/>
      <c r="BN225" s="27"/>
      <c r="BP225" s="27"/>
      <c r="BQ225" s="16"/>
      <c r="BR225" s="27"/>
      <c r="BT225" s="27"/>
      <c r="BU225" s="16"/>
      <c r="BV225" s="27"/>
      <c r="BX225" s="27"/>
      <c r="BY225" s="16"/>
      <c r="BZ225" s="27"/>
      <c r="CB225" s="27"/>
      <c r="CC225" s="16"/>
      <c r="CD225" s="27"/>
      <c r="CF225" s="27"/>
      <c r="CG225" s="16"/>
      <c r="CH225" s="27"/>
      <c r="CJ225" s="27"/>
      <c r="CK225" s="16"/>
      <c r="CL225" s="27"/>
      <c r="CN225" s="27"/>
      <c r="CO225" s="16"/>
      <c r="CP225" s="27"/>
      <c r="CR225" s="27"/>
      <c r="CS225" s="16"/>
      <c r="CT225" s="27"/>
      <c r="CV225" s="27"/>
      <c r="CW225" s="16"/>
      <c r="CX225" s="27"/>
      <c r="CZ225" s="27"/>
      <c r="DA225" s="16"/>
      <c r="DB225" s="27"/>
      <c r="DD225" s="16"/>
    </row>
    <row r="226" spans="1:108" s="14" customFormat="1" ht="21" x14ac:dyDescent="0.4">
      <c r="A226" s="27"/>
      <c r="B226" s="27"/>
      <c r="D226" s="16"/>
      <c r="E226" s="27"/>
      <c r="F226" s="27"/>
      <c r="H226" s="27"/>
      <c r="I226" s="16"/>
      <c r="J226" s="27"/>
      <c r="L226" s="27"/>
      <c r="M226" s="16"/>
      <c r="N226" s="27"/>
      <c r="P226" s="27"/>
      <c r="Q226" s="16"/>
      <c r="R226" s="27"/>
      <c r="T226" s="27"/>
      <c r="U226" s="16"/>
      <c r="V226" s="27"/>
      <c r="X226" s="27"/>
      <c r="Y226" s="16"/>
      <c r="Z226" s="27"/>
      <c r="AB226" s="27"/>
      <c r="AC226" s="16"/>
      <c r="AD226" s="27"/>
      <c r="AF226" s="27"/>
      <c r="AG226" s="16"/>
      <c r="AH226" s="27"/>
      <c r="AJ226" s="27"/>
      <c r="AK226" s="16"/>
      <c r="AL226" s="27"/>
      <c r="AN226" s="27"/>
      <c r="AO226" s="16"/>
      <c r="AP226" s="27"/>
      <c r="AR226" s="27"/>
      <c r="AS226" s="16"/>
      <c r="AT226" s="27"/>
      <c r="AV226" s="27"/>
      <c r="AW226" s="16"/>
      <c r="AX226" s="27"/>
      <c r="AZ226" s="27"/>
      <c r="BA226" s="16"/>
      <c r="BB226" s="27"/>
      <c r="BD226" s="27"/>
      <c r="BE226" s="16"/>
      <c r="BF226" s="27"/>
      <c r="BH226" s="27"/>
      <c r="BI226" s="16"/>
      <c r="BJ226" s="27"/>
      <c r="BL226" s="27"/>
      <c r="BM226" s="16"/>
      <c r="BN226" s="27"/>
      <c r="BP226" s="27"/>
      <c r="BQ226" s="16"/>
      <c r="BR226" s="27"/>
      <c r="BT226" s="27"/>
      <c r="BU226" s="16"/>
      <c r="BV226" s="27"/>
      <c r="BX226" s="27"/>
      <c r="BY226" s="16"/>
      <c r="BZ226" s="27"/>
      <c r="CB226" s="27"/>
      <c r="CC226" s="16"/>
      <c r="CD226" s="27"/>
      <c r="CF226" s="27"/>
      <c r="CG226" s="16"/>
      <c r="CH226" s="27"/>
      <c r="CJ226" s="27"/>
      <c r="CK226" s="16"/>
      <c r="CL226" s="27"/>
      <c r="CN226" s="27"/>
      <c r="CO226" s="16"/>
      <c r="CP226" s="27"/>
      <c r="CR226" s="27"/>
      <c r="CS226" s="16"/>
      <c r="CT226" s="27"/>
      <c r="CV226" s="27"/>
      <c r="CW226" s="16"/>
      <c r="CX226" s="27"/>
      <c r="CZ226" s="27"/>
      <c r="DA226" s="16"/>
      <c r="DB226" s="27"/>
      <c r="DD226" s="16"/>
    </row>
    <row r="227" spans="1:108" s="14" customFormat="1" ht="21" x14ac:dyDescent="0.4">
      <c r="A227" s="27"/>
      <c r="B227" s="27"/>
      <c r="D227" s="16"/>
      <c r="E227" s="27"/>
      <c r="F227" s="27"/>
      <c r="H227" s="27"/>
      <c r="I227" s="16"/>
      <c r="J227" s="27"/>
      <c r="L227" s="27"/>
      <c r="M227" s="16"/>
      <c r="N227" s="27"/>
      <c r="P227" s="27"/>
      <c r="Q227" s="16"/>
      <c r="R227" s="27"/>
      <c r="T227" s="27"/>
      <c r="U227" s="16"/>
      <c r="V227" s="27"/>
      <c r="X227" s="27"/>
      <c r="Y227" s="16"/>
      <c r="Z227" s="27"/>
      <c r="AB227" s="27"/>
      <c r="AC227" s="16"/>
      <c r="AD227" s="27"/>
      <c r="AF227" s="27"/>
      <c r="AG227" s="16"/>
      <c r="AH227" s="27"/>
      <c r="AJ227" s="27"/>
      <c r="AK227" s="16"/>
      <c r="AL227" s="27"/>
      <c r="AN227" s="27"/>
      <c r="AO227" s="16"/>
      <c r="AP227" s="27"/>
      <c r="AR227" s="27"/>
      <c r="AS227" s="16"/>
      <c r="AT227" s="27"/>
      <c r="AV227" s="27"/>
      <c r="AW227" s="16"/>
      <c r="AX227" s="27"/>
      <c r="AZ227" s="27"/>
      <c r="BA227" s="16"/>
      <c r="BB227" s="27"/>
      <c r="BD227" s="27"/>
      <c r="BE227" s="16"/>
      <c r="BF227" s="27"/>
      <c r="BH227" s="27"/>
      <c r="BI227" s="16"/>
      <c r="BJ227" s="27"/>
      <c r="BL227" s="27"/>
      <c r="BM227" s="16"/>
      <c r="BN227" s="27"/>
      <c r="BP227" s="27"/>
      <c r="BQ227" s="16"/>
      <c r="BR227" s="27"/>
      <c r="BT227" s="27"/>
      <c r="BU227" s="16"/>
      <c r="BV227" s="27"/>
      <c r="BX227" s="27"/>
      <c r="BY227" s="16"/>
      <c r="BZ227" s="27"/>
      <c r="CB227" s="27"/>
      <c r="CC227" s="16"/>
      <c r="CD227" s="27"/>
      <c r="CF227" s="27"/>
      <c r="CG227" s="16"/>
      <c r="CH227" s="27"/>
      <c r="CJ227" s="27"/>
      <c r="CK227" s="16"/>
      <c r="CL227" s="27"/>
      <c r="CN227" s="27"/>
      <c r="CO227" s="16"/>
      <c r="CP227" s="27"/>
      <c r="CR227" s="27"/>
      <c r="CS227" s="16"/>
      <c r="CT227" s="27"/>
      <c r="CV227" s="27"/>
      <c r="CW227" s="16"/>
      <c r="CX227" s="27"/>
      <c r="CZ227" s="27"/>
      <c r="DA227" s="16"/>
      <c r="DB227" s="27"/>
      <c r="DD227" s="16"/>
    </row>
    <row r="228" spans="1:108" s="14" customFormat="1" ht="21" x14ac:dyDescent="0.4">
      <c r="A228" s="27"/>
      <c r="B228" s="27"/>
      <c r="D228" s="16"/>
      <c r="E228" s="27"/>
      <c r="F228" s="27"/>
      <c r="H228" s="27"/>
      <c r="I228" s="16"/>
      <c r="J228" s="27"/>
      <c r="L228" s="27"/>
      <c r="M228" s="16"/>
      <c r="N228" s="27"/>
      <c r="P228" s="27"/>
      <c r="Q228" s="16"/>
      <c r="R228" s="27"/>
      <c r="T228" s="27"/>
      <c r="U228" s="16"/>
      <c r="V228" s="27"/>
      <c r="X228" s="27"/>
      <c r="Y228" s="16"/>
      <c r="Z228" s="27"/>
      <c r="AB228" s="27"/>
      <c r="AC228" s="16"/>
      <c r="AD228" s="27"/>
      <c r="AF228" s="27"/>
      <c r="AG228" s="16"/>
      <c r="AH228" s="27"/>
      <c r="AJ228" s="27"/>
      <c r="AK228" s="16"/>
      <c r="AL228" s="27"/>
      <c r="AN228" s="27"/>
      <c r="AO228" s="16"/>
      <c r="AP228" s="27"/>
      <c r="AR228" s="27"/>
      <c r="AS228" s="16"/>
      <c r="AT228" s="27"/>
      <c r="AV228" s="27"/>
      <c r="AW228" s="16"/>
      <c r="AX228" s="27"/>
      <c r="AZ228" s="27"/>
      <c r="BA228" s="16"/>
      <c r="BB228" s="27"/>
      <c r="BD228" s="27"/>
      <c r="BE228" s="16"/>
      <c r="BF228" s="27"/>
      <c r="BH228" s="27"/>
      <c r="BI228" s="16"/>
      <c r="BJ228" s="27"/>
      <c r="BL228" s="27"/>
      <c r="BM228" s="16"/>
      <c r="BN228" s="27"/>
      <c r="BP228" s="27"/>
      <c r="BQ228" s="16"/>
      <c r="BR228" s="27"/>
      <c r="BT228" s="27"/>
      <c r="BU228" s="16"/>
      <c r="BV228" s="27"/>
      <c r="BX228" s="27"/>
      <c r="BY228" s="16"/>
      <c r="BZ228" s="27"/>
      <c r="CB228" s="27"/>
      <c r="CC228" s="16"/>
      <c r="CD228" s="27"/>
      <c r="CF228" s="27"/>
      <c r="CG228" s="16"/>
      <c r="CH228" s="27"/>
      <c r="CJ228" s="27"/>
      <c r="CK228" s="16"/>
      <c r="CL228" s="27"/>
      <c r="CN228" s="27"/>
      <c r="CO228" s="16"/>
      <c r="CP228" s="27"/>
      <c r="CR228" s="27"/>
      <c r="CS228" s="16"/>
      <c r="CT228" s="27"/>
      <c r="CV228" s="27"/>
      <c r="CW228" s="16"/>
      <c r="CX228" s="27"/>
      <c r="CZ228" s="27"/>
      <c r="DA228" s="16"/>
      <c r="DB228" s="27"/>
      <c r="DD228" s="16"/>
    </row>
    <row r="229" spans="1:108" s="14" customFormat="1" ht="21" x14ac:dyDescent="0.4">
      <c r="A229" s="27"/>
      <c r="B229" s="27"/>
      <c r="D229" s="16"/>
      <c r="E229" s="27"/>
      <c r="F229" s="27"/>
      <c r="H229" s="27"/>
      <c r="I229" s="16"/>
      <c r="J229" s="27"/>
      <c r="L229" s="27"/>
      <c r="M229" s="16"/>
      <c r="N229" s="27"/>
      <c r="P229" s="27"/>
      <c r="Q229" s="16"/>
      <c r="R229" s="27"/>
      <c r="T229" s="27"/>
      <c r="U229" s="16"/>
      <c r="V229" s="27"/>
      <c r="X229" s="27"/>
      <c r="Y229" s="16"/>
      <c r="Z229" s="27"/>
      <c r="AB229" s="27"/>
      <c r="AC229" s="16"/>
      <c r="AD229" s="27"/>
      <c r="AF229" s="27"/>
      <c r="AG229" s="16"/>
      <c r="AH229" s="27"/>
      <c r="AJ229" s="27"/>
      <c r="AK229" s="16"/>
      <c r="AL229" s="27"/>
      <c r="AN229" s="27"/>
      <c r="AO229" s="16"/>
      <c r="AP229" s="27"/>
      <c r="AR229" s="27"/>
      <c r="AS229" s="16"/>
      <c r="AT229" s="27"/>
      <c r="AV229" s="27"/>
      <c r="AW229" s="16"/>
      <c r="AX229" s="27"/>
      <c r="AZ229" s="27"/>
      <c r="BA229" s="16"/>
      <c r="BB229" s="27"/>
      <c r="BD229" s="27"/>
      <c r="BE229" s="16"/>
      <c r="BF229" s="27"/>
      <c r="BH229" s="27"/>
      <c r="BI229" s="16"/>
      <c r="BJ229" s="27"/>
      <c r="BL229" s="27"/>
      <c r="BM229" s="16"/>
      <c r="BN229" s="27"/>
      <c r="BP229" s="27"/>
      <c r="BQ229" s="16"/>
      <c r="BR229" s="27"/>
      <c r="BT229" s="27"/>
      <c r="BU229" s="16"/>
      <c r="BV229" s="27"/>
      <c r="BX229" s="27"/>
      <c r="BY229" s="16"/>
      <c r="BZ229" s="27"/>
      <c r="CB229" s="27"/>
      <c r="CC229" s="16"/>
      <c r="CD229" s="27"/>
      <c r="CF229" s="27"/>
      <c r="CG229" s="16"/>
      <c r="CH229" s="27"/>
      <c r="CJ229" s="27"/>
      <c r="CK229" s="16"/>
      <c r="CL229" s="27"/>
      <c r="CN229" s="27"/>
      <c r="CO229" s="16"/>
      <c r="CP229" s="27"/>
      <c r="CR229" s="27"/>
      <c r="CS229" s="16"/>
      <c r="CT229" s="27"/>
      <c r="CV229" s="27"/>
      <c r="CW229" s="16"/>
      <c r="CX229" s="27"/>
      <c r="CZ229" s="27"/>
      <c r="DA229" s="16"/>
      <c r="DB229" s="27"/>
      <c r="DD229" s="16"/>
    </row>
    <row r="230" spans="1:108" s="14" customFormat="1" ht="21" x14ac:dyDescent="0.4">
      <c r="A230" s="27"/>
      <c r="B230" s="27"/>
      <c r="D230" s="16"/>
      <c r="E230" s="27"/>
      <c r="F230" s="27"/>
      <c r="H230" s="27"/>
      <c r="I230" s="16"/>
      <c r="J230" s="27"/>
      <c r="L230" s="27"/>
      <c r="M230" s="16"/>
      <c r="N230" s="27"/>
      <c r="P230" s="27"/>
      <c r="Q230" s="16"/>
      <c r="R230" s="27"/>
      <c r="T230" s="27"/>
      <c r="U230" s="16"/>
      <c r="V230" s="27"/>
      <c r="X230" s="27"/>
      <c r="Y230" s="16"/>
      <c r="Z230" s="27"/>
      <c r="AB230" s="27"/>
      <c r="AC230" s="16"/>
      <c r="AD230" s="27"/>
      <c r="AF230" s="27"/>
      <c r="AG230" s="16"/>
      <c r="AH230" s="27"/>
      <c r="AJ230" s="27"/>
      <c r="AK230" s="16"/>
      <c r="AL230" s="27"/>
      <c r="AN230" s="27"/>
      <c r="AO230" s="16"/>
      <c r="AP230" s="27"/>
      <c r="AR230" s="27"/>
      <c r="AS230" s="16"/>
      <c r="AT230" s="27"/>
      <c r="AV230" s="27"/>
      <c r="AW230" s="16"/>
      <c r="AX230" s="27"/>
      <c r="AZ230" s="27"/>
      <c r="BA230" s="16"/>
      <c r="BB230" s="27"/>
      <c r="BD230" s="27"/>
      <c r="BE230" s="16"/>
      <c r="BF230" s="27"/>
      <c r="BH230" s="27"/>
      <c r="BI230" s="16"/>
      <c r="BJ230" s="27"/>
      <c r="BL230" s="27"/>
      <c r="BM230" s="16"/>
      <c r="BN230" s="27"/>
      <c r="BP230" s="27"/>
      <c r="BQ230" s="16"/>
      <c r="BR230" s="27"/>
      <c r="BT230" s="27"/>
      <c r="BU230" s="16"/>
      <c r="BV230" s="27"/>
      <c r="BX230" s="27"/>
      <c r="BY230" s="16"/>
      <c r="BZ230" s="27"/>
      <c r="CB230" s="27"/>
      <c r="CC230" s="16"/>
      <c r="CD230" s="27"/>
      <c r="CF230" s="27"/>
      <c r="CG230" s="16"/>
      <c r="CH230" s="27"/>
      <c r="CJ230" s="27"/>
      <c r="CK230" s="16"/>
      <c r="CL230" s="27"/>
      <c r="CN230" s="27"/>
      <c r="CO230" s="16"/>
      <c r="CP230" s="27"/>
      <c r="CR230" s="27"/>
      <c r="CS230" s="16"/>
      <c r="CT230" s="27"/>
      <c r="CV230" s="27"/>
      <c r="CW230" s="16"/>
      <c r="CX230" s="27"/>
      <c r="CZ230" s="27"/>
      <c r="DA230" s="16"/>
      <c r="DB230" s="27"/>
      <c r="DD230" s="16"/>
    </row>
    <row r="231" spans="1:108" s="14" customFormat="1" ht="21" x14ac:dyDescent="0.4">
      <c r="A231" s="27"/>
      <c r="B231" s="27"/>
      <c r="D231" s="16"/>
      <c r="E231" s="27"/>
      <c r="F231" s="27"/>
      <c r="H231" s="27"/>
      <c r="I231" s="16"/>
      <c r="J231" s="27"/>
      <c r="L231" s="27"/>
      <c r="M231" s="16"/>
      <c r="N231" s="27"/>
      <c r="P231" s="27"/>
      <c r="Q231" s="16"/>
      <c r="R231" s="27"/>
      <c r="T231" s="27"/>
      <c r="U231" s="16"/>
      <c r="V231" s="27"/>
      <c r="X231" s="27"/>
      <c r="Y231" s="16"/>
      <c r="Z231" s="27"/>
      <c r="AB231" s="27"/>
      <c r="AC231" s="16"/>
      <c r="AD231" s="27"/>
      <c r="AF231" s="27"/>
      <c r="AG231" s="16"/>
      <c r="AH231" s="27"/>
      <c r="AJ231" s="27"/>
      <c r="AK231" s="16"/>
      <c r="AL231" s="27"/>
      <c r="AN231" s="27"/>
      <c r="AO231" s="16"/>
      <c r="AP231" s="27"/>
      <c r="AR231" s="27"/>
      <c r="AS231" s="16"/>
      <c r="AT231" s="27"/>
      <c r="AV231" s="27"/>
      <c r="AW231" s="16"/>
      <c r="AX231" s="27"/>
      <c r="AZ231" s="27"/>
      <c r="BA231" s="16"/>
      <c r="BB231" s="27"/>
      <c r="BD231" s="27"/>
      <c r="BE231" s="16"/>
      <c r="BF231" s="27"/>
      <c r="BH231" s="27"/>
      <c r="BI231" s="16"/>
      <c r="BJ231" s="27"/>
      <c r="BL231" s="27"/>
      <c r="BM231" s="16"/>
      <c r="BN231" s="27"/>
      <c r="BP231" s="27"/>
      <c r="BQ231" s="16"/>
      <c r="BR231" s="27"/>
      <c r="BT231" s="27"/>
      <c r="BU231" s="16"/>
      <c r="BV231" s="27"/>
      <c r="BX231" s="27"/>
      <c r="BY231" s="16"/>
      <c r="BZ231" s="27"/>
      <c r="CB231" s="27"/>
      <c r="CC231" s="16"/>
      <c r="CD231" s="27"/>
      <c r="CF231" s="27"/>
      <c r="CG231" s="16"/>
      <c r="CH231" s="27"/>
      <c r="CJ231" s="27"/>
      <c r="CK231" s="16"/>
      <c r="CL231" s="27"/>
      <c r="CN231" s="27"/>
      <c r="CO231" s="16"/>
      <c r="CP231" s="27"/>
      <c r="CR231" s="27"/>
      <c r="CS231" s="16"/>
      <c r="CT231" s="27"/>
      <c r="CV231" s="27"/>
      <c r="CW231" s="16"/>
      <c r="CX231" s="27"/>
      <c r="CZ231" s="27"/>
      <c r="DA231" s="16"/>
      <c r="DB231" s="27"/>
      <c r="DD231" s="16"/>
    </row>
    <row r="232" spans="1:108" s="14" customFormat="1" ht="21" x14ac:dyDescent="0.4">
      <c r="A232" s="27"/>
      <c r="B232" s="27"/>
      <c r="D232" s="16"/>
      <c r="E232" s="27"/>
      <c r="F232" s="27"/>
      <c r="H232" s="27"/>
      <c r="I232" s="16"/>
      <c r="J232" s="27"/>
      <c r="L232" s="27"/>
      <c r="M232" s="16"/>
      <c r="N232" s="27"/>
      <c r="P232" s="27"/>
      <c r="Q232" s="16"/>
      <c r="R232" s="27"/>
      <c r="T232" s="27"/>
      <c r="U232" s="16"/>
      <c r="V232" s="27"/>
      <c r="X232" s="27"/>
      <c r="Y232" s="16"/>
      <c r="Z232" s="27"/>
      <c r="AB232" s="27"/>
      <c r="AC232" s="16"/>
      <c r="AD232" s="27"/>
      <c r="AF232" s="27"/>
      <c r="AG232" s="16"/>
      <c r="AH232" s="27"/>
      <c r="AJ232" s="27"/>
      <c r="AK232" s="16"/>
      <c r="AL232" s="27"/>
      <c r="AN232" s="27"/>
      <c r="AO232" s="16"/>
      <c r="AP232" s="27"/>
      <c r="AR232" s="27"/>
      <c r="AS232" s="16"/>
      <c r="AT232" s="27"/>
      <c r="AV232" s="27"/>
      <c r="AW232" s="16"/>
      <c r="AX232" s="27"/>
      <c r="AZ232" s="27"/>
      <c r="BA232" s="16"/>
      <c r="BB232" s="27"/>
      <c r="BD232" s="27"/>
      <c r="BE232" s="16"/>
      <c r="BF232" s="27"/>
      <c r="BH232" s="27"/>
      <c r="BI232" s="16"/>
      <c r="BJ232" s="27"/>
      <c r="BL232" s="27"/>
      <c r="BM232" s="16"/>
      <c r="BN232" s="27"/>
      <c r="BP232" s="27"/>
      <c r="BQ232" s="16"/>
      <c r="BR232" s="27"/>
      <c r="BT232" s="27"/>
      <c r="BU232" s="16"/>
      <c r="BV232" s="27"/>
      <c r="BX232" s="27"/>
      <c r="BY232" s="16"/>
      <c r="BZ232" s="27"/>
      <c r="CB232" s="27"/>
      <c r="CC232" s="16"/>
      <c r="CD232" s="27"/>
      <c r="CF232" s="27"/>
      <c r="CG232" s="16"/>
      <c r="CH232" s="27"/>
      <c r="CJ232" s="27"/>
      <c r="CK232" s="16"/>
      <c r="CL232" s="27"/>
      <c r="CN232" s="27"/>
      <c r="CO232" s="16"/>
      <c r="CP232" s="27"/>
      <c r="CR232" s="27"/>
      <c r="CS232" s="16"/>
      <c r="CT232" s="27"/>
      <c r="CV232" s="27"/>
      <c r="CW232" s="16"/>
      <c r="CX232" s="27"/>
      <c r="CZ232" s="27"/>
      <c r="DA232" s="16"/>
      <c r="DB232" s="27"/>
      <c r="DD232" s="16"/>
    </row>
    <row r="233" spans="1:108" s="14" customFormat="1" ht="21" x14ac:dyDescent="0.4">
      <c r="A233" s="27"/>
      <c r="B233" s="27"/>
      <c r="D233" s="16"/>
      <c r="E233" s="27"/>
      <c r="F233" s="27"/>
      <c r="H233" s="27"/>
      <c r="I233" s="16"/>
      <c r="J233" s="27"/>
      <c r="L233" s="27"/>
      <c r="M233" s="16"/>
      <c r="N233" s="27"/>
      <c r="P233" s="27"/>
      <c r="Q233" s="16"/>
      <c r="R233" s="27"/>
      <c r="T233" s="27"/>
      <c r="U233" s="16"/>
      <c r="V233" s="27"/>
      <c r="X233" s="27"/>
      <c r="Y233" s="16"/>
      <c r="Z233" s="27"/>
      <c r="AB233" s="27"/>
      <c r="AC233" s="16"/>
      <c r="AD233" s="27"/>
      <c r="AF233" s="27"/>
      <c r="AG233" s="16"/>
      <c r="AH233" s="27"/>
      <c r="AJ233" s="27"/>
      <c r="AK233" s="16"/>
      <c r="AL233" s="27"/>
      <c r="AN233" s="27"/>
      <c r="AO233" s="16"/>
      <c r="AP233" s="27"/>
      <c r="AR233" s="27"/>
      <c r="AS233" s="16"/>
      <c r="AT233" s="27"/>
      <c r="AV233" s="27"/>
      <c r="AW233" s="16"/>
      <c r="AX233" s="27"/>
      <c r="AZ233" s="27"/>
      <c r="BA233" s="16"/>
      <c r="BB233" s="27"/>
      <c r="BD233" s="27"/>
      <c r="BE233" s="16"/>
      <c r="BF233" s="27"/>
      <c r="BH233" s="27"/>
      <c r="BI233" s="16"/>
      <c r="BJ233" s="27"/>
      <c r="BL233" s="27"/>
      <c r="BM233" s="16"/>
      <c r="BN233" s="27"/>
      <c r="BP233" s="27"/>
      <c r="BQ233" s="16"/>
      <c r="BR233" s="27"/>
      <c r="BT233" s="27"/>
      <c r="BU233" s="16"/>
      <c r="BV233" s="27"/>
      <c r="BX233" s="27"/>
      <c r="BY233" s="16"/>
      <c r="BZ233" s="27"/>
      <c r="CB233" s="27"/>
      <c r="CC233" s="16"/>
      <c r="CD233" s="27"/>
      <c r="CF233" s="27"/>
      <c r="CG233" s="16"/>
      <c r="CH233" s="27"/>
      <c r="CJ233" s="27"/>
      <c r="CK233" s="16"/>
      <c r="CL233" s="27"/>
      <c r="CN233" s="27"/>
      <c r="CO233" s="16"/>
      <c r="CP233" s="27"/>
      <c r="CR233" s="27"/>
      <c r="CS233" s="16"/>
      <c r="CT233" s="27"/>
      <c r="CV233" s="27"/>
      <c r="CW233" s="16"/>
      <c r="CX233" s="27"/>
      <c r="CZ233" s="27"/>
      <c r="DA233" s="16"/>
      <c r="DB233" s="27"/>
      <c r="DD233" s="16"/>
    </row>
    <row r="234" spans="1:108" s="14" customFormat="1" ht="21" x14ac:dyDescent="0.4">
      <c r="A234" s="27"/>
      <c r="B234" s="27"/>
      <c r="D234" s="16"/>
      <c r="E234" s="27"/>
      <c r="F234" s="27"/>
      <c r="H234" s="27"/>
      <c r="I234" s="16"/>
      <c r="J234" s="27"/>
      <c r="L234" s="27"/>
      <c r="M234" s="16"/>
      <c r="N234" s="27"/>
      <c r="P234" s="27"/>
      <c r="Q234" s="16"/>
      <c r="R234" s="27"/>
      <c r="T234" s="27"/>
      <c r="U234" s="16"/>
      <c r="V234" s="27"/>
      <c r="X234" s="27"/>
      <c r="Y234" s="16"/>
      <c r="Z234" s="27"/>
      <c r="AB234" s="27"/>
      <c r="AC234" s="16"/>
      <c r="AD234" s="27"/>
      <c r="AF234" s="27"/>
      <c r="AG234" s="16"/>
      <c r="AH234" s="27"/>
      <c r="AJ234" s="27"/>
      <c r="AK234" s="16"/>
      <c r="AL234" s="27"/>
      <c r="AN234" s="27"/>
      <c r="AO234" s="16"/>
      <c r="AP234" s="27"/>
      <c r="AR234" s="27"/>
      <c r="AS234" s="16"/>
      <c r="AT234" s="27"/>
      <c r="AV234" s="27"/>
      <c r="AW234" s="16"/>
      <c r="AX234" s="27"/>
      <c r="AZ234" s="27"/>
      <c r="BA234" s="16"/>
      <c r="BB234" s="27"/>
      <c r="BD234" s="27"/>
      <c r="BE234" s="16"/>
      <c r="BF234" s="27"/>
      <c r="BH234" s="27"/>
      <c r="BI234" s="16"/>
      <c r="BJ234" s="27"/>
      <c r="BL234" s="27"/>
      <c r="BM234" s="16"/>
      <c r="BN234" s="27"/>
      <c r="BP234" s="27"/>
      <c r="BQ234" s="16"/>
      <c r="BR234" s="27"/>
      <c r="BT234" s="27"/>
      <c r="BU234" s="16"/>
      <c r="BV234" s="27"/>
      <c r="BX234" s="27"/>
      <c r="BY234" s="16"/>
      <c r="BZ234" s="27"/>
      <c r="CB234" s="27"/>
      <c r="CC234" s="16"/>
      <c r="CD234" s="27"/>
      <c r="CF234" s="27"/>
      <c r="CG234" s="16"/>
      <c r="CH234" s="27"/>
      <c r="CJ234" s="27"/>
      <c r="CK234" s="16"/>
      <c r="CL234" s="27"/>
      <c r="CN234" s="27"/>
      <c r="CO234" s="16"/>
      <c r="CP234" s="27"/>
      <c r="CR234" s="27"/>
      <c r="CS234" s="16"/>
      <c r="CT234" s="27"/>
      <c r="CV234" s="27"/>
      <c r="CW234" s="16"/>
      <c r="CX234" s="27"/>
      <c r="CZ234" s="27"/>
      <c r="DA234" s="16"/>
      <c r="DB234" s="27"/>
      <c r="DD234" s="16"/>
    </row>
    <row r="235" spans="1:108" s="14" customFormat="1" ht="21" x14ac:dyDescent="0.4">
      <c r="A235" s="27"/>
      <c r="B235" s="27"/>
      <c r="D235" s="16"/>
      <c r="E235" s="27"/>
      <c r="F235" s="27"/>
      <c r="H235" s="27"/>
      <c r="I235" s="16"/>
      <c r="J235" s="27"/>
      <c r="L235" s="27"/>
      <c r="M235" s="16"/>
      <c r="N235" s="27"/>
      <c r="P235" s="27"/>
      <c r="Q235" s="16"/>
      <c r="R235" s="27"/>
      <c r="T235" s="27"/>
      <c r="U235" s="16"/>
      <c r="V235" s="27"/>
      <c r="X235" s="27"/>
      <c r="Y235" s="16"/>
      <c r="Z235" s="27"/>
      <c r="AB235" s="27"/>
      <c r="AC235" s="16"/>
      <c r="AD235" s="27"/>
      <c r="AF235" s="27"/>
      <c r="AG235" s="16"/>
      <c r="AH235" s="27"/>
      <c r="AJ235" s="27"/>
      <c r="AK235" s="16"/>
      <c r="AL235" s="27"/>
      <c r="AN235" s="27"/>
      <c r="AO235" s="16"/>
      <c r="AP235" s="27"/>
      <c r="AR235" s="27"/>
      <c r="AS235" s="16"/>
      <c r="AT235" s="27"/>
      <c r="AV235" s="27"/>
      <c r="AW235" s="16"/>
      <c r="AX235" s="27"/>
      <c r="AZ235" s="27"/>
      <c r="BA235" s="16"/>
      <c r="BB235" s="27"/>
      <c r="BD235" s="27"/>
      <c r="BE235" s="16"/>
      <c r="BF235" s="27"/>
      <c r="BH235" s="27"/>
      <c r="BI235" s="16"/>
      <c r="BJ235" s="27"/>
      <c r="BL235" s="27"/>
      <c r="BM235" s="16"/>
      <c r="BN235" s="27"/>
      <c r="BP235" s="27"/>
      <c r="BQ235" s="16"/>
      <c r="BR235" s="27"/>
      <c r="BT235" s="27"/>
      <c r="BU235" s="16"/>
      <c r="BV235" s="27"/>
      <c r="BX235" s="27"/>
      <c r="BY235" s="16"/>
      <c r="BZ235" s="27"/>
      <c r="CB235" s="27"/>
      <c r="CC235" s="16"/>
      <c r="CD235" s="27"/>
      <c r="CF235" s="27"/>
      <c r="CG235" s="16"/>
      <c r="CH235" s="27"/>
      <c r="CJ235" s="27"/>
      <c r="CK235" s="16"/>
      <c r="CL235" s="27"/>
      <c r="CN235" s="27"/>
      <c r="CO235" s="16"/>
      <c r="CP235" s="27"/>
      <c r="CR235" s="27"/>
      <c r="CS235" s="16"/>
      <c r="CT235" s="27"/>
      <c r="CV235" s="27"/>
      <c r="CW235" s="16"/>
      <c r="CX235" s="27"/>
      <c r="CZ235" s="27"/>
      <c r="DA235" s="16"/>
      <c r="DB235" s="27"/>
      <c r="DD235" s="16"/>
    </row>
    <row r="236" spans="1:108" s="14" customFormat="1" ht="21" x14ac:dyDescent="0.4">
      <c r="A236" s="27"/>
      <c r="B236" s="27"/>
      <c r="D236" s="16"/>
      <c r="E236" s="27"/>
      <c r="F236" s="27"/>
      <c r="H236" s="27"/>
      <c r="I236" s="16"/>
      <c r="J236" s="27"/>
      <c r="L236" s="27"/>
      <c r="M236" s="16"/>
      <c r="N236" s="27"/>
      <c r="P236" s="27"/>
      <c r="Q236" s="16"/>
      <c r="R236" s="27"/>
      <c r="T236" s="27"/>
      <c r="U236" s="16"/>
      <c r="V236" s="27"/>
      <c r="X236" s="27"/>
      <c r="Y236" s="16"/>
      <c r="Z236" s="27"/>
      <c r="AB236" s="27"/>
      <c r="AC236" s="16"/>
      <c r="AD236" s="27"/>
      <c r="AF236" s="27"/>
      <c r="AG236" s="16"/>
      <c r="AH236" s="27"/>
      <c r="AJ236" s="27"/>
      <c r="AK236" s="16"/>
      <c r="AL236" s="27"/>
      <c r="AN236" s="27"/>
      <c r="AO236" s="16"/>
      <c r="AP236" s="27"/>
      <c r="AR236" s="27"/>
      <c r="AS236" s="16"/>
      <c r="AT236" s="27"/>
      <c r="AV236" s="27"/>
      <c r="AW236" s="16"/>
      <c r="AX236" s="27"/>
      <c r="AZ236" s="27"/>
      <c r="BA236" s="16"/>
      <c r="BB236" s="27"/>
      <c r="BD236" s="27"/>
      <c r="BE236" s="16"/>
      <c r="BF236" s="27"/>
      <c r="BH236" s="27"/>
      <c r="BI236" s="16"/>
      <c r="BJ236" s="27"/>
      <c r="BL236" s="27"/>
      <c r="BM236" s="16"/>
      <c r="BN236" s="27"/>
      <c r="BP236" s="27"/>
      <c r="BQ236" s="16"/>
      <c r="BR236" s="27"/>
      <c r="BT236" s="27"/>
      <c r="BU236" s="16"/>
      <c r="BV236" s="27"/>
      <c r="BX236" s="27"/>
      <c r="BY236" s="16"/>
      <c r="BZ236" s="27"/>
      <c r="CB236" s="27"/>
      <c r="CC236" s="16"/>
      <c r="CD236" s="27"/>
      <c r="CF236" s="27"/>
      <c r="CG236" s="16"/>
      <c r="CH236" s="27"/>
      <c r="CJ236" s="27"/>
      <c r="CK236" s="16"/>
      <c r="CL236" s="27"/>
      <c r="CN236" s="27"/>
      <c r="CO236" s="16"/>
      <c r="CP236" s="27"/>
      <c r="CR236" s="27"/>
      <c r="CS236" s="16"/>
      <c r="CT236" s="27"/>
      <c r="CV236" s="27"/>
      <c r="CW236" s="16"/>
      <c r="CX236" s="27"/>
      <c r="CZ236" s="27"/>
      <c r="DA236" s="16"/>
      <c r="DB236" s="27"/>
      <c r="DD236" s="16"/>
    </row>
    <row r="237" spans="1:108" s="14" customFormat="1" ht="21" x14ac:dyDescent="0.4">
      <c r="A237" s="27"/>
      <c r="B237" s="27"/>
      <c r="D237" s="16"/>
      <c r="E237" s="27"/>
      <c r="F237" s="27"/>
      <c r="H237" s="27"/>
      <c r="I237" s="16"/>
      <c r="J237" s="27"/>
      <c r="L237" s="27"/>
      <c r="M237" s="16"/>
      <c r="N237" s="27"/>
      <c r="P237" s="27"/>
      <c r="Q237" s="16"/>
      <c r="R237" s="27"/>
      <c r="T237" s="27"/>
      <c r="U237" s="16"/>
      <c r="V237" s="27"/>
      <c r="X237" s="27"/>
      <c r="Y237" s="16"/>
      <c r="Z237" s="27"/>
      <c r="AB237" s="27"/>
      <c r="AC237" s="16"/>
      <c r="AD237" s="27"/>
      <c r="AF237" s="27"/>
      <c r="AG237" s="16"/>
      <c r="AH237" s="27"/>
      <c r="AJ237" s="27"/>
      <c r="AK237" s="16"/>
      <c r="AL237" s="27"/>
      <c r="AN237" s="27"/>
      <c r="AO237" s="16"/>
      <c r="AP237" s="27"/>
      <c r="AR237" s="27"/>
      <c r="AS237" s="16"/>
      <c r="AT237" s="27"/>
      <c r="AV237" s="27"/>
      <c r="AW237" s="16"/>
      <c r="AX237" s="27"/>
      <c r="AZ237" s="27"/>
      <c r="BA237" s="16"/>
      <c r="BB237" s="27"/>
      <c r="BD237" s="27"/>
      <c r="BE237" s="16"/>
      <c r="BF237" s="27"/>
      <c r="BH237" s="27"/>
      <c r="BI237" s="16"/>
      <c r="BJ237" s="27"/>
      <c r="BL237" s="27"/>
      <c r="BM237" s="16"/>
      <c r="BN237" s="27"/>
      <c r="BP237" s="27"/>
      <c r="BQ237" s="16"/>
      <c r="BR237" s="27"/>
      <c r="BT237" s="27"/>
      <c r="BU237" s="16"/>
      <c r="BV237" s="27"/>
      <c r="BX237" s="27"/>
      <c r="BY237" s="16"/>
      <c r="BZ237" s="27"/>
      <c r="CB237" s="27"/>
      <c r="CC237" s="16"/>
      <c r="CD237" s="27"/>
      <c r="CF237" s="27"/>
      <c r="CG237" s="16"/>
      <c r="CH237" s="27"/>
      <c r="CJ237" s="27"/>
      <c r="CK237" s="16"/>
      <c r="CL237" s="27"/>
      <c r="CN237" s="27"/>
      <c r="CO237" s="16"/>
      <c r="CP237" s="27"/>
      <c r="CR237" s="27"/>
      <c r="CS237" s="16"/>
      <c r="CT237" s="27"/>
      <c r="CV237" s="27"/>
      <c r="CW237" s="16"/>
      <c r="CX237" s="27"/>
      <c r="CZ237" s="27"/>
      <c r="DA237" s="16"/>
      <c r="DB237" s="27"/>
      <c r="DD237" s="16"/>
    </row>
    <row r="238" spans="1:108" s="14" customFormat="1" ht="21" x14ac:dyDescent="0.4">
      <c r="A238" s="27"/>
      <c r="B238" s="27"/>
      <c r="D238" s="16"/>
      <c r="E238" s="27"/>
      <c r="F238" s="27"/>
      <c r="H238" s="27"/>
      <c r="I238" s="16"/>
      <c r="J238" s="27"/>
      <c r="L238" s="27"/>
      <c r="M238" s="16"/>
      <c r="N238" s="27"/>
      <c r="P238" s="27"/>
      <c r="Q238" s="16"/>
      <c r="R238" s="27"/>
      <c r="T238" s="27"/>
      <c r="U238" s="16"/>
      <c r="V238" s="27"/>
      <c r="X238" s="27"/>
      <c r="Y238" s="16"/>
      <c r="Z238" s="27"/>
      <c r="AB238" s="27"/>
      <c r="AC238" s="16"/>
      <c r="AD238" s="27"/>
      <c r="AF238" s="27"/>
      <c r="AG238" s="16"/>
      <c r="AH238" s="27"/>
      <c r="AJ238" s="27"/>
      <c r="AK238" s="16"/>
      <c r="AL238" s="27"/>
      <c r="AN238" s="27"/>
      <c r="AO238" s="16"/>
      <c r="AP238" s="27"/>
      <c r="AR238" s="27"/>
      <c r="AS238" s="16"/>
      <c r="AT238" s="27"/>
      <c r="AV238" s="27"/>
      <c r="AW238" s="16"/>
      <c r="AX238" s="27"/>
      <c r="AZ238" s="27"/>
      <c r="BA238" s="16"/>
      <c r="BB238" s="27"/>
      <c r="BD238" s="27"/>
      <c r="BE238" s="16"/>
      <c r="BF238" s="27"/>
      <c r="BH238" s="27"/>
      <c r="BI238" s="16"/>
      <c r="BJ238" s="27"/>
      <c r="BL238" s="27"/>
      <c r="BM238" s="16"/>
      <c r="BN238" s="27"/>
      <c r="BP238" s="27"/>
      <c r="BQ238" s="16"/>
      <c r="BR238" s="27"/>
      <c r="BT238" s="27"/>
      <c r="BU238" s="16"/>
      <c r="BV238" s="27"/>
      <c r="BX238" s="27"/>
      <c r="BY238" s="16"/>
      <c r="BZ238" s="27"/>
      <c r="CB238" s="27"/>
      <c r="CC238" s="16"/>
      <c r="CD238" s="27"/>
      <c r="CF238" s="27"/>
      <c r="CG238" s="16"/>
      <c r="CH238" s="27"/>
      <c r="CJ238" s="27"/>
      <c r="CK238" s="16"/>
      <c r="CL238" s="27"/>
      <c r="CN238" s="27"/>
      <c r="CO238" s="16"/>
      <c r="CP238" s="27"/>
      <c r="CR238" s="27"/>
      <c r="CS238" s="16"/>
      <c r="CT238" s="27"/>
      <c r="CV238" s="27"/>
      <c r="CW238" s="16"/>
      <c r="CX238" s="27"/>
      <c r="CZ238" s="27"/>
      <c r="DA238" s="16"/>
      <c r="DB238" s="27"/>
      <c r="DD238" s="16"/>
    </row>
    <row r="239" spans="1:108" s="14" customFormat="1" ht="21" x14ac:dyDescent="0.4">
      <c r="A239" s="27"/>
      <c r="B239" s="27"/>
      <c r="D239" s="16"/>
      <c r="E239" s="27"/>
      <c r="F239" s="27"/>
      <c r="H239" s="27"/>
      <c r="I239" s="16"/>
      <c r="J239" s="27"/>
      <c r="L239" s="27"/>
      <c r="M239" s="16"/>
      <c r="N239" s="27"/>
      <c r="P239" s="27"/>
      <c r="Q239" s="16"/>
      <c r="R239" s="27"/>
      <c r="T239" s="27"/>
      <c r="U239" s="16"/>
      <c r="V239" s="27"/>
      <c r="X239" s="27"/>
      <c r="Y239" s="16"/>
      <c r="Z239" s="27"/>
      <c r="AB239" s="27"/>
      <c r="AC239" s="16"/>
      <c r="AD239" s="27"/>
      <c r="AF239" s="27"/>
      <c r="AG239" s="16"/>
      <c r="AH239" s="27"/>
      <c r="AJ239" s="27"/>
      <c r="AK239" s="16"/>
      <c r="AL239" s="27"/>
      <c r="AN239" s="27"/>
      <c r="AO239" s="16"/>
      <c r="AP239" s="27"/>
      <c r="AR239" s="27"/>
      <c r="AS239" s="16"/>
      <c r="AT239" s="27"/>
      <c r="AV239" s="27"/>
      <c r="AW239" s="16"/>
      <c r="AX239" s="27"/>
      <c r="AZ239" s="27"/>
      <c r="BA239" s="16"/>
      <c r="BB239" s="27"/>
      <c r="BD239" s="27"/>
      <c r="BE239" s="16"/>
      <c r="BF239" s="27"/>
      <c r="BH239" s="27"/>
      <c r="BI239" s="16"/>
      <c r="BJ239" s="27"/>
      <c r="BL239" s="27"/>
      <c r="BM239" s="16"/>
      <c r="BN239" s="27"/>
      <c r="BP239" s="27"/>
      <c r="BQ239" s="16"/>
      <c r="BR239" s="27"/>
      <c r="BT239" s="27"/>
      <c r="BU239" s="16"/>
      <c r="BV239" s="27"/>
      <c r="BX239" s="27"/>
      <c r="BY239" s="16"/>
      <c r="BZ239" s="27"/>
      <c r="CB239" s="27"/>
      <c r="CC239" s="16"/>
      <c r="CD239" s="27"/>
      <c r="CF239" s="27"/>
      <c r="CG239" s="16"/>
      <c r="CH239" s="27"/>
      <c r="CJ239" s="27"/>
      <c r="CK239" s="16"/>
      <c r="CL239" s="27"/>
      <c r="CN239" s="27"/>
      <c r="CO239" s="16"/>
      <c r="CP239" s="27"/>
      <c r="CR239" s="27"/>
      <c r="CS239" s="16"/>
      <c r="CT239" s="27"/>
      <c r="CV239" s="27"/>
      <c r="CW239" s="16"/>
      <c r="CX239" s="27"/>
      <c r="CZ239" s="27"/>
      <c r="DA239" s="16"/>
      <c r="DB239" s="27"/>
      <c r="DD239" s="16"/>
    </row>
    <row r="240" spans="1:108" s="14" customFormat="1" ht="21" x14ac:dyDescent="0.4">
      <c r="A240" s="27"/>
      <c r="B240" s="27"/>
      <c r="D240" s="16"/>
      <c r="E240" s="27"/>
      <c r="F240" s="27"/>
      <c r="H240" s="27"/>
      <c r="I240" s="16"/>
      <c r="J240" s="27"/>
      <c r="L240" s="27"/>
      <c r="M240" s="16"/>
      <c r="N240" s="27"/>
      <c r="P240" s="27"/>
      <c r="Q240" s="16"/>
      <c r="R240" s="27"/>
      <c r="T240" s="27"/>
      <c r="U240" s="16"/>
      <c r="V240" s="27"/>
      <c r="X240" s="27"/>
      <c r="Y240" s="16"/>
      <c r="Z240" s="27"/>
      <c r="AB240" s="27"/>
      <c r="AC240" s="16"/>
      <c r="AD240" s="27"/>
      <c r="AF240" s="27"/>
      <c r="AG240" s="16"/>
      <c r="AH240" s="27"/>
      <c r="AJ240" s="27"/>
      <c r="AK240" s="16"/>
      <c r="AL240" s="27"/>
      <c r="AN240" s="27"/>
      <c r="AO240" s="16"/>
      <c r="AP240" s="27"/>
      <c r="AR240" s="27"/>
      <c r="AS240" s="16"/>
      <c r="AT240" s="27"/>
      <c r="AV240" s="27"/>
      <c r="AW240" s="16"/>
      <c r="AX240" s="27"/>
      <c r="AZ240" s="27"/>
      <c r="BA240" s="16"/>
      <c r="BB240" s="27"/>
      <c r="BD240" s="27"/>
      <c r="BE240" s="16"/>
      <c r="BF240" s="27"/>
      <c r="BH240" s="27"/>
      <c r="BI240" s="16"/>
      <c r="BJ240" s="27"/>
      <c r="BL240" s="27"/>
      <c r="BM240" s="16"/>
      <c r="BN240" s="27"/>
      <c r="BP240" s="27"/>
      <c r="BQ240" s="16"/>
      <c r="BR240" s="27"/>
      <c r="BT240" s="27"/>
      <c r="BU240" s="16"/>
      <c r="BV240" s="27"/>
      <c r="BX240" s="27"/>
      <c r="BY240" s="16"/>
      <c r="BZ240" s="27"/>
      <c r="CB240" s="27"/>
      <c r="CC240" s="16"/>
      <c r="CD240" s="27"/>
      <c r="CF240" s="27"/>
      <c r="CG240" s="16"/>
      <c r="CH240" s="27"/>
      <c r="CJ240" s="27"/>
      <c r="CK240" s="16"/>
      <c r="CL240" s="27"/>
      <c r="CN240" s="27"/>
      <c r="CO240" s="16"/>
      <c r="CP240" s="27"/>
      <c r="CR240" s="27"/>
      <c r="CS240" s="16"/>
      <c r="CT240" s="27"/>
      <c r="CV240" s="27"/>
      <c r="CW240" s="16"/>
      <c r="CX240" s="27"/>
      <c r="CZ240" s="27"/>
      <c r="DA240" s="16"/>
      <c r="DB240" s="27"/>
      <c r="DD240" s="16"/>
    </row>
    <row r="241" spans="1:108" s="14" customFormat="1" ht="21" x14ac:dyDescent="0.4">
      <c r="A241" s="27"/>
      <c r="B241" s="27"/>
      <c r="D241" s="16"/>
      <c r="E241" s="27"/>
      <c r="F241" s="27"/>
      <c r="H241" s="27"/>
      <c r="I241" s="16"/>
      <c r="J241" s="27"/>
      <c r="L241" s="27"/>
      <c r="M241" s="16"/>
      <c r="N241" s="27"/>
      <c r="P241" s="27"/>
      <c r="Q241" s="16"/>
      <c r="R241" s="27"/>
      <c r="T241" s="27"/>
      <c r="U241" s="16"/>
      <c r="V241" s="27"/>
      <c r="X241" s="27"/>
      <c r="Y241" s="16"/>
      <c r="Z241" s="27"/>
      <c r="AB241" s="27"/>
      <c r="AC241" s="16"/>
      <c r="AD241" s="27"/>
      <c r="AF241" s="27"/>
      <c r="AG241" s="16"/>
      <c r="AH241" s="27"/>
      <c r="AJ241" s="27"/>
      <c r="AK241" s="16"/>
      <c r="AL241" s="27"/>
      <c r="AN241" s="27"/>
      <c r="AO241" s="16"/>
      <c r="AP241" s="27"/>
      <c r="AR241" s="27"/>
      <c r="AS241" s="16"/>
      <c r="AT241" s="27"/>
      <c r="AV241" s="27"/>
      <c r="AW241" s="16"/>
      <c r="AX241" s="27"/>
      <c r="AZ241" s="27"/>
      <c r="BA241" s="16"/>
      <c r="BB241" s="27"/>
      <c r="BD241" s="27"/>
      <c r="BE241" s="16"/>
      <c r="BF241" s="27"/>
      <c r="BH241" s="27"/>
      <c r="BI241" s="16"/>
      <c r="BJ241" s="27"/>
      <c r="BL241" s="27"/>
      <c r="BM241" s="16"/>
      <c r="BN241" s="27"/>
      <c r="BP241" s="27"/>
      <c r="BQ241" s="16"/>
      <c r="BR241" s="27"/>
      <c r="BT241" s="27"/>
      <c r="BU241" s="16"/>
      <c r="BV241" s="27"/>
      <c r="BX241" s="27"/>
      <c r="BY241" s="16"/>
      <c r="BZ241" s="27"/>
      <c r="CB241" s="27"/>
      <c r="CC241" s="16"/>
      <c r="CD241" s="27"/>
      <c r="CF241" s="27"/>
      <c r="CG241" s="16"/>
      <c r="CH241" s="27"/>
      <c r="CJ241" s="27"/>
      <c r="CK241" s="16"/>
      <c r="CL241" s="27"/>
      <c r="CN241" s="27"/>
      <c r="CO241" s="16"/>
      <c r="CP241" s="27"/>
      <c r="CR241" s="27"/>
      <c r="CS241" s="16"/>
      <c r="CT241" s="27"/>
      <c r="CV241" s="27"/>
      <c r="CW241" s="16"/>
      <c r="CX241" s="27"/>
      <c r="CZ241" s="27"/>
      <c r="DA241" s="16"/>
      <c r="DB241" s="27"/>
      <c r="DD241" s="16"/>
    </row>
    <row r="242" spans="1:108" s="14" customFormat="1" ht="21" x14ac:dyDescent="0.4">
      <c r="A242" s="27"/>
      <c r="B242" s="27"/>
      <c r="D242" s="16"/>
      <c r="E242" s="27"/>
      <c r="F242" s="27"/>
      <c r="H242" s="27"/>
      <c r="I242" s="16"/>
      <c r="J242" s="27"/>
      <c r="L242" s="27"/>
      <c r="M242" s="16"/>
      <c r="N242" s="27"/>
      <c r="P242" s="27"/>
      <c r="Q242" s="16"/>
      <c r="R242" s="27"/>
      <c r="T242" s="27"/>
      <c r="U242" s="16"/>
      <c r="V242" s="27"/>
      <c r="X242" s="27"/>
      <c r="Y242" s="16"/>
      <c r="Z242" s="27"/>
      <c r="AB242" s="27"/>
      <c r="AC242" s="16"/>
      <c r="AD242" s="27"/>
      <c r="AF242" s="27"/>
      <c r="AG242" s="16"/>
      <c r="AH242" s="27"/>
      <c r="AJ242" s="27"/>
      <c r="AK242" s="16"/>
      <c r="AL242" s="27"/>
      <c r="AN242" s="27"/>
      <c r="AO242" s="16"/>
      <c r="AP242" s="27"/>
      <c r="AR242" s="27"/>
      <c r="AS242" s="16"/>
      <c r="AT242" s="27"/>
      <c r="AV242" s="27"/>
      <c r="AW242" s="16"/>
      <c r="AX242" s="27"/>
      <c r="AZ242" s="27"/>
      <c r="BA242" s="16"/>
      <c r="BB242" s="27"/>
      <c r="BD242" s="27"/>
      <c r="BE242" s="16"/>
      <c r="BF242" s="27"/>
      <c r="BH242" s="27"/>
      <c r="BI242" s="16"/>
      <c r="BJ242" s="27"/>
      <c r="BL242" s="27"/>
      <c r="BM242" s="16"/>
      <c r="BN242" s="27"/>
      <c r="BP242" s="27"/>
      <c r="BQ242" s="16"/>
      <c r="BR242" s="27"/>
      <c r="BT242" s="27"/>
      <c r="BU242" s="16"/>
      <c r="BV242" s="27"/>
      <c r="BX242" s="27"/>
      <c r="BY242" s="16"/>
      <c r="BZ242" s="27"/>
      <c r="CB242" s="27"/>
      <c r="CC242" s="16"/>
      <c r="CD242" s="27"/>
      <c r="CF242" s="27"/>
      <c r="CG242" s="16"/>
      <c r="CH242" s="27"/>
      <c r="CJ242" s="27"/>
      <c r="CK242" s="16"/>
      <c r="CL242" s="27"/>
      <c r="CN242" s="27"/>
      <c r="CO242" s="16"/>
      <c r="CP242" s="27"/>
      <c r="CR242" s="27"/>
      <c r="CS242" s="16"/>
      <c r="CT242" s="27"/>
      <c r="CV242" s="27"/>
      <c r="CW242" s="16"/>
      <c r="CX242" s="27"/>
      <c r="CZ242" s="27"/>
      <c r="DA242" s="16"/>
      <c r="DB242" s="27"/>
      <c r="DD242" s="16"/>
    </row>
    <row r="243" spans="1:108" s="14" customFormat="1" ht="21" x14ac:dyDescent="0.4">
      <c r="A243" s="27"/>
      <c r="B243" s="27"/>
      <c r="D243" s="16"/>
      <c r="E243" s="27"/>
      <c r="F243" s="27"/>
      <c r="H243" s="27"/>
      <c r="I243" s="16"/>
      <c r="J243" s="27"/>
      <c r="L243" s="27"/>
      <c r="M243" s="16"/>
      <c r="N243" s="27"/>
      <c r="P243" s="27"/>
      <c r="Q243" s="16"/>
      <c r="R243" s="27"/>
      <c r="T243" s="27"/>
      <c r="U243" s="16"/>
      <c r="V243" s="27"/>
      <c r="X243" s="27"/>
      <c r="Y243" s="16"/>
      <c r="Z243" s="27"/>
      <c r="AB243" s="27"/>
      <c r="AC243" s="16"/>
      <c r="AD243" s="27"/>
      <c r="AF243" s="27"/>
      <c r="AG243" s="16"/>
      <c r="AH243" s="27"/>
      <c r="AJ243" s="27"/>
      <c r="AK243" s="16"/>
      <c r="AL243" s="27"/>
      <c r="AN243" s="27"/>
      <c r="AO243" s="16"/>
      <c r="AP243" s="27"/>
      <c r="AR243" s="27"/>
      <c r="AS243" s="16"/>
      <c r="AT243" s="27"/>
      <c r="AV243" s="27"/>
      <c r="AW243" s="16"/>
      <c r="AX243" s="27"/>
      <c r="AZ243" s="27"/>
      <c r="BA243" s="16"/>
      <c r="BB243" s="27"/>
      <c r="BD243" s="27"/>
      <c r="BE243" s="16"/>
      <c r="BF243" s="27"/>
      <c r="BH243" s="27"/>
      <c r="BI243" s="16"/>
      <c r="BJ243" s="27"/>
      <c r="BL243" s="27"/>
      <c r="BM243" s="16"/>
      <c r="BN243" s="27"/>
      <c r="BP243" s="27"/>
      <c r="BQ243" s="16"/>
      <c r="BR243" s="27"/>
      <c r="BT243" s="27"/>
      <c r="BU243" s="16"/>
      <c r="BV243" s="27"/>
      <c r="BX243" s="27"/>
      <c r="BY243" s="16"/>
      <c r="BZ243" s="27"/>
      <c r="CB243" s="27"/>
      <c r="CC243" s="16"/>
      <c r="CD243" s="27"/>
      <c r="CF243" s="27"/>
      <c r="CG243" s="16"/>
      <c r="CH243" s="27"/>
      <c r="CJ243" s="27"/>
      <c r="CK243" s="16"/>
      <c r="CL243" s="27"/>
      <c r="CN243" s="27"/>
      <c r="CO243" s="16"/>
      <c r="CP243" s="27"/>
      <c r="CR243" s="27"/>
      <c r="CS243" s="16"/>
      <c r="CT243" s="27"/>
      <c r="CV243" s="27"/>
      <c r="CW243" s="16"/>
      <c r="CX243" s="27"/>
      <c r="CZ243" s="27"/>
      <c r="DA243" s="16"/>
      <c r="DB243" s="27"/>
      <c r="DD243" s="16"/>
    </row>
    <row r="244" spans="1:108" s="14" customFormat="1" ht="21" x14ac:dyDescent="0.4">
      <c r="A244" s="27"/>
      <c r="B244" s="27"/>
      <c r="D244" s="16"/>
      <c r="E244" s="27"/>
      <c r="F244" s="27"/>
      <c r="H244" s="27"/>
      <c r="I244" s="16"/>
      <c r="J244" s="27"/>
      <c r="L244" s="27"/>
      <c r="M244" s="16"/>
      <c r="N244" s="27"/>
      <c r="P244" s="27"/>
      <c r="Q244" s="16"/>
      <c r="R244" s="27"/>
      <c r="T244" s="27"/>
      <c r="U244" s="16"/>
      <c r="V244" s="27"/>
      <c r="X244" s="27"/>
      <c r="Y244" s="16"/>
      <c r="Z244" s="27"/>
      <c r="AB244" s="27"/>
      <c r="AC244" s="16"/>
      <c r="AD244" s="27"/>
      <c r="AF244" s="27"/>
      <c r="AG244" s="16"/>
      <c r="AH244" s="27"/>
      <c r="AJ244" s="27"/>
      <c r="AK244" s="16"/>
      <c r="AL244" s="27"/>
      <c r="AN244" s="27"/>
      <c r="AO244" s="16"/>
      <c r="AP244" s="27"/>
      <c r="AR244" s="27"/>
      <c r="AS244" s="16"/>
      <c r="AT244" s="27"/>
      <c r="AV244" s="27"/>
      <c r="AW244" s="16"/>
      <c r="AX244" s="27"/>
      <c r="AZ244" s="27"/>
      <c r="BA244" s="16"/>
      <c r="BB244" s="27"/>
      <c r="BD244" s="27"/>
      <c r="BE244" s="16"/>
      <c r="BF244" s="27"/>
      <c r="BH244" s="27"/>
      <c r="BI244" s="16"/>
      <c r="BJ244" s="27"/>
      <c r="BL244" s="27"/>
      <c r="BM244" s="16"/>
      <c r="BN244" s="27"/>
      <c r="BP244" s="27"/>
      <c r="BQ244" s="16"/>
      <c r="BR244" s="27"/>
      <c r="BT244" s="27"/>
      <c r="BU244" s="16"/>
      <c r="BV244" s="27"/>
      <c r="BX244" s="27"/>
      <c r="BY244" s="16"/>
      <c r="BZ244" s="27"/>
      <c r="CB244" s="27"/>
      <c r="CC244" s="16"/>
      <c r="CD244" s="27"/>
      <c r="CF244" s="27"/>
      <c r="CG244" s="16"/>
      <c r="CH244" s="27"/>
      <c r="CJ244" s="27"/>
      <c r="CK244" s="16"/>
      <c r="CL244" s="27"/>
      <c r="CN244" s="27"/>
      <c r="CO244" s="16"/>
      <c r="CP244" s="27"/>
      <c r="CR244" s="27"/>
      <c r="CS244" s="16"/>
      <c r="CT244" s="27"/>
      <c r="CV244" s="27"/>
      <c r="CW244" s="16"/>
      <c r="CX244" s="27"/>
      <c r="CZ244" s="27"/>
      <c r="DA244" s="16"/>
      <c r="DB244" s="27"/>
      <c r="DD244" s="16"/>
    </row>
    <row r="245" spans="1:108" s="14" customFormat="1" ht="21" x14ac:dyDescent="0.4">
      <c r="A245" s="27"/>
      <c r="B245" s="27"/>
      <c r="D245" s="16"/>
      <c r="E245" s="27"/>
      <c r="F245" s="27"/>
      <c r="H245" s="27"/>
      <c r="I245" s="16"/>
      <c r="J245" s="27"/>
      <c r="L245" s="27"/>
      <c r="M245" s="16"/>
      <c r="N245" s="27"/>
      <c r="P245" s="27"/>
      <c r="Q245" s="16"/>
      <c r="R245" s="27"/>
      <c r="T245" s="27"/>
      <c r="U245" s="16"/>
      <c r="V245" s="27"/>
      <c r="X245" s="27"/>
      <c r="Y245" s="16"/>
      <c r="Z245" s="27"/>
      <c r="AB245" s="27"/>
      <c r="AC245" s="16"/>
      <c r="AD245" s="27"/>
      <c r="AF245" s="27"/>
      <c r="AG245" s="16"/>
      <c r="AH245" s="27"/>
      <c r="AJ245" s="27"/>
      <c r="AK245" s="16"/>
      <c r="AL245" s="27"/>
      <c r="AN245" s="27"/>
      <c r="AO245" s="16"/>
      <c r="AP245" s="27"/>
      <c r="AR245" s="27"/>
      <c r="AS245" s="16"/>
      <c r="AT245" s="27"/>
      <c r="AV245" s="27"/>
      <c r="AW245" s="16"/>
      <c r="AX245" s="27"/>
      <c r="AZ245" s="27"/>
      <c r="BA245" s="16"/>
      <c r="BB245" s="27"/>
      <c r="BD245" s="27"/>
      <c r="BE245" s="16"/>
      <c r="BF245" s="27"/>
      <c r="BH245" s="27"/>
      <c r="BI245" s="16"/>
      <c r="BJ245" s="27"/>
      <c r="BL245" s="27"/>
      <c r="BM245" s="16"/>
      <c r="BN245" s="27"/>
      <c r="BP245" s="27"/>
      <c r="BQ245" s="16"/>
      <c r="BR245" s="27"/>
      <c r="BT245" s="27"/>
      <c r="BU245" s="16"/>
      <c r="BV245" s="27"/>
      <c r="BX245" s="27"/>
      <c r="BY245" s="16"/>
      <c r="BZ245" s="27"/>
      <c r="CB245" s="27"/>
      <c r="CC245" s="16"/>
      <c r="CD245" s="27"/>
      <c r="CF245" s="27"/>
      <c r="CG245" s="16"/>
      <c r="CH245" s="27"/>
      <c r="CJ245" s="27"/>
      <c r="CK245" s="16"/>
      <c r="CL245" s="27"/>
      <c r="CN245" s="27"/>
      <c r="CO245" s="16"/>
      <c r="CP245" s="27"/>
      <c r="CR245" s="27"/>
      <c r="CS245" s="16"/>
      <c r="CT245" s="27"/>
      <c r="CV245" s="27"/>
      <c r="CW245" s="16"/>
      <c r="CX245" s="27"/>
      <c r="CZ245" s="27"/>
      <c r="DA245" s="16"/>
      <c r="DB245" s="27"/>
      <c r="DD245" s="16"/>
    </row>
    <row r="246" spans="1:108" s="14" customFormat="1" ht="21" x14ac:dyDescent="0.4">
      <c r="A246" s="27"/>
      <c r="B246" s="27"/>
      <c r="D246" s="16"/>
      <c r="E246" s="27"/>
      <c r="F246" s="27"/>
      <c r="H246" s="27"/>
      <c r="I246" s="16"/>
      <c r="J246" s="27"/>
      <c r="L246" s="27"/>
      <c r="M246" s="16"/>
      <c r="N246" s="27"/>
      <c r="P246" s="27"/>
      <c r="Q246" s="16"/>
      <c r="R246" s="27"/>
      <c r="T246" s="27"/>
      <c r="U246" s="16"/>
      <c r="V246" s="27"/>
      <c r="X246" s="27"/>
      <c r="Y246" s="16"/>
      <c r="Z246" s="27"/>
      <c r="AB246" s="27"/>
      <c r="AC246" s="16"/>
      <c r="AD246" s="27"/>
      <c r="AF246" s="27"/>
      <c r="AG246" s="16"/>
      <c r="AH246" s="27"/>
      <c r="AJ246" s="27"/>
      <c r="AK246" s="16"/>
      <c r="AL246" s="27"/>
      <c r="AN246" s="27"/>
      <c r="AO246" s="16"/>
      <c r="AP246" s="27"/>
      <c r="AR246" s="27"/>
      <c r="AS246" s="16"/>
      <c r="AT246" s="27"/>
      <c r="AV246" s="27"/>
      <c r="AW246" s="16"/>
      <c r="AX246" s="27"/>
      <c r="AZ246" s="27"/>
      <c r="BA246" s="16"/>
      <c r="BB246" s="27"/>
      <c r="BD246" s="27"/>
      <c r="BE246" s="16"/>
      <c r="BF246" s="27"/>
      <c r="BH246" s="27"/>
      <c r="BI246" s="16"/>
      <c r="BJ246" s="27"/>
      <c r="BL246" s="27"/>
      <c r="BM246" s="16"/>
      <c r="BN246" s="27"/>
      <c r="BP246" s="27"/>
      <c r="BQ246" s="16"/>
      <c r="BR246" s="27"/>
      <c r="BT246" s="27"/>
      <c r="BU246" s="16"/>
      <c r="BV246" s="27"/>
      <c r="BX246" s="27"/>
      <c r="BY246" s="16"/>
      <c r="BZ246" s="27"/>
      <c r="CB246" s="27"/>
      <c r="CC246" s="16"/>
      <c r="CD246" s="27"/>
      <c r="CF246" s="27"/>
      <c r="CG246" s="16"/>
      <c r="CH246" s="27"/>
      <c r="CJ246" s="27"/>
      <c r="CK246" s="16"/>
      <c r="CL246" s="27"/>
      <c r="CN246" s="27"/>
      <c r="CO246" s="16"/>
      <c r="CP246" s="27"/>
      <c r="CR246" s="27"/>
      <c r="CS246" s="16"/>
      <c r="CT246" s="27"/>
      <c r="CV246" s="27"/>
      <c r="CW246" s="16"/>
      <c r="CX246" s="27"/>
      <c r="CZ246" s="27"/>
      <c r="DA246" s="16"/>
      <c r="DB246" s="27"/>
      <c r="DD246" s="16"/>
    </row>
    <row r="247" spans="1:108" s="14" customFormat="1" ht="21" x14ac:dyDescent="0.4">
      <c r="A247" s="27"/>
      <c r="B247" s="27"/>
      <c r="D247" s="16"/>
      <c r="E247" s="27"/>
      <c r="F247" s="27"/>
      <c r="H247" s="27"/>
      <c r="I247" s="16"/>
      <c r="J247" s="27"/>
      <c r="L247" s="27"/>
      <c r="M247" s="16"/>
      <c r="N247" s="27"/>
      <c r="P247" s="27"/>
      <c r="Q247" s="16"/>
      <c r="R247" s="27"/>
      <c r="T247" s="27"/>
      <c r="U247" s="16"/>
      <c r="V247" s="27"/>
      <c r="X247" s="27"/>
      <c r="Y247" s="16"/>
      <c r="Z247" s="27"/>
      <c r="AB247" s="27"/>
      <c r="AC247" s="16"/>
      <c r="AD247" s="27"/>
      <c r="AF247" s="27"/>
      <c r="AG247" s="16"/>
      <c r="AH247" s="27"/>
      <c r="AJ247" s="27"/>
      <c r="AK247" s="16"/>
      <c r="AL247" s="27"/>
      <c r="AN247" s="27"/>
      <c r="AO247" s="16"/>
      <c r="AP247" s="27"/>
      <c r="AR247" s="27"/>
      <c r="AS247" s="16"/>
      <c r="AT247" s="27"/>
      <c r="AV247" s="27"/>
      <c r="AW247" s="16"/>
      <c r="AX247" s="27"/>
      <c r="AZ247" s="27"/>
      <c r="BA247" s="16"/>
      <c r="BB247" s="27"/>
      <c r="BD247" s="27"/>
      <c r="BE247" s="16"/>
      <c r="BF247" s="27"/>
      <c r="BH247" s="27"/>
      <c r="BI247" s="16"/>
      <c r="BJ247" s="27"/>
      <c r="BL247" s="27"/>
      <c r="BM247" s="16"/>
      <c r="BN247" s="27"/>
      <c r="BP247" s="27"/>
      <c r="BQ247" s="16"/>
      <c r="BR247" s="27"/>
      <c r="BT247" s="27"/>
      <c r="BU247" s="16"/>
      <c r="BV247" s="27"/>
      <c r="BX247" s="27"/>
      <c r="BY247" s="16"/>
      <c r="BZ247" s="27"/>
      <c r="CB247" s="27"/>
      <c r="CC247" s="16"/>
      <c r="CD247" s="27"/>
      <c r="CF247" s="27"/>
      <c r="CG247" s="16"/>
      <c r="CH247" s="27"/>
      <c r="CJ247" s="27"/>
      <c r="CK247" s="16"/>
      <c r="CL247" s="27"/>
      <c r="CN247" s="27"/>
      <c r="CO247" s="16"/>
      <c r="CP247" s="27"/>
      <c r="CR247" s="27"/>
      <c r="CS247" s="16"/>
      <c r="CT247" s="27"/>
      <c r="CV247" s="27"/>
      <c r="CW247" s="16"/>
      <c r="CX247" s="27"/>
      <c r="CZ247" s="27"/>
      <c r="DA247" s="16"/>
      <c r="DB247" s="27"/>
      <c r="DD247" s="16"/>
    </row>
    <row r="248" spans="1:108" s="14" customFormat="1" ht="21" x14ac:dyDescent="0.4">
      <c r="A248" s="27"/>
      <c r="B248" s="27"/>
      <c r="D248" s="16"/>
      <c r="E248" s="27"/>
      <c r="F248" s="27"/>
      <c r="H248" s="27"/>
      <c r="I248" s="16"/>
      <c r="J248" s="27"/>
      <c r="L248" s="27"/>
      <c r="M248" s="16"/>
      <c r="N248" s="27"/>
      <c r="P248" s="27"/>
      <c r="Q248" s="16"/>
      <c r="R248" s="27"/>
      <c r="T248" s="27"/>
      <c r="U248" s="16"/>
      <c r="V248" s="27"/>
      <c r="X248" s="27"/>
      <c r="Y248" s="16"/>
      <c r="Z248" s="27"/>
      <c r="AB248" s="27"/>
      <c r="AC248" s="16"/>
      <c r="AD248" s="27"/>
      <c r="AF248" s="27"/>
      <c r="AG248" s="16"/>
      <c r="AH248" s="27"/>
      <c r="AJ248" s="27"/>
      <c r="AK248" s="16"/>
      <c r="AL248" s="27"/>
      <c r="AN248" s="27"/>
      <c r="AO248" s="16"/>
      <c r="AP248" s="27"/>
      <c r="AR248" s="27"/>
      <c r="AS248" s="16"/>
      <c r="AT248" s="27"/>
      <c r="AV248" s="27"/>
      <c r="AW248" s="16"/>
      <c r="AX248" s="27"/>
      <c r="AZ248" s="27"/>
      <c r="BA248" s="16"/>
      <c r="BB248" s="27"/>
      <c r="BD248" s="27"/>
      <c r="BE248" s="16"/>
      <c r="BF248" s="27"/>
      <c r="BH248" s="27"/>
      <c r="BI248" s="16"/>
      <c r="BJ248" s="27"/>
      <c r="BL248" s="27"/>
      <c r="BM248" s="16"/>
      <c r="BN248" s="27"/>
      <c r="BP248" s="27"/>
      <c r="BQ248" s="16"/>
      <c r="BR248" s="27"/>
      <c r="BT248" s="27"/>
      <c r="BU248" s="16"/>
      <c r="BV248" s="27"/>
      <c r="BX248" s="27"/>
      <c r="BY248" s="16"/>
      <c r="BZ248" s="27"/>
      <c r="CB248" s="27"/>
      <c r="CC248" s="16"/>
      <c r="CD248" s="27"/>
      <c r="CF248" s="27"/>
      <c r="CG248" s="16"/>
      <c r="CH248" s="27"/>
      <c r="CJ248" s="27"/>
      <c r="CK248" s="16"/>
      <c r="CL248" s="27"/>
      <c r="CN248" s="27"/>
      <c r="CO248" s="16"/>
      <c r="CP248" s="27"/>
      <c r="CR248" s="27"/>
      <c r="CS248" s="16"/>
      <c r="CT248" s="27"/>
      <c r="CV248" s="27"/>
      <c r="CW248" s="16"/>
      <c r="CX248" s="27"/>
      <c r="CZ248" s="27"/>
      <c r="DA248" s="16"/>
      <c r="DB248" s="27"/>
      <c r="DD248" s="16"/>
    </row>
    <row r="249" spans="1:108" s="14" customFormat="1" ht="21" x14ac:dyDescent="0.4">
      <c r="A249" s="27"/>
      <c r="B249" s="27"/>
      <c r="D249" s="16"/>
      <c r="E249" s="27"/>
      <c r="F249" s="27"/>
      <c r="H249" s="27"/>
      <c r="I249" s="16"/>
      <c r="J249" s="27"/>
      <c r="L249" s="27"/>
      <c r="M249" s="16"/>
      <c r="N249" s="27"/>
      <c r="P249" s="27"/>
      <c r="Q249" s="16"/>
      <c r="R249" s="27"/>
      <c r="T249" s="27"/>
      <c r="U249" s="16"/>
      <c r="V249" s="27"/>
      <c r="X249" s="27"/>
      <c r="Y249" s="16"/>
      <c r="Z249" s="27"/>
      <c r="AB249" s="27"/>
      <c r="AC249" s="16"/>
      <c r="AD249" s="27"/>
      <c r="AF249" s="27"/>
      <c r="AG249" s="16"/>
      <c r="AH249" s="27"/>
      <c r="AJ249" s="27"/>
      <c r="AK249" s="16"/>
      <c r="AL249" s="27"/>
      <c r="AN249" s="27"/>
      <c r="AO249" s="16"/>
      <c r="AP249" s="27"/>
      <c r="AR249" s="27"/>
      <c r="AS249" s="16"/>
      <c r="AT249" s="27"/>
      <c r="AV249" s="27"/>
      <c r="AW249" s="16"/>
      <c r="AX249" s="27"/>
      <c r="AZ249" s="27"/>
      <c r="BA249" s="16"/>
      <c r="BB249" s="27"/>
      <c r="BD249" s="27"/>
      <c r="BE249" s="16"/>
      <c r="BF249" s="27"/>
      <c r="BH249" s="27"/>
      <c r="BI249" s="16"/>
      <c r="BJ249" s="27"/>
      <c r="BL249" s="27"/>
      <c r="BM249" s="16"/>
      <c r="BN249" s="27"/>
      <c r="BP249" s="27"/>
      <c r="BQ249" s="16"/>
      <c r="BR249" s="27"/>
      <c r="BT249" s="27"/>
      <c r="BU249" s="16"/>
      <c r="BV249" s="27"/>
      <c r="BX249" s="27"/>
      <c r="BY249" s="16"/>
      <c r="BZ249" s="27"/>
      <c r="CB249" s="27"/>
      <c r="CC249" s="16"/>
      <c r="CD249" s="27"/>
      <c r="CF249" s="27"/>
      <c r="CG249" s="16"/>
      <c r="CH249" s="27"/>
      <c r="CJ249" s="27"/>
      <c r="CK249" s="16"/>
      <c r="CL249" s="27"/>
      <c r="CN249" s="27"/>
      <c r="CO249" s="16"/>
      <c r="CP249" s="27"/>
      <c r="CR249" s="27"/>
      <c r="CS249" s="16"/>
      <c r="CT249" s="27"/>
      <c r="CV249" s="27"/>
      <c r="CW249" s="16"/>
      <c r="CX249" s="27"/>
      <c r="CZ249" s="27"/>
      <c r="DA249" s="16"/>
      <c r="DB249" s="27"/>
      <c r="DD249" s="16"/>
    </row>
    <row r="250" spans="1:108" s="14" customFormat="1" ht="21" x14ac:dyDescent="0.4">
      <c r="A250" s="27"/>
      <c r="B250" s="27"/>
      <c r="D250" s="16"/>
      <c r="E250" s="27"/>
      <c r="F250" s="27"/>
      <c r="H250" s="27"/>
      <c r="I250" s="16"/>
      <c r="J250" s="27"/>
      <c r="L250" s="27"/>
      <c r="M250" s="16"/>
      <c r="N250" s="27"/>
      <c r="P250" s="27"/>
      <c r="Q250" s="16"/>
      <c r="R250" s="27"/>
      <c r="T250" s="27"/>
      <c r="U250" s="16"/>
      <c r="V250" s="27"/>
      <c r="X250" s="27"/>
      <c r="Y250" s="16"/>
      <c r="Z250" s="27"/>
      <c r="AB250" s="27"/>
      <c r="AC250" s="16"/>
      <c r="AD250" s="27"/>
      <c r="AF250" s="27"/>
      <c r="AG250" s="16"/>
      <c r="AH250" s="27"/>
      <c r="AJ250" s="27"/>
      <c r="AK250" s="16"/>
      <c r="AL250" s="27"/>
      <c r="AN250" s="27"/>
      <c r="AO250" s="16"/>
      <c r="AP250" s="27"/>
      <c r="AR250" s="27"/>
      <c r="AS250" s="16"/>
      <c r="AT250" s="27"/>
      <c r="AV250" s="27"/>
      <c r="AW250" s="16"/>
      <c r="AX250" s="27"/>
      <c r="AZ250" s="27"/>
      <c r="BA250" s="16"/>
      <c r="BB250" s="27"/>
      <c r="BD250" s="27"/>
      <c r="BE250" s="16"/>
      <c r="BF250" s="27"/>
      <c r="BH250" s="27"/>
      <c r="BI250" s="16"/>
      <c r="BJ250" s="27"/>
      <c r="BL250" s="27"/>
      <c r="BM250" s="16"/>
      <c r="BN250" s="27"/>
      <c r="BP250" s="27"/>
      <c r="BQ250" s="16"/>
      <c r="BR250" s="27"/>
      <c r="BT250" s="27"/>
      <c r="BU250" s="16"/>
      <c r="BV250" s="27"/>
      <c r="BX250" s="27"/>
      <c r="BY250" s="16"/>
      <c r="BZ250" s="27"/>
      <c r="CB250" s="27"/>
      <c r="CC250" s="16"/>
      <c r="CD250" s="27"/>
      <c r="CF250" s="27"/>
      <c r="CG250" s="16"/>
      <c r="CH250" s="27"/>
      <c r="CJ250" s="27"/>
      <c r="CK250" s="16"/>
      <c r="CL250" s="27"/>
      <c r="CN250" s="27"/>
      <c r="CO250" s="16"/>
      <c r="CP250" s="27"/>
      <c r="CR250" s="27"/>
      <c r="CS250" s="16"/>
      <c r="CT250" s="27"/>
      <c r="CV250" s="27"/>
      <c r="CW250" s="16"/>
      <c r="CX250" s="27"/>
      <c r="CZ250" s="27"/>
      <c r="DA250" s="16"/>
      <c r="DB250" s="27"/>
      <c r="DD250" s="16"/>
    </row>
    <row r="251" spans="1:108" s="14" customFormat="1" ht="21" x14ac:dyDescent="0.4">
      <c r="A251" s="27"/>
      <c r="B251" s="27"/>
      <c r="D251" s="16"/>
      <c r="E251" s="27"/>
      <c r="F251" s="27"/>
      <c r="H251" s="27"/>
      <c r="I251" s="16"/>
      <c r="J251" s="27"/>
      <c r="L251" s="27"/>
      <c r="M251" s="16"/>
      <c r="N251" s="27"/>
      <c r="P251" s="27"/>
      <c r="Q251" s="16"/>
      <c r="R251" s="27"/>
      <c r="T251" s="27"/>
      <c r="U251" s="16"/>
      <c r="V251" s="27"/>
      <c r="X251" s="27"/>
      <c r="Y251" s="16"/>
      <c r="Z251" s="27"/>
      <c r="AB251" s="27"/>
      <c r="AC251" s="16"/>
      <c r="AD251" s="27"/>
      <c r="AF251" s="27"/>
      <c r="AG251" s="16"/>
      <c r="AH251" s="27"/>
      <c r="AJ251" s="27"/>
      <c r="AK251" s="16"/>
      <c r="AL251" s="27"/>
      <c r="AN251" s="27"/>
      <c r="AO251" s="16"/>
      <c r="AP251" s="27"/>
      <c r="AR251" s="27"/>
      <c r="AS251" s="16"/>
      <c r="AT251" s="27"/>
      <c r="AV251" s="27"/>
      <c r="AW251" s="16"/>
      <c r="AX251" s="27"/>
      <c r="AZ251" s="27"/>
      <c r="BA251" s="16"/>
      <c r="BB251" s="27"/>
      <c r="BD251" s="27"/>
      <c r="BE251" s="16"/>
      <c r="BF251" s="27"/>
      <c r="BH251" s="27"/>
      <c r="BI251" s="16"/>
      <c r="BJ251" s="27"/>
      <c r="BL251" s="27"/>
      <c r="BM251" s="16"/>
      <c r="BN251" s="27"/>
      <c r="BP251" s="27"/>
      <c r="BQ251" s="16"/>
      <c r="BR251" s="27"/>
      <c r="BT251" s="27"/>
      <c r="BU251" s="16"/>
      <c r="BV251" s="27"/>
      <c r="BX251" s="27"/>
      <c r="BY251" s="16"/>
      <c r="BZ251" s="27"/>
      <c r="CB251" s="27"/>
      <c r="CC251" s="16"/>
      <c r="CD251" s="27"/>
      <c r="CF251" s="27"/>
      <c r="CG251" s="16"/>
      <c r="CH251" s="27"/>
      <c r="CJ251" s="27"/>
      <c r="CK251" s="16"/>
      <c r="CL251" s="27"/>
      <c r="CN251" s="27"/>
      <c r="CO251" s="16"/>
      <c r="CP251" s="27"/>
      <c r="CR251" s="27"/>
      <c r="CS251" s="16"/>
      <c r="CT251" s="27"/>
      <c r="CV251" s="27"/>
      <c r="CW251" s="16"/>
      <c r="CX251" s="27"/>
      <c r="CZ251" s="27"/>
      <c r="DA251" s="16"/>
      <c r="DB251" s="27"/>
      <c r="DD251" s="16"/>
    </row>
    <row r="252" spans="1:108" s="14" customFormat="1" ht="21" x14ac:dyDescent="0.4">
      <c r="A252" s="27"/>
      <c r="B252" s="27"/>
      <c r="D252" s="16"/>
      <c r="E252" s="27"/>
      <c r="F252" s="27"/>
      <c r="H252" s="27"/>
      <c r="I252" s="16"/>
      <c r="J252" s="27"/>
      <c r="L252" s="27"/>
      <c r="M252" s="16"/>
      <c r="N252" s="27"/>
      <c r="P252" s="27"/>
      <c r="Q252" s="16"/>
      <c r="R252" s="27"/>
      <c r="T252" s="27"/>
      <c r="U252" s="16"/>
      <c r="V252" s="27"/>
      <c r="X252" s="27"/>
      <c r="Y252" s="16"/>
      <c r="Z252" s="27"/>
      <c r="AB252" s="27"/>
      <c r="AC252" s="16"/>
      <c r="AD252" s="27"/>
      <c r="AF252" s="27"/>
      <c r="AG252" s="16"/>
      <c r="AH252" s="27"/>
      <c r="AJ252" s="27"/>
      <c r="AK252" s="16"/>
      <c r="AL252" s="27"/>
      <c r="AN252" s="27"/>
      <c r="AO252" s="16"/>
      <c r="AP252" s="27"/>
      <c r="AR252" s="27"/>
      <c r="AS252" s="16"/>
      <c r="AT252" s="27"/>
      <c r="AV252" s="27"/>
      <c r="AW252" s="16"/>
      <c r="AX252" s="27"/>
      <c r="AZ252" s="27"/>
      <c r="BA252" s="16"/>
      <c r="BB252" s="27"/>
      <c r="BD252" s="27"/>
      <c r="BE252" s="16"/>
      <c r="BF252" s="27"/>
      <c r="BH252" s="27"/>
      <c r="BI252" s="16"/>
      <c r="BJ252" s="27"/>
      <c r="BL252" s="27"/>
      <c r="BM252" s="16"/>
      <c r="BN252" s="27"/>
      <c r="BP252" s="27"/>
      <c r="BQ252" s="16"/>
      <c r="BR252" s="27"/>
      <c r="BT252" s="27"/>
      <c r="BU252" s="16"/>
      <c r="BV252" s="27"/>
      <c r="BX252" s="27"/>
      <c r="BY252" s="16"/>
      <c r="BZ252" s="27"/>
      <c r="CB252" s="27"/>
      <c r="CC252" s="16"/>
      <c r="CD252" s="27"/>
      <c r="CF252" s="27"/>
      <c r="CG252" s="16"/>
      <c r="CH252" s="27"/>
      <c r="CJ252" s="27"/>
      <c r="CK252" s="16"/>
      <c r="CL252" s="27"/>
      <c r="CN252" s="27"/>
      <c r="CO252" s="16"/>
      <c r="CP252" s="27"/>
      <c r="CR252" s="27"/>
      <c r="CS252" s="16"/>
      <c r="CT252" s="27"/>
      <c r="CV252" s="27"/>
      <c r="CW252" s="16"/>
      <c r="CX252" s="27"/>
      <c r="CZ252" s="27"/>
      <c r="DA252" s="16"/>
      <c r="DB252" s="27"/>
      <c r="DD252" s="16"/>
    </row>
    <row r="253" spans="1:108" s="14" customFormat="1" ht="21" x14ac:dyDescent="0.4">
      <c r="A253" s="27"/>
      <c r="B253" s="27"/>
      <c r="D253" s="16"/>
      <c r="E253" s="27"/>
      <c r="F253" s="27"/>
      <c r="H253" s="27"/>
      <c r="I253" s="16"/>
      <c r="J253" s="27"/>
      <c r="L253" s="27"/>
      <c r="M253" s="16"/>
      <c r="N253" s="27"/>
      <c r="P253" s="27"/>
      <c r="Q253" s="16"/>
      <c r="R253" s="27"/>
      <c r="T253" s="27"/>
      <c r="U253" s="16"/>
      <c r="V253" s="27"/>
      <c r="X253" s="27"/>
      <c r="Y253" s="16"/>
      <c r="Z253" s="27"/>
      <c r="AB253" s="27"/>
      <c r="AC253" s="16"/>
      <c r="AD253" s="27"/>
      <c r="AF253" s="27"/>
      <c r="AG253" s="16"/>
      <c r="AH253" s="27"/>
      <c r="AJ253" s="27"/>
      <c r="AK253" s="16"/>
      <c r="AL253" s="27"/>
      <c r="AN253" s="27"/>
      <c r="AO253" s="16"/>
      <c r="AP253" s="27"/>
      <c r="AR253" s="27"/>
      <c r="AS253" s="16"/>
      <c r="AT253" s="27"/>
      <c r="AV253" s="27"/>
      <c r="AW253" s="16"/>
      <c r="AX253" s="27"/>
      <c r="AZ253" s="27"/>
      <c r="BA253" s="16"/>
      <c r="BB253" s="27"/>
      <c r="BD253" s="27"/>
      <c r="BE253" s="16"/>
      <c r="BF253" s="27"/>
      <c r="BH253" s="27"/>
      <c r="BI253" s="16"/>
      <c r="BJ253" s="27"/>
      <c r="BL253" s="27"/>
      <c r="BM253" s="16"/>
      <c r="BN253" s="27"/>
      <c r="BP253" s="27"/>
      <c r="BQ253" s="16"/>
      <c r="BR253" s="27"/>
      <c r="BT253" s="27"/>
      <c r="BU253" s="16"/>
      <c r="BV253" s="27"/>
      <c r="BX253" s="27"/>
      <c r="BY253" s="16"/>
      <c r="BZ253" s="27"/>
      <c r="CB253" s="27"/>
      <c r="CC253" s="16"/>
      <c r="CD253" s="27"/>
      <c r="CF253" s="27"/>
      <c r="CG253" s="16"/>
      <c r="CH253" s="27"/>
      <c r="CJ253" s="27"/>
      <c r="CK253" s="16"/>
      <c r="CL253" s="27"/>
      <c r="CN253" s="27"/>
      <c r="CO253" s="16"/>
      <c r="CP253" s="27"/>
      <c r="CR253" s="27"/>
      <c r="CS253" s="16"/>
      <c r="CT253" s="27"/>
      <c r="CV253" s="27"/>
      <c r="CW253" s="16"/>
      <c r="CX253" s="27"/>
      <c r="CZ253" s="27"/>
      <c r="DA253" s="16"/>
      <c r="DB253" s="27"/>
      <c r="DD253" s="16"/>
    </row>
    <row r="254" spans="1:108" s="14" customFormat="1" ht="21" x14ac:dyDescent="0.4">
      <c r="A254" s="27"/>
      <c r="B254" s="27"/>
      <c r="D254" s="16"/>
      <c r="E254" s="27"/>
      <c r="F254" s="27"/>
      <c r="H254" s="27"/>
      <c r="I254" s="16"/>
      <c r="J254" s="27"/>
      <c r="L254" s="27"/>
      <c r="M254" s="16"/>
      <c r="N254" s="27"/>
      <c r="P254" s="27"/>
      <c r="Q254" s="16"/>
      <c r="R254" s="27"/>
      <c r="T254" s="27"/>
      <c r="U254" s="16"/>
      <c r="V254" s="27"/>
      <c r="X254" s="27"/>
      <c r="Y254" s="16"/>
      <c r="Z254" s="27"/>
      <c r="AB254" s="27"/>
      <c r="AC254" s="16"/>
      <c r="AD254" s="27"/>
      <c r="AF254" s="27"/>
      <c r="AG254" s="16"/>
      <c r="AH254" s="27"/>
      <c r="AJ254" s="27"/>
      <c r="AK254" s="16"/>
      <c r="AL254" s="27"/>
      <c r="AN254" s="27"/>
      <c r="AO254" s="16"/>
      <c r="AP254" s="27"/>
      <c r="AR254" s="27"/>
      <c r="AS254" s="16"/>
      <c r="AT254" s="27"/>
      <c r="AV254" s="27"/>
      <c r="AW254" s="16"/>
      <c r="AX254" s="27"/>
      <c r="AZ254" s="27"/>
      <c r="BA254" s="16"/>
      <c r="BB254" s="27"/>
      <c r="BD254" s="27"/>
      <c r="BE254" s="16"/>
      <c r="BF254" s="27"/>
      <c r="BH254" s="27"/>
      <c r="BI254" s="16"/>
      <c r="BJ254" s="27"/>
      <c r="BL254" s="27"/>
      <c r="BM254" s="16"/>
      <c r="BN254" s="27"/>
      <c r="BP254" s="27"/>
      <c r="BQ254" s="16"/>
      <c r="BR254" s="27"/>
      <c r="BT254" s="27"/>
      <c r="BU254" s="16"/>
      <c r="BV254" s="27"/>
      <c r="BX254" s="27"/>
      <c r="BY254" s="16"/>
      <c r="BZ254" s="27"/>
      <c r="CB254" s="27"/>
      <c r="CC254" s="16"/>
      <c r="CD254" s="27"/>
      <c r="CF254" s="27"/>
      <c r="CG254" s="16"/>
      <c r="CH254" s="27"/>
      <c r="CJ254" s="27"/>
      <c r="CK254" s="16"/>
      <c r="CL254" s="27"/>
      <c r="CN254" s="27"/>
      <c r="CO254" s="16"/>
      <c r="CP254" s="27"/>
      <c r="CR254" s="27"/>
      <c r="CS254" s="16"/>
      <c r="CT254" s="27"/>
      <c r="CV254" s="27"/>
      <c r="CW254" s="16"/>
      <c r="CX254" s="27"/>
      <c r="CZ254" s="27"/>
      <c r="DA254" s="16"/>
      <c r="DB254" s="27"/>
      <c r="DD254" s="16"/>
    </row>
    <row r="255" spans="1:108" s="14" customFormat="1" ht="21" x14ac:dyDescent="0.4">
      <c r="A255" s="27"/>
      <c r="B255" s="27"/>
      <c r="D255" s="16"/>
      <c r="E255" s="27"/>
      <c r="F255" s="27"/>
      <c r="H255" s="27"/>
      <c r="I255" s="16"/>
      <c r="J255" s="27"/>
      <c r="L255" s="27"/>
      <c r="M255" s="16"/>
      <c r="N255" s="27"/>
      <c r="P255" s="27"/>
      <c r="Q255" s="16"/>
      <c r="R255" s="27"/>
      <c r="T255" s="27"/>
      <c r="U255" s="16"/>
      <c r="V255" s="27"/>
      <c r="X255" s="27"/>
      <c r="Y255" s="16"/>
      <c r="Z255" s="27"/>
      <c r="AB255" s="27"/>
      <c r="AC255" s="16"/>
      <c r="AD255" s="27"/>
      <c r="AF255" s="27"/>
      <c r="AG255" s="16"/>
      <c r="AH255" s="27"/>
      <c r="AJ255" s="27"/>
      <c r="AK255" s="16"/>
      <c r="AL255" s="27"/>
      <c r="AN255" s="27"/>
      <c r="AO255" s="16"/>
      <c r="AP255" s="27"/>
      <c r="AR255" s="27"/>
      <c r="AS255" s="16"/>
      <c r="AT255" s="27"/>
      <c r="AV255" s="27"/>
      <c r="AW255" s="16"/>
      <c r="AX255" s="27"/>
      <c r="AZ255" s="27"/>
      <c r="BA255" s="16"/>
      <c r="BB255" s="27"/>
      <c r="BD255" s="27"/>
      <c r="BE255" s="16"/>
      <c r="BF255" s="27"/>
      <c r="BH255" s="27"/>
      <c r="BI255" s="16"/>
      <c r="BJ255" s="27"/>
      <c r="BL255" s="27"/>
      <c r="BM255" s="16"/>
      <c r="BN255" s="27"/>
      <c r="BP255" s="27"/>
      <c r="BQ255" s="16"/>
      <c r="BR255" s="27"/>
      <c r="BT255" s="27"/>
      <c r="BU255" s="16"/>
      <c r="BV255" s="27"/>
      <c r="BX255" s="27"/>
      <c r="BY255" s="16"/>
      <c r="BZ255" s="27"/>
      <c r="CB255" s="27"/>
      <c r="CC255" s="16"/>
      <c r="CD255" s="27"/>
      <c r="CF255" s="27"/>
      <c r="CG255" s="16"/>
      <c r="CH255" s="27"/>
      <c r="CJ255" s="27"/>
      <c r="CK255" s="16"/>
      <c r="CL255" s="27"/>
      <c r="CN255" s="27"/>
      <c r="CO255" s="16"/>
      <c r="CP255" s="27"/>
      <c r="CR255" s="27"/>
      <c r="CS255" s="16"/>
      <c r="CT255" s="27"/>
      <c r="CV255" s="27"/>
      <c r="CW255" s="16"/>
      <c r="CX255" s="27"/>
      <c r="CZ255" s="27"/>
      <c r="DA255" s="16"/>
      <c r="DB255" s="27"/>
      <c r="DD255" s="16"/>
    </row>
    <row r="256" spans="1:108" s="14" customFormat="1" ht="21" x14ac:dyDescent="0.4">
      <c r="A256" s="27"/>
      <c r="B256" s="27"/>
      <c r="D256" s="16"/>
      <c r="E256" s="27"/>
      <c r="F256" s="27"/>
      <c r="H256" s="27"/>
      <c r="I256" s="16"/>
      <c r="J256" s="27"/>
      <c r="L256" s="27"/>
      <c r="M256" s="16"/>
      <c r="N256" s="27"/>
      <c r="P256" s="27"/>
      <c r="Q256" s="16"/>
      <c r="R256" s="27"/>
      <c r="T256" s="27"/>
      <c r="U256" s="16"/>
      <c r="V256" s="27"/>
      <c r="X256" s="27"/>
      <c r="Y256" s="16"/>
      <c r="Z256" s="27"/>
      <c r="AB256" s="27"/>
      <c r="AC256" s="16"/>
      <c r="AD256" s="27"/>
      <c r="AF256" s="27"/>
      <c r="AG256" s="16"/>
      <c r="AH256" s="27"/>
      <c r="AJ256" s="27"/>
      <c r="AK256" s="16"/>
      <c r="AL256" s="27"/>
      <c r="AN256" s="27"/>
      <c r="AO256" s="16"/>
      <c r="AP256" s="27"/>
      <c r="AR256" s="27"/>
      <c r="AS256" s="16"/>
      <c r="AT256" s="27"/>
      <c r="AV256" s="27"/>
      <c r="AW256" s="16"/>
      <c r="AX256" s="27"/>
      <c r="AZ256" s="27"/>
      <c r="BA256" s="16"/>
      <c r="BB256" s="27"/>
      <c r="BD256" s="27"/>
      <c r="BE256" s="16"/>
      <c r="BF256" s="27"/>
      <c r="BH256" s="27"/>
      <c r="BI256" s="16"/>
      <c r="BJ256" s="27"/>
      <c r="BL256" s="27"/>
      <c r="BM256" s="16"/>
      <c r="BN256" s="27"/>
      <c r="BP256" s="27"/>
      <c r="BQ256" s="16"/>
      <c r="BR256" s="27"/>
      <c r="BT256" s="27"/>
      <c r="BU256" s="16"/>
      <c r="BV256" s="27"/>
      <c r="BX256" s="27"/>
      <c r="BY256" s="16"/>
      <c r="BZ256" s="27"/>
      <c r="CB256" s="27"/>
      <c r="CC256" s="16"/>
      <c r="CD256" s="27"/>
      <c r="CF256" s="27"/>
      <c r="CG256" s="16"/>
      <c r="CH256" s="27"/>
      <c r="CJ256" s="27"/>
      <c r="CK256" s="16"/>
      <c r="CL256" s="27"/>
      <c r="CN256" s="27"/>
      <c r="CO256" s="16"/>
      <c r="CP256" s="27"/>
      <c r="CR256" s="27"/>
      <c r="CS256" s="16"/>
      <c r="CT256" s="27"/>
      <c r="CV256" s="27"/>
      <c r="CW256" s="16"/>
      <c r="CX256" s="27"/>
      <c r="CZ256" s="27"/>
      <c r="DA256" s="16"/>
      <c r="DB256" s="27"/>
      <c r="DD256" s="16"/>
    </row>
    <row r="257" spans="1:108" s="14" customFormat="1" ht="21" x14ac:dyDescent="0.4">
      <c r="A257" s="27"/>
      <c r="B257" s="27"/>
      <c r="D257" s="16"/>
      <c r="E257" s="27"/>
      <c r="F257" s="27"/>
      <c r="H257" s="27"/>
      <c r="I257" s="16"/>
      <c r="J257" s="27"/>
      <c r="L257" s="27"/>
      <c r="M257" s="16"/>
      <c r="N257" s="27"/>
      <c r="P257" s="27"/>
      <c r="Q257" s="16"/>
      <c r="R257" s="27"/>
      <c r="T257" s="27"/>
      <c r="U257" s="16"/>
      <c r="V257" s="27"/>
      <c r="X257" s="27"/>
      <c r="Y257" s="16"/>
      <c r="Z257" s="27"/>
      <c r="AB257" s="27"/>
      <c r="AC257" s="16"/>
      <c r="AD257" s="27"/>
      <c r="AF257" s="27"/>
      <c r="AG257" s="16"/>
      <c r="AH257" s="27"/>
      <c r="AJ257" s="27"/>
      <c r="AK257" s="16"/>
      <c r="AL257" s="27"/>
      <c r="AN257" s="27"/>
      <c r="AO257" s="16"/>
      <c r="AP257" s="27"/>
      <c r="AR257" s="27"/>
      <c r="AS257" s="16"/>
      <c r="AT257" s="27"/>
      <c r="AV257" s="27"/>
      <c r="AW257" s="16"/>
      <c r="AX257" s="27"/>
      <c r="AZ257" s="27"/>
      <c r="BA257" s="16"/>
      <c r="BB257" s="27"/>
      <c r="BD257" s="27"/>
      <c r="BE257" s="16"/>
      <c r="BF257" s="27"/>
      <c r="BH257" s="27"/>
      <c r="BI257" s="16"/>
      <c r="BJ257" s="27"/>
      <c r="BL257" s="27"/>
      <c r="BM257" s="16"/>
      <c r="BN257" s="27"/>
      <c r="BP257" s="27"/>
      <c r="BQ257" s="16"/>
      <c r="BR257" s="27"/>
      <c r="BT257" s="27"/>
      <c r="BU257" s="16"/>
      <c r="BV257" s="27"/>
      <c r="BX257" s="27"/>
      <c r="BY257" s="16"/>
      <c r="BZ257" s="27"/>
      <c r="CB257" s="27"/>
      <c r="CC257" s="16"/>
      <c r="CD257" s="27"/>
      <c r="CF257" s="27"/>
      <c r="CG257" s="16"/>
      <c r="CH257" s="27"/>
      <c r="CJ257" s="27"/>
      <c r="CK257" s="16"/>
      <c r="CL257" s="27"/>
      <c r="CN257" s="27"/>
      <c r="CO257" s="16"/>
      <c r="CP257" s="27"/>
      <c r="CR257" s="27"/>
      <c r="CS257" s="16"/>
      <c r="CT257" s="27"/>
      <c r="CV257" s="27"/>
      <c r="CW257" s="16"/>
      <c r="CX257" s="27"/>
      <c r="CZ257" s="27"/>
      <c r="DA257" s="16"/>
      <c r="DB257" s="27"/>
      <c r="DD257" s="16"/>
    </row>
    <row r="258" spans="1:108" s="14" customFormat="1" ht="21" x14ac:dyDescent="0.4">
      <c r="A258" s="27"/>
      <c r="B258" s="27"/>
      <c r="D258" s="16"/>
      <c r="E258" s="27"/>
      <c r="F258" s="27"/>
      <c r="H258" s="27"/>
      <c r="I258" s="16"/>
      <c r="J258" s="27"/>
      <c r="L258" s="27"/>
      <c r="M258" s="16"/>
      <c r="N258" s="27"/>
      <c r="P258" s="27"/>
      <c r="Q258" s="16"/>
      <c r="R258" s="27"/>
      <c r="T258" s="27"/>
      <c r="U258" s="16"/>
      <c r="V258" s="27"/>
      <c r="X258" s="27"/>
      <c r="Y258" s="16"/>
      <c r="Z258" s="27"/>
      <c r="AB258" s="27"/>
      <c r="AC258" s="16"/>
      <c r="AD258" s="27"/>
      <c r="AF258" s="27"/>
      <c r="AG258" s="16"/>
      <c r="AH258" s="27"/>
      <c r="AJ258" s="27"/>
      <c r="AK258" s="16"/>
      <c r="AL258" s="27"/>
      <c r="AN258" s="27"/>
      <c r="AO258" s="16"/>
      <c r="AP258" s="27"/>
      <c r="AR258" s="27"/>
      <c r="AS258" s="16"/>
      <c r="AT258" s="27"/>
      <c r="AV258" s="27"/>
      <c r="AW258" s="16"/>
      <c r="AX258" s="27"/>
      <c r="AZ258" s="27"/>
      <c r="BA258" s="16"/>
      <c r="BB258" s="27"/>
      <c r="BD258" s="27"/>
      <c r="BE258" s="16"/>
      <c r="BF258" s="27"/>
      <c r="BH258" s="27"/>
      <c r="BI258" s="16"/>
      <c r="BJ258" s="27"/>
      <c r="BL258" s="27"/>
      <c r="BM258" s="16"/>
      <c r="BN258" s="27"/>
      <c r="BP258" s="27"/>
      <c r="BQ258" s="16"/>
      <c r="BR258" s="27"/>
      <c r="BT258" s="27"/>
      <c r="BU258" s="16"/>
      <c r="BV258" s="27"/>
      <c r="BX258" s="27"/>
      <c r="BY258" s="16"/>
      <c r="BZ258" s="27"/>
      <c r="CB258" s="27"/>
      <c r="CC258" s="16"/>
      <c r="CD258" s="27"/>
      <c r="CF258" s="27"/>
      <c r="CG258" s="16"/>
      <c r="CH258" s="27"/>
      <c r="CJ258" s="27"/>
      <c r="CK258" s="16"/>
      <c r="CL258" s="27"/>
      <c r="CN258" s="27"/>
      <c r="CO258" s="16"/>
      <c r="CP258" s="27"/>
      <c r="CR258" s="27"/>
      <c r="CS258" s="16"/>
      <c r="CT258" s="27"/>
      <c r="CV258" s="27"/>
      <c r="CW258" s="16"/>
      <c r="CX258" s="27"/>
      <c r="CZ258" s="27"/>
      <c r="DA258" s="16"/>
      <c r="DB258" s="27"/>
      <c r="DD258" s="16"/>
    </row>
    <row r="259" spans="1:108" s="14" customFormat="1" ht="21" x14ac:dyDescent="0.4">
      <c r="A259" s="27"/>
      <c r="B259" s="27"/>
      <c r="D259" s="16"/>
      <c r="E259" s="27"/>
      <c r="F259" s="27"/>
      <c r="H259" s="27"/>
      <c r="I259" s="16"/>
      <c r="J259" s="27"/>
      <c r="L259" s="27"/>
      <c r="M259" s="16"/>
      <c r="N259" s="27"/>
      <c r="P259" s="27"/>
      <c r="Q259" s="16"/>
      <c r="R259" s="27"/>
      <c r="T259" s="27"/>
      <c r="U259" s="16"/>
      <c r="V259" s="27"/>
      <c r="X259" s="27"/>
      <c r="Y259" s="16"/>
      <c r="Z259" s="27"/>
      <c r="AB259" s="27"/>
      <c r="AC259" s="16"/>
      <c r="AD259" s="27"/>
      <c r="AF259" s="27"/>
      <c r="AG259" s="16"/>
      <c r="AH259" s="27"/>
      <c r="AJ259" s="27"/>
      <c r="AK259" s="16"/>
      <c r="AL259" s="27"/>
      <c r="AN259" s="27"/>
      <c r="AO259" s="16"/>
      <c r="AP259" s="27"/>
      <c r="AR259" s="27"/>
      <c r="AS259" s="16"/>
      <c r="AT259" s="27"/>
      <c r="AV259" s="27"/>
      <c r="AW259" s="16"/>
      <c r="AX259" s="27"/>
      <c r="AZ259" s="27"/>
      <c r="BA259" s="16"/>
      <c r="BB259" s="27"/>
      <c r="BD259" s="27"/>
      <c r="BE259" s="16"/>
      <c r="BF259" s="27"/>
      <c r="BH259" s="27"/>
      <c r="BI259" s="16"/>
      <c r="BJ259" s="27"/>
      <c r="BL259" s="27"/>
      <c r="BM259" s="16"/>
      <c r="BN259" s="27"/>
      <c r="BP259" s="27"/>
      <c r="BQ259" s="16"/>
      <c r="BR259" s="27"/>
      <c r="BT259" s="27"/>
      <c r="BU259" s="16"/>
      <c r="BV259" s="27"/>
      <c r="BX259" s="27"/>
      <c r="BY259" s="16"/>
      <c r="BZ259" s="27"/>
      <c r="CB259" s="27"/>
      <c r="CC259" s="16"/>
      <c r="CD259" s="27"/>
      <c r="CF259" s="27"/>
      <c r="CG259" s="16"/>
      <c r="CH259" s="27"/>
      <c r="CJ259" s="27"/>
      <c r="CK259" s="16"/>
      <c r="CL259" s="27"/>
      <c r="CN259" s="27"/>
      <c r="CO259" s="16"/>
      <c r="CP259" s="27"/>
      <c r="CR259" s="27"/>
      <c r="CS259" s="16"/>
      <c r="CT259" s="27"/>
      <c r="CV259" s="27"/>
      <c r="CW259" s="16"/>
      <c r="CX259" s="27"/>
      <c r="CZ259" s="27"/>
      <c r="DA259" s="16"/>
      <c r="DB259" s="27"/>
      <c r="DD259" s="16"/>
    </row>
    <row r="260" spans="1:108" s="14" customFormat="1" ht="21" x14ac:dyDescent="0.4">
      <c r="A260" s="27"/>
      <c r="B260" s="27"/>
      <c r="D260" s="16"/>
      <c r="E260" s="27"/>
      <c r="F260" s="27"/>
      <c r="H260" s="27"/>
      <c r="I260" s="16"/>
      <c r="J260" s="27"/>
      <c r="L260" s="27"/>
      <c r="M260" s="16"/>
      <c r="N260" s="27"/>
      <c r="P260" s="27"/>
      <c r="Q260" s="16"/>
      <c r="R260" s="27"/>
      <c r="T260" s="27"/>
      <c r="U260" s="16"/>
      <c r="V260" s="27"/>
      <c r="X260" s="27"/>
      <c r="Y260" s="16"/>
      <c r="Z260" s="27"/>
      <c r="AB260" s="27"/>
      <c r="AC260" s="16"/>
      <c r="AD260" s="27"/>
      <c r="AF260" s="27"/>
      <c r="AG260" s="16"/>
      <c r="AH260" s="27"/>
      <c r="AJ260" s="27"/>
      <c r="AK260" s="16"/>
      <c r="AL260" s="27"/>
      <c r="AN260" s="27"/>
      <c r="AO260" s="16"/>
      <c r="AP260" s="27"/>
      <c r="AR260" s="27"/>
      <c r="AS260" s="16"/>
      <c r="AT260" s="27"/>
      <c r="AV260" s="27"/>
      <c r="AW260" s="16"/>
      <c r="AX260" s="27"/>
      <c r="AZ260" s="27"/>
      <c r="BA260" s="16"/>
      <c r="BB260" s="27"/>
      <c r="BD260" s="27"/>
      <c r="BE260" s="16"/>
      <c r="BF260" s="27"/>
      <c r="BH260" s="27"/>
      <c r="BI260" s="16"/>
      <c r="BJ260" s="27"/>
      <c r="BL260" s="27"/>
      <c r="BM260" s="16"/>
      <c r="BN260" s="27"/>
      <c r="BP260" s="27"/>
      <c r="BQ260" s="16"/>
      <c r="BR260" s="27"/>
      <c r="BT260" s="27"/>
      <c r="BU260" s="16"/>
      <c r="BV260" s="27"/>
      <c r="BX260" s="27"/>
      <c r="BY260" s="16"/>
      <c r="BZ260" s="27"/>
      <c r="CB260" s="27"/>
      <c r="CC260" s="16"/>
      <c r="CD260" s="27"/>
      <c r="CF260" s="27"/>
      <c r="CG260" s="16"/>
      <c r="CH260" s="27"/>
      <c r="CJ260" s="27"/>
      <c r="CK260" s="16"/>
      <c r="CL260" s="27"/>
      <c r="CN260" s="27"/>
      <c r="CO260" s="16"/>
      <c r="CP260" s="27"/>
      <c r="CR260" s="27"/>
      <c r="CS260" s="16"/>
      <c r="CT260" s="27"/>
      <c r="CV260" s="27"/>
      <c r="CW260" s="16"/>
      <c r="CX260" s="27"/>
      <c r="CZ260" s="27"/>
      <c r="DA260" s="16"/>
      <c r="DB260" s="27"/>
      <c r="DD260" s="16"/>
    </row>
    <row r="261" spans="1:108" s="14" customFormat="1" ht="21" x14ac:dyDescent="0.4">
      <c r="A261" s="27"/>
      <c r="B261" s="27"/>
      <c r="D261" s="16"/>
      <c r="E261" s="27"/>
      <c r="F261" s="27"/>
      <c r="H261" s="27"/>
      <c r="I261" s="16"/>
      <c r="J261" s="27"/>
      <c r="L261" s="27"/>
      <c r="M261" s="16"/>
      <c r="N261" s="27"/>
      <c r="P261" s="27"/>
      <c r="Q261" s="16"/>
      <c r="R261" s="27"/>
      <c r="T261" s="27"/>
      <c r="U261" s="16"/>
      <c r="V261" s="27"/>
      <c r="X261" s="27"/>
      <c r="Y261" s="16"/>
      <c r="Z261" s="27"/>
      <c r="AB261" s="27"/>
      <c r="AC261" s="16"/>
      <c r="AD261" s="27"/>
      <c r="AF261" s="27"/>
      <c r="AG261" s="16"/>
      <c r="AH261" s="27"/>
      <c r="AJ261" s="27"/>
      <c r="AK261" s="16"/>
      <c r="AL261" s="27"/>
      <c r="AN261" s="27"/>
      <c r="AO261" s="16"/>
      <c r="AP261" s="27"/>
      <c r="AR261" s="27"/>
      <c r="AS261" s="16"/>
      <c r="AT261" s="27"/>
      <c r="AV261" s="27"/>
      <c r="AW261" s="16"/>
      <c r="AX261" s="27"/>
      <c r="AZ261" s="27"/>
      <c r="BA261" s="16"/>
      <c r="BB261" s="27"/>
      <c r="BD261" s="27"/>
      <c r="BE261" s="16"/>
      <c r="BF261" s="27"/>
      <c r="BH261" s="27"/>
      <c r="BI261" s="16"/>
      <c r="BJ261" s="27"/>
      <c r="BL261" s="27"/>
      <c r="BM261" s="16"/>
      <c r="BN261" s="27"/>
      <c r="BP261" s="27"/>
      <c r="BQ261" s="16"/>
      <c r="BR261" s="27"/>
      <c r="BT261" s="27"/>
      <c r="BU261" s="16"/>
      <c r="BV261" s="27"/>
      <c r="BX261" s="27"/>
      <c r="BY261" s="16"/>
      <c r="BZ261" s="27"/>
      <c r="CB261" s="27"/>
      <c r="CC261" s="16"/>
      <c r="CD261" s="27"/>
      <c r="CF261" s="27"/>
      <c r="CG261" s="16"/>
      <c r="CH261" s="27"/>
      <c r="CJ261" s="27"/>
      <c r="CK261" s="16"/>
      <c r="CL261" s="27"/>
      <c r="CN261" s="27"/>
      <c r="CO261" s="16"/>
      <c r="CP261" s="27"/>
      <c r="CR261" s="27"/>
      <c r="CS261" s="16"/>
      <c r="CT261" s="27"/>
      <c r="CV261" s="27"/>
      <c r="CW261" s="16"/>
      <c r="CX261" s="27"/>
      <c r="CZ261" s="27"/>
      <c r="DA261" s="16"/>
      <c r="DB261" s="27"/>
      <c r="DD261" s="16"/>
    </row>
    <row r="262" spans="1:108" s="14" customFormat="1" ht="21" x14ac:dyDescent="0.4">
      <c r="A262" s="27"/>
      <c r="B262" s="27"/>
      <c r="D262" s="16"/>
      <c r="E262" s="27"/>
      <c r="F262" s="27"/>
      <c r="H262" s="27"/>
      <c r="I262" s="16"/>
      <c r="J262" s="27"/>
      <c r="L262" s="27"/>
      <c r="M262" s="16"/>
      <c r="N262" s="27"/>
      <c r="P262" s="27"/>
      <c r="Q262" s="16"/>
      <c r="R262" s="27"/>
      <c r="T262" s="27"/>
      <c r="U262" s="16"/>
      <c r="V262" s="27"/>
      <c r="X262" s="27"/>
      <c r="Y262" s="16"/>
      <c r="Z262" s="27"/>
      <c r="AB262" s="27"/>
      <c r="AC262" s="16"/>
      <c r="AD262" s="27"/>
      <c r="AF262" s="27"/>
      <c r="AG262" s="16"/>
      <c r="AH262" s="27"/>
      <c r="AJ262" s="27"/>
      <c r="AK262" s="16"/>
      <c r="AL262" s="27"/>
      <c r="AN262" s="27"/>
      <c r="AO262" s="16"/>
      <c r="AP262" s="27"/>
      <c r="AR262" s="27"/>
      <c r="AS262" s="16"/>
      <c r="AT262" s="27"/>
      <c r="AV262" s="27"/>
      <c r="AW262" s="16"/>
      <c r="AX262" s="27"/>
      <c r="AZ262" s="27"/>
      <c r="BA262" s="16"/>
      <c r="BB262" s="27"/>
      <c r="BD262" s="27"/>
      <c r="BE262" s="16"/>
      <c r="BF262" s="27"/>
      <c r="BH262" s="27"/>
      <c r="BI262" s="16"/>
      <c r="BJ262" s="27"/>
      <c r="BL262" s="27"/>
      <c r="BM262" s="16"/>
      <c r="BN262" s="27"/>
      <c r="BP262" s="27"/>
      <c r="BQ262" s="16"/>
      <c r="BR262" s="27"/>
      <c r="BT262" s="27"/>
      <c r="BU262" s="16"/>
      <c r="BV262" s="27"/>
      <c r="BX262" s="27"/>
      <c r="BY262" s="16"/>
      <c r="BZ262" s="27"/>
      <c r="CB262" s="27"/>
      <c r="CC262" s="16"/>
      <c r="CD262" s="27"/>
      <c r="CF262" s="27"/>
      <c r="CG262" s="16"/>
      <c r="CH262" s="27"/>
      <c r="CJ262" s="27"/>
      <c r="CK262" s="16"/>
      <c r="CL262" s="27"/>
      <c r="CN262" s="27"/>
      <c r="CO262" s="16"/>
      <c r="CP262" s="27"/>
      <c r="CR262" s="27"/>
      <c r="CS262" s="16"/>
      <c r="CT262" s="27"/>
      <c r="CV262" s="27"/>
      <c r="CW262" s="16"/>
      <c r="CX262" s="27"/>
      <c r="CZ262" s="27"/>
      <c r="DA262" s="16"/>
      <c r="DB262" s="27"/>
      <c r="DD262" s="16"/>
    </row>
    <row r="263" spans="1:108" s="14" customFormat="1" ht="21" x14ac:dyDescent="0.4">
      <c r="A263" s="27"/>
      <c r="B263" s="27"/>
      <c r="D263" s="16"/>
      <c r="E263" s="27"/>
      <c r="F263" s="27"/>
      <c r="H263" s="27"/>
      <c r="I263" s="16"/>
      <c r="J263" s="27"/>
      <c r="L263" s="27"/>
      <c r="M263" s="16"/>
      <c r="N263" s="27"/>
      <c r="P263" s="27"/>
      <c r="Q263" s="16"/>
      <c r="R263" s="27"/>
      <c r="T263" s="27"/>
      <c r="U263" s="16"/>
      <c r="V263" s="27"/>
      <c r="X263" s="27"/>
      <c r="Y263" s="16"/>
      <c r="Z263" s="27"/>
      <c r="AB263" s="27"/>
      <c r="AC263" s="16"/>
      <c r="AD263" s="27"/>
      <c r="AF263" s="27"/>
      <c r="AG263" s="16"/>
      <c r="AH263" s="27"/>
      <c r="AJ263" s="27"/>
      <c r="AK263" s="16"/>
      <c r="AL263" s="27"/>
      <c r="AN263" s="27"/>
      <c r="AO263" s="16"/>
      <c r="AP263" s="27"/>
      <c r="AR263" s="27"/>
      <c r="AS263" s="16"/>
      <c r="AT263" s="27"/>
      <c r="AV263" s="27"/>
      <c r="AW263" s="16"/>
      <c r="AX263" s="27"/>
      <c r="AZ263" s="27"/>
      <c r="BA263" s="16"/>
      <c r="BB263" s="27"/>
      <c r="BD263" s="27"/>
      <c r="BE263" s="16"/>
      <c r="BF263" s="27"/>
      <c r="BH263" s="27"/>
      <c r="BI263" s="16"/>
      <c r="BJ263" s="27"/>
      <c r="BL263" s="27"/>
      <c r="BM263" s="16"/>
      <c r="BN263" s="27"/>
      <c r="BP263" s="27"/>
      <c r="BQ263" s="16"/>
      <c r="BR263" s="27"/>
      <c r="BT263" s="27"/>
      <c r="BU263" s="16"/>
      <c r="BV263" s="27"/>
      <c r="BX263" s="27"/>
      <c r="BY263" s="16"/>
      <c r="BZ263" s="27"/>
      <c r="CB263" s="27"/>
      <c r="CC263" s="16"/>
      <c r="CD263" s="27"/>
      <c r="CF263" s="27"/>
      <c r="CG263" s="16"/>
      <c r="CH263" s="27"/>
      <c r="CJ263" s="27"/>
      <c r="CK263" s="16"/>
      <c r="CL263" s="27"/>
      <c r="CN263" s="27"/>
      <c r="CO263" s="16"/>
      <c r="CP263" s="27"/>
      <c r="CR263" s="27"/>
      <c r="CS263" s="16"/>
      <c r="CT263" s="27"/>
      <c r="CV263" s="27"/>
      <c r="CW263" s="16"/>
      <c r="CX263" s="27"/>
      <c r="CZ263" s="27"/>
      <c r="DA263" s="16"/>
      <c r="DB263" s="27"/>
      <c r="DD263" s="16"/>
    </row>
    <row r="264" spans="1:108" s="14" customFormat="1" ht="21" x14ac:dyDescent="0.4">
      <c r="A264" s="27"/>
      <c r="B264" s="27"/>
      <c r="D264" s="16"/>
      <c r="E264" s="27"/>
      <c r="F264" s="27"/>
      <c r="H264" s="27"/>
      <c r="I264" s="16"/>
      <c r="J264" s="27"/>
      <c r="L264" s="27"/>
      <c r="M264" s="16"/>
      <c r="N264" s="27"/>
      <c r="P264" s="27"/>
      <c r="Q264" s="16"/>
      <c r="R264" s="27"/>
      <c r="T264" s="27"/>
      <c r="U264" s="16"/>
      <c r="V264" s="27"/>
      <c r="X264" s="27"/>
      <c r="Y264" s="16"/>
      <c r="Z264" s="27"/>
      <c r="AB264" s="27"/>
      <c r="AC264" s="16"/>
      <c r="AD264" s="27"/>
      <c r="AF264" s="27"/>
      <c r="AG264" s="16"/>
      <c r="AH264" s="27"/>
      <c r="AJ264" s="27"/>
      <c r="AK264" s="16"/>
      <c r="AL264" s="27"/>
      <c r="AN264" s="27"/>
      <c r="AO264" s="16"/>
      <c r="AP264" s="27"/>
      <c r="AR264" s="27"/>
      <c r="AS264" s="16"/>
      <c r="AT264" s="27"/>
      <c r="AV264" s="27"/>
      <c r="AW264" s="16"/>
      <c r="AX264" s="27"/>
      <c r="AZ264" s="27"/>
      <c r="BA264" s="16"/>
      <c r="BB264" s="27"/>
      <c r="BD264" s="27"/>
      <c r="BE264" s="16"/>
      <c r="BF264" s="27"/>
      <c r="BH264" s="27"/>
      <c r="BI264" s="16"/>
      <c r="BJ264" s="27"/>
      <c r="BL264" s="27"/>
      <c r="BM264" s="16"/>
      <c r="BN264" s="27"/>
      <c r="BP264" s="27"/>
      <c r="BQ264" s="16"/>
      <c r="BR264" s="27"/>
      <c r="BT264" s="27"/>
      <c r="BU264" s="16"/>
      <c r="BV264" s="27"/>
      <c r="BX264" s="27"/>
      <c r="BY264" s="16"/>
      <c r="BZ264" s="27"/>
      <c r="CB264" s="27"/>
      <c r="CC264" s="16"/>
      <c r="CD264" s="27"/>
      <c r="CF264" s="27"/>
      <c r="CG264" s="16"/>
      <c r="CH264" s="27"/>
      <c r="CJ264" s="27"/>
      <c r="CK264" s="16"/>
      <c r="CL264" s="27"/>
      <c r="CN264" s="27"/>
      <c r="CO264" s="16"/>
      <c r="CP264" s="27"/>
      <c r="CR264" s="27"/>
      <c r="CS264" s="16"/>
      <c r="CT264" s="27"/>
      <c r="CV264" s="27"/>
      <c r="CW264" s="16"/>
      <c r="CX264" s="27"/>
      <c r="CZ264" s="27"/>
      <c r="DA264" s="16"/>
      <c r="DB264" s="27"/>
      <c r="DD264" s="16"/>
    </row>
    <row r="265" spans="1:108" s="14" customFormat="1" ht="21" x14ac:dyDescent="0.4">
      <c r="A265" s="27"/>
      <c r="B265" s="27"/>
      <c r="D265" s="16"/>
      <c r="E265" s="27"/>
      <c r="F265" s="27"/>
      <c r="H265" s="27"/>
      <c r="I265" s="16"/>
      <c r="J265" s="27"/>
      <c r="L265" s="27"/>
      <c r="M265" s="16"/>
      <c r="N265" s="27"/>
      <c r="P265" s="27"/>
      <c r="Q265" s="16"/>
      <c r="R265" s="27"/>
      <c r="T265" s="27"/>
      <c r="U265" s="16"/>
      <c r="V265" s="27"/>
      <c r="X265" s="27"/>
      <c r="Y265" s="16"/>
      <c r="Z265" s="27"/>
      <c r="AB265" s="27"/>
      <c r="AC265" s="16"/>
      <c r="AD265" s="27"/>
      <c r="AF265" s="27"/>
      <c r="AG265" s="16"/>
      <c r="AH265" s="27"/>
      <c r="AJ265" s="27"/>
      <c r="AK265" s="16"/>
      <c r="AL265" s="27"/>
      <c r="AN265" s="27"/>
      <c r="AO265" s="16"/>
      <c r="AP265" s="27"/>
      <c r="AR265" s="27"/>
      <c r="AS265" s="16"/>
      <c r="AT265" s="27"/>
      <c r="AV265" s="27"/>
      <c r="AW265" s="16"/>
      <c r="AX265" s="27"/>
      <c r="AZ265" s="27"/>
      <c r="BA265" s="16"/>
      <c r="BB265" s="27"/>
      <c r="BD265" s="27"/>
      <c r="BE265" s="16"/>
      <c r="BF265" s="27"/>
      <c r="BH265" s="27"/>
      <c r="BI265" s="16"/>
      <c r="BJ265" s="27"/>
      <c r="BL265" s="27"/>
      <c r="BM265" s="16"/>
      <c r="BN265" s="27"/>
      <c r="BP265" s="27"/>
      <c r="BQ265" s="16"/>
      <c r="BR265" s="27"/>
      <c r="BT265" s="27"/>
      <c r="BU265" s="16"/>
      <c r="BV265" s="27"/>
      <c r="BX265" s="27"/>
      <c r="BY265" s="16"/>
      <c r="BZ265" s="27"/>
      <c r="CB265" s="27"/>
      <c r="CC265" s="16"/>
      <c r="CD265" s="27"/>
      <c r="CF265" s="27"/>
      <c r="CG265" s="16"/>
      <c r="CH265" s="27"/>
      <c r="CJ265" s="27"/>
      <c r="CK265" s="16"/>
      <c r="CL265" s="27"/>
      <c r="CN265" s="27"/>
      <c r="CO265" s="16"/>
      <c r="CP265" s="27"/>
      <c r="CR265" s="27"/>
      <c r="CS265" s="16"/>
      <c r="CT265" s="27"/>
      <c r="CV265" s="27"/>
      <c r="CW265" s="16"/>
      <c r="CX265" s="27"/>
      <c r="CZ265" s="27"/>
      <c r="DA265" s="16"/>
      <c r="DB265" s="27"/>
      <c r="DD265" s="16"/>
    </row>
    <row r="266" spans="1:108" s="14" customFormat="1" ht="21" x14ac:dyDescent="0.4">
      <c r="A266" s="27"/>
      <c r="B266" s="27"/>
      <c r="D266" s="16"/>
      <c r="E266" s="27"/>
      <c r="F266" s="27"/>
      <c r="H266" s="27"/>
      <c r="I266" s="16"/>
      <c r="J266" s="27"/>
      <c r="L266" s="27"/>
      <c r="M266" s="16"/>
      <c r="N266" s="27"/>
      <c r="P266" s="27"/>
      <c r="Q266" s="16"/>
      <c r="R266" s="27"/>
      <c r="T266" s="27"/>
      <c r="U266" s="16"/>
      <c r="V266" s="27"/>
      <c r="X266" s="27"/>
      <c r="Y266" s="16"/>
      <c r="Z266" s="27"/>
      <c r="AB266" s="27"/>
      <c r="AC266" s="16"/>
      <c r="AD266" s="27"/>
      <c r="AF266" s="27"/>
      <c r="AG266" s="16"/>
      <c r="AH266" s="27"/>
      <c r="AJ266" s="27"/>
      <c r="AK266" s="16"/>
      <c r="AL266" s="27"/>
      <c r="AN266" s="27"/>
      <c r="AO266" s="16"/>
      <c r="AP266" s="27"/>
      <c r="AR266" s="27"/>
      <c r="AS266" s="16"/>
      <c r="AT266" s="27"/>
      <c r="AV266" s="27"/>
      <c r="AW266" s="16"/>
      <c r="AX266" s="27"/>
      <c r="AZ266" s="27"/>
      <c r="BA266" s="16"/>
      <c r="BB266" s="27"/>
      <c r="BD266" s="27"/>
      <c r="BE266" s="16"/>
      <c r="BF266" s="27"/>
      <c r="BH266" s="27"/>
      <c r="BI266" s="16"/>
      <c r="BJ266" s="27"/>
      <c r="BL266" s="27"/>
      <c r="BM266" s="16"/>
      <c r="BN266" s="27"/>
      <c r="BP266" s="27"/>
      <c r="BQ266" s="16"/>
      <c r="BR266" s="27"/>
      <c r="BT266" s="27"/>
      <c r="BU266" s="16"/>
      <c r="BV266" s="27"/>
      <c r="BX266" s="27"/>
      <c r="BY266" s="16"/>
      <c r="BZ266" s="27"/>
      <c r="CB266" s="27"/>
      <c r="CC266" s="16"/>
      <c r="CD266" s="27"/>
      <c r="CF266" s="27"/>
      <c r="CG266" s="16"/>
      <c r="CH266" s="27"/>
      <c r="CJ266" s="27"/>
      <c r="CK266" s="16"/>
      <c r="CL266" s="27"/>
      <c r="CN266" s="27"/>
      <c r="CO266" s="16"/>
      <c r="CP266" s="27"/>
      <c r="CR266" s="27"/>
      <c r="CS266" s="16"/>
      <c r="CT266" s="27"/>
      <c r="CV266" s="27"/>
      <c r="CW266" s="16"/>
      <c r="CX266" s="27"/>
      <c r="CZ266" s="27"/>
      <c r="DA266" s="16"/>
      <c r="DB266" s="27"/>
      <c r="DD266" s="16"/>
    </row>
    <row r="267" spans="1:108" s="14" customFormat="1" ht="21" x14ac:dyDescent="0.4">
      <c r="A267" s="27"/>
      <c r="B267" s="27"/>
      <c r="D267" s="16"/>
      <c r="E267" s="27"/>
      <c r="F267" s="27"/>
      <c r="H267" s="27"/>
      <c r="I267" s="16"/>
      <c r="J267" s="27"/>
      <c r="L267" s="27"/>
      <c r="M267" s="16"/>
      <c r="N267" s="27"/>
      <c r="P267" s="27"/>
      <c r="Q267" s="16"/>
      <c r="R267" s="27"/>
      <c r="T267" s="27"/>
      <c r="U267" s="16"/>
      <c r="V267" s="27"/>
      <c r="X267" s="27"/>
      <c r="Y267" s="16"/>
      <c r="Z267" s="27"/>
      <c r="AB267" s="27"/>
      <c r="AC267" s="16"/>
      <c r="AD267" s="27"/>
      <c r="AF267" s="27"/>
      <c r="AG267" s="16"/>
      <c r="AH267" s="27"/>
      <c r="AJ267" s="27"/>
      <c r="AK267" s="16"/>
      <c r="AL267" s="27"/>
      <c r="AN267" s="27"/>
      <c r="AO267" s="16"/>
      <c r="AP267" s="27"/>
      <c r="AR267" s="27"/>
      <c r="AS267" s="16"/>
      <c r="AT267" s="27"/>
      <c r="AV267" s="27"/>
      <c r="AW267" s="16"/>
      <c r="AX267" s="27"/>
      <c r="AZ267" s="27"/>
      <c r="BA267" s="16"/>
      <c r="BB267" s="27"/>
      <c r="BD267" s="27"/>
      <c r="BE267" s="16"/>
      <c r="BF267" s="27"/>
      <c r="BH267" s="27"/>
      <c r="BI267" s="16"/>
      <c r="BJ267" s="27"/>
      <c r="BL267" s="27"/>
      <c r="BM267" s="16"/>
      <c r="BN267" s="27"/>
      <c r="BP267" s="27"/>
      <c r="BQ267" s="16"/>
      <c r="BR267" s="27"/>
      <c r="BT267" s="27"/>
      <c r="BU267" s="16"/>
      <c r="BV267" s="27"/>
      <c r="BX267" s="27"/>
      <c r="BY267" s="16"/>
      <c r="BZ267" s="27"/>
      <c r="CB267" s="27"/>
      <c r="CC267" s="16"/>
      <c r="CD267" s="27"/>
      <c r="CF267" s="27"/>
      <c r="CG267" s="16"/>
      <c r="CH267" s="27"/>
      <c r="CJ267" s="27"/>
      <c r="CK267" s="16"/>
      <c r="CL267" s="27"/>
      <c r="CN267" s="27"/>
      <c r="CO267" s="16"/>
      <c r="CP267" s="27"/>
      <c r="CR267" s="27"/>
      <c r="CS267" s="16"/>
      <c r="CT267" s="27"/>
      <c r="CV267" s="27"/>
      <c r="CW267" s="16"/>
      <c r="CX267" s="27"/>
      <c r="CZ267" s="27"/>
      <c r="DA267" s="16"/>
      <c r="DB267" s="27"/>
      <c r="DD267" s="16"/>
    </row>
    <row r="268" spans="1:108" s="14" customFormat="1" ht="21" x14ac:dyDescent="0.4">
      <c r="A268" s="27"/>
      <c r="B268" s="27"/>
      <c r="D268" s="16"/>
      <c r="E268" s="27"/>
      <c r="F268" s="27"/>
      <c r="H268" s="27"/>
      <c r="I268" s="16"/>
      <c r="J268" s="27"/>
      <c r="L268" s="27"/>
      <c r="M268" s="16"/>
      <c r="N268" s="27"/>
      <c r="P268" s="27"/>
      <c r="Q268" s="16"/>
      <c r="R268" s="27"/>
      <c r="T268" s="27"/>
      <c r="U268" s="16"/>
      <c r="V268" s="27"/>
      <c r="X268" s="27"/>
      <c r="Y268" s="16"/>
      <c r="Z268" s="27"/>
      <c r="AB268" s="27"/>
      <c r="AC268" s="16"/>
      <c r="AD268" s="27"/>
      <c r="AF268" s="27"/>
      <c r="AG268" s="16"/>
      <c r="AH268" s="27"/>
      <c r="AJ268" s="27"/>
      <c r="AK268" s="16"/>
      <c r="AL268" s="27"/>
      <c r="AN268" s="27"/>
      <c r="AO268" s="16"/>
      <c r="AP268" s="27"/>
      <c r="AR268" s="27"/>
      <c r="AS268" s="16"/>
      <c r="AT268" s="27"/>
      <c r="AV268" s="27"/>
      <c r="AW268" s="16"/>
      <c r="AX268" s="27"/>
      <c r="AZ268" s="27"/>
      <c r="BA268" s="16"/>
      <c r="BB268" s="27"/>
      <c r="BD268" s="27"/>
      <c r="BE268" s="16"/>
      <c r="BF268" s="27"/>
      <c r="BH268" s="27"/>
      <c r="BI268" s="16"/>
      <c r="BJ268" s="27"/>
      <c r="BL268" s="27"/>
      <c r="BM268" s="16"/>
      <c r="BN268" s="27"/>
      <c r="BP268" s="27"/>
      <c r="BQ268" s="16"/>
      <c r="BR268" s="27"/>
      <c r="BT268" s="27"/>
      <c r="BU268" s="16"/>
      <c r="BV268" s="27"/>
      <c r="BX268" s="27"/>
      <c r="BY268" s="16"/>
      <c r="BZ268" s="27"/>
      <c r="CB268" s="27"/>
      <c r="CC268" s="16"/>
      <c r="CD268" s="27"/>
      <c r="CF268" s="27"/>
      <c r="CG268" s="16"/>
      <c r="CH268" s="27"/>
      <c r="CJ268" s="27"/>
      <c r="CK268" s="16"/>
      <c r="CL268" s="27"/>
      <c r="CN268" s="27"/>
      <c r="CO268" s="16"/>
      <c r="CP268" s="27"/>
      <c r="CR268" s="27"/>
      <c r="CS268" s="16"/>
      <c r="CT268" s="27"/>
      <c r="CV268" s="27"/>
      <c r="CW268" s="16"/>
      <c r="CX268" s="27"/>
      <c r="CZ268" s="27"/>
      <c r="DA268" s="16"/>
      <c r="DB268" s="27"/>
      <c r="DD268" s="16"/>
    </row>
    <row r="269" spans="1:108" s="14" customFormat="1" ht="21" x14ac:dyDescent="0.4">
      <c r="A269" s="27"/>
      <c r="B269" s="27"/>
      <c r="D269" s="16"/>
      <c r="E269" s="27"/>
      <c r="F269" s="27"/>
      <c r="H269" s="27"/>
      <c r="I269" s="16"/>
      <c r="J269" s="27"/>
      <c r="L269" s="27"/>
      <c r="M269" s="16"/>
      <c r="N269" s="27"/>
      <c r="P269" s="27"/>
      <c r="Q269" s="16"/>
      <c r="R269" s="27"/>
      <c r="T269" s="27"/>
      <c r="U269" s="16"/>
      <c r="V269" s="27"/>
      <c r="X269" s="27"/>
      <c r="Y269" s="16"/>
      <c r="Z269" s="27"/>
      <c r="AB269" s="27"/>
      <c r="AC269" s="16"/>
      <c r="AD269" s="27"/>
      <c r="AF269" s="27"/>
      <c r="AG269" s="16"/>
      <c r="AH269" s="27"/>
      <c r="AJ269" s="27"/>
      <c r="AK269" s="16"/>
      <c r="AL269" s="27"/>
      <c r="AN269" s="27"/>
      <c r="AO269" s="16"/>
      <c r="AP269" s="27"/>
      <c r="AR269" s="27"/>
      <c r="AS269" s="16"/>
      <c r="AT269" s="27"/>
      <c r="AV269" s="27"/>
      <c r="AW269" s="16"/>
      <c r="AX269" s="27"/>
      <c r="AZ269" s="27"/>
      <c r="BA269" s="16"/>
      <c r="BB269" s="27"/>
      <c r="BD269" s="27"/>
      <c r="BE269" s="16"/>
      <c r="BF269" s="27"/>
      <c r="BH269" s="27"/>
      <c r="BI269" s="16"/>
      <c r="BJ269" s="27"/>
      <c r="BL269" s="27"/>
      <c r="BM269" s="16"/>
      <c r="BN269" s="27"/>
      <c r="BP269" s="27"/>
      <c r="BQ269" s="16"/>
      <c r="BR269" s="27"/>
      <c r="BT269" s="27"/>
      <c r="BU269" s="16"/>
      <c r="BV269" s="27"/>
      <c r="BX269" s="27"/>
      <c r="BY269" s="16"/>
      <c r="BZ269" s="27"/>
      <c r="CB269" s="27"/>
      <c r="CC269" s="16"/>
      <c r="CD269" s="27"/>
      <c r="CF269" s="27"/>
      <c r="CG269" s="16"/>
      <c r="CH269" s="27"/>
      <c r="CJ269" s="27"/>
      <c r="CK269" s="16"/>
      <c r="CL269" s="27"/>
      <c r="CN269" s="27"/>
      <c r="CO269" s="16"/>
      <c r="CP269" s="27"/>
      <c r="CR269" s="27"/>
      <c r="CS269" s="16"/>
      <c r="CT269" s="27"/>
      <c r="CV269" s="27"/>
      <c r="CW269" s="16"/>
      <c r="CX269" s="27"/>
      <c r="CZ269" s="27"/>
      <c r="DA269" s="16"/>
      <c r="DB269" s="27"/>
      <c r="DD269" s="16"/>
    </row>
    <row r="270" spans="1:108" s="14" customFormat="1" ht="21" x14ac:dyDescent="0.4">
      <c r="A270" s="27"/>
      <c r="B270" s="27"/>
      <c r="D270" s="16"/>
      <c r="E270" s="27"/>
      <c r="F270" s="27"/>
      <c r="H270" s="27"/>
      <c r="I270" s="16"/>
      <c r="J270" s="27"/>
      <c r="L270" s="27"/>
      <c r="M270" s="16"/>
      <c r="N270" s="27"/>
      <c r="P270" s="27"/>
      <c r="Q270" s="16"/>
      <c r="R270" s="27"/>
      <c r="T270" s="27"/>
      <c r="U270" s="16"/>
      <c r="V270" s="27"/>
      <c r="X270" s="27"/>
      <c r="Y270" s="16"/>
      <c r="Z270" s="27"/>
      <c r="AB270" s="27"/>
      <c r="AC270" s="16"/>
      <c r="AD270" s="27"/>
      <c r="AF270" s="27"/>
      <c r="AG270" s="16"/>
      <c r="AH270" s="27"/>
      <c r="AJ270" s="27"/>
      <c r="AK270" s="16"/>
      <c r="AL270" s="27"/>
      <c r="AN270" s="27"/>
      <c r="AO270" s="16"/>
      <c r="AP270" s="27"/>
      <c r="AR270" s="27"/>
      <c r="AS270" s="16"/>
      <c r="AT270" s="27"/>
      <c r="AV270" s="27"/>
      <c r="AW270" s="16"/>
      <c r="AX270" s="27"/>
      <c r="AZ270" s="27"/>
      <c r="BA270" s="16"/>
      <c r="BB270" s="27"/>
      <c r="BD270" s="27"/>
      <c r="BE270" s="16"/>
      <c r="BF270" s="27"/>
      <c r="BH270" s="27"/>
      <c r="BI270" s="16"/>
      <c r="BJ270" s="27"/>
      <c r="BL270" s="27"/>
      <c r="BM270" s="16"/>
      <c r="BN270" s="27"/>
      <c r="BP270" s="27"/>
      <c r="BQ270" s="16"/>
      <c r="BR270" s="27"/>
      <c r="BT270" s="27"/>
      <c r="BU270" s="16"/>
      <c r="BV270" s="27"/>
      <c r="BX270" s="27"/>
      <c r="BY270" s="16"/>
      <c r="BZ270" s="27"/>
      <c r="CB270" s="27"/>
      <c r="CC270" s="16"/>
      <c r="CD270" s="27"/>
      <c r="CF270" s="27"/>
      <c r="CG270" s="16"/>
      <c r="CH270" s="27"/>
      <c r="CJ270" s="27"/>
      <c r="CK270" s="16"/>
      <c r="CL270" s="27"/>
      <c r="CN270" s="27"/>
      <c r="CO270" s="16"/>
      <c r="CP270" s="27"/>
      <c r="CR270" s="27"/>
      <c r="CS270" s="16"/>
      <c r="CT270" s="27"/>
      <c r="CV270" s="27"/>
      <c r="CW270" s="16"/>
      <c r="CX270" s="27"/>
      <c r="CZ270" s="27"/>
      <c r="DA270" s="16"/>
      <c r="DB270" s="27"/>
      <c r="DD270" s="16"/>
    </row>
    <row r="271" spans="1:108" s="14" customFormat="1" ht="21" x14ac:dyDescent="0.4">
      <c r="A271" s="27"/>
      <c r="B271" s="27"/>
      <c r="D271" s="16"/>
      <c r="E271" s="27"/>
      <c r="F271" s="27"/>
      <c r="H271" s="27"/>
      <c r="I271" s="16"/>
      <c r="J271" s="27"/>
      <c r="L271" s="27"/>
      <c r="M271" s="16"/>
      <c r="N271" s="27"/>
      <c r="P271" s="27"/>
      <c r="Q271" s="16"/>
      <c r="R271" s="27"/>
      <c r="T271" s="27"/>
      <c r="U271" s="16"/>
      <c r="V271" s="27"/>
      <c r="X271" s="27"/>
      <c r="Y271" s="16"/>
      <c r="Z271" s="27"/>
      <c r="AB271" s="27"/>
      <c r="AC271" s="16"/>
      <c r="AD271" s="27"/>
      <c r="AF271" s="27"/>
      <c r="AG271" s="16"/>
      <c r="AH271" s="27"/>
      <c r="AJ271" s="27"/>
      <c r="AK271" s="16"/>
      <c r="AL271" s="27"/>
      <c r="AN271" s="27"/>
      <c r="AO271" s="16"/>
      <c r="AP271" s="27"/>
      <c r="AR271" s="27"/>
      <c r="AS271" s="16"/>
      <c r="AT271" s="27"/>
      <c r="AV271" s="27"/>
      <c r="AW271" s="16"/>
      <c r="AX271" s="27"/>
      <c r="AZ271" s="27"/>
      <c r="BA271" s="16"/>
      <c r="BB271" s="27"/>
      <c r="BD271" s="27"/>
      <c r="BE271" s="16"/>
      <c r="BF271" s="27"/>
      <c r="BH271" s="27"/>
      <c r="BI271" s="16"/>
      <c r="BJ271" s="27"/>
      <c r="BL271" s="27"/>
      <c r="BM271" s="16"/>
      <c r="BN271" s="27"/>
      <c r="BP271" s="27"/>
      <c r="BQ271" s="16"/>
      <c r="BR271" s="27"/>
      <c r="BT271" s="27"/>
      <c r="BU271" s="16"/>
      <c r="BV271" s="27"/>
      <c r="BX271" s="27"/>
      <c r="BY271" s="16"/>
      <c r="BZ271" s="27"/>
      <c r="CB271" s="27"/>
      <c r="CC271" s="16"/>
      <c r="CD271" s="27"/>
      <c r="CF271" s="27"/>
      <c r="CG271" s="16"/>
      <c r="CH271" s="27"/>
      <c r="CJ271" s="27"/>
      <c r="CK271" s="16"/>
      <c r="CL271" s="27"/>
      <c r="CN271" s="27"/>
      <c r="CO271" s="16"/>
      <c r="CP271" s="27"/>
      <c r="CR271" s="27"/>
      <c r="CS271" s="16"/>
      <c r="CT271" s="27"/>
      <c r="CV271" s="27"/>
      <c r="CW271" s="16"/>
      <c r="CX271" s="27"/>
      <c r="CZ271" s="27"/>
      <c r="DA271" s="16"/>
      <c r="DB271" s="27"/>
      <c r="DD271" s="16"/>
    </row>
    <row r="272" spans="1:108" s="14" customFormat="1" ht="21" x14ac:dyDescent="0.4">
      <c r="A272" s="27"/>
      <c r="B272" s="27"/>
      <c r="D272" s="16"/>
      <c r="E272" s="27"/>
      <c r="F272" s="27"/>
      <c r="H272" s="27"/>
      <c r="I272" s="16"/>
      <c r="J272" s="27"/>
      <c r="L272" s="27"/>
      <c r="M272" s="16"/>
      <c r="N272" s="27"/>
      <c r="P272" s="27"/>
      <c r="Q272" s="16"/>
      <c r="R272" s="27"/>
      <c r="T272" s="27"/>
      <c r="U272" s="16"/>
      <c r="V272" s="27"/>
      <c r="X272" s="27"/>
      <c r="Y272" s="16"/>
      <c r="Z272" s="27"/>
      <c r="AB272" s="27"/>
      <c r="AC272" s="16"/>
      <c r="AD272" s="27"/>
      <c r="AF272" s="27"/>
      <c r="AG272" s="16"/>
      <c r="AH272" s="27"/>
      <c r="AJ272" s="27"/>
      <c r="AK272" s="16"/>
      <c r="AL272" s="27"/>
      <c r="AN272" s="27"/>
      <c r="AO272" s="16"/>
      <c r="AP272" s="27"/>
      <c r="AR272" s="27"/>
      <c r="AS272" s="16"/>
      <c r="AT272" s="27"/>
      <c r="AV272" s="27"/>
      <c r="AW272" s="16"/>
      <c r="AX272" s="27"/>
      <c r="AZ272" s="27"/>
      <c r="BA272" s="16"/>
      <c r="BB272" s="27"/>
      <c r="BD272" s="27"/>
      <c r="BE272" s="16"/>
      <c r="BF272" s="27"/>
      <c r="BH272" s="27"/>
      <c r="BI272" s="16"/>
      <c r="BJ272" s="27"/>
      <c r="BL272" s="27"/>
      <c r="BM272" s="16"/>
      <c r="BN272" s="27"/>
      <c r="BP272" s="27"/>
      <c r="BQ272" s="16"/>
      <c r="BR272" s="27"/>
      <c r="BT272" s="27"/>
      <c r="BU272" s="16"/>
      <c r="BV272" s="27"/>
      <c r="BX272" s="27"/>
      <c r="BY272" s="16"/>
      <c r="BZ272" s="27"/>
      <c r="CB272" s="27"/>
      <c r="CC272" s="16"/>
      <c r="CD272" s="27"/>
      <c r="CF272" s="27"/>
      <c r="CG272" s="16"/>
      <c r="CH272" s="27"/>
      <c r="CJ272" s="27"/>
      <c r="CK272" s="16"/>
      <c r="CL272" s="27"/>
      <c r="CN272" s="27"/>
      <c r="CO272" s="16"/>
      <c r="CP272" s="27"/>
      <c r="CR272" s="27"/>
      <c r="CS272" s="16"/>
      <c r="CT272" s="27"/>
      <c r="CV272" s="27"/>
      <c r="CW272" s="16"/>
      <c r="CX272" s="27"/>
      <c r="CZ272" s="27"/>
      <c r="DA272" s="16"/>
      <c r="DB272" s="27"/>
      <c r="DD272" s="16"/>
    </row>
    <row r="273" spans="1:108" s="14" customFormat="1" ht="21" x14ac:dyDescent="0.4">
      <c r="A273" s="27"/>
      <c r="B273" s="27"/>
      <c r="D273" s="16"/>
      <c r="E273" s="27"/>
      <c r="F273" s="27"/>
      <c r="H273" s="27"/>
      <c r="I273" s="16"/>
      <c r="J273" s="27"/>
      <c r="L273" s="27"/>
      <c r="M273" s="16"/>
      <c r="N273" s="27"/>
      <c r="P273" s="27"/>
      <c r="Q273" s="16"/>
      <c r="R273" s="27"/>
      <c r="T273" s="27"/>
      <c r="U273" s="16"/>
      <c r="V273" s="27"/>
      <c r="X273" s="27"/>
      <c r="Y273" s="16"/>
      <c r="Z273" s="27"/>
      <c r="AB273" s="27"/>
      <c r="AC273" s="16"/>
      <c r="AD273" s="27"/>
      <c r="AF273" s="27"/>
      <c r="AG273" s="16"/>
      <c r="AH273" s="27"/>
      <c r="AJ273" s="27"/>
      <c r="AK273" s="16"/>
      <c r="AL273" s="27"/>
      <c r="AN273" s="27"/>
      <c r="AO273" s="16"/>
      <c r="AP273" s="27"/>
      <c r="AR273" s="27"/>
      <c r="AS273" s="16"/>
      <c r="AT273" s="27"/>
      <c r="AV273" s="27"/>
      <c r="AW273" s="16"/>
      <c r="AX273" s="27"/>
      <c r="AZ273" s="27"/>
      <c r="BA273" s="16"/>
      <c r="BB273" s="27"/>
      <c r="BD273" s="27"/>
      <c r="BE273" s="16"/>
      <c r="BF273" s="27"/>
      <c r="BH273" s="27"/>
      <c r="BI273" s="16"/>
      <c r="BJ273" s="27"/>
      <c r="BL273" s="27"/>
      <c r="BM273" s="16"/>
      <c r="BN273" s="27"/>
      <c r="BP273" s="27"/>
      <c r="BQ273" s="16"/>
      <c r="BR273" s="27"/>
      <c r="BT273" s="27"/>
      <c r="BU273" s="16"/>
      <c r="BV273" s="27"/>
      <c r="BX273" s="27"/>
      <c r="BY273" s="16"/>
      <c r="BZ273" s="27"/>
      <c r="CB273" s="27"/>
      <c r="CC273" s="16"/>
      <c r="CD273" s="27"/>
      <c r="CF273" s="27"/>
      <c r="CG273" s="16"/>
      <c r="CH273" s="27"/>
      <c r="CJ273" s="27"/>
      <c r="CK273" s="16"/>
      <c r="CL273" s="27"/>
      <c r="CN273" s="27"/>
      <c r="CO273" s="16"/>
      <c r="CP273" s="27"/>
      <c r="CR273" s="27"/>
      <c r="CS273" s="16"/>
      <c r="CT273" s="27"/>
      <c r="CV273" s="27"/>
      <c r="CW273" s="16"/>
      <c r="CX273" s="27"/>
      <c r="CZ273" s="27"/>
      <c r="DA273" s="16"/>
      <c r="DB273" s="27"/>
      <c r="DD273" s="16"/>
    </row>
    <row r="274" spans="1:108" s="14" customFormat="1" ht="21" x14ac:dyDescent="0.4">
      <c r="A274" s="27"/>
      <c r="B274" s="27"/>
      <c r="D274" s="16"/>
      <c r="E274" s="27"/>
      <c r="F274" s="27"/>
      <c r="H274" s="27"/>
      <c r="I274" s="16"/>
      <c r="J274" s="27"/>
      <c r="L274" s="27"/>
      <c r="M274" s="16"/>
      <c r="N274" s="27"/>
      <c r="P274" s="27"/>
      <c r="Q274" s="16"/>
      <c r="R274" s="27"/>
      <c r="T274" s="27"/>
      <c r="U274" s="16"/>
      <c r="V274" s="27"/>
      <c r="X274" s="27"/>
      <c r="Y274" s="16"/>
      <c r="Z274" s="27"/>
      <c r="AB274" s="27"/>
      <c r="AC274" s="16"/>
      <c r="AD274" s="27"/>
      <c r="AF274" s="27"/>
      <c r="AG274" s="16"/>
      <c r="AH274" s="27"/>
      <c r="AJ274" s="27"/>
      <c r="AK274" s="16"/>
      <c r="AL274" s="27"/>
      <c r="AN274" s="27"/>
      <c r="AO274" s="16"/>
      <c r="AP274" s="27"/>
      <c r="AR274" s="27"/>
      <c r="AS274" s="16"/>
      <c r="AT274" s="27"/>
      <c r="AV274" s="27"/>
      <c r="AW274" s="16"/>
      <c r="AX274" s="27"/>
      <c r="AZ274" s="27"/>
      <c r="BA274" s="16"/>
      <c r="BB274" s="27"/>
      <c r="BD274" s="27"/>
      <c r="BE274" s="16"/>
      <c r="BF274" s="27"/>
      <c r="BH274" s="27"/>
      <c r="BI274" s="16"/>
      <c r="BJ274" s="27"/>
      <c r="BL274" s="27"/>
      <c r="BM274" s="16"/>
      <c r="BN274" s="27"/>
      <c r="BP274" s="27"/>
      <c r="BQ274" s="16"/>
      <c r="BR274" s="27"/>
      <c r="BT274" s="27"/>
      <c r="BU274" s="16"/>
      <c r="BV274" s="27"/>
      <c r="BX274" s="27"/>
      <c r="BY274" s="16"/>
      <c r="BZ274" s="27"/>
      <c r="CB274" s="27"/>
      <c r="CC274" s="16"/>
      <c r="CD274" s="27"/>
      <c r="CF274" s="27"/>
      <c r="CG274" s="16"/>
      <c r="CH274" s="27"/>
      <c r="CJ274" s="27"/>
      <c r="CK274" s="16"/>
      <c r="CL274" s="27"/>
      <c r="CN274" s="27"/>
      <c r="CO274" s="16"/>
      <c r="CP274" s="27"/>
      <c r="CR274" s="27"/>
      <c r="CS274" s="16"/>
      <c r="CT274" s="27"/>
      <c r="CV274" s="27"/>
      <c r="CW274" s="16"/>
      <c r="CX274" s="27"/>
      <c r="CZ274" s="27"/>
      <c r="DA274" s="16"/>
      <c r="DB274" s="27"/>
      <c r="DD274" s="16"/>
    </row>
    <row r="275" spans="1:108" s="14" customFormat="1" ht="21" x14ac:dyDescent="0.4">
      <c r="A275" s="27"/>
      <c r="B275" s="27"/>
      <c r="D275" s="16"/>
      <c r="E275" s="27"/>
      <c r="F275" s="27"/>
      <c r="H275" s="27"/>
      <c r="I275" s="16"/>
      <c r="J275" s="27"/>
      <c r="L275" s="27"/>
      <c r="M275" s="16"/>
      <c r="N275" s="27"/>
      <c r="P275" s="27"/>
      <c r="Q275" s="16"/>
      <c r="R275" s="27"/>
      <c r="T275" s="27"/>
      <c r="U275" s="16"/>
      <c r="V275" s="27"/>
      <c r="X275" s="27"/>
      <c r="Y275" s="16"/>
      <c r="Z275" s="27"/>
      <c r="AB275" s="27"/>
      <c r="AC275" s="16"/>
      <c r="AD275" s="27"/>
      <c r="AF275" s="27"/>
      <c r="AG275" s="16"/>
      <c r="AH275" s="27"/>
      <c r="AJ275" s="27"/>
      <c r="AK275" s="16"/>
      <c r="AL275" s="27"/>
      <c r="AN275" s="27"/>
      <c r="AO275" s="16"/>
      <c r="AP275" s="27"/>
      <c r="AR275" s="27"/>
      <c r="AS275" s="16"/>
      <c r="AT275" s="27"/>
      <c r="AV275" s="27"/>
      <c r="AW275" s="16"/>
      <c r="AX275" s="27"/>
      <c r="AZ275" s="27"/>
      <c r="BA275" s="16"/>
      <c r="BB275" s="27"/>
      <c r="BD275" s="27"/>
      <c r="BE275" s="16"/>
      <c r="BF275" s="27"/>
      <c r="BH275" s="27"/>
      <c r="BI275" s="16"/>
      <c r="BJ275" s="27"/>
      <c r="BL275" s="27"/>
      <c r="BM275" s="16"/>
      <c r="BN275" s="27"/>
      <c r="BP275" s="27"/>
      <c r="BQ275" s="16"/>
      <c r="BR275" s="27"/>
      <c r="BT275" s="27"/>
      <c r="BU275" s="16"/>
      <c r="BV275" s="27"/>
      <c r="BX275" s="27"/>
      <c r="BY275" s="16"/>
      <c r="BZ275" s="27"/>
      <c r="CB275" s="27"/>
      <c r="CC275" s="16"/>
      <c r="CD275" s="27"/>
      <c r="CF275" s="27"/>
      <c r="CG275" s="16"/>
      <c r="CH275" s="27"/>
      <c r="CJ275" s="27"/>
      <c r="CK275" s="16"/>
      <c r="CL275" s="27"/>
      <c r="CN275" s="27"/>
      <c r="CO275" s="16"/>
      <c r="CP275" s="27"/>
      <c r="CR275" s="27"/>
      <c r="CS275" s="16"/>
      <c r="CT275" s="27"/>
      <c r="CV275" s="27"/>
      <c r="CW275" s="16"/>
      <c r="CX275" s="27"/>
      <c r="CZ275" s="27"/>
      <c r="DA275" s="16"/>
      <c r="DB275" s="27"/>
      <c r="DD275" s="16"/>
    </row>
    <row r="276" spans="1:108" s="14" customFormat="1" ht="21" x14ac:dyDescent="0.4">
      <c r="A276" s="27"/>
      <c r="B276" s="27"/>
      <c r="D276" s="16"/>
      <c r="E276" s="27"/>
      <c r="F276" s="27"/>
      <c r="H276" s="27"/>
      <c r="I276" s="16"/>
      <c r="J276" s="27"/>
      <c r="L276" s="27"/>
      <c r="M276" s="16"/>
      <c r="N276" s="27"/>
      <c r="P276" s="27"/>
      <c r="Q276" s="16"/>
      <c r="R276" s="27"/>
      <c r="T276" s="27"/>
      <c r="U276" s="16"/>
      <c r="V276" s="27"/>
      <c r="X276" s="27"/>
      <c r="Y276" s="16"/>
      <c r="Z276" s="27"/>
      <c r="AB276" s="27"/>
      <c r="AC276" s="16"/>
      <c r="AD276" s="27"/>
      <c r="AF276" s="27"/>
      <c r="AG276" s="16"/>
      <c r="AH276" s="27"/>
      <c r="AJ276" s="27"/>
      <c r="AK276" s="16"/>
      <c r="AL276" s="27"/>
      <c r="AN276" s="27"/>
      <c r="AO276" s="16"/>
      <c r="AP276" s="27"/>
      <c r="AR276" s="27"/>
      <c r="AS276" s="16"/>
      <c r="AT276" s="27"/>
      <c r="AV276" s="27"/>
      <c r="AW276" s="16"/>
      <c r="AX276" s="27"/>
      <c r="AZ276" s="27"/>
      <c r="BA276" s="16"/>
      <c r="BB276" s="27"/>
      <c r="BD276" s="27"/>
      <c r="BE276" s="16"/>
      <c r="BF276" s="27"/>
      <c r="BH276" s="27"/>
      <c r="BI276" s="16"/>
      <c r="BJ276" s="27"/>
      <c r="BL276" s="27"/>
      <c r="BM276" s="16"/>
      <c r="BN276" s="27"/>
      <c r="BP276" s="27"/>
      <c r="BQ276" s="16"/>
      <c r="BR276" s="27"/>
      <c r="BT276" s="27"/>
      <c r="BU276" s="16"/>
      <c r="BV276" s="27"/>
      <c r="BX276" s="27"/>
      <c r="BY276" s="16"/>
      <c r="BZ276" s="27"/>
      <c r="CB276" s="27"/>
      <c r="CC276" s="16"/>
      <c r="CD276" s="27"/>
      <c r="CF276" s="27"/>
      <c r="CG276" s="16"/>
      <c r="CH276" s="27"/>
      <c r="CJ276" s="27"/>
      <c r="CK276" s="16"/>
      <c r="CL276" s="27"/>
      <c r="CN276" s="27"/>
      <c r="CO276" s="16"/>
      <c r="CP276" s="27"/>
      <c r="CR276" s="27"/>
      <c r="CS276" s="16"/>
      <c r="CT276" s="27"/>
      <c r="CV276" s="27"/>
      <c r="CW276" s="16"/>
      <c r="CX276" s="27"/>
      <c r="CZ276" s="27"/>
      <c r="DA276" s="16"/>
      <c r="DB276" s="27"/>
      <c r="DD276" s="16"/>
    </row>
    <row r="277" spans="1:108" s="14" customFormat="1" ht="21" x14ac:dyDescent="0.4">
      <c r="A277" s="27"/>
      <c r="B277" s="27"/>
      <c r="D277" s="16"/>
      <c r="E277" s="27"/>
      <c r="F277" s="27"/>
      <c r="H277" s="27"/>
      <c r="I277" s="16"/>
      <c r="J277" s="27"/>
      <c r="L277" s="27"/>
      <c r="M277" s="16"/>
      <c r="N277" s="27"/>
      <c r="P277" s="27"/>
      <c r="Q277" s="16"/>
      <c r="R277" s="27"/>
      <c r="T277" s="27"/>
      <c r="U277" s="16"/>
      <c r="V277" s="27"/>
      <c r="X277" s="27"/>
      <c r="Y277" s="16"/>
      <c r="Z277" s="27"/>
      <c r="AB277" s="27"/>
      <c r="AC277" s="16"/>
      <c r="AD277" s="27"/>
      <c r="AF277" s="27"/>
      <c r="AG277" s="16"/>
      <c r="AH277" s="27"/>
      <c r="AJ277" s="27"/>
      <c r="AK277" s="16"/>
      <c r="AL277" s="27"/>
      <c r="AN277" s="27"/>
      <c r="AO277" s="16"/>
      <c r="AP277" s="27"/>
      <c r="AR277" s="27"/>
      <c r="AS277" s="16"/>
      <c r="AT277" s="27"/>
      <c r="AV277" s="27"/>
      <c r="AW277" s="16"/>
      <c r="AX277" s="27"/>
      <c r="AZ277" s="27"/>
      <c r="BA277" s="16"/>
      <c r="BB277" s="27"/>
      <c r="BD277" s="27"/>
      <c r="BE277" s="16"/>
      <c r="BF277" s="27"/>
      <c r="BH277" s="27"/>
      <c r="BI277" s="16"/>
      <c r="BJ277" s="27"/>
      <c r="BL277" s="27"/>
      <c r="BM277" s="16"/>
      <c r="BN277" s="27"/>
      <c r="BP277" s="27"/>
      <c r="BQ277" s="16"/>
      <c r="BR277" s="27"/>
      <c r="BT277" s="27"/>
      <c r="BU277" s="16"/>
      <c r="BV277" s="27"/>
      <c r="BX277" s="27"/>
      <c r="BY277" s="16"/>
      <c r="BZ277" s="27"/>
      <c r="CB277" s="27"/>
      <c r="CC277" s="16"/>
      <c r="CD277" s="27"/>
      <c r="CF277" s="27"/>
      <c r="CG277" s="16"/>
      <c r="CH277" s="27"/>
      <c r="CJ277" s="27"/>
      <c r="CK277" s="16"/>
      <c r="CL277" s="27"/>
      <c r="CN277" s="27"/>
      <c r="CO277" s="16"/>
      <c r="CP277" s="27"/>
      <c r="CR277" s="27"/>
      <c r="CS277" s="16"/>
      <c r="CT277" s="27"/>
      <c r="CV277" s="27"/>
      <c r="CW277" s="16"/>
      <c r="CX277" s="27"/>
      <c r="CZ277" s="27"/>
      <c r="DA277" s="16"/>
      <c r="DB277" s="27"/>
      <c r="DD277" s="16"/>
    </row>
    <row r="278" spans="1:108" s="14" customFormat="1" ht="21" x14ac:dyDescent="0.4">
      <c r="A278" s="27"/>
      <c r="B278" s="27"/>
      <c r="D278" s="16"/>
      <c r="E278" s="27"/>
      <c r="F278" s="27"/>
      <c r="H278" s="27"/>
      <c r="I278" s="16"/>
      <c r="J278" s="27"/>
      <c r="L278" s="27"/>
      <c r="M278" s="16"/>
      <c r="N278" s="27"/>
      <c r="P278" s="27"/>
      <c r="Q278" s="16"/>
      <c r="R278" s="27"/>
      <c r="T278" s="27"/>
      <c r="U278" s="16"/>
      <c r="V278" s="27"/>
      <c r="X278" s="27"/>
      <c r="Y278" s="16"/>
      <c r="Z278" s="27"/>
      <c r="AB278" s="27"/>
      <c r="AC278" s="16"/>
      <c r="AD278" s="27"/>
      <c r="AF278" s="27"/>
      <c r="AG278" s="16"/>
      <c r="AH278" s="27"/>
      <c r="AJ278" s="27"/>
      <c r="AK278" s="16"/>
      <c r="AL278" s="27"/>
      <c r="AN278" s="27"/>
      <c r="AO278" s="16"/>
      <c r="AP278" s="27"/>
      <c r="AR278" s="27"/>
      <c r="AS278" s="16"/>
      <c r="AT278" s="27"/>
      <c r="AV278" s="27"/>
      <c r="AW278" s="16"/>
      <c r="AX278" s="27"/>
      <c r="AZ278" s="27"/>
      <c r="BA278" s="16"/>
      <c r="BB278" s="27"/>
      <c r="BD278" s="27"/>
      <c r="BE278" s="16"/>
      <c r="BF278" s="27"/>
      <c r="BH278" s="27"/>
      <c r="BI278" s="16"/>
      <c r="BJ278" s="27"/>
      <c r="BL278" s="27"/>
      <c r="BM278" s="16"/>
      <c r="BN278" s="27"/>
      <c r="BP278" s="27"/>
      <c r="BQ278" s="16"/>
      <c r="BR278" s="27"/>
      <c r="BT278" s="27"/>
      <c r="BU278" s="16"/>
      <c r="BV278" s="27"/>
      <c r="BX278" s="27"/>
      <c r="BY278" s="16"/>
      <c r="BZ278" s="27"/>
      <c r="CB278" s="27"/>
      <c r="CC278" s="16"/>
      <c r="CD278" s="27"/>
      <c r="CF278" s="27"/>
      <c r="CG278" s="16"/>
      <c r="CH278" s="27"/>
      <c r="CJ278" s="27"/>
      <c r="CK278" s="16"/>
      <c r="CL278" s="27"/>
      <c r="CN278" s="27"/>
      <c r="CO278" s="16"/>
      <c r="CP278" s="27"/>
      <c r="CR278" s="27"/>
      <c r="CS278" s="16"/>
      <c r="CT278" s="27"/>
      <c r="CV278" s="27"/>
      <c r="CW278" s="16"/>
      <c r="CX278" s="27"/>
      <c r="CZ278" s="27"/>
      <c r="DA278" s="16"/>
      <c r="DB278" s="27"/>
      <c r="DD278" s="16"/>
    </row>
    <row r="279" spans="1:108" s="14" customFormat="1" ht="21" x14ac:dyDescent="0.4">
      <c r="A279" s="27"/>
      <c r="B279" s="27"/>
      <c r="D279" s="16"/>
      <c r="E279" s="27"/>
      <c r="F279" s="27"/>
      <c r="H279" s="27"/>
      <c r="I279" s="16"/>
      <c r="J279" s="27"/>
      <c r="L279" s="27"/>
      <c r="M279" s="16"/>
      <c r="N279" s="27"/>
      <c r="P279" s="27"/>
      <c r="Q279" s="16"/>
      <c r="R279" s="27"/>
      <c r="T279" s="27"/>
      <c r="U279" s="16"/>
      <c r="V279" s="27"/>
      <c r="X279" s="27"/>
      <c r="Y279" s="16"/>
      <c r="Z279" s="27"/>
      <c r="AB279" s="27"/>
      <c r="AC279" s="16"/>
      <c r="AD279" s="27"/>
      <c r="AF279" s="27"/>
      <c r="AG279" s="16"/>
      <c r="AH279" s="27"/>
      <c r="AJ279" s="27"/>
      <c r="AK279" s="16"/>
      <c r="AL279" s="27"/>
      <c r="AN279" s="27"/>
      <c r="AO279" s="16"/>
      <c r="AP279" s="27"/>
      <c r="AR279" s="27"/>
      <c r="AS279" s="16"/>
      <c r="AT279" s="27"/>
      <c r="AV279" s="27"/>
      <c r="AW279" s="16"/>
      <c r="AX279" s="27"/>
      <c r="AZ279" s="27"/>
      <c r="BA279" s="16"/>
      <c r="BB279" s="27"/>
      <c r="BD279" s="27"/>
      <c r="BE279" s="16"/>
      <c r="BF279" s="27"/>
      <c r="BH279" s="27"/>
      <c r="BI279" s="16"/>
      <c r="BJ279" s="27"/>
      <c r="BL279" s="27"/>
      <c r="BM279" s="16"/>
      <c r="BN279" s="27"/>
      <c r="BP279" s="27"/>
      <c r="BQ279" s="16"/>
      <c r="BR279" s="27"/>
      <c r="BT279" s="27"/>
      <c r="BU279" s="16"/>
      <c r="BV279" s="27"/>
      <c r="BX279" s="27"/>
      <c r="BY279" s="16"/>
      <c r="BZ279" s="27"/>
      <c r="CB279" s="27"/>
      <c r="CC279" s="16"/>
      <c r="CD279" s="27"/>
      <c r="CF279" s="27"/>
      <c r="CG279" s="16"/>
      <c r="CH279" s="27"/>
      <c r="CJ279" s="27"/>
      <c r="CK279" s="16"/>
      <c r="CL279" s="27"/>
      <c r="CN279" s="27"/>
      <c r="CO279" s="16"/>
      <c r="CP279" s="27"/>
      <c r="CR279" s="27"/>
      <c r="CS279" s="16"/>
      <c r="CT279" s="27"/>
      <c r="CV279" s="27"/>
      <c r="CW279" s="16"/>
      <c r="CX279" s="27"/>
      <c r="CZ279" s="27"/>
      <c r="DA279" s="16"/>
      <c r="DB279" s="27"/>
      <c r="DD279" s="16"/>
    </row>
    <row r="280" spans="1:108" s="14" customFormat="1" ht="21" x14ac:dyDescent="0.4">
      <c r="A280" s="27"/>
      <c r="B280" s="27"/>
      <c r="D280" s="16"/>
      <c r="E280" s="27"/>
      <c r="F280" s="27"/>
      <c r="H280" s="27"/>
      <c r="I280" s="16"/>
      <c r="J280" s="27"/>
      <c r="L280" s="27"/>
      <c r="M280" s="16"/>
      <c r="N280" s="27"/>
      <c r="P280" s="27"/>
      <c r="Q280" s="16"/>
      <c r="R280" s="27"/>
      <c r="T280" s="27"/>
      <c r="U280" s="16"/>
      <c r="V280" s="27"/>
      <c r="X280" s="27"/>
      <c r="Y280" s="16"/>
      <c r="Z280" s="27"/>
      <c r="AB280" s="27"/>
      <c r="AC280" s="16"/>
      <c r="AD280" s="27"/>
      <c r="AF280" s="27"/>
      <c r="AG280" s="16"/>
      <c r="AH280" s="27"/>
      <c r="AJ280" s="27"/>
      <c r="AK280" s="16"/>
      <c r="AL280" s="27"/>
      <c r="AN280" s="27"/>
      <c r="AO280" s="16"/>
      <c r="AP280" s="27"/>
      <c r="AR280" s="27"/>
      <c r="AS280" s="16"/>
      <c r="AT280" s="27"/>
      <c r="AV280" s="27"/>
      <c r="AW280" s="16"/>
      <c r="AX280" s="27"/>
      <c r="AZ280" s="27"/>
      <c r="BA280" s="16"/>
      <c r="BB280" s="27"/>
      <c r="BD280" s="27"/>
      <c r="BE280" s="16"/>
      <c r="BF280" s="27"/>
      <c r="BH280" s="27"/>
      <c r="BI280" s="16"/>
      <c r="BJ280" s="27"/>
      <c r="BL280" s="27"/>
      <c r="BM280" s="16"/>
      <c r="BN280" s="27"/>
      <c r="BP280" s="27"/>
      <c r="BQ280" s="16"/>
      <c r="BR280" s="27"/>
      <c r="BT280" s="27"/>
      <c r="BU280" s="16"/>
      <c r="BV280" s="27"/>
      <c r="BX280" s="27"/>
      <c r="BY280" s="16"/>
      <c r="BZ280" s="27"/>
      <c r="CB280" s="27"/>
      <c r="CC280" s="16"/>
      <c r="CD280" s="27"/>
      <c r="CF280" s="27"/>
      <c r="CG280" s="16"/>
      <c r="CH280" s="27"/>
      <c r="CJ280" s="27"/>
      <c r="CK280" s="16"/>
      <c r="CL280" s="27"/>
      <c r="CN280" s="27"/>
      <c r="CO280" s="16"/>
      <c r="CP280" s="27"/>
      <c r="CR280" s="27"/>
      <c r="CS280" s="16"/>
      <c r="CT280" s="27"/>
      <c r="CV280" s="27"/>
      <c r="CW280" s="16"/>
      <c r="CX280" s="27"/>
      <c r="CZ280" s="27"/>
      <c r="DA280" s="16"/>
      <c r="DB280" s="27"/>
      <c r="DD280" s="16"/>
    </row>
    <row r="281" spans="1:108" s="14" customFormat="1" ht="21" x14ac:dyDescent="0.4">
      <c r="A281" s="27"/>
      <c r="B281" s="27"/>
      <c r="D281" s="16"/>
      <c r="E281" s="27"/>
      <c r="F281" s="27"/>
      <c r="H281" s="27"/>
      <c r="I281" s="16"/>
      <c r="J281" s="27"/>
      <c r="L281" s="27"/>
      <c r="M281" s="16"/>
      <c r="N281" s="27"/>
      <c r="P281" s="27"/>
      <c r="Q281" s="16"/>
      <c r="R281" s="27"/>
      <c r="T281" s="27"/>
      <c r="U281" s="16"/>
      <c r="V281" s="27"/>
      <c r="X281" s="27"/>
      <c r="Y281" s="16"/>
      <c r="Z281" s="27"/>
      <c r="AB281" s="27"/>
      <c r="AC281" s="16"/>
      <c r="AD281" s="27"/>
      <c r="AF281" s="27"/>
      <c r="AG281" s="16"/>
      <c r="AH281" s="27"/>
      <c r="AJ281" s="27"/>
      <c r="AK281" s="16"/>
      <c r="AL281" s="27"/>
      <c r="AN281" s="27"/>
      <c r="AO281" s="16"/>
      <c r="AP281" s="27"/>
      <c r="AR281" s="27"/>
      <c r="AS281" s="16"/>
      <c r="AT281" s="27"/>
      <c r="AV281" s="27"/>
      <c r="AW281" s="16"/>
      <c r="AX281" s="27"/>
      <c r="AZ281" s="27"/>
      <c r="BA281" s="16"/>
      <c r="BB281" s="27"/>
      <c r="BD281" s="27"/>
      <c r="BE281" s="16"/>
      <c r="BF281" s="27"/>
      <c r="BH281" s="27"/>
      <c r="BI281" s="16"/>
      <c r="BJ281" s="27"/>
      <c r="BL281" s="27"/>
      <c r="BM281" s="16"/>
      <c r="BN281" s="27"/>
      <c r="BP281" s="27"/>
      <c r="BQ281" s="16"/>
      <c r="BR281" s="27"/>
      <c r="BT281" s="27"/>
      <c r="BU281" s="16"/>
      <c r="BV281" s="27"/>
      <c r="BX281" s="27"/>
      <c r="BY281" s="16"/>
      <c r="BZ281" s="27"/>
      <c r="CB281" s="27"/>
      <c r="CC281" s="16"/>
      <c r="CD281" s="27"/>
      <c r="CF281" s="27"/>
      <c r="CG281" s="16"/>
      <c r="CH281" s="27"/>
      <c r="CJ281" s="27"/>
      <c r="CK281" s="16"/>
      <c r="CL281" s="27"/>
      <c r="CN281" s="27"/>
      <c r="CO281" s="16"/>
      <c r="CP281" s="27"/>
      <c r="CR281" s="27"/>
      <c r="CS281" s="16"/>
      <c r="CT281" s="27"/>
      <c r="CV281" s="27"/>
      <c r="CW281" s="16"/>
      <c r="CX281" s="27"/>
      <c r="CZ281" s="27"/>
      <c r="DA281" s="16"/>
      <c r="DB281" s="27"/>
      <c r="DD281" s="16"/>
    </row>
    <row r="282" spans="1:108" s="14" customFormat="1" ht="21" x14ac:dyDescent="0.4">
      <c r="A282" s="27"/>
      <c r="B282" s="27"/>
      <c r="D282" s="16"/>
      <c r="E282" s="27"/>
      <c r="F282" s="27"/>
      <c r="H282" s="27"/>
      <c r="I282" s="16"/>
      <c r="J282" s="27"/>
      <c r="L282" s="27"/>
      <c r="M282" s="16"/>
      <c r="N282" s="27"/>
      <c r="P282" s="27"/>
      <c r="Q282" s="16"/>
      <c r="R282" s="27"/>
      <c r="T282" s="27"/>
      <c r="U282" s="16"/>
      <c r="V282" s="27"/>
      <c r="X282" s="27"/>
      <c r="Y282" s="16"/>
      <c r="Z282" s="27"/>
      <c r="AB282" s="27"/>
      <c r="AC282" s="16"/>
      <c r="AD282" s="27"/>
      <c r="AF282" s="27"/>
      <c r="AG282" s="16"/>
      <c r="AH282" s="27"/>
      <c r="AJ282" s="27"/>
      <c r="AK282" s="16"/>
      <c r="AL282" s="27"/>
      <c r="AN282" s="27"/>
      <c r="AO282" s="16"/>
      <c r="AP282" s="27"/>
      <c r="AR282" s="27"/>
      <c r="AS282" s="16"/>
      <c r="AT282" s="27"/>
      <c r="AV282" s="27"/>
      <c r="AW282" s="16"/>
      <c r="AX282" s="27"/>
      <c r="AZ282" s="27"/>
      <c r="BA282" s="16"/>
      <c r="BB282" s="27"/>
      <c r="BD282" s="27"/>
      <c r="BE282" s="16"/>
      <c r="BF282" s="27"/>
      <c r="BH282" s="27"/>
      <c r="BI282" s="16"/>
      <c r="BJ282" s="27"/>
      <c r="BL282" s="27"/>
      <c r="BM282" s="16"/>
      <c r="BN282" s="27"/>
      <c r="BP282" s="27"/>
      <c r="BQ282" s="16"/>
      <c r="BR282" s="27"/>
      <c r="BT282" s="27"/>
      <c r="BU282" s="16"/>
      <c r="BV282" s="27"/>
      <c r="BX282" s="27"/>
      <c r="BY282" s="16"/>
      <c r="BZ282" s="27"/>
      <c r="CB282" s="27"/>
      <c r="CC282" s="16"/>
      <c r="CD282" s="27"/>
      <c r="CF282" s="27"/>
      <c r="CG282" s="16"/>
      <c r="CH282" s="27"/>
      <c r="CJ282" s="27"/>
      <c r="CK282" s="16"/>
      <c r="CL282" s="27"/>
      <c r="CN282" s="27"/>
      <c r="CO282" s="16"/>
      <c r="CP282" s="27"/>
      <c r="CR282" s="27"/>
      <c r="CS282" s="16"/>
      <c r="CT282" s="27"/>
      <c r="CV282" s="27"/>
      <c r="CW282" s="16"/>
      <c r="CX282" s="27"/>
      <c r="CZ282" s="27"/>
      <c r="DA282" s="16"/>
      <c r="DB282" s="27"/>
      <c r="DD282" s="16"/>
    </row>
    <row r="283" spans="1:108" s="14" customFormat="1" ht="21" x14ac:dyDescent="0.4">
      <c r="A283" s="27"/>
      <c r="B283" s="27"/>
      <c r="D283" s="16"/>
      <c r="E283" s="27"/>
      <c r="F283" s="27"/>
      <c r="H283" s="27"/>
      <c r="I283" s="16"/>
      <c r="J283" s="27"/>
      <c r="L283" s="27"/>
      <c r="M283" s="16"/>
      <c r="N283" s="27"/>
      <c r="P283" s="27"/>
      <c r="Q283" s="16"/>
      <c r="R283" s="27"/>
      <c r="T283" s="27"/>
      <c r="U283" s="16"/>
      <c r="V283" s="27"/>
      <c r="X283" s="27"/>
      <c r="Y283" s="16"/>
      <c r="Z283" s="27"/>
      <c r="AB283" s="27"/>
      <c r="AC283" s="16"/>
      <c r="AD283" s="27"/>
      <c r="AF283" s="27"/>
      <c r="AG283" s="16"/>
      <c r="AH283" s="27"/>
      <c r="AJ283" s="27"/>
      <c r="AK283" s="16"/>
      <c r="AL283" s="27"/>
      <c r="AN283" s="27"/>
      <c r="AO283" s="16"/>
      <c r="AP283" s="27"/>
      <c r="AR283" s="27"/>
      <c r="AS283" s="16"/>
      <c r="AT283" s="27"/>
      <c r="AV283" s="27"/>
      <c r="AW283" s="16"/>
      <c r="AX283" s="27"/>
      <c r="AZ283" s="27"/>
      <c r="BA283" s="16"/>
      <c r="BB283" s="27"/>
      <c r="BD283" s="27"/>
      <c r="BE283" s="16"/>
      <c r="BF283" s="27"/>
      <c r="BH283" s="27"/>
      <c r="BI283" s="16"/>
      <c r="BJ283" s="27"/>
      <c r="BL283" s="27"/>
      <c r="BM283" s="16"/>
      <c r="BN283" s="27"/>
      <c r="BP283" s="27"/>
      <c r="BQ283" s="16"/>
      <c r="BR283" s="27"/>
      <c r="BT283" s="27"/>
      <c r="BU283" s="16"/>
      <c r="BV283" s="27"/>
      <c r="BX283" s="27"/>
      <c r="BY283" s="16"/>
      <c r="BZ283" s="27"/>
      <c r="CB283" s="27"/>
      <c r="CC283" s="16"/>
      <c r="CD283" s="27"/>
      <c r="CF283" s="27"/>
      <c r="CG283" s="16"/>
      <c r="CH283" s="27"/>
      <c r="CJ283" s="27"/>
      <c r="CK283" s="16"/>
      <c r="CL283" s="27"/>
      <c r="CN283" s="27"/>
      <c r="CO283" s="16"/>
      <c r="CP283" s="27"/>
      <c r="CR283" s="27"/>
      <c r="CS283" s="16"/>
      <c r="CT283" s="27"/>
      <c r="CV283" s="27"/>
      <c r="CW283" s="16"/>
      <c r="CX283" s="27"/>
      <c r="CZ283" s="27"/>
      <c r="DA283" s="16"/>
      <c r="DB283" s="27"/>
      <c r="DD283" s="16"/>
    </row>
    <row r="284" spans="1:108" s="14" customFormat="1" ht="21" x14ac:dyDescent="0.4">
      <c r="A284" s="27"/>
      <c r="B284" s="27"/>
      <c r="D284" s="16"/>
      <c r="E284" s="27"/>
      <c r="F284" s="27"/>
      <c r="H284" s="27"/>
      <c r="I284" s="16"/>
      <c r="J284" s="27"/>
      <c r="L284" s="27"/>
      <c r="M284" s="16"/>
      <c r="N284" s="27"/>
      <c r="P284" s="27"/>
      <c r="Q284" s="16"/>
      <c r="R284" s="27"/>
      <c r="T284" s="27"/>
      <c r="U284" s="16"/>
      <c r="V284" s="27"/>
      <c r="X284" s="27"/>
      <c r="Y284" s="16"/>
      <c r="Z284" s="27"/>
      <c r="AB284" s="27"/>
      <c r="AC284" s="16"/>
      <c r="AD284" s="27"/>
      <c r="AF284" s="27"/>
      <c r="AG284" s="16"/>
      <c r="AH284" s="27"/>
      <c r="AJ284" s="27"/>
      <c r="AK284" s="16"/>
      <c r="AL284" s="27"/>
      <c r="AN284" s="27"/>
      <c r="AO284" s="16"/>
      <c r="AP284" s="27"/>
      <c r="AR284" s="27"/>
      <c r="AS284" s="16"/>
      <c r="AT284" s="27"/>
      <c r="AV284" s="27"/>
      <c r="AW284" s="16"/>
      <c r="AX284" s="27"/>
      <c r="AZ284" s="27"/>
      <c r="BA284" s="16"/>
      <c r="BB284" s="27"/>
      <c r="BD284" s="27"/>
      <c r="BE284" s="16"/>
      <c r="BF284" s="27"/>
      <c r="BH284" s="27"/>
      <c r="BI284" s="16"/>
      <c r="BJ284" s="27"/>
      <c r="BL284" s="27"/>
      <c r="BM284" s="16"/>
      <c r="BN284" s="27"/>
      <c r="BP284" s="27"/>
      <c r="BQ284" s="16"/>
      <c r="BR284" s="27"/>
      <c r="BT284" s="27"/>
      <c r="BU284" s="16"/>
      <c r="BV284" s="27"/>
      <c r="BX284" s="27"/>
      <c r="BY284" s="16"/>
      <c r="BZ284" s="27"/>
      <c r="CB284" s="27"/>
      <c r="CC284" s="16"/>
      <c r="CD284" s="27"/>
      <c r="CF284" s="27"/>
      <c r="CG284" s="16"/>
      <c r="CH284" s="27"/>
      <c r="CJ284" s="27"/>
      <c r="CK284" s="16"/>
      <c r="CL284" s="27"/>
      <c r="CN284" s="27"/>
      <c r="CO284" s="16"/>
      <c r="CP284" s="27"/>
      <c r="CR284" s="27"/>
      <c r="CS284" s="16"/>
      <c r="CT284" s="27"/>
      <c r="CV284" s="27"/>
      <c r="CW284" s="16"/>
      <c r="CX284" s="27"/>
      <c r="CZ284" s="27"/>
      <c r="DA284" s="16"/>
      <c r="DB284" s="27"/>
      <c r="DD284" s="16"/>
    </row>
    <row r="285" spans="1:108" s="14" customFormat="1" ht="21" x14ac:dyDescent="0.4">
      <c r="A285" s="27"/>
      <c r="B285" s="27"/>
      <c r="D285" s="16"/>
      <c r="E285" s="27"/>
      <c r="F285" s="27"/>
      <c r="H285" s="27"/>
      <c r="I285" s="16"/>
      <c r="J285" s="27"/>
      <c r="L285" s="27"/>
      <c r="M285" s="16"/>
      <c r="N285" s="27"/>
      <c r="P285" s="27"/>
      <c r="Q285" s="16"/>
      <c r="R285" s="27"/>
      <c r="T285" s="27"/>
      <c r="U285" s="16"/>
      <c r="V285" s="27"/>
      <c r="X285" s="27"/>
      <c r="Y285" s="16"/>
      <c r="Z285" s="27"/>
      <c r="AB285" s="27"/>
      <c r="AC285" s="16"/>
      <c r="AD285" s="27"/>
      <c r="AF285" s="27"/>
      <c r="AG285" s="16"/>
      <c r="AH285" s="27"/>
      <c r="AJ285" s="27"/>
      <c r="AK285" s="16"/>
      <c r="AL285" s="27"/>
      <c r="AN285" s="27"/>
      <c r="AO285" s="16"/>
      <c r="AP285" s="27"/>
      <c r="AR285" s="27"/>
      <c r="AS285" s="16"/>
      <c r="AT285" s="27"/>
      <c r="AV285" s="27"/>
      <c r="AW285" s="16"/>
      <c r="AX285" s="27"/>
      <c r="AZ285" s="27"/>
      <c r="BA285" s="16"/>
      <c r="BB285" s="27"/>
      <c r="BD285" s="27"/>
      <c r="BE285" s="16"/>
      <c r="BF285" s="27"/>
      <c r="BH285" s="27"/>
      <c r="BI285" s="16"/>
      <c r="BJ285" s="27"/>
      <c r="BL285" s="27"/>
      <c r="BM285" s="16"/>
      <c r="BN285" s="27"/>
      <c r="BP285" s="27"/>
      <c r="BQ285" s="16"/>
      <c r="BR285" s="27"/>
      <c r="BT285" s="27"/>
      <c r="BU285" s="16"/>
      <c r="BV285" s="27"/>
      <c r="BX285" s="27"/>
      <c r="BY285" s="16"/>
      <c r="BZ285" s="27"/>
      <c r="CB285" s="27"/>
      <c r="CC285" s="16"/>
      <c r="CD285" s="27"/>
      <c r="CF285" s="27"/>
      <c r="CG285" s="16"/>
      <c r="CH285" s="27"/>
      <c r="CJ285" s="27"/>
      <c r="CK285" s="16"/>
      <c r="CL285" s="27"/>
      <c r="CN285" s="27"/>
      <c r="CO285" s="16"/>
      <c r="CP285" s="27"/>
      <c r="CR285" s="27"/>
      <c r="CS285" s="16"/>
      <c r="CT285" s="27"/>
      <c r="CV285" s="27"/>
      <c r="CW285" s="16"/>
      <c r="CX285" s="27"/>
      <c r="CZ285" s="27"/>
      <c r="DA285" s="16"/>
      <c r="DB285" s="27"/>
      <c r="DD285" s="16"/>
    </row>
    <row r="286" spans="1:108" s="14" customFormat="1" ht="21" x14ac:dyDescent="0.4">
      <c r="A286" s="27"/>
      <c r="B286" s="27"/>
      <c r="D286" s="16"/>
      <c r="E286" s="27"/>
      <c r="F286" s="27"/>
      <c r="H286" s="27"/>
      <c r="I286" s="16"/>
      <c r="J286" s="27"/>
      <c r="L286" s="27"/>
      <c r="M286" s="16"/>
      <c r="N286" s="27"/>
      <c r="P286" s="27"/>
      <c r="Q286" s="16"/>
      <c r="R286" s="27"/>
      <c r="T286" s="27"/>
      <c r="U286" s="16"/>
      <c r="V286" s="27"/>
      <c r="X286" s="27"/>
      <c r="Y286" s="16"/>
      <c r="Z286" s="27"/>
      <c r="AB286" s="27"/>
      <c r="AC286" s="16"/>
      <c r="AD286" s="27"/>
      <c r="AF286" s="27"/>
      <c r="AG286" s="16"/>
      <c r="AH286" s="27"/>
      <c r="AJ286" s="27"/>
      <c r="AK286" s="16"/>
      <c r="AL286" s="27"/>
      <c r="AN286" s="27"/>
      <c r="AO286" s="16"/>
      <c r="AP286" s="27"/>
      <c r="AR286" s="27"/>
      <c r="AS286" s="16"/>
      <c r="AT286" s="27"/>
      <c r="AV286" s="27"/>
      <c r="AW286" s="16"/>
      <c r="AX286" s="27"/>
      <c r="AZ286" s="27"/>
      <c r="BA286" s="16"/>
      <c r="BB286" s="27"/>
      <c r="BD286" s="27"/>
      <c r="BE286" s="16"/>
      <c r="BF286" s="27"/>
      <c r="BH286" s="27"/>
      <c r="BI286" s="16"/>
      <c r="BJ286" s="27"/>
      <c r="BL286" s="27"/>
      <c r="BM286" s="16"/>
      <c r="BN286" s="27"/>
      <c r="BP286" s="27"/>
      <c r="BQ286" s="16"/>
      <c r="BR286" s="27"/>
      <c r="BT286" s="27"/>
      <c r="BU286" s="16"/>
      <c r="BV286" s="27"/>
      <c r="BX286" s="27"/>
      <c r="BY286" s="16"/>
      <c r="BZ286" s="27"/>
      <c r="CB286" s="27"/>
      <c r="CC286" s="16"/>
      <c r="CD286" s="27"/>
      <c r="CF286" s="27"/>
      <c r="CG286" s="16"/>
      <c r="CH286" s="27"/>
      <c r="CJ286" s="27"/>
      <c r="CK286" s="16"/>
      <c r="CL286" s="27"/>
      <c r="CN286" s="27"/>
      <c r="CO286" s="16"/>
      <c r="CP286" s="27"/>
      <c r="CR286" s="27"/>
      <c r="CS286" s="16"/>
      <c r="CT286" s="27"/>
      <c r="CV286" s="27"/>
      <c r="CW286" s="16"/>
      <c r="CX286" s="27"/>
      <c r="CZ286" s="27"/>
      <c r="DA286" s="16"/>
      <c r="DB286" s="27"/>
      <c r="DD286" s="16"/>
    </row>
    <row r="287" spans="1:108" s="14" customFormat="1" ht="21" x14ac:dyDescent="0.4">
      <c r="A287" s="27"/>
      <c r="B287" s="27"/>
      <c r="D287" s="16"/>
      <c r="E287" s="27"/>
      <c r="F287" s="27"/>
      <c r="H287" s="27"/>
      <c r="I287" s="16"/>
      <c r="J287" s="27"/>
      <c r="L287" s="27"/>
      <c r="M287" s="16"/>
      <c r="N287" s="27"/>
      <c r="P287" s="27"/>
      <c r="Q287" s="16"/>
      <c r="R287" s="27"/>
      <c r="T287" s="27"/>
      <c r="U287" s="16"/>
      <c r="V287" s="27"/>
      <c r="X287" s="27"/>
      <c r="Y287" s="16"/>
      <c r="Z287" s="27"/>
      <c r="AB287" s="27"/>
      <c r="AC287" s="16"/>
      <c r="AD287" s="27"/>
      <c r="AF287" s="27"/>
      <c r="AG287" s="16"/>
      <c r="AH287" s="27"/>
      <c r="AJ287" s="27"/>
      <c r="AK287" s="16"/>
      <c r="AL287" s="27"/>
      <c r="AN287" s="27"/>
      <c r="AO287" s="16"/>
      <c r="AP287" s="27"/>
      <c r="AR287" s="27"/>
      <c r="AS287" s="16"/>
      <c r="AT287" s="27"/>
      <c r="AV287" s="27"/>
      <c r="AW287" s="16"/>
      <c r="AX287" s="27"/>
      <c r="AZ287" s="27"/>
      <c r="BA287" s="16"/>
      <c r="BB287" s="27"/>
      <c r="BD287" s="27"/>
      <c r="BE287" s="16"/>
      <c r="BF287" s="27"/>
      <c r="BH287" s="27"/>
      <c r="BI287" s="16"/>
      <c r="BJ287" s="27"/>
      <c r="BL287" s="27"/>
      <c r="BM287" s="16"/>
      <c r="BN287" s="27"/>
      <c r="BP287" s="27"/>
      <c r="BQ287" s="16"/>
      <c r="BR287" s="27"/>
      <c r="BT287" s="27"/>
      <c r="BU287" s="16"/>
      <c r="BV287" s="27"/>
      <c r="BX287" s="27"/>
      <c r="BY287" s="16"/>
      <c r="BZ287" s="27"/>
      <c r="CB287" s="27"/>
      <c r="CC287" s="16"/>
      <c r="CD287" s="27"/>
      <c r="CF287" s="27"/>
      <c r="CG287" s="16"/>
      <c r="CH287" s="27"/>
      <c r="CJ287" s="27"/>
      <c r="CK287" s="16"/>
      <c r="CL287" s="27"/>
      <c r="CN287" s="27"/>
      <c r="CO287" s="16"/>
      <c r="CP287" s="27"/>
      <c r="CR287" s="27"/>
      <c r="CS287" s="16"/>
      <c r="CT287" s="27"/>
      <c r="CV287" s="27"/>
      <c r="CW287" s="16"/>
      <c r="CX287" s="27"/>
      <c r="CZ287" s="27"/>
      <c r="DA287" s="16"/>
      <c r="DB287" s="27"/>
      <c r="DD287" s="16"/>
    </row>
    <row r="288" spans="1:108" s="14" customFormat="1" ht="21" x14ac:dyDescent="0.4">
      <c r="A288" s="27"/>
      <c r="B288" s="27"/>
      <c r="D288" s="16"/>
      <c r="E288" s="27"/>
      <c r="F288" s="27"/>
      <c r="H288" s="27"/>
      <c r="I288" s="16"/>
      <c r="J288" s="27"/>
      <c r="L288" s="27"/>
      <c r="M288" s="16"/>
      <c r="N288" s="27"/>
      <c r="P288" s="27"/>
      <c r="Q288" s="16"/>
      <c r="R288" s="27"/>
      <c r="T288" s="27"/>
      <c r="U288" s="16"/>
      <c r="V288" s="27"/>
      <c r="X288" s="27"/>
      <c r="Y288" s="16"/>
      <c r="Z288" s="27"/>
      <c r="AB288" s="27"/>
      <c r="AC288" s="16"/>
      <c r="AD288" s="27"/>
      <c r="AF288" s="27"/>
      <c r="AG288" s="16"/>
      <c r="AH288" s="27"/>
      <c r="AJ288" s="27"/>
      <c r="AK288" s="16"/>
      <c r="AL288" s="27"/>
      <c r="AN288" s="27"/>
      <c r="AO288" s="16"/>
      <c r="AP288" s="27"/>
      <c r="AR288" s="27"/>
      <c r="AS288" s="16"/>
      <c r="AT288" s="27"/>
      <c r="AV288" s="27"/>
      <c r="AW288" s="16"/>
      <c r="AX288" s="27"/>
      <c r="AZ288" s="27"/>
      <c r="BA288" s="16"/>
      <c r="BB288" s="27"/>
      <c r="BD288" s="27"/>
      <c r="BE288" s="16"/>
      <c r="BF288" s="27"/>
      <c r="BH288" s="27"/>
      <c r="BI288" s="16"/>
      <c r="BJ288" s="27"/>
      <c r="BL288" s="27"/>
      <c r="BM288" s="16"/>
      <c r="BN288" s="27"/>
      <c r="BP288" s="27"/>
      <c r="BQ288" s="16"/>
      <c r="BR288" s="27"/>
      <c r="BT288" s="27"/>
      <c r="BU288" s="16"/>
      <c r="BV288" s="27"/>
      <c r="BX288" s="27"/>
      <c r="BY288" s="16"/>
      <c r="BZ288" s="27"/>
      <c r="CB288" s="27"/>
      <c r="CC288" s="16"/>
      <c r="CD288" s="27"/>
      <c r="CF288" s="27"/>
      <c r="CG288" s="16"/>
      <c r="CH288" s="27"/>
      <c r="CJ288" s="27"/>
      <c r="CK288" s="16"/>
      <c r="CL288" s="27"/>
      <c r="CN288" s="27"/>
      <c r="CO288" s="16"/>
      <c r="CP288" s="27"/>
      <c r="CR288" s="27"/>
      <c r="CS288" s="16"/>
      <c r="CT288" s="27"/>
      <c r="CV288" s="27"/>
      <c r="CW288" s="16"/>
      <c r="CX288" s="27"/>
      <c r="CZ288" s="27"/>
      <c r="DA288" s="16"/>
      <c r="DB288" s="27"/>
      <c r="DD288" s="16"/>
    </row>
    <row r="289" spans="1:108" s="14" customFormat="1" ht="21" x14ac:dyDescent="0.4">
      <c r="A289" s="27"/>
      <c r="B289" s="27"/>
      <c r="D289" s="16"/>
      <c r="E289" s="27"/>
      <c r="F289" s="27"/>
      <c r="H289" s="27"/>
      <c r="I289" s="16"/>
      <c r="J289" s="27"/>
      <c r="L289" s="27"/>
      <c r="M289" s="16"/>
      <c r="N289" s="27"/>
      <c r="P289" s="27"/>
      <c r="Q289" s="16"/>
      <c r="R289" s="27"/>
      <c r="T289" s="27"/>
      <c r="U289" s="16"/>
      <c r="V289" s="27"/>
      <c r="X289" s="27"/>
      <c r="Y289" s="16"/>
      <c r="Z289" s="27"/>
      <c r="AB289" s="27"/>
      <c r="AC289" s="16"/>
      <c r="AD289" s="27"/>
      <c r="AF289" s="27"/>
      <c r="AG289" s="16"/>
      <c r="AH289" s="27"/>
      <c r="AJ289" s="27"/>
      <c r="AK289" s="16"/>
      <c r="AL289" s="27"/>
      <c r="AN289" s="27"/>
      <c r="AO289" s="16"/>
      <c r="AP289" s="27"/>
      <c r="AR289" s="27"/>
      <c r="AS289" s="16"/>
      <c r="AT289" s="27"/>
      <c r="AV289" s="27"/>
      <c r="AW289" s="16"/>
      <c r="AX289" s="27"/>
      <c r="AZ289" s="27"/>
      <c r="BA289" s="16"/>
      <c r="BB289" s="27"/>
      <c r="BD289" s="27"/>
      <c r="BE289" s="16"/>
      <c r="BF289" s="27"/>
      <c r="BH289" s="27"/>
      <c r="BI289" s="16"/>
      <c r="BJ289" s="27"/>
      <c r="BL289" s="27"/>
      <c r="BM289" s="16"/>
      <c r="BN289" s="27"/>
      <c r="BP289" s="27"/>
      <c r="BQ289" s="16"/>
      <c r="BR289" s="27"/>
      <c r="BT289" s="27"/>
      <c r="BU289" s="16"/>
      <c r="BV289" s="27"/>
      <c r="BX289" s="27"/>
      <c r="BY289" s="16"/>
      <c r="BZ289" s="27"/>
      <c r="CB289" s="27"/>
      <c r="CC289" s="16"/>
      <c r="CD289" s="27"/>
      <c r="CF289" s="27"/>
      <c r="CG289" s="16"/>
      <c r="CH289" s="27"/>
      <c r="CJ289" s="27"/>
      <c r="CK289" s="16"/>
      <c r="CL289" s="27"/>
      <c r="CN289" s="27"/>
      <c r="CO289" s="16"/>
      <c r="CP289" s="27"/>
      <c r="CR289" s="27"/>
      <c r="CS289" s="16"/>
      <c r="CT289" s="27"/>
      <c r="CV289" s="27"/>
      <c r="CW289" s="16"/>
      <c r="CX289" s="27"/>
      <c r="CZ289" s="27"/>
      <c r="DA289" s="16"/>
      <c r="DB289" s="27"/>
      <c r="DD289" s="16"/>
    </row>
    <row r="290" spans="1:108" s="14" customFormat="1" ht="21" x14ac:dyDescent="0.4">
      <c r="A290" s="27"/>
      <c r="B290" s="27"/>
      <c r="D290" s="16"/>
      <c r="E290" s="27"/>
      <c r="F290" s="27"/>
      <c r="H290" s="27"/>
      <c r="I290" s="16"/>
      <c r="J290" s="27"/>
      <c r="L290" s="27"/>
      <c r="M290" s="16"/>
      <c r="N290" s="27"/>
      <c r="P290" s="27"/>
      <c r="Q290" s="16"/>
      <c r="R290" s="27"/>
      <c r="T290" s="27"/>
      <c r="U290" s="16"/>
      <c r="V290" s="27"/>
      <c r="X290" s="27"/>
      <c r="Y290" s="16"/>
      <c r="Z290" s="27"/>
      <c r="AB290" s="27"/>
      <c r="AC290" s="16"/>
      <c r="AD290" s="27"/>
      <c r="AF290" s="27"/>
      <c r="AG290" s="16"/>
      <c r="AH290" s="27"/>
      <c r="AJ290" s="27"/>
      <c r="AK290" s="16"/>
      <c r="AL290" s="27"/>
      <c r="AN290" s="27"/>
      <c r="AO290" s="16"/>
      <c r="AP290" s="27"/>
      <c r="AR290" s="27"/>
      <c r="AS290" s="16"/>
      <c r="AT290" s="27"/>
      <c r="AV290" s="27"/>
      <c r="AW290" s="16"/>
      <c r="AX290" s="27"/>
      <c r="AZ290" s="27"/>
      <c r="BA290" s="16"/>
      <c r="BB290" s="27"/>
      <c r="BD290" s="27"/>
      <c r="BE290" s="16"/>
      <c r="BF290" s="27"/>
      <c r="BH290" s="27"/>
      <c r="BI290" s="16"/>
      <c r="BJ290" s="27"/>
      <c r="BL290" s="27"/>
      <c r="BM290" s="16"/>
      <c r="BN290" s="27"/>
      <c r="BP290" s="27"/>
      <c r="BQ290" s="16"/>
      <c r="BR290" s="27"/>
      <c r="BT290" s="27"/>
      <c r="BU290" s="16"/>
      <c r="BV290" s="27"/>
      <c r="BX290" s="27"/>
      <c r="BY290" s="16"/>
      <c r="BZ290" s="27"/>
      <c r="CB290" s="27"/>
      <c r="CC290" s="16"/>
      <c r="CD290" s="27"/>
      <c r="CF290" s="27"/>
      <c r="CG290" s="16"/>
      <c r="CH290" s="27"/>
      <c r="CJ290" s="27"/>
      <c r="CK290" s="16"/>
      <c r="CL290" s="27"/>
      <c r="CN290" s="27"/>
      <c r="CO290" s="16"/>
      <c r="CP290" s="27"/>
      <c r="CR290" s="27"/>
      <c r="CS290" s="16"/>
      <c r="CT290" s="27"/>
      <c r="CV290" s="27"/>
      <c r="CW290" s="16"/>
      <c r="CX290" s="27"/>
      <c r="CZ290" s="27"/>
      <c r="DA290" s="16"/>
      <c r="DB290" s="27"/>
      <c r="DD290" s="16"/>
    </row>
    <row r="291" spans="1:108" s="14" customFormat="1" ht="21" x14ac:dyDescent="0.4">
      <c r="A291" s="27"/>
      <c r="B291" s="27"/>
      <c r="D291" s="16"/>
      <c r="E291" s="27"/>
      <c r="F291" s="27"/>
      <c r="H291" s="27"/>
      <c r="I291" s="16"/>
      <c r="J291" s="27"/>
      <c r="L291" s="27"/>
      <c r="M291" s="16"/>
      <c r="N291" s="27"/>
      <c r="P291" s="27"/>
      <c r="Q291" s="16"/>
      <c r="R291" s="27"/>
      <c r="T291" s="27"/>
      <c r="U291" s="16"/>
      <c r="V291" s="27"/>
      <c r="X291" s="27"/>
      <c r="Y291" s="16"/>
      <c r="Z291" s="27"/>
      <c r="AB291" s="27"/>
      <c r="AC291" s="16"/>
      <c r="AD291" s="27"/>
      <c r="AF291" s="27"/>
      <c r="AG291" s="16"/>
      <c r="AH291" s="27"/>
      <c r="AJ291" s="27"/>
      <c r="AK291" s="16"/>
      <c r="AL291" s="27"/>
      <c r="AN291" s="27"/>
      <c r="AO291" s="16"/>
      <c r="AP291" s="27"/>
      <c r="AR291" s="27"/>
      <c r="AS291" s="16"/>
      <c r="AT291" s="27"/>
      <c r="AV291" s="27"/>
      <c r="AW291" s="16"/>
      <c r="AX291" s="27"/>
      <c r="AZ291" s="27"/>
      <c r="BA291" s="16"/>
      <c r="BB291" s="27"/>
      <c r="BD291" s="27"/>
      <c r="BE291" s="16"/>
      <c r="BF291" s="27"/>
      <c r="BH291" s="27"/>
      <c r="BI291" s="16"/>
      <c r="BJ291" s="27"/>
      <c r="BL291" s="27"/>
      <c r="BM291" s="16"/>
      <c r="BN291" s="27"/>
      <c r="BP291" s="27"/>
      <c r="BQ291" s="16"/>
      <c r="BR291" s="27"/>
      <c r="BT291" s="27"/>
      <c r="BU291" s="16"/>
      <c r="BV291" s="27"/>
      <c r="BX291" s="27"/>
      <c r="BY291" s="16"/>
      <c r="BZ291" s="27"/>
      <c r="CB291" s="27"/>
      <c r="CC291" s="16"/>
      <c r="CD291" s="27"/>
      <c r="CF291" s="27"/>
      <c r="CG291" s="16"/>
      <c r="CH291" s="27"/>
      <c r="CJ291" s="27"/>
      <c r="CK291" s="16"/>
      <c r="CL291" s="27"/>
      <c r="CN291" s="27"/>
      <c r="CO291" s="16"/>
      <c r="CP291" s="27"/>
      <c r="CR291" s="27"/>
      <c r="CS291" s="16"/>
      <c r="CT291" s="27"/>
      <c r="CV291" s="27"/>
      <c r="CW291" s="16"/>
      <c r="CX291" s="27"/>
      <c r="CZ291" s="27"/>
      <c r="DA291" s="16"/>
      <c r="DB291" s="27"/>
      <c r="DD291" s="16"/>
    </row>
    <row r="292" spans="1:108" s="14" customFormat="1" ht="21" x14ac:dyDescent="0.4">
      <c r="A292" s="27"/>
      <c r="B292" s="27"/>
      <c r="D292" s="16"/>
      <c r="E292" s="27"/>
      <c r="F292" s="27"/>
      <c r="H292" s="27"/>
      <c r="I292" s="16"/>
      <c r="J292" s="27"/>
      <c r="L292" s="27"/>
      <c r="M292" s="16"/>
      <c r="N292" s="27"/>
      <c r="P292" s="27"/>
      <c r="Q292" s="16"/>
      <c r="R292" s="27"/>
      <c r="T292" s="27"/>
      <c r="U292" s="16"/>
      <c r="V292" s="27"/>
      <c r="X292" s="27"/>
      <c r="Y292" s="16"/>
      <c r="Z292" s="27"/>
      <c r="AB292" s="27"/>
      <c r="AC292" s="16"/>
      <c r="AD292" s="27"/>
      <c r="AF292" s="27"/>
      <c r="AG292" s="16"/>
      <c r="AH292" s="27"/>
      <c r="AJ292" s="27"/>
      <c r="AK292" s="16"/>
      <c r="AL292" s="27"/>
      <c r="AN292" s="27"/>
      <c r="AO292" s="16"/>
      <c r="AP292" s="27"/>
      <c r="AR292" s="27"/>
      <c r="AS292" s="16"/>
      <c r="AT292" s="27"/>
      <c r="AV292" s="27"/>
      <c r="AW292" s="16"/>
      <c r="AX292" s="27"/>
      <c r="AZ292" s="27"/>
      <c r="BA292" s="16"/>
      <c r="BB292" s="27"/>
      <c r="BD292" s="27"/>
      <c r="BE292" s="16"/>
      <c r="BF292" s="27"/>
      <c r="BH292" s="27"/>
      <c r="BI292" s="16"/>
      <c r="BJ292" s="27"/>
      <c r="BL292" s="27"/>
      <c r="BM292" s="16"/>
      <c r="BN292" s="27"/>
      <c r="BP292" s="27"/>
      <c r="BQ292" s="16"/>
      <c r="BR292" s="27"/>
      <c r="BT292" s="27"/>
      <c r="BU292" s="16"/>
      <c r="BV292" s="27"/>
      <c r="BX292" s="27"/>
      <c r="BY292" s="16"/>
      <c r="BZ292" s="27"/>
      <c r="CB292" s="27"/>
      <c r="CC292" s="16"/>
      <c r="CD292" s="27"/>
      <c r="CF292" s="27"/>
      <c r="CG292" s="16"/>
      <c r="CH292" s="27"/>
      <c r="CJ292" s="27"/>
      <c r="CK292" s="16"/>
      <c r="CL292" s="27"/>
      <c r="CN292" s="27"/>
      <c r="CO292" s="16"/>
      <c r="CP292" s="27"/>
      <c r="CR292" s="27"/>
      <c r="CS292" s="16"/>
      <c r="CT292" s="27"/>
      <c r="CV292" s="27"/>
      <c r="CW292" s="16"/>
      <c r="CX292" s="27"/>
      <c r="CZ292" s="27"/>
      <c r="DA292" s="16"/>
      <c r="DB292" s="27"/>
      <c r="DD292" s="16"/>
    </row>
    <row r="293" spans="1:108" s="14" customFormat="1" ht="21" x14ac:dyDescent="0.4">
      <c r="A293" s="27"/>
      <c r="B293" s="27"/>
      <c r="D293" s="16"/>
      <c r="E293" s="27"/>
      <c r="F293" s="27"/>
      <c r="H293" s="27"/>
      <c r="I293" s="16"/>
      <c r="J293" s="27"/>
      <c r="L293" s="27"/>
      <c r="M293" s="16"/>
      <c r="N293" s="27"/>
      <c r="P293" s="27"/>
      <c r="Q293" s="16"/>
      <c r="R293" s="27"/>
      <c r="T293" s="27"/>
      <c r="U293" s="16"/>
      <c r="V293" s="27"/>
      <c r="X293" s="27"/>
      <c r="Y293" s="16"/>
      <c r="Z293" s="27"/>
      <c r="AB293" s="27"/>
      <c r="AC293" s="16"/>
      <c r="AD293" s="27"/>
      <c r="AF293" s="27"/>
      <c r="AG293" s="16"/>
      <c r="AH293" s="27"/>
      <c r="AJ293" s="27"/>
      <c r="AK293" s="16"/>
      <c r="AL293" s="27"/>
      <c r="AN293" s="27"/>
      <c r="AO293" s="16"/>
      <c r="AP293" s="27"/>
      <c r="AR293" s="27"/>
      <c r="AS293" s="16"/>
      <c r="AT293" s="27"/>
      <c r="AV293" s="27"/>
      <c r="AW293" s="16"/>
      <c r="AX293" s="27"/>
      <c r="AZ293" s="27"/>
      <c r="BA293" s="16"/>
      <c r="BB293" s="27"/>
      <c r="BD293" s="27"/>
      <c r="BE293" s="16"/>
      <c r="BF293" s="27"/>
      <c r="BH293" s="27"/>
      <c r="BI293" s="16"/>
      <c r="BJ293" s="27"/>
      <c r="BL293" s="27"/>
      <c r="BM293" s="16"/>
      <c r="BN293" s="27"/>
      <c r="BP293" s="27"/>
      <c r="BQ293" s="16"/>
      <c r="BR293" s="27"/>
      <c r="BT293" s="27"/>
      <c r="BU293" s="16"/>
      <c r="BV293" s="27"/>
      <c r="BX293" s="27"/>
      <c r="BY293" s="16"/>
      <c r="BZ293" s="27"/>
      <c r="CB293" s="27"/>
      <c r="CC293" s="16"/>
      <c r="CD293" s="27"/>
      <c r="CF293" s="27"/>
      <c r="CG293" s="16"/>
      <c r="CH293" s="27"/>
      <c r="CJ293" s="27"/>
      <c r="CK293" s="16"/>
      <c r="CL293" s="27"/>
      <c r="CN293" s="27"/>
      <c r="CO293" s="16"/>
      <c r="CP293" s="27"/>
      <c r="CR293" s="27"/>
      <c r="CS293" s="16"/>
      <c r="CT293" s="27"/>
      <c r="CV293" s="27"/>
      <c r="CW293" s="16"/>
      <c r="CX293" s="27"/>
      <c r="CZ293" s="27"/>
      <c r="DA293" s="16"/>
      <c r="DB293" s="27"/>
      <c r="DD293" s="16"/>
    </row>
    <row r="294" spans="1:108" s="14" customFormat="1" ht="21" x14ac:dyDescent="0.4">
      <c r="A294" s="27"/>
      <c r="B294" s="27"/>
      <c r="D294" s="16"/>
      <c r="E294" s="27"/>
      <c r="F294" s="27"/>
      <c r="H294" s="27"/>
      <c r="I294" s="16"/>
      <c r="J294" s="27"/>
      <c r="L294" s="27"/>
      <c r="M294" s="16"/>
      <c r="N294" s="27"/>
      <c r="P294" s="27"/>
      <c r="Q294" s="16"/>
      <c r="R294" s="27"/>
      <c r="T294" s="27"/>
      <c r="U294" s="16"/>
      <c r="V294" s="27"/>
      <c r="X294" s="27"/>
      <c r="Y294" s="16"/>
      <c r="Z294" s="27"/>
      <c r="AB294" s="27"/>
      <c r="AC294" s="16"/>
      <c r="AD294" s="27"/>
      <c r="AF294" s="27"/>
      <c r="AG294" s="16"/>
      <c r="AH294" s="27"/>
      <c r="AJ294" s="27"/>
      <c r="AK294" s="16"/>
      <c r="AL294" s="27"/>
      <c r="AN294" s="27"/>
      <c r="AO294" s="16"/>
      <c r="AP294" s="27"/>
      <c r="AR294" s="27"/>
      <c r="AS294" s="16"/>
      <c r="AT294" s="27"/>
      <c r="AV294" s="27"/>
      <c r="AW294" s="16"/>
      <c r="AX294" s="27"/>
      <c r="AZ294" s="27"/>
      <c r="BA294" s="16"/>
      <c r="BB294" s="27"/>
      <c r="BD294" s="27"/>
      <c r="BE294" s="16"/>
      <c r="BF294" s="27"/>
      <c r="BH294" s="27"/>
      <c r="BI294" s="16"/>
      <c r="BJ294" s="27"/>
      <c r="BL294" s="27"/>
      <c r="BM294" s="16"/>
      <c r="BN294" s="27"/>
      <c r="BP294" s="27"/>
      <c r="BQ294" s="16"/>
      <c r="BR294" s="27"/>
      <c r="BT294" s="27"/>
      <c r="BU294" s="16"/>
      <c r="BV294" s="27"/>
      <c r="BX294" s="27"/>
      <c r="BY294" s="16"/>
      <c r="BZ294" s="27"/>
      <c r="CB294" s="27"/>
      <c r="CC294" s="16"/>
      <c r="CD294" s="27"/>
      <c r="CF294" s="27"/>
      <c r="CG294" s="16"/>
      <c r="CH294" s="27"/>
      <c r="CJ294" s="27"/>
      <c r="CK294" s="16"/>
      <c r="CL294" s="27"/>
      <c r="CN294" s="27"/>
      <c r="CO294" s="16"/>
      <c r="CP294" s="27"/>
      <c r="CR294" s="27"/>
      <c r="CS294" s="16"/>
      <c r="CT294" s="27"/>
      <c r="CV294" s="27"/>
      <c r="CW294" s="16"/>
      <c r="CX294" s="27"/>
      <c r="CZ294" s="27"/>
      <c r="DA294" s="16"/>
      <c r="DB294" s="27"/>
      <c r="DD294" s="16"/>
    </row>
    <row r="295" spans="1:108" s="14" customFormat="1" ht="21" x14ac:dyDescent="0.4">
      <c r="A295" s="27"/>
      <c r="B295" s="27"/>
      <c r="D295" s="16"/>
      <c r="E295" s="27"/>
      <c r="F295" s="27"/>
      <c r="H295" s="27"/>
      <c r="I295" s="16"/>
      <c r="J295" s="27"/>
      <c r="L295" s="27"/>
      <c r="M295" s="16"/>
      <c r="N295" s="27"/>
      <c r="P295" s="27"/>
      <c r="Q295" s="16"/>
      <c r="R295" s="27"/>
      <c r="T295" s="27"/>
      <c r="U295" s="16"/>
      <c r="V295" s="27"/>
      <c r="X295" s="27"/>
      <c r="Y295" s="16"/>
      <c r="Z295" s="27"/>
      <c r="AB295" s="27"/>
      <c r="AC295" s="16"/>
      <c r="AD295" s="27"/>
      <c r="AF295" s="27"/>
      <c r="AG295" s="16"/>
      <c r="AH295" s="27"/>
      <c r="AJ295" s="27"/>
      <c r="AK295" s="16"/>
      <c r="AL295" s="27"/>
      <c r="AN295" s="27"/>
      <c r="AO295" s="16"/>
      <c r="AP295" s="27"/>
      <c r="AR295" s="27"/>
      <c r="AS295" s="16"/>
      <c r="AT295" s="27"/>
      <c r="AV295" s="27"/>
      <c r="AW295" s="16"/>
      <c r="AX295" s="27"/>
      <c r="AZ295" s="27"/>
      <c r="BA295" s="16"/>
      <c r="BB295" s="27"/>
      <c r="BD295" s="27"/>
      <c r="BE295" s="16"/>
      <c r="BF295" s="27"/>
      <c r="BH295" s="27"/>
      <c r="BI295" s="16"/>
      <c r="BJ295" s="27"/>
      <c r="BL295" s="27"/>
      <c r="BM295" s="16"/>
      <c r="BN295" s="27"/>
      <c r="BP295" s="27"/>
      <c r="BQ295" s="16"/>
      <c r="BR295" s="27"/>
      <c r="BT295" s="27"/>
      <c r="BU295" s="16"/>
      <c r="BV295" s="27"/>
      <c r="BX295" s="27"/>
      <c r="BY295" s="16"/>
      <c r="BZ295" s="27"/>
      <c r="CB295" s="27"/>
      <c r="CC295" s="16"/>
      <c r="CD295" s="27"/>
      <c r="CF295" s="27"/>
      <c r="CG295" s="16"/>
      <c r="CH295" s="27"/>
      <c r="CJ295" s="27"/>
      <c r="CK295" s="16"/>
      <c r="CL295" s="27"/>
      <c r="CN295" s="27"/>
      <c r="CO295" s="16"/>
      <c r="CP295" s="27"/>
      <c r="CR295" s="27"/>
      <c r="CS295" s="16"/>
      <c r="CT295" s="27"/>
      <c r="CV295" s="27"/>
      <c r="CW295" s="16"/>
      <c r="CX295" s="27"/>
      <c r="CZ295" s="27"/>
      <c r="DA295" s="16"/>
      <c r="DB295" s="27"/>
      <c r="DD295" s="16"/>
    </row>
    <row r="296" spans="1:108" s="14" customFormat="1" ht="21" x14ac:dyDescent="0.4">
      <c r="A296" s="27"/>
      <c r="B296" s="27"/>
      <c r="D296" s="16"/>
      <c r="E296" s="27"/>
      <c r="F296" s="27"/>
      <c r="H296" s="27"/>
      <c r="I296" s="16"/>
      <c r="J296" s="27"/>
      <c r="L296" s="27"/>
      <c r="M296" s="16"/>
      <c r="N296" s="27"/>
      <c r="P296" s="27"/>
      <c r="Q296" s="16"/>
      <c r="R296" s="27"/>
      <c r="T296" s="27"/>
      <c r="U296" s="16"/>
      <c r="V296" s="27"/>
      <c r="X296" s="27"/>
      <c r="Y296" s="16"/>
      <c r="Z296" s="27"/>
      <c r="AB296" s="27"/>
      <c r="AC296" s="16"/>
      <c r="AD296" s="27"/>
      <c r="AF296" s="27"/>
      <c r="AG296" s="16"/>
      <c r="AH296" s="27"/>
      <c r="AJ296" s="27"/>
      <c r="AK296" s="16"/>
      <c r="AL296" s="27"/>
      <c r="AN296" s="27"/>
      <c r="AO296" s="16"/>
      <c r="AP296" s="27"/>
      <c r="AR296" s="27"/>
      <c r="AS296" s="16"/>
      <c r="AT296" s="27"/>
      <c r="AV296" s="27"/>
      <c r="AW296" s="16"/>
      <c r="AX296" s="27"/>
      <c r="AZ296" s="27"/>
      <c r="BA296" s="16"/>
      <c r="BB296" s="27"/>
      <c r="BD296" s="27"/>
      <c r="BE296" s="16"/>
      <c r="BF296" s="27"/>
      <c r="BH296" s="27"/>
      <c r="BI296" s="16"/>
      <c r="BJ296" s="27"/>
      <c r="BL296" s="27"/>
      <c r="BM296" s="16"/>
      <c r="BN296" s="27"/>
      <c r="BP296" s="27"/>
      <c r="BQ296" s="16"/>
      <c r="BR296" s="27"/>
      <c r="BT296" s="27"/>
      <c r="BU296" s="16"/>
      <c r="BV296" s="27"/>
      <c r="BX296" s="27"/>
      <c r="BY296" s="16"/>
      <c r="BZ296" s="27"/>
      <c r="CB296" s="27"/>
      <c r="CC296" s="16"/>
      <c r="CD296" s="27"/>
      <c r="CF296" s="27"/>
      <c r="CG296" s="16"/>
      <c r="CH296" s="27"/>
      <c r="CJ296" s="27"/>
      <c r="CK296" s="16"/>
      <c r="CL296" s="27"/>
      <c r="CN296" s="27"/>
      <c r="CO296" s="16"/>
      <c r="CP296" s="27"/>
      <c r="CR296" s="27"/>
      <c r="CS296" s="16"/>
      <c r="CT296" s="27"/>
      <c r="CV296" s="27"/>
      <c r="CW296" s="16"/>
      <c r="CX296" s="27"/>
      <c r="CZ296" s="27"/>
      <c r="DA296" s="16"/>
      <c r="DB296" s="27"/>
      <c r="DD296" s="16"/>
    </row>
    <row r="297" spans="1:108" s="14" customFormat="1" ht="21" x14ac:dyDescent="0.4">
      <c r="A297" s="27"/>
      <c r="B297" s="27"/>
      <c r="D297" s="16"/>
      <c r="E297" s="27"/>
      <c r="F297" s="27"/>
      <c r="H297" s="27"/>
      <c r="I297" s="16"/>
      <c r="J297" s="27"/>
      <c r="L297" s="27"/>
      <c r="M297" s="16"/>
      <c r="N297" s="27"/>
      <c r="P297" s="27"/>
      <c r="Q297" s="16"/>
      <c r="R297" s="27"/>
      <c r="T297" s="27"/>
      <c r="U297" s="16"/>
      <c r="V297" s="27"/>
      <c r="X297" s="27"/>
      <c r="Y297" s="16"/>
      <c r="Z297" s="27"/>
      <c r="AB297" s="27"/>
      <c r="AC297" s="16"/>
      <c r="AD297" s="27"/>
      <c r="AF297" s="27"/>
      <c r="AG297" s="16"/>
      <c r="AH297" s="27"/>
      <c r="AJ297" s="27"/>
      <c r="AK297" s="16"/>
      <c r="AL297" s="27"/>
      <c r="AN297" s="27"/>
      <c r="AO297" s="16"/>
      <c r="AP297" s="27"/>
      <c r="AR297" s="27"/>
      <c r="AS297" s="16"/>
      <c r="AT297" s="27"/>
      <c r="AV297" s="27"/>
      <c r="AW297" s="16"/>
      <c r="AX297" s="27"/>
      <c r="AZ297" s="27"/>
      <c r="BA297" s="16"/>
      <c r="BB297" s="27"/>
      <c r="BD297" s="27"/>
      <c r="BE297" s="16"/>
      <c r="BF297" s="27"/>
      <c r="BH297" s="27"/>
      <c r="BI297" s="16"/>
      <c r="BJ297" s="27"/>
      <c r="BL297" s="27"/>
      <c r="BM297" s="16"/>
      <c r="BN297" s="27"/>
      <c r="BP297" s="27"/>
      <c r="BQ297" s="16"/>
      <c r="BR297" s="27"/>
      <c r="BT297" s="27"/>
      <c r="BU297" s="16"/>
      <c r="BV297" s="27"/>
      <c r="BX297" s="27"/>
      <c r="BY297" s="16"/>
      <c r="BZ297" s="27"/>
      <c r="CB297" s="27"/>
      <c r="CC297" s="16"/>
      <c r="CD297" s="27"/>
      <c r="CF297" s="27"/>
      <c r="CG297" s="16"/>
      <c r="CH297" s="27"/>
      <c r="CJ297" s="27"/>
      <c r="CK297" s="16"/>
      <c r="CL297" s="27"/>
      <c r="CN297" s="27"/>
      <c r="CO297" s="16"/>
      <c r="CP297" s="27"/>
      <c r="CR297" s="27"/>
      <c r="CS297" s="16"/>
      <c r="CT297" s="27"/>
      <c r="CV297" s="27"/>
      <c r="CW297" s="16"/>
      <c r="CX297" s="27"/>
      <c r="CZ297" s="27"/>
      <c r="DA297" s="16"/>
      <c r="DB297" s="27"/>
      <c r="DD297" s="16"/>
    </row>
    <row r="298" spans="1:108" s="14" customFormat="1" ht="21" x14ac:dyDescent="0.4">
      <c r="A298" s="27"/>
      <c r="B298" s="27"/>
      <c r="D298" s="16"/>
      <c r="E298" s="27"/>
      <c r="F298" s="27"/>
      <c r="H298" s="27"/>
      <c r="I298" s="16"/>
      <c r="J298" s="27"/>
      <c r="L298" s="27"/>
      <c r="M298" s="16"/>
      <c r="N298" s="27"/>
      <c r="P298" s="27"/>
      <c r="Q298" s="16"/>
      <c r="R298" s="27"/>
      <c r="T298" s="27"/>
      <c r="U298" s="16"/>
      <c r="V298" s="27"/>
      <c r="X298" s="27"/>
      <c r="Y298" s="16"/>
      <c r="Z298" s="27"/>
      <c r="AB298" s="27"/>
      <c r="AC298" s="16"/>
      <c r="AD298" s="27"/>
      <c r="AF298" s="27"/>
      <c r="AG298" s="16"/>
      <c r="AH298" s="27"/>
      <c r="AJ298" s="27"/>
      <c r="AK298" s="16"/>
      <c r="AL298" s="27"/>
      <c r="AN298" s="27"/>
      <c r="AO298" s="16"/>
      <c r="AP298" s="27"/>
      <c r="AR298" s="27"/>
      <c r="AS298" s="16"/>
      <c r="AT298" s="27"/>
      <c r="AV298" s="27"/>
      <c r="AW298" s="16"/>
      <c r="AX298" s="27"/>
      <c r="AZ298" s="27"/>
      <c r="BA298" s="16"/>
      <c r="BB298" s="27"/>
      <c r="BD298" s="27"/>
      <c r="BE298" s="16"/>
      <c r="BF298" s="27"/>
      <c r="BH298" s="27"/>
      <c r="BI298" s="16"/>
      <c r="BJ298" s="27"/>
      <c r="BL298" s="27"/>
      <c r="BM298" s="16"/>
      <c r="BN298" s="27"/>
      <c r="BP298" s="27"/>
      <c r="BQ298" s="16"/>
      <c r="BR298" s="27"/>
      <c r="BT298" s="27"/>
      <c r="BU298" s="16"/>
      <c r="BV298" s="27"/>
      <c r="BX298" s="27"/>
      <c r="BY298" s="16"/>
      <c r="BZ298" s="27"/>
      <c r="CB298" s="27"/>
      <c r="CC298" s="16"/>
      <c r="CD298" s="27"/>
      <c r="CF298" s="27"/>
      <c r="CG298" s="16"/>
      <c r="CH298" s="27"/>
      <c r="CJ298" s="27"/>
      <c r="CK298" s="16"/>
      <c r="CL298" s="27"/>
      <c r="CN298" s="27"/>
      <c r="CO298" s="16"/>
      <c r="CP298" s="27"/>
      <c r="CR298" s="27"/>
      <c r="CS298" s="16"/>
      <c r="CT298" s="27"/>
      <c r="CV298" s="27"/>
      <c r="CW298" s="16"/>
      <c r="CX298" s="27"/>
      <c r="CZ298" s="27"/>
      <c r="DA298" s="16"/>
      <c r="DB298" s="27"/>
      <c r="DD298" s="16"/>
    </row>
    <row r="299" spans="1:108" s="14" customFormat="1" ht="21" x14ac:dyDescent="0.4">
      <c r="A299" s="27"/>
      <c r="B299" s="27"/>
      <c r="D299" s="16"/>
      <c r="E299" s="27"/>
      <c r="F299" s="27"/>
      <c r="H299" s="27"/>
      <c r="I299" s="16"/>
      <c r="J299" s="27"/>
      <c r="L299" s="27"/>
      <c r="M299" s="16"/>
      <c r="N299" s="27"/>
      <c r="P299" s="27"/>
      <c r="Q299" s="16"/>
      <c r="R299" s="27"/>
      <c r="T299" s="27"/>
      <c r="U299" s="16"/>
      <c r="V299" s="27"/>
      <c r="X299" s="27"/>
      <c r="Y299" s="16"/>
      <c r="Z299" s="27"/>
      <c r="AB299" s="27"/>
      <c r="AC299" s="16"/>
      <c r="AD299" s="27"/>
      <c r="AF299" s="27"/>
      <c r="AG299" s="16"/>
      <c r="AH299" s="27"/>
      <c r="AJ299" s="27"/>
      <c r="AK299" s="16"/>
      <c r="AL299" s="27"/>
      <c r="AN299" s="27"/>
      <c r="AO299" s="16"/>
      <c r="AP299" s="27"/>
      <c r="AR299" s="27"/>
      <c r="AS299" s="16"/>
      <c r="AT299" s="27"/>
      <c r="AV299" s="27"/>
      <c r="AW299" s="16"/>
      <c r="AX299" s="27"/>
      <c r="AZ299" s="27"/>
      <c r="BA299" s="16"/>
      <c r="BB299" s="27"/>
      <c r="BD299" s="27"/>
      <c r="BE299" s="16"/>
      <c r="BF299" s="27"/>
      <c r="BH299" s="27"/>
      <c r="BI299" s="16"/>
      <c r="BJ299" s="27"/>
      <c r="BL299" s="27"/>
      <c r="BM299" s="16"/>
      <c r="BN299" s="27"/>
      <c r="BP299" s="27"/>
      <c r="BQ299" s="16"/>
      <c r="BR299" s="27"/>
      <c r="BT299" s="27"/>
      <c r="BU299" s="16"/>
      <c r="BV299" s="27"/>
      <c r="BX299" s="27"/>
      <c r="BY299" s="16"/>
      <c r="BZ299" s="27"/>
      <c r="CB299" s="27"/>
      <c r="CC299" s="16"/>
      <c r="CD299" s="27"/>
      <c r="CF299" s="27"/>
      <c r="CG299" s="16"/>
      <c r="CH299" s="27"/>
      <c r="CJ299" s="27"/>
      <c r="CK299" s="16"/>
      <c r="CL299" s="27"/>
      <c r="CN299" s="27"/>
      <c r="CO299" s="16"/>
      <c r="CP299" s="27"/>
      <c r="CR299" s="27"/>
      <c r="CS299" s="16"/>
      <c r="CT299" s="27"/>
      <c r="CV299" s="27"/>
      <c r="CW299" s="16"/>
      <c r="CX299" s="27"/>
      <c r="CZ299" s="27"/>
      <c r="DA299" s="16"/>
      <c r="DB299" s="27"/>
      <c r="DD299" s="16"/>
    </row>
    <row r="300" spans="1:108" s="14" customFormat="1" ht="21" x14ac:dyDescent="0.4">
      <c r="A300" s="27"/>
      <c r="B300" s="27"/>
      <c r="D300" s="16"/>
      <c r="E300" s="27"/>
      <c r="F300" s="27"/>
      <c r="H300" s="27"/>
      <c r="I300" s="16"/>
      <c r="J300" s="27"/>
      <c r="L300" s="27"/>
      <c r="M300" s="16"/>
      <c r="N300" s="27"/>
      <c r="P300" s="27"/>
      <c r="Q300" s="16"/>
      <c r="R300" s="27"/>
      <c r="T300" s="27"/>
      <c r="U300" s="16"/>
      <c r="V300" s="27"/>
      <c r="X300" s="27"/>
      <c r="Y300" s="16"/>
      <c r="Z300" s="27"/>
      <c r="AB300" s="27"/>
      <c r="AC300" s="16"/>
      <c r="AD300" s="27"/>
      <c r="AF300" s="27"/>
      <c r="AG300" s="16"/>
      <c r="AH300" s="27"/>
      <c r="AJ300" s="27"/>
      <c r="AK300" s="16"/>
      <c r="AL300" s="27"/>
      <c r="AN300" s="27"/>
      <c r="AO300" s="16"/>
      <c r="AP300" s="27"/>
      <c r="AR300" s="27"/>
      <c r="AS300" s="16"/>
      <c r="AT300" s="27"/>
      <c r="AV300" s="27"/>
      <c r="AW300" s="16"/>
      <c r="AX300" s="27"/>
      <c r="AZ300" s="27"/>
      <c r="BA300" s="16"/>
      <c r="BB300" s="27"/>
      <c r="BD300" s="27"/>
      <c r="BE300" s="16"/>
      <c r="BF300" s="27"/>
      <c r="BH300" s="27"/>
      <c r="BI300" s="16"/>
      <c r="BJ300" s="27"/>
      <c r="BL300" s="27"/>
      <c r="BM300" s="16"/>
      <c r="BN300" s="27"/>
      <c r="BP300" s="27"/>
      <c r="BQ300" s="16"/>
      <c r="BR300" s="27"/>
      <c r="BT300" s="27"/>
      <c r="BU300" s="16"/>
      <c r="BV300" s="27"/>
      <c r="BX300" s="27"/>
      <c r="BY300" s="16"/>
      <c r="BZ300" s="27"/>
      <c r="CB300" s="27"/>
      <c r="CC300" s="16"/>
      <c r="CD300" s="27"/>
      <c r="CF300" s="27"/>
      <c r="CG300" s="16"/>
      <c r="CH300" s="27"/>
      <c r="CJ300" s="27"/>
      <c r="CK300" s="16"/>
      <c r="CL300" s="27"/>
      <c r="CN300" s="27"/>
      <c r="CO300" s="16"/>
      <c r="CP300" s="27"/>
      <c r="CR300" s="27"/>
      <c r="CS300" s="16"/>
      <c r="CT300" s="27"/>
      <c r="CV300" s="27"/>
      <c r="CW300" s="16"/>
      <c r="CX300" s="27"/>
      <c r="CZ300" s="27"/>
      <c r="DA300" s="16"/>
      <c r="DB300" s="27"/>
      <c r="DD300" s="16"/>
    </row>
    <row r="301" spans="1:108" s="14" customFormat="1" ht="21" x14ac:dyDescent="0.4">
      <c r="A301" s="27"/>
      <c r="B301" s="27"/>
      <c r="D301" s="16"/>
      <c r="E301" s="27"/>
      <c r="F301" s="27"/>
      <c r="H301" s="27"/>
      <c r="I301" s="16"/>
      <c r="J301" s="27"/>
      <c r="L301" s="27"/>
      <c r="M301" s="16"/>
      <c r="N301" s="27"/>
      <c r="P301" s="27"/>
      <c r="Q301" s="16"/>
      <c r="R301" s="27"/>
      <c r="T301" s="27"/>
      <c r="U301" s="16"/>
      <c r="V301" s="27"/>
      <c r="X301" s="27"/>
      <c r="Y301" s="16"/>
      <c r="Z301" s="27"/>
      <c r="AB301" s="27"/>
      <c r="AC301" s="16"/>
      <c r="AD301" s="27"/>
      <c r="AF301" s="27"/>
      <c r="AG301" s="16"/>
      <c r="AH301" s="27"/>
      <c r="AJ301" s="27"/>
      <c r="AK301" s="16"/>
      <c r="AL301" s="27"/>
      <c r="AN301" s="27"/>
      <c r="AO301" s="16"/>
      <c r="AP301" s="27"/>
      <c r="AR301" s="27"/>
      <c r="AS301" s="16"/>
      <c r="AT301" s="27"/>
      <c r="AV301" s="27"/>
      <c r="AW301" s="16"/>
      <c r="AX301" s="27"/>
      <c r="AZ301" s="27"/>
      <c r="BA301" s="16"/>
      <c r="BB301" s="27"/>
      <c r="BD301" s="27"/>
      <c r="BE301" s="16"/>
      <c r="BF301" s="27"/>
      <c r="BH301" s="27"/>
      <c r="BI301" s="16"/>
      <c r="BJ301" s="27"/>
      <c r="BL301" s="27"/>
      <c r="BM301" s="16"/>
      <c r="BN301" s="27"/>
      <c r="BP301" s="27"/>
      <c r="BQ301" s="16"/>
      <c r="BR301" s="27"/>
      <c r="BT301" s="27"/>
      <c r="BU301" s="16"/>
      <c r="BV301" s="27"/>
      <c r="BX301" s="27"/>
      <c r="BY301" s="16"/>
      <c r="BZ301" s="27"/>
      <c r="CB301" s="27"/>
      <c r="CC301" s="16"/>
      <c r="CD301" s="27"/>
      <c r="CF301" s="27"/>
      <c r="CG301" s="16"/>
      <c r="CH301" s="27"/>
      <c r="CJ301" s="27"/>
      <c r="CK301" s="16"/>
      <c r="CL301" s="27"/>
      <c r="CN301" s="27"/>
      <c r="CO301" s="16"/>
      <c r="CP301" s="27"/>
      <c r="CR301" s="27"/>
      <c r="CS301" s="16"/>
      <c r="CT301" s="27"/>
      <c r="CV301" s="27"/>
      <c r="CW301" s="16"/>
      <c r="CX301" s="27"/>
      <c r="CZ301" s="27"/>
      <c r="DA301" s="16"/>
      <c r="DB301" s="27"/>
      <c r="DD301" s="16"/>
    </row>
    <row r="302" spans="1:108" s="14" customFormat="1" ht="21" x14ac:dyDescent="0.4">
      <c r="A302" s="27"/>
      <c r="B302" s="27"/>
      <c r="D302" s="16"/>
      <c r="E302" s="27"/>
      <c r="F302" s="27"/>
      <c r="H302" s="27"/>
      <c r="I302" s="16"/>
      <c r="J302" s="27"/>
      <c r="L302" s="27"/>
      <c r="M302" s="16"/>
      <c r="N302" s="27"/>
      <c r="P302" s="27"/>
      <c r="Q302" s="16"/>
      <c r="R302" s="27"/>
      <c r="T302" s="27"/>
      <c r="U302" s="16"/>
      <c r="V302" s="27"/>
      <c r="X302" s="27"/>
      <c r="Y302" s="16"/>
      <c r="Z302" s="27"/>
      <c r="AB302" s="27"/>
      <c r="AC302" s="16"/>
      <c r="AD302" s="27"/>
      <c r="AF302" s="27"/>
      <c r="AG302" s="16"/>
      <c r="AH302" s="27"/>
      <c r="AJ302" s="27"/>
      <c r="AK302" s="16"/>
      <c r="AL302" s="27"/>
      <c r="AN302" s="27"/>
      <c r="AO302" s="16"/>
      <c r="AP302" s="27"/>
      <c r="AR302" s="27"/>
      <c r="AS302" s="16"/>
      <c r="AT302" s="27"/>
      <c r="AV302" s="27"/>
      <c r="AW302" s="16"/>
      <c r="AX302" s="27"/>
      <c r="AZ302" s="27"/>
      <c r="BA302" s="16"/>
      <c r="BB302" s="27"/>
      <c r="BD302" s="27"/>
      <c r="BE302" s="16"/>
      <c r="BF302" s="27"/>
      <c r="BH302" s="27"/>
      <c r="BI302" s="16"/>
      <c r="BJ302" s="27"/>
      <c r="BL302" s="27"/>
      <c r="BM302" s="16"/>
      <c r="BN302" s="27"/>
      <c r="BP302" s="27"/>
      <c r="BQ302" s="16"/>
      <c r="BR302" s="27"/>
      <c r="BT302" s="27"/>
      <c r="BU302" s="16"/>
      <c r="BV302" s="27"/>
      <c r="BX302" s="27"/>
      <c r="BY302" s="16"/>
      <c r="BZ302" s="27"/>
      <c r="CB302" s="27"/>
      <c r="CC302" s="16"/>
      <c r="CD302" s="27"/>
      <c r="CF302" s="27"/>
      <c r="CG302" s="16"/>
      <c r="CH302" s="27"/>
      <c r="CJ302" s="27"/>
      <c r="CK302" s="16"/>
      <c r="CL302" s="27"/>
      <c r="CN302" s="27"/>
      <c r="CO302" s="16"/>
      <c r="CP302" s="27"/>
      <c r="CR302" s="27"/>
      <c r="CS302" s="16"/>
      <c r="CT302" s="27"/>
      <c r="CV302" s="27"/>
      <c r="CW302" s="16"/>
      <c r="CX302" s="27"/>
      <c r="CZ302" s="27"/>
      <c r="DA302" s="16"/>
      <c r="DB302" s="27"/>
      <c r="DD302" s="16"/>
    </row>
    <row r="303" spans="1:108" s="14" customFormat="1" ht="21" x14ac:dyDescent="0.4">
      <c r="A303" s="27"/>
      <c r="B303" s="27"/>
      <c r="D303" s="16"/>
      <c r="E303" s="27"/>
      <c r="F303" s="27"/>
      <c r="H303" s="27"/>
      <c r="I303" s="16"/>
      <c r="J303" s="27"/>
      <c r="L303" s="27"/>
      <c r="M303" s="16"/>
      <c r="N303" s="27"/>
      <c r="P303" s="27"/>
      <c r="Q303" s="16"/>
      <c r="R303" s="27"/>
      <c r="T303" s="27"/>
      <c r="U303" s="16"/>
      <c r="V303" s="27"/>
      <c r="X303" s="27"/>
      <c r="Y303" s="16"/>
      <c r="Z303" s="27"/>
      <c r="AB303" s="27"/>
      <c r="AC303" s="16"/>
      <c r="AD303" s="27"/>
      <c r="AF303" s="27"/>
      <c r="AG303" s="16"/>
      <c r="AH303" s="27"/>
      <c r="AJ303" s="27"/>
      <c r="AK303" s="16"/>
      <c r="AL303" s="27"/>
      <c r="AN303" s="27"/>
      <c r="AO303" s="16"/>
      <c r="AP303" s="27"/>
      <c r="AR303" s="27"/>
      <c r="AS303" s="16"/>
      <c r="AT303" s="27"/>
      <c r="AV303" s="27"/>
      <c r="AW303" s="16"/>
      <c r="AX303" s="27"/>
      <c r="AZ303" s="27"/>
      <c r="BA303" s="16"/>
      <c r="BB303" s="27"/>
      <c r="BD303" s="27"/>
      <c r="BE303" s="16"/>
      <c r="BF303" s="27"/>
      <c r="BH303" s="27"/>
      <c r="BI303" s="16"/>
      <c r="BJ303" s="27"/>
      <c r="BL303" s="27"/>
      <c r="BM303" s="16"/>
      <c r="BN303" s="27"/>
      <c r="BP303" s="27"/>
      <c r="BQ303" s="16"/>
      <c r="BR303" s="27"/>
      <c r="BT303" s="27"/>
      <c r="BU303" s="16"/>
      <c r="BV303" s="27"/>
      <c r="BX303" s="27"/>
      <c r="BY303" s="16"/>
      <c r="BZ303" s="27"/>
      <c r="CB303" s="27"/>
      <c r="CC303" s="16"/>
      <c r="CD303" s="27"/>
      <c r="CF303" s="27"/>
      <c r="CG303" s="16"/>
      <c r="CH303" s="27"/>
      <c r="CJ303" s="27"/>
      <c r="CK303" s="16"/>
      <c r="CL303" s="27"/>
      <c r="CN303" s="27"/>
      <c r="CO303" s="16"/>
      <c r="CP303" s="27"/>
      <c r="CR303" s="27"/>
      <c r="CS303" s="16"/>
      <c r="CT303" s="27"/>
      <c r="CV303" s="27"/>
      <c r="CW303" s="16"/>
      <c r="CX303" s="27"/>
      <c r="CZ303" s="27"/>
      <c r="DA303" s="16"/>
      <c r="DB303" s="27"/>
      <c r="DD303" s="16"/>
    </row>
    <row r="304" spans="1:108" s="14" customFormat="1" ht="21" x14ac:dyDescent="0.4">
      <c r="A304" s="27"/>
      <c r="B304" s="27"/>
      <c r="D304" s="16"/>
      <c r="E304" s="27"/>
      <c r="F304" s="27"/>
      <c r="H304" s="27"/>
      <c r="I304" s="16"/>
      <c r="J304" s="27"/>
      <c r="L304" s="27"/>
      <c r="M304" s="16"/>
      <c r="N304" s="27"/>
      <c r="P304" s="27"/>
      <c r="Q304" s="16"/>
      <c r="R304" s="27"/>
      <c r="T304" s="27"/>
      <c r="U304" s="16"/>
      <c r="V304" s="27"/>
      <c r="X304" s="27"/>
      <c r="Y304" s="16"/>
      <c r="Z304" s="27"/>
      <c r="AB304" s="27"/>
      <c r="AC304" s="16"/>
      <c r="AD304" s="27"/>
      <c r="AF304" s="27"/>
      <c r="AG304" s="16"/>
      <c r="AH304" s="27"/>
      <c r="AJ304" s="27"/>
      <c r="AK304" s="16"/>
      <c r="AL304" s="27"/>
      <c r="AN304" s="27"/>
      <c r="AO304" s="16"/>
      <c r="AP304" s="27"/>
      <c r="AR304" s="27"/>
      <c r="AS304" s="16"/>
      <c r="AT304" s="27"/>
      <c r="AV304" s="27"/>
      <c r="AW304" s="16"/>
      <c r="AX304" s="27"/>
      <c r="AZ304" s="27"/>
      <c r="BA304" s="16"/>
      <c r="BB304" s="27"/>
      <c r="BD304" s="27"/>
      <c r="BE304" s="16"/>
      <c r="BF304" s="27"/>
      <c r="BH304" s="27"/>
      <c r="BI304" s="16"/>
      <c r="BJ304" s="27"/>
      <c r="BL304" s="27"/>
      <c r="BM304" s="16"/>
      <c r="BN304" s="27"/>
      <c r="BP304" s="27"/>
      <c r="BQ304" s="16"/>
      <c r="BR304" s="27"/>
      <c r="BT304" s="27"/>
      <c r="BU304" s="16"/>
      <c r="BV304" s="27"/>
      <c r="BX304" s="27"/>
      <c r="BY304" s="16"/>
      <c r="BZ304" s="27"/>
      <c r="CB304" s="27"/>
      <c r="CC304" s="16"/>
      <c r="CD304" s="27"/>
      <c r="CF304" s="27"/>
      <c r="CG304" s="16"/>
      <c r="CH304" s="27"/>
      <c r="CJ304" s="27"/>
      <c r="CK304" s="16"/>
      <c r="CL304" s="27"/>
      <c r="CN304" s="27"/>
      <c r="CO304" s="16"/>
      <c r="CP304" s="27"/>
      <c r="CR304" s="27"/>
      <c r="CS304" s="16"/>
      <c r="CT304" s="27"/>
      <c r="CV304" s="27"/>
      <c r="CW304" s="16"/>
      <c r="CX304" s="27"/>
      <c r="CZ304" s="27"/>
      <c r="DA304" s="16"/>
      <c r="DB304" s="27"/>
      <c r="DD304" s="16"/>
    </row>
    <row r="305" spans="1:108" s="14" customFormat="1" ht="21" x14ac:dyDescent="0.4">
      <c r="A305" s="27"/>
      <c r="B305" s="27"/>
      <c r="D305" s="16"/>
      <c r="E305" s="27"/>
      <c r="F305" s="27"/>
      <c r="H305" s="27"/>
      <c r="I305" s="16"/>
      <c r="J305" s="27"/>
      <c r="L305" s="27"/>
      <c r="M305" s="16"/>
      <c r="N305" s="27"/>
      <c r="P305" s="27"/>
      <c r="Q305" s="16"/>
      <c r="R305" s="27"/>
      <c r="T305" s="27"/>
      <c r="U305" s="16"/>
      <c r="V305" s="27"/>
      <c r="X305" s="27"/>
      <c r="Y305" s="16"/>
      <c r="Z305" s="27"/>
      <c r="AB305" s="27"/>
      <c r="AC305" s="16"/>
      <c r="AD305" s="27"/>
      <c r="AF305" s="27"/>
      <c r="AG305" s="16"/>
      <c r="AH305" s="27"/>
      <c r="AJ305" s="27"/>
      <c r="AK305" s="16"/>
      <c r="AL305" s="27"/>
      <c r="AN305" s="27"/>
      <c r="AO305" s="16"/>
      <c r="AP305" s="27"/>
      <c r="AR305" s="27"/>
      <c r="AS305" s="16"/>
      <c r="AT305" s="27"/>
      <c r="AV305" s="27"/>
      <c r="AW305" s="16"/>
      <c r="AX305" s="27"/>
      <c r="AZ305" s="27"/>
      <c r="BA305" s="16"/>
      <c r="BB305" s="27"/>
      <c r="BD305" s="27"/>
      <c r="BE305" s="16"/>
      <c r="BF305" s="27"/>
      <c r="BH305" s="27"/>
      <c r="BI305" s="16"/>
      <c r="BJ305" s="27"/>
      <c r="BL305" s="27"/>
      <c r="BM305" s="16"/>
      <c r="BN305" s="27"/>
      <c r="BP305" s="27"/>
      <c r="BQ305" s="16"/>
      <c r="BR305" s="27"/>
      <c r="BT305" s="27"/>
      <c r="BU305" s="16"/>
      <c r="BV305" s="27"/>
      <c r="BX305" s="27"/>
      <c r="BY305" s="16"/>
      <c r="BZ305" s="27"/>
      <c r="CB305" s="27"/>
      <c r="CC305" s="16"/>
      <c r="CD305" s="27"/>
      <c r="CF305" s="27"/>
      <c r="CG305" s="16"/>
      <c r="CH305" s="27"/>
      <c r="CJ305" s="27"/>
      <c r="CK305" s="16"/>
      <c r="CL305" s="27"/>
      <c r="CN305" s="27"/>
      <c r="CO305" s="16"/>
      <c r="CP305" s="27"/>
      <c r="CR305" s="27"/>
      <c r="CS305" s="16"/>
      <c r="CT305" s="27"/>
      <c r="CV305" s="27"/>
      <c r="CW305" s="16"/>
      <c r="CX305" s="27"/>
      <c r="CZ305" s="27"/>
      <c r="DA305" s="16"/>
      <c r="DB305" s="27"/>
      <c r="DD305" s="16"/>
    </row>
    <row r="306" spans="1:108" s="14" customFormat="1" ht="21" x14ac:dyDescent="0.4">
      <c r="A306" s="27"/>
      <c r="B306" s="27"/>
      <c r="D306" s="16"/>
      <c r="E306" s="27"/>
      <c r="F306" s="27"/>
      <c r="H306" s="27"/>
      <c r="I306" s="16"/>
      <c r="J306" s="27"/>
      <c r="L306" s="27"/>
      <c r="M306" s="16"/>
      <c r="N306" s="27"/>
      <c r="P306" s="27"/>
      <c r="Q306" s="16"/>
      <c r="R306" s="27"/>
      <c r="T306" s="27"/>
      <c r="U306" s="16"/>
      <c r="V306" s="27"/>
      <c r="X306" s="27"/>
      <c r="Y306" s="16"/>
      <c r="Z306" s="27"/>
      <c r="AB306" s="27"/>
      <c r="AC306" s="16"/>
      <c r="AD306" s="27"/>
      <c r="AF306" s="27"/>
      <c r="AG306" s="16"/>
      <c r="AH306" s="27"/>
      <c r="AJ306" s="27"/>
      <c r="AK306" s="16"/>
      <c r="AL306" s="27"/>
      <c r="AN306" s="27"/>
      <c r="AO306" s="16"/>
      <c r="AP306" s="27"/>
      <c r="AR306" s="27"/>
      <c r="AS306" s="16"/>
      <c r="AT306" s="27"/>
      <c r="AV306" s="27"/>
      <c r="AW306" s="16"/>
      <c r="AX306" s="27"/>
      <c r="AZ306" s="27"/>
      <c r="BA306" s="16"/>
      <c r="BB306" s="27"/>
      <c r="BD306" s="27"/>
      <c r="BE306" s="16"/>
      <c r="BF306" s="27"/>
      <c r="BH306" s="27"/>
      <c r="BI306" s="16"/>
      <c r="BJ306" s="27"/>
      <c r="BL306" s="27"/>
      <c r="BM306" s="16"/>
      <c r="BN306" s="27"/>
      <c r="BP306" s="27"/>
      <c r="BQ306" s="16"/>
      <c r="BR306" s="27"/>
      <c r="BT306" s="27"/>
      <c r="BU306" s="16"/>
      <c r="BV306" s="27"/>
      <c r="BX306" s="27"/>
      <c r="BY306" s="16"/>
      <c r="BZ306" s="27"/>
      <c r="CB306" s="27"/>
      <c r="CC306" s="16"/>
      <c r="CD306" s="27"/>
      <c r="CF306" s="27"/>
      <c r="CG306" s="16"/>
      <c r="CH306" s="27"/>
      <c r="CJ306" s="27"/>
      <c r="CK306" s="16"/>
      <c r="CL306" s="27"/>
      <c r="CN306" s="27"/>
      <c r="CO306" s="16"/>
      <c r="CP306" s="27"/>
      <c r="CR306" s="27"/>
      <c r="CS306" s="16"/>
      <c r="CT306" s="27"/>
      <c r="CV306" s="27"/>
      <c r="CW306" s="16"/>
      <c r="CX306" s="27"/>
      <c r="CZ306" s="27"/>
      <c r="DA306" s="16"/>
      <c r="DB306" s="27"/>
      <c r="DD306" s="16"/>
    </row>
    <row r="307" spans="1:108" s="14" customFormat="1" ht="21" x14ac:dyDescent="0.4">
      <c r="A307" s="27"/>
      <c r="B307" s="27"/>
      <c r="D307" s="16"/>
      <c r="E307" s="27"/>
      <c r="F307" s="27"/>
      <c r="H307" s="27"/>
      <c r="I307" s="16"/>
      <c r="J307" s="27"/>
      <c r="L307" s="27"/>
      <c r="M307" s="16"/>
      <c r="N307" s="27"/>
      <c r="P307" s="27"/>
      <c r="Q307" s="16"/>
      <c r="R307" s="27"/>
      <c r="T307" s="27"/>
      <c r="U307" s="16"/>
      <c r="V307" s="27"/>
      <c r="X307" s="27"/>
      <c r="Y307" s="16"/>
      <c r="Z307" s="27"/>
      <c r="AB307" s="27"/>
      <c r="AC307" s="16"/>
      <c r="AD307" s="27"/>
      <c r="AF307" s="27"/>
      <c r="AG307" s="16"/>
      <c r="AH307" s="27"/>
      <c r="AJ307" s="27"/>
      <c r="AK307" s="16"/>
      <c r="AL307" s="27"/>
      <c r="AN307" s="27"/>
      <c r="AO307" s="16"/>
      <c r="AP307" s="27"/>
      <c r="AR307" s="27"/>
      <c r="AS307" s="16"/>
      <c r="AT307" s="27"/>
      <c r="AV307" s="27"/>
      <c r="AW307" s="16"/>
      <c r="AX307" s="27"/>
      <c r="AZ307" s="27"/>
      <c r="BA307" s="16"/>
      <c r="BB307" s="27"/>
      <c r="BD307" s="27"/>
      <c r="BE307" s="16"/>
      <c r="BF307" s="27"/>
      <c r="BH307" s="27"/>
      <c r="BI307" s="16"/>
      <c r="BJ307" s="27"/>
      <c r="BL307" s="27"/>
      <c r="BM307" s="16"/>
      <c r="BN307" s="27"/>
      <c r="BP307" s="27"/>
      <c r="BQ307" s="16"/>
      <c r="BR307" s="27"/>
      <c r="BT307" s="27"/>
      <c r="BU307" s="16"/>
      <c r="BV307" s="27"/>
      <c r="BX307" s="27"/>
      <c r="BY307" s="16"/>
      <c r="BZ307" s="27"/>
      <c r="CB307" s="27"/>
      <c r="CC307" s="16"/>
      <c r="CD307" s="27"/>
      <c r="CF307" s="27"/>
      <c r="CG307" s="16"/>
      <c r="CH307" s="27"/>
      <c r="CJ307" s="27"/>
      <c r="CK307" s="16"/>
      <c r="CL307" s="27"/>
      <c r="CN307" s="27"/>
      <c r="CO307" s="16"/>
      <c r="CP307" s="27"/>
      <c r="CR307" s="27"/>
      <c r="CS307" s="16"/>
      <c r="CT307" s="27"/>
      <c r="CV307" s="27"/>
      <c r="CW307" s="16"/>
      <c r="CX307" s="27"/>
      <c r="CZ307" s="27"/>
      <c r="DA307" s="16"/>
      <c r="DB307" s="27"/>
      <c r="DD307" s="16"/>
    </row>
    <row r="308" spans="1:108" s="14" customFormat="1" ht="21" x14ac:dyDescent="0.4">
      <c r="A308" s="27"/>
      <c r="B308" s="27"/>
      <c r="D308" s="16"/>
      <c r="E308" s="27"/>
      <c r="F308" s="27"/>
      <c r="H308" s="27"/>
      <c r="I308" s="16"/>
      <c r="J308" s="27"/>
      <c r="L308" s="27"/>
      <c r="M308" s="16"/>
      <c r="N308" s="27"/>
      <c r="P308" s="27"/>
      <c r="Q308" s="16"/>
      <c r="R308" s="27"/>
      <c r="T308" s="27"/>
      <c r="U308" s="16"/>
      <c r="V308" s="27"/>
      <c r="X308" s="27"/>
      <c r="Y308" s="16"/>
      <c r="Z308" s="27"/>
      <c r="AB308" s="27"/>
      <c r="AC308" s="16"/>
      <c r="AD308" s="27"/>
      <c r="AF308" s="27"/>
      <c r="AG308" s="16"/>
      <c r="AH308" s="27"/>
      <c r="AJ308" s="27"/>
      <c r="AK308" s="16"/>
      <c r="AL308" s="27"/>
      <c r="AN308" s="27"/>
      <c r="AO308" s="16"/>
      <c r="AP308" s="27"/>
      <c r="AR308" s="27"/>
      <c r="AS308" s="16"/>
      <c r="AT308" s="27"/>
      <c r="AV308" s="27"/>
      <c r="AW308" s="16"/>
      <c r="AX308" s="27"/>
      <c r="AZ308" s="27"/>
      <c r="BA308" s="16"/>
      <c r="BB308" s="27"/>
      <c r="BD308" s="27"/>
      <c r="BE308" s="16"/>
      <c r="BF308" s="27"/>
      <c r="BH308" s="27"/>
      <c r="BI308" s="16"/>
      <c r="BJ308" s="27"/>
      <c r="BL308" s="27"/>
      <c r="BM308" s="16"/>
      <c r="BN308" s="27"/>
      <c r="BP308" s="27"/>
      <c r="BQ308" s="16"/>
      <c r="BR308" s="27"/>
      <c r="BT308" s="27"/>
      <c r="BU308" s="16"/>
      <c r="BV308" s="27"/>
      <c r="BX308" s="27"/>
      <c r="BY308" s="16"/>
      <c r="BZ308" s="27"/>
      <c r="CB308" s="27"/>
      <c r="CC308" s="16"/>
      <c r="CD308" s="27"/>
      <c r="CF308" s="27"/>
      <c r="CG308" s="16"/>
      <c r="CH308" s="27"/>
      <c r="CJ308" s="27"/>
      <c r="CK308" s="16"/>
      <c r="CL308" s="27"/>
      <c r="CN308" s="27"/>
      <c r="CO308" s="16"/>
      <c r="CP308" s="27"/>
      <c r="CR308" s="27"/>
      <c r="CS308" s="16"/>
      <c r="CT308" s="27"/>
      <c r="CV308" s="27"/>
      <c r="CW308" s="16"/>
      <c r="CX308" s="27"/>
      <c r="CZ308" s="27"/>
      <c r="DA308" s="16"/>
      <c r="DB308" s="27"/>
      <c r="DD308" s="16"/>
    </row>
    <row r="309" spans="1:108" s="14" customFormat="1" ht="21" x14ac:dyDescent="0.4">
      <c r="A309" s="27"/>
      <c r="B309" s="27"/>
      <c r="D309" s="16"/>
      <c r="E309" s="27"/>
      <c r="F309" s="27"/>
      <c r="H309" s="27"/>
      <c r="I309" s="16"/>
      <c r="J309" s="27"/>
      <c r="L309" s="27"/>
      <c r="M309" s="16"/>
      <c r="N309" s="27"/>
      <c r="P309" s="27"/>
      <c r="Q309" s="16"/>
      <c r="R309" s="27"/>
      <c r="T309" s="27"/>
      <c r="U309" s="16"/>
      <c r="V309" s="27"/>
      <c r="X309" s="27"/>
      <c r="Y309" s="16"/>
      <c r="Z309" s="27"/>
      <c r="AB309" s="27"/>
      <c r="AC309" s="16"/>
      <c r="AD309" s="27"/>
      <c r="AF309" s="27"/>
      <c r="AG309" s="16"/>
      <c r="AH309" s="27"/>
      <c r="AJ309" s="27"/>
      <c r="AK309" s="16"/>
      <c r="AL309" s="27"/>
      <c r="AN309" s="27"/>
      <c r="AO309" s="16"/>
      <c r="AP309" s="27"/>
      <c r="AR309" s="27"/>
      <c r="AS309" s="16"/>
      <c r="AT309" s="27"/>
      <c r="AV309" s="27"/>
      <c r="AW309" s="16"/>
      <c r="AX309" s="27"/>
      <c r="AZ309" s="27"/>
      <c r="BA309" s="16"/>
      <c r="BB309" s="27"/>
      <c r="BD309" s="27"/>
      <c r="BE309" s="16"/>
      <c r="BF309" s="27"/>
      <c r="BH309" s="27"/>
      <c r="BI309" s="16"/>
      <c r="BJ309" s="27"/>
      <c r="BL309" s="27"/>
      <c r="BM309" s="16"/>
      <c r="BN309" s="27"/>
      <c r="BP309" s="27"/>
      <c r="BQ309" s="16"/>
      <c r="BR309" s="27"/>
      <c r="BT309" s="27"/>
      <c r="BU309" s="16"/>
      <c r="BV309" s="27"/>
      <c r="BX309" s="27"/>
      <c r="BY309" s="16"/>
      <c r="BZ309" s="27"/>
      <c r="CB309" s="27"/>
      <c r="CC309" s="16"/>
      <c r="CD309" s="27"/>
      <c r="CF309" s="27"/>
      <c r="CG309" s="16"/>
      <c r="CH309" s="27"/>
      <c r="CJ309" s="27"/>
      <c r="CK309" s="16"/>
      <c r="CL309" s="27"/>
      <c r="CN309" s="27"/>
      <c r="CO309" s="16"/>
      <c r="CP309" s="27"/>
      <c r="CR309" s="27"/>
      <c r="CS309" s="16"/>
      <c r="CT309" s="27"/>
      <c r="CV309" s="27"/>
      <c r="CW309" s="16"/>
      <c r="CX309" s="27"/>
      <c r="CZ309" s="27"/>
      <c r="DA309" s="16"/>
      <c r="DB309" s="27"/>
      <c r="DD309" s="16"/>
    </row>
    <row r="310" spans="1:108" s="14" customFormat="1" ht="21" x14ac:dyDescent="0.4">
      <c r="A310" s="27"/>
      <c r="B310" s="27"/>
      <c r="D310" s="16"/>
      <c r="E310" s="27"/>
      <c r="F310" s="27"/>
      <c r="H310" s="27"/>
      <c r="I310" s="16"/>
      <c r="J310" s="27"/>
      <c r="L310" s="27"/>
      <c r="M310" s="16"/>
      <c r="N310" s="27"/>
      <c r="P310" s="27"/>
      <c r="Q310" s="16"/>
      <c r="R310" s="27"/>
      <c r="T310" s="27"/>
      <c r="U310" s="16"/>
      <c r="V310" s="27"/>
      <c r="X310" s="27"/>
      <c r="Y310" s="16"/>
      <c r="Z310" s="27"/>
      <c r="AB310" s="27"/>
      <c r="AC310" s="16"/>
      <c r="AD310" s="27"/>
      <c r="AF310" s="27"/>
      <c r="AG310" s="16"/>
      <c r="AH310" s="27"/>
      <c r="AJ310" s="27"/>
      <c r="AK310" s="16"/>
      <c r="AL310" s="27"/>
      <c r="AN310" s="27"/>
      <c r="AO310" s="16"/>
      <c r="AP310" s="27"/>
      <c r="AR310" s="27"/>
      <c r="AS310" s="16"/>
      <c r="AT310" s="27"/>
      <c r="AV310" s="27"/>
      <c r="AW310" s="16"/>
      <c r="AX310" s="27"/>
      <c r="AZ310" s="27"/>
      <c r="BA310" s="16"/>
      <c r="BB310" s="27"/>
      <c r="BD310" s="27"/>
      <c r="BE310" s="16"/>
      <c r="BF310" s="27"/>
      <c r="BH310" s="27"/>
      <c r="BI310" s="16"/>
      <c r="BJ310" s="27"/>
      <c r="BL310" s="27"/>
      <c r="BM310" s="16"/>
      <c r="BN310" s="27"/>
      <c r="BP310" s="27"/>
      <c r="BQ310" s="16"/>
      <c r="BR310" s="27"/>
      <c r="BT310" s="27"/>
      <c r="BU310" s="16"/>
      <c r="BV310" s="27"/>
      <c r="BX310" s="27"/>
      <c r="BY310" s="16"/>
      <c r="BZ310" s="27"/>
      <c r="CB310" s="27"/>
      <c r="CC310" s="16"/>
      <c r="CD310" s="27"/>
      <c r="CF310" s="27"/>
      <c r="CG310" s="16"/>
      <c r="CH310" s="27"/>
      <c r="CJ310" s="27"/>
      <c r="CK310" s="16"/>
      <c r="CL310" s="27"/>
      <c r="CN310" s="27"/>
      <c r="CO310" s="16"/>
      <c r="CP310" s="27"/>
      <c r="CR310" s="27"/>
      <c r="CS310" s="16"/>
      <c r="CT310" s="27"/>
      <c r="CV310" s="27"/>
      <c r="CW310" s="16"/>
      <c r="CX310" s="27"/>
      <c r="CZ310" s="27"/>
      <c r="DA310" s="16"/>
      <c r="DB310" s="27"/>
      <c r="DD310" s="16"/>
    </row>
    <row r="311" spans="1:108" s="14" customFormat="1" ht="21" x14ac:dyDescent="0.4">
      <c r="A311" s="27"/>
      <c r="B311" s="27"/>
      <c r="D311" s="16"/>
      <c r="E311" s="27"/>
      <c r="F311" s="27"/>
      <c r="H311" s="27"/>
      <c r="I311" s="16"/>
      <c r="J311" s="27"/>
      <c r="L311" s="27"/>
      <c r="M311" s="16"/>
      <c r="N311" s="27"/>
      <c r="P311" s="27"/>
      <c r="Q311" s="16"/>
      <c r="R311" s="27"/>
      <c r="T311" s="27"/>
      <c r="U311" s="16"/>
      <c r="V311" s="27"/>
      <c r="X311" s="27"/>
      <c r="Y311" s="16"/>
      <c r="Z311" s="27"/>
      <c r="AB311" s="27"/>
      <c r="AC311" s="16"/>
      <c r="AD311" s="27"/>
      <c r="AF311" s="27"/>
      <c r="AG311" s="16"/>
      <c r="AH311" s="27"/>
      <c r="AJ311" s="27"/>
      <c r="AK311" s="16"/>
      <c r="AL311" s="27"/>
      <c r="AN311" s="27"/>
      <c r="AO311" s="16"/>
      <c r="AP311" s="27"/>
      <c r="AR311" s="27"/>
      <c r="AS311" s="16"/>
      <c r="AT311" s="27"/>
      <c r="AV311" s="27"/>
      <c r="AW311" s="16"/>
      <c r="AX311" s="27"/>
      <c r="AZ311" s="27"/>
      <c r="BA311" s="16"/>
      <c r="BB311" s="27"/>
      <c r="BD311" s="27"/>
      <c r="BE311" s="16"/>
      <c r="BF311" s="27"/>
      <c r="BH311" s="27"/>
      <c r="BI311" s="16"/>
      <c r="BJ311" s="27"/>
      <c r="BL311" s="27"/>
      <c r="BM311" s="16"/>
      <c r="BN311" s="27"/>
      <c r="BP311" s="27"/>
      <c r="BQ311" s="16"/>
      <c r="BR311" s="27"/>
      <c r="BT311" s="27"/>
      <c r="BU311" s="16"/>
      <c r="BV311" s="27"/>
      <c r="BX311" s="27"/>
      <c r="BY311" s="16"/>
      <c r="BZ311" s="27"/>
      <c r="CB311" s="27"/>
      <c r="CC311" s="16"/>
      <c r="CD311" s="27"/>
      <c r="CF311" s="27"/>
      <c r="CG311" s="16"/>
      <c r="CH311" s="27"/>
      <c r="CJ311" s="27"/>
      <c r="CK311" s="16"/>
      <c r="CL311" s="27"/>
      <c r="CN311" s="27"/>
      <c r="CO311" s="16"/>
      <c r="CP311" s="27"/>
      <c r="CR311" s="27"/>
      <c r="CS311" s="16"/>
      <c r="CT311" s="27"/>
      <c r="CV311" s="27"/>
      <c r="CW311" s="16"/>
      <c r="CX311" s="27"/>
      <c r="CZ311" s="27"/>
      <c r="DA311" s="16"/>
      <c r="DB311" s="27"/>
      <c r="DD311" s="16"/>
    </row>
    <row r="312" spans="1:108" s="14" customFormat="1" ht="21" x14ac:dyDescent="0.4">
      <c r="A312" s="27"/>
      <c r="B312" s="27"/>
      <c r="D312" s="16"/>
      <c r="E312" s="27"/>
      <c r="F312" s="27"/>
      <c r="H312" s="27"/>
      <c r="I312" s="16"/>
      <c r="J312" s="27"/>
      <c r="L312" s="27"/>
      <c r="M312" s="16"/>
      <c r="N312" s="27"/>
      <c r="P312" s="27"/>
      <c r="Q312" s="16"/>
      <c r="R312" s="27"/>
      <c r="T312" s="27"/>
      <c r="U312" s="16"/>
      <c r="V312" s="27"/>
      <c r="X312" s="27"/>
      <c r="Y312" s="16"/>
      <c r="Z312" s="27"/>
      <c r="AB312" s="27"/>
      <c r="AC312" s="16"/>
      <c r="AD312" s="27"/>
      <c r="AF312" s="27"/>
      <c r="AG312" s="16"/>
      <c r="AH312" s="27"/>
      <c r="AJ312" s="27"/>
      <c r="AK312" s="16"/>
      <c r="AL312" s="27"/>
      <c r="AN312" s="27"/>
      <c r="AO312" s="16"/>
      <c r="AP312" s="27"/>
      <c r="AR312" s="27"/>
      <c r="AS312" s="16"/>
      <c r="AT312" s="27"/>
      <c r="AV312" s="27"/>
      <c r="AW312" s="16"/>
      <c r="AX312" s="27"/>
      <c r="AZ312" s="27"/>
      <c r="BA312" s="16"/>
      <c r="BB312" s="27"/>
      <c r="BD312" s="27"/>
      <c r="BE312" s="16"/>
      <c r="BF312" s="27"/>
      <c r="BH312" s="27"/>
      <c r="BI312" s="16"/>
      <c r="BJ312" s="27"/>
      <c r="BL312" s="27"/>
      <c r="BM312" s="16"/>
      <c r="BN312" s="27"/>
      <c r="BP312" s="27"/>
      <c r="BQ312" s="16"/>
      <c r="BR312" s="27"/>
      <c r="BT312" s="27"/>
      <c r="BU312" s="16"/>
      <c r="BV312" s="27"/>
      <c r="BX312" s="27"/>
      <c r="BY312" s="16"/>
      <c r="BZ312" s="27"/>
      <c r="CB312" s="27"/>
      <c r="CC312" s="16"/>
      <c r="CD312" s="27"/>
      <c r="CF312" s="27"/>
      <c r="CG312" s="16"/>
      <c r="CH312" s="27"/>
      <c r="CJ312" s="27"/>
      <c r="CK312" s="16"/>
      <c r="CL312" s="27"/>
      <c r="CN312" s="27"/>
      <c r="CO312" s="16"/>
      <c r="CP312" s="27"/>
      <c r="CR312" s="27"/>
      <c r="CS312" s="16"/>
      <c r="CT312" s="27"/>
      <c r="CV312" s="27"/>
      <c r="CW312" s="16"/>
      <c r="CX312" s="27"/>
      <c r="CZ312" s="27"/>
      <c r="DA312" s="16"/>
      <c r="DB312" s="27"/>
      <c r="DD312" s="16"/>
    </row>
    <row r="313" spans="1:108" s="14" customFormat="1" ht="21" x14ac:dyDescent="0.4">
      <c r="A313" s="27"/>
      <c r="B313" s="27"/>
      <c r="D313" s="16"/>
      <c r="E313" s="27"/>
      <c r="F313" s="27"/>
      <c r="H313" s="27"/>
      <c r="I313" s="16"/>
      <c r="J313" s="27"/>
      <c r="L313" s="27"/>
      <c r="M313" s="16"/>
      <c r="N313" s="27"/>
      <c r="P313" s="27"/>
      <c r="Q313" s="16"/>
      <c r="R313" s="27"/>
      <c r="T313" s="27"/>
      <c r="U313" s="16"/>
      <c r="V313" s="27"/>
      <c r="X313" s="27"/>
      <c r="Y313" s="16"/>
      <c r="Z313" s="27"/>
      <c r="AB313" s="27"/>
      <c r="AC313" s="16"/>
      <c r="AD313" s="27"/>
      <c r="AF313" s="27"/>
      <c r="AG313" s="16"/>
      <c r="AH313" s="27"/>
      <c r="AJ313" s="27"/>
      <c r="AK313" s="16"/>
      <c r="AL313" s="27"/>
      <c r="AN313" s="27"/>
      <c r="AO313" s="16"/>
      <c r="AP313" s="27"/>
      <c r="AR313" s="27"/>
      <c r="AS313" s="16"/>
      <c r="AT313" s="27"/>
      <c r="AV313" s="27"/>
      <c r="AW313" s="16"/>
      <c r="AX313" s="27"/>
      <c r="AZ313" s="27"/>
      <c r="BA313" s="16"/>
      <c r="BB313" s="27"/>
      <c r="BD313" s="27"/>
      <c r="BE313" s="16"/>
      <c r="BF313" s="27"/>
      <c r="BH313" s="27"/>
      <c r="BI313" s="16"/>
      <c r="BJ313" s="27"/>
      <c r="BL313" s="27"/>
      <c r="BM313" s="16"/>
      <c r="BN313" s="27"/>
      <c r="BP313" s="27"/>
      <c r="BQ313" s="16"/>
      <c r="BR313" s="27"/>
      <c r="BT313" s="27"/>
      <c r="BU313" s="16"/>
      <c r="BV313" s="27"/>
      <c r="BX313" s="27"/>
      <c r="BY313" s="16"/>
      <c r="BZ313" s="27"/>
      <c r="CB313" s="27"/>
      <c r="CC313" s="16"/>
      <c r="CD313" s="27"/>
      <c r="CF313" s="27"/>
      <c r="CG313" s="16"/>
      <c r="CH313" s="27"/>
      <c r="CJ313" s="27"/>
      <c r="CK313" s="16"/>
      <c r="CL313" s="27"/>
      <c r="CN313" s="27"/>
      <c r="CO313" s="16"/>
      <c r="CP313" s="27"/>
      <c r="CR313" s="27"/>
      <c r="CS313" s="16"/>
      <c r="CT313" s="27"/>
      <c r="CV313" s="27"/>
      <c r="CW313" s="16"/>
      <c r="CX313" s="27"/>
      <c r="CZ313" s="27"/>
      <c r="DA313" s="16"/>
      <c r="DB313" s="27"/>
      <c r="DD313" s="16"/>
    </row>
    <row r="314" spans="1:108" s="14" customFormat="1" ht="21" x14ac:dyDescent="0.4">
      <c r="A314" s="27"/>
      <c r="B314" s="27"/>
      <c r="D314" s="16"/>
      <c r="E314" s="27"/>
      <c r="F314" s="27"/>
      <c r="H314" s="27"/>
      <c r="I314" s="16"/>
      <c r="J314" s="27"/>
      <c r="L314" s="27"/>
      <c r="M314" s="16"/>
      <c r="N314" s="27"/>
      <c r="P314" s="27"/>
      <c r="Q314" s="16"/>
      <c r="R314" s="27"/>
      <c r="T314" s="27"/>
      <c r="U314" s="16"/>
      <c r="V314" s="27"/>
      <c r="X314" s="27"/>
      <c r="Y314" s="16"/>
      <c r="Z314" s="27"/>
      <c r="AB314" s="27"/>
      <c r="AC314" s="16"/>
      <c r="AD314" s="27"/>
      <c r="AF314" s="27"/>
      <c r="AG314" s="16"/>
      <c r="AH314" s="27"/>
      <c r="AJ314" s="27"/>
      <c r="AK314" s="16"/>
      <c r="AL314" s="27"/>
      <c r="AN314" s="27"/>
      <c r="AO314" s="16"/>
      <c r="AP314" s="27"/>
      <c r="AR314" s="27"/>
      <c r="AS314" s="16"/>
      <c r="AT314" s="27"/>
      <c r="AV314" s="27"/>
      <c r="AW314" s="16"/>
      <c r="AX314" s="27"/>
      <c r="AZ314" s="27"/>
      <c r="BA314" s="16"/>
      <c r="BB314" s="27"/>
      <c r="BD314" s="27"/>
      <c r="BE314" s="16"/>
      <c r="BF314" s="27"/>
      <c r="BH314" s="27"/>
      <c r="BI314" s="16"/>
      <c r="BJ314" s="27"/>
      <c r="BL314" s="27"/>
      <c r="BM314" s="16"/>
      <c r="BN314" s="27"/>
      <c r="BP314" s="27"/>
      <c r="BQ314" s="16"/>
      <c r="BR314" s="27"/>
      <c r="BT314" s="27"/>
      <c r="BU314" s="16"/>
      <c r="BV314" s="27"/>
      <c r="BX314" s="27"/>
      <c r="BY314" s="16"/>
      <c r="BZ314" s="27"/>
      <c r="CB314" s="27"/>
      <c r="CC314" s="16"/>
      <c r="CD314" s="27"/>
      <c r="CF314" s="27"/>
      <c r="CG314" s="16"/>
      <c r="CH314" s="27"/>
      <c r="CJ314" s="27"/>
      <c r="CK314" s="16"/>
      <c r="CL314" s="27"/>
      <c r="CN314" s="27"/>
      <c r="CO314" s="16"/>
      <c r="CP314" s="27"/>
      <c r="CR314" s="27"/>
      <c r="CS314" s="16"/>
      <c r="CT314" s="27"/>
      <c r="CV314" s="27"/>
      <c r="CW314" s="16"/>
      <c r="CX314" s="27"/>
      <c r="CZ314" s="27"/>
      <c r="DA314" s="16"/>
      <c r="DB314" s="27"/>
      <c r="DD314" s="16"/>
    </row>
    <row r="315" spans="1:108" s="14" customFormat="1" ht="21" x14ac:dyDescent="0.4">
      <c r="A315" s="27"/>
      <c r="B315" s="27"/>
      <c r="D315" s="16"/>
      <c r="E315" s="27"/>
      <c r="F315" s="27"/>
      <c r="H315" s="27"/>
      <c r="I315" s="16"/>
      <c r="J315" s="27"/>
      <c r="L315" s="27"/>
      <c r="M315" s="16"/>
      <c r="N315" s="27"/>
      <c r="P315" s="27"/>
      <c r="Q315" s="16"/>
      <c r="R315" s="27"/>
      <c r="T315" s="27"/>
      <c r="U315" s="16"/>
      <c r="V315" s="27"/>
      <c r="X315" s="27"/>
      <c r="Y315" s="16"/>
      <c r="Z315" s="27"/>
      <c r="AB315" s="27"/>
      <c r="AC315" s="16"/>
      <c r="AD315" s="27"/>
      <c r="AF315" s="27"/>
      <c r="AG315" s="16"/>
      <c r="AH315" s="27"/>
      <c r="AJ315" s="27"/>
      <c r="AK315" s="16"/>
      <c r="AL315" s="27"/>
      <c r="AN315" s="27"/>
      <c r="AO315" s="16"/>
      <c r="AP315" s="27"/>
      <c r="AR315" s="27"/>
      <c r="AS315" s="16"/>
      <c r="AT315" s="27"/>
      <c r="AV315" s="27"/>
      <c r="AW315" s="16"/>
      <c r="AX315" s="27"/>
      <c r="AZ315" s="27"/>
      <c r="BA315" s="16"/>
      <c r="BB315" s="27"/>
      <c r="BD315" s="27"/>
      <c r="BE315" s="16"/>
      <c r="BF315" s="27"/>
      <c r="BH315" s="27"/>
      <c r="BI315" s="16"/>
      <c r="BJ315" s="27"/>
      <c r="BL315" s="27"/>
      <c r="BM315" s="16"/>
      <c r="BN315" s="27"/>
      <c r="BP315" s="27"/>
      <c r="BQ315" s="16"/>
      <c r="BR315" s="27"/>
      <c r="BT315" s="27"/>
      <c r="BU315" s="16"/>
      <c r="BV315" s="27"/>
      <c r="BX315" s="27"/>
      <c r="BY315" s="16"/>
      <c r="BZ315" s="27"/>
      <c r="CB315" s="27"/>
      <c r="CC315" s="16"/>
      <c r="CD315" s="27"/>
      <c r="CF315" s="27"/>
      <c r="CG315" s="16"/>
      <c r="CH315" s="27"/>
      <c r="CJ315" s="27"/>
      <c r="CK315" s="16"/>
      <c r="CL315" s="27"/>
      <c r="CN315" s="27"/>
      <c r="CO315" s="16"/>
      <c r="CP315" s="27"/>
      <c r="CR315" s="27"/>
      <c r="CS315" s="16"/>
      <c r="CT315" s="27"/>
      <c r="CV315" s="27"/>
      <c r="CW315" s="16"/>
      <c r="CX315" s="27"/>
      <c r="CZ315" s="27"/>
      <c r="DA315" s="16"/>
      <c r="DB315" s="27"/>
      <c r="DD315" s="16"/>
    </row>
    <row r="316" spans="1:108" s="14" customFormat="1" ht="21" x14ac:dyDescent="0.4">
      <c r="A316" s="27"/>
      <c r="B316" s="27"/>
      <c r="D316" s="16"/>
      <c r="E316" s="27"/>
      <c r="F316" s="27"/>
      <c r="H316" s="27"/>
      <c r="I316" s="16"/>
      <c r="J316" s="27"/>
      <c r="L316" s="27"/>
      <c r="M316" s="16"/>
      <c r="N316" s="27"/>
      <c r="P316" s="27"/>
      <c r="Q316" s="16"/>
      <c r="R316" s="27"/>
      <c r="T316" s="27"/>
      <c r="U316" s="16"/>
      <c r="V316" s="27"/>
      <c r="X316" s="27"/>
      <c r="Y316" s="16"/>
      <c r="Z316" s="27"/>
      <c r="AB316" s="27"/>
      <c r="AC316" s="16"/>
      <c r="AD316" s="27"/>
      <c r="AF316" s="27"/>
      <c r="AG316" s="16"/>
      <c r="AH316" s="27"/>
      <c r="AJ316" s="27"/>
      <c r="AK316" s="16"/>
      <c r="AL316" s="27"/>
      <c r="AN316" s="27"/>
      <c r="AO316" s="16"/>
      <c r="AP316" s="27"/>
      <c r="AR316" s="27"/>
      <c r="AS316" s="16"/>
      <c r="AT316" s="27"/>
      <c r="AV316" s="27"/>
      <c r="AW316" s="16"/>
      <c r="AX316" s="27"/>
      <c r="AZ316" s="27"/>
      <c r="BA316" s="16"/>
      <c r="BB316" s="27"/>
      <c r="BD316" s="27"/>
      <c r="BE316" s="16"/>
      <c r="BF316" s="27"/>
      <c r="BH316" s="27"/>
      <c r="BI316" s="16"/>
      <c r="BJ316" s="27"/>
      <c r="BL316" s="27"/>
      <c r="BM316" s="16"/>
      <c r="BN316" s="27"/>
      <c r="BP316" s="27"/>
      <c r="BQ316" s="16"/>
      <c r="BR316" s="27"/>
      <c r="BT316" s="27"/>
      <c r="BU316" s="16"/>
      <c r="BV316" s="27"/>
      <c r="BX316" s="27"/>
      <c r="BY316" s="16"/>
      <c r="BZ316" s="27"/>
      <c r="CB316" s="27"/>
      <c r="CC316" s="16"/>
      <c r="CD316" s="27"/>
      <c r="CF316" s="27"/>
      <c r="CG316" s="16"/>
      <c r="CH316" s="27"/>
      <c r="CJ316" s="27"/>
      <c r="CK316" s="16"/>
      <c r="CL316" s="27"/>
      <c r="CN316" s="27"/>
      <c r="CO316" s="16"/>
      <c r="CP316" s="27"/>
      <c r="CR316" s="27"/>
      <c r="CS316" s="16"/>
      <c r="CT316" s="27"/>
      <c r="CV316" s="27"/>
      <c r="CW316" s="16"/>
      <c r="CX316" s="27"/>
      <c r="CZ316" s="27"/>
      <c r="DA316" s="16"/>
      <c r="DB316" s="27"/>
      <c r="DD316" s="16"/>
    </row>
    <row r="317" spans="1:108" s="14" customFormat="1" ht="21" x14ac:dyDescent="0.4">
      <c r="A317" s="27"/>
      <c r="B317" s="27"/>
      <c r="D317" s="16"/>
      <c r="E317" s="27"/>
      <c r="F317" s="27"/>
      <c r="H317" s="27"/>
      <c r="I317" s="16"/>
      <c r="J317" s="27"/>
      <c r="L317" s="27"/>
      <c r="M317" s="16"/>
      <c r="N317" s="27"/>
      <c r="P317" s="27"/>
      <c r="Q317" s="16"/>
      <c r="R317" s="27"/>
      <c r="T317" s="27"/>
      <c r="U317" s="16"/>
      <c r="V317" s="27"/>
      <c r="X317" s="27"/>
      <c r="Y317" s="16"/>
      <c r="Z317" s="27"/>
      <c r="AB317" s="27"/>
      <c r="AC317" s="16"/>
      <c r="AD317" s="27"/>
      <c r="AF317" s="27"/>
      <c r="AG317" s="16"/>
      <c r="AH317" s="27"/>
      <c r="AJ317" s="27"/>
      <c r="AK317" s="16"/>
      <c r="AL317" s="27"/>
      <c r="AN317" s="27"/>
      <c r="AO317" s="16"/>
      <c r="AP317" s="27"/>
      <c r="AR317" s="27"/>
      <c r="AS317" s="16"/>
      <c r="AT317" s="27"/>
      <c r="AV317" s="27"/>
      <c r="AW317" s="16"/>
      <c r="AX317" s="27"/>
      <c r="AZ317" s="27"/>
      <c r="BA317" s="16"/>
      <c r="BB317" s="27"/>
      <c r="BD317" s="27"/>
      <c r="BE317" s="16"/>
      <c r="BF317" s="27"/>
      <c r="BH317" s="27"/>
      <c r="BI317" s="16"/>
      <c r="BJ317" s="27"/>
      <c r="BL317" s="27"/>
      <c r="BM317" s="16"/>
      <c r="BN317" s="27"/>
      <c r="BP317" s="27"/>
      <c r="BQ317" s="16"/>
      <c r="BR317" s="27"/>
      <c r="BT317" s="27"/>
      <c r="BU317" s="16"/>
      <c r="BV317" s="27"/>
      <c r="BX317" s="27"/>
      <c r="BY317" s="16"/>
      <c r="BZ317" s="27"/>
      <c r="CB317" s="27"/>
      <c r="CC317" s="16"/>
      <c r="CD317" s="27"/>
      <c r="CF317" s="27"/>
      <c r="CG317" s="16"/>
      <c r="CH317" s="27"/>
      <c r="CJ317" s="27"/>
      <c r="CK317" s="16"/>
      <c r="CL317" s="27"/>
      <c r="CN317" s="27"/>
      <c r="CO317" s="16"/>
      <c r="CP317" s="27"/>
      <c r="CR317" s="27"/>
      <c r="CS317" s="16"/>
      <c r="CT317" s="27"/>
      <c r="CV317" s="27"/>
      <c r="CW317" s="16"/>
      <c r="CX317" s="27"/>
      <c r="CZ317" s="27"/>
      <c r="DA317" s="16"/>
      <c r="DB317" s="27"/>
      <c r="DD317" s="16"/>
    </row>
    <row r="318" spans="1:108" s="14" customFormat="1" ht="21" x14ac:dyDescent="0.4">
      <c r="A318" s="27"/>
      <c r="B318" s="27"/>
      <c r="D318" s="16"/>
      <c r="E318" s="27"/>
      <c r="F318" s="27"/>
      <c r="H318" s="27"/>
      <c r="I318" s="16"/>
      <c r="J318" s="27"/>
      <c r="L318" s="27"/>
      <c r="M318" s="16"/>
      <c r="N318" s="27"/>
      <c r="P318" s="27"/>
      <c r="Q318" s="16"/>
      <c r="R318" s="27"/>
      <c r="T318" s="27"/>
      <c r="U318" s="16"/>
      <c r="V318" s="27"/>
      <c r="X318" s="27"/>
      <c r="Y318" s="16"/>
      <c r="Z318" s="27"/>
      <c r="AB318" s="27"/>
      <c r="AC318" s="16"/>
      <c r="AD318" s="27"/>
      <c r="AF318" s="27"/>
      <c r="AG318" s="16"/>
      <c r="AH318" s="27"/>
      <c r="AJ318" s="27"/>
      <c r="AK318" s="16"/>
      <c r="AL318" s="27"/>
      <c r="AN318" s="27"/>
      <c r="AO318" s="16"/>
      <c r="AP318" s="27"/>
      <c r="AR318" s="27"/>
      <c r="AS318" s="16"/>
      <c r="AT318" s="27"/>
      <c r="AV318" s="27"/>
      <c r="AW318" s="16"/>
      <c r="AX318" s="27"/>
      <c r="AZ318" s="27"/>
      <c r="BA318" s="16"/>
      <c r="BB318" s="27"/>
      <c r="BD318" s="27"/>
      <c r="BE318" s="16"/>
      <c r="BF318" s="27"/>
      <c r="BH318" s="27"/>
      <c r="BI318" s="16"/>
      <c r="BJ318" s="27"/>
      <c r="BL318" s="27"/>
      <c r="BM318" s="16"/>
      <c r="BN318" s="27"/>
      <c r="BP318" s="27"/>
      <c r="BQ318" s="16"/>
      <c r="BR318" s="27"/>
      <c r="BT318" s="27"/>
      <c r="BU318" s="16"/>
      <c r="BV318" s="27"/>
      <c r="BX318" s="27"/>
      <c r="BY318" s="16"/>
      <c r="BZ318" s="27"/>
      <c r="CB318" s="27"/>
      <c r="CC318" s="16"/>
      <c r="CD318" s="27"/>
      <c r="CF318" s="27"/>
      <c r="CG318" s="16"/>
      <c r="CH318" s="27"/>
      <c r="CJ318" s="27"/>
      <c r="CK318" s="16"/>
      <c r="CL318" s="27"/>
      <c r="CN318" s="27"/>
      <c r="CO318" s="16"/>
      <c r="CP318" s="27"/>
      <c r="CR318" s="27"/>
      <c r="CS318" s="16"/>
      <c r="CT318" s="27"/>
      <c r="CV318" s="27"/>
      <c r="CW318" s="16"/>
      <c r="CX318" s="27"/>
      <c r="CZ318" s="27"/>
      <c r="DA318" s="16"/>
      <c r="DB318" s="27"/>
      <c r="DD318" s="16"/>
    </row>
    <row r="319" spans="1:108" s="14" customFormat="1" ht="21" x14ac:dyDescent="0.4">
      <c r="A319" s="27"/>
      <c r="B319" s="27"/>
      <c r="D319" s="16"/>
      <c r="E319" s="27"/>
      <c r="F319" s="27"/>
      <c r="H319" s="27"/>
      <c r="I319" s="16"/>
      <c r="J319" s="27"/>
      <c r="L319" s="27"/>
      <c r="M319" s="16"/>
      <c r="N319" s="27"/>
      <c r="P319" s="27"/>
      <c r="Q319" s="16"/>
      <c r="R319" s="27"/>
      <c r="T319" s="27"/>
      <c r="U319" s="16"/>
      <c r="V319" s="27"/>
      <c r="X319" s="27"/>
      <c r="Y319" s="16"/>
      <c r="Z319" s="27"/>
      <c r="AB319" s="27"/>
      <c r="AC319" s="16"/>
      <c r="AD319" s="27"/>
      <c r="AF319" s="27"/>
      <c r="AG319" s="16"/>
      <c r="AH319" s="27"/>
      <c r="AJ319" s="27"/>
      <c r="AK319" s="16"/>
      <c r="AL319" s="27"/>
      <c r="AN319" s="27"/>
      <c r="AO319" s="16"/>
      <c r="AP319" s="27"/>
      <c r="AR319" s="27"/>
      <c r="AS319" s="16"/>
      <c r="AT319" s="27"/>
      <c r="AV319" s="27"/>
      <c r="AW319" s="16"/>
      <c r="AX319" s="27"/>
      <c r="AZ319" s="27"/>
      <c r="BA319" s="16"/>
      <c r="BB319" s="27"/>
      <c r="BD319" s="27"/>
      <c r="BE319" s="16"/>
      <c r="BF319" s="27"/>
      <c r="BH319" s="27"/>
      <c r="BI319" s="16"/>
      <c r="BJ319" s="27"/>
      <c r="BL319" s="27"/>
      <c r="BM319" s="16"/>
      <c r="BN319" s="27"/>
      <c r="BP319" s="27"/>
      <c r="BQ319" s="16"/>
      <c r="BR319" s="27"/>
      <c r="BT319" s="27"/>
      <c r="BU319" s="16"/>
      <c r="BV319" s="27"/>
      <c r="BX319" s="27"/>
      <c r="BY319" s="16"/>
      <c r="BZ319" s="27"/>
      <c r="CB319" s="27"/>
      <c r="CC319" s="16"/>
      <c r="CD319" s="27"/>
      <c r="CF319" s="27"/>
      <c r="CG319" s="16"/>
      <c r="CH319" s="27"/>
      <c r="CJ319" s="27"/>
      <c r="CK319" s="16"/>
      <c r="CL319" s="27"/>
      <c r="CN319" s="27"/>
      <c r="CO319" s="16"/>
      <c r="CP319" s="27"/>
      <c r="CR319" s="27"/>
      <c r="CS319" s="16"/>
      <c r="CT319" s="27"/>
      <c r="CV319" s="27"/>
      <c r="CW319" s="16"/>
      <c r="CX319" s="27"/>
      <c r="CZ319" s="27"/>
      <c r="DA319" s="16"/>
      <c r="DB319" s="27"/>
      <c r="DD319" s="16"/>
    </row>
    <row r="320" spans="1:108" s="14" customFormat="1" ht="21" x14ac:dyDescent="0.4">
      <c r="A320" s="27"/>
      <c r="B320" s="27"/>
      <c r="D320" s="16"/>
      <c r="E320" s="27"/>
      <c r="F320" s="27"/>
      <c r="H320" s="27"/>
      <c r="I320" s="16"/>
      <c r="J320" s="27"/>
      <c r="L320" s="27"/>
      <c r="M320" s="16"/>
      <c r="N320" s="27"/>
      <c r="P320" s="27"/>
      <c r="Q320" s="16"/>
      <c r="R320" s="27"/>
      <c r="T320" s="27"/>
      <c r="U320" s="16"/>
      <c r="V320" s="27"/>
      <c r="X320" s="27"/>
      <c r="Y320" s="16"/>
      <c r="Z320" s="27"/>
      <c r="AB320" s="27"/>
      <c r="AC320" s="16"/>
      <c r="AD320" s="27"/>
      <c r="AF320" s="27"/>
      <c r="AG320" s="16"/>
      <c r="AH320" s="27"/>
      <c r="AJ320" s="27"/>
      <c r="AK320" s="16"/>
      <c r="AL320" s="27"/>
      <c r="AN320" s="27"/>
      <c r="AO320" s="16"/>
      <c r="AP320" s="27"/>
      <c r="AR320" s="27"/>
      <c r="AS320" s="16"/>
      <c r="AT320" s="27"/>
      <c r="AV320" s="27"/>
      <c r="AW320" s="16"/>
      <c r="AX320" s="27"/>
      <c r="AZ320" s="27"/>
      <c r="BA320" s="16"/>
      <c r="BB320" s="27"/>
      <c r="BD320" s="27"/>
      <c r="BE320" s="16"/>
      <c r="BF320" s="27"/>
      <c r="BH320" s="27"/>
      <c r="BI320" s="16"/>
      <c r="BJ320" s="27"/>
      <c r="BL320" s="27"/>
      <c r="BM320" s="16"/>
      <c r="BN320" s="27"/>
      <c r="BP320" s="27"/>
      <c r="BQ320" s="16"/>
      <c r="BR320" s="27"/>
      <c r="BT320" s="27"/>
      <c r="BU320" s="16"/>
      <c r="BV320" s="27"/>
      <c r="BX320" s="27"/>
      <c r="BY320" s="16"/>
      <c r="BZ320" s="27"/>
      <c r="CB320" s="27"/>
      <c r="CC320" s="16"/>
      <c r="CD320" s="27"/>
      <c r="CF320" s="27"/>
      <c r="CG320" s="16"/>
      <c r="CH320" s="27"/>
      <c r="CJ320" s="27"/>
      <c r="CK320" s="16"/>
      <c r="CL320" s="27"/>
      <c r="CN320" s="27"/>
      <c r="CO320" s="16"/>
      <c r="CP320" s="27"/>
      <c r="CR320" s="27"/>
      <c r="CS320" s="16"/>
      <c r="CT320" s="27"/>
      <c r="CV320" s="27"/>
      <c r="CW320" s="16"/>
      <c r="CX320" s="27"/>
      <c r="CZ320" s="27"/>
      <c r="DA320" s="16"/>
      <c r="DB320" s="27"/>
      <c r="DD320" s="16"/>
    </row>
    <row r="321" spans="1:108" s="14" customFormat="1" ht="21" x14ac:dyDescent="0.4">
      <c r="A321" s="27"/>
      <c r="B321" s="27"/>
      <c r="D321" s="16"/>
      <c r="E321" s="27"/>
      <c r="F321" s="27"/>
      <c r="H321" s="27"/>
      <c r="I321" s="16"/>
      <c r="J321" s="27"/>
      <c r="L321" s="27"/>
      <c r="M321" s="16"/>
      <c r="N321" s="27"/>
      <c r="P321" s="27"/>
      <c r="Q321" s="16"/>
      <c r="R321" s="27"/>
      <c r="T321" s="27"/>
      <c r="U321" s="16"/>
      <c r="V321" s="27"/>
      <c r="X321" s="27"/>
      <c r="Y321" s="16"/>
      <c r="Z321" s="27"/>
      <c r="AB321" s="27"/>
      <c r="AC321" s="16"/>
      <c r="AD321" s="27"/>
      <c r="AF321" s="27"/>
      <c r="AG321" s="16"/>
      <c r="AH321" s="27"/>
      <c r="AJ321" s="27"/>
      <c r="AK321" s="16"/>
      <c r="AL321" s="27"/>
      <c r="AN321" s="27"/>
      <c r="AO321" s="16"/>
      <c r="AP321" s="27"/>
      <c r="AR321" s="27"/>
      <c r="AS321" s="16"/>
      <c r="AT321" s="27"/>
      <c r="AV321" s="27"/>
      <c r="AW321" s="16"/>
      <c r="AX321" s="27"/>
      <c r="AZ321" s="27"/>
      <c r="BA321" s="16"/>
      <c r="BB321" s="27"/>
      <c r="BD321" s="27"/>
      <c r="BE321" s="16"/>
      <c r="BF321" s="27"/>
      <c r="BH321" s="27"/>
      <c r="BI321" s="16"/>
      <c r="BJ321" s="27"/>
      <c r="BL321" s="27"/>
      <c r="BM321" s="16"/>
      <c r="BN321" s="27"/>
      <c r="BP321" s="27"/>
      <c r="BQ321" s="16"/>
      <c r="BR321" s="27"/>
      <c r="BT321" s="27"/>
      <c r="BU321" s="16"/>
      <c r="BV321" s="27"/>
      <c r="BX321" s="27"/>
      <c r="BY321" s="16"/>
      <c r="BZ321" s="27"/>
      <c r="CB321" s="27"/>
      <c r="CC321" s="16"/>
      <c r="CD321" s="27"/>
      <c r="CF321" s="27"/>
      <c r="CG321" s="16"/>
      <c r="CH321" s="27"/>
      <c r="CJ321" s="27"/>
      <c r="CK321" s="16"/>
      <c r="CL321" s="27"/>
      <c r="CN321" s="27"/>
      <c r="CO321" s="16"/>
      <c r="CP321" s="27"/>
      <c r="CR321" s="27"/>
      <c r="CS321" s="16"/>
      <c r="CT321" s="27"/>
      <c r="CV321" s="27"/>
      <c r="CW321" s="16"/>
      <c r="CX321" s="27"/>
      <c r="CZ321" s="27"/>
      <c r="DA321" s="16"/>
      <c r="DB321" s="27"/>
      <c r="DD321" s="16"/>
    </row>
    <row r="322" spans="1:108" s="14" customFormat="1" ht="21" x14ac:dyDescent="0.4">
      <c r="A322" s="27"/>
      <c r="B322" s="27"/>
      <c r="D322" s="16"/>
      <c r="E322" s="27"/>
      <c r="F322" s="27"/>
      <c r="H322" s="27"/>
      <c r="I322" s="16"/>
      <c r="J322" s="27"/>
      <c r="L322" s="27"/>
      <c r="M322" s="16"/>
      <c r="N322" s="27"/>
      <c r="P322" s="27"/>
      <c r="Q322" s="16"/>
      <c r="R322" s="27"/>
      <c r="T322" s="27"/>
      <c r="U322" s="16"/>
      <c r="V322" s="27"/>
      <c r="X322" s="27"/>
      <c r="Y322" s="16"/>
      <c r="Z322" s="27"/>
      <c r="AB322" s="27"/>
      <c r="AC322" s="16"/>
      <c r="AD322" s="27"/>
      <c r="AF322" s="27"/>
      <c r="AG322" s="16"/>
      <c r="AH322" s="27"/>
      <c r="AJ322" s="27"/>
      <c r="AK322" s="16"/>
      <c r="AL322" s="27"/>
      <c r="AN322" s="27"/>
      <c r="AO322" s="16"/>
      <c r="AP322" s="27"/>
      <c r="AR322" s="27"/>
      <c r="AS322" s="16"/>
      <c r="AT322" s="27"/>
      <c r="AV322" s="27"/>
      <c r="AW322" s="16"/>
      <c r="AX322" s="27"/>
      <c r="AZ322" s="27"/>
      <c r="BA322" s="16"/>
      <c r="BB322" s="27"/>
      <c r="BD322" s="27"/>
      <c r="BE322" s="16"/>
      <c r="BF322" s="27"/>
      <c r="BH322" s="27"/>
      <c r="BI322" s="16"/>
      <c r="BJ322" s="27"/>
      <c r="BL322" s="27"/>
      <c r="BM322" s="16"/>
      <c r="BN322" s="27"/>
      <c r="BP322" s="27"/>
      <c r="BQ322" s="16"/>
      <c r="BR322" s="27"/>
      <c r="BT322" s="27"/>
      <c r="BU322" s="16"/>
      <c r="BV322" s="27"/>
      <c r="BX322" s="27"/>
      <c r="BY322" s="16"/>
      <c r="BZ322" s="27"/>
      <c r="CB322" s="27"/>
      <c r="CC322" s="16"/>
      <c r="CD322" s="27"/>
      <c r="CF322" s="27"/>
      <c r="CG322" s="16"/>
      <c r="CH322" s="27"/>
      <c r="CJ322" s="27"/>
      <c r="CK322" s="16"/>
      <c r="CL322" s="27"/>
      <c r="CN322" s="27"/>
      <c r="CO322" s="16"/>
      <c r="CP322" s="27"/>
      <c r="CR322" s="27"/>
      <c r="CS322" s="16"/>
      <c r="CT322" s="27"/>
      <c r="CV322" s="27"/>
      <c r="CW322" s="16"/>
      <c r="CX322" s="27"/>
      <c r="CZ322" s="27"/>
      <c r="DA322" s="16"/>
      <c r="DB322" s="27"/>
      <c r="DD322" s="16"/>
    </row>
    <row r="323" spans="1:108" s="14" customFormat="1" ht="21" x14ac:dyDescent="0.4">
      <c r="A323" s="27"/>
      <c r="B323" s="27"/>
      <c r="D323" s="16"/>
      <c r="E323" s="27"/>
      <c r="F323" s="27"/>
      <c r="H323" s="27"/>
      <c r="I323" s="16"/>
      <c r="J323" s="27"/>
      <c r="L323" s="27"/>
      <c r="M323" s="16"/>
      <c r="N323" s="27"/>
      <c r="P323" s="27"/>
      <c r="Q323" s="16"/>
      <c r="R323" s="27"/>
      <c r="T323" s="27"/>
      <c r="U323" s="16"/>
      <c r="V323" s="27"/>
      <c r="X323" s="27"/>
      <c r="Y323" s="16"/>
      <c r="Z323" s="27"/>
      <c r="AB323" s="27"/>
      <c r="AC323" s="16"/>
      <c r="AD323" s="27"/>
      <c r="AF323" s="27"/>
      <c r="AG323" s="16"/>
      <c r="AH323" s="27"/>
      <c r="AJ323" s="27"/>
      <c r="AK323" s="16"/>
      <c r="AL323" s="27"/>
      <c r="AN323" s="27"/>
      <c r="AO323" s="16"/>
      <c r="AP323" s="27"/>
      <c r="AR323" s="27"/>
      <c r="AS323" s="16"/>
      <c r="AT323" s="27"/>
      <c r="AV323" s="27"/>
      <c r="AW323" s="16"/>
      <c r="AX323" s="27"/>
      <c r="AZ323" s="27"/>
      <c r="BA323" s="16"/>
      <c r="BB323" s="27"/>
      <c r="BD323" s="27"/>
      <c r="BE323" s="16"/>
      <c r="BF323" s="27"/>
      <c r="BH323" s="27"/>
      <c r="BI323" s="16"/>
      <c r="BJ323" s="27"/>
      <c r="BL323" s="27"/>
      <c r="BM323" s="16"/>
      <c r="BN323" s="27"/>
      <c r="BP323" s="27"/>
      <c r="BQ323" s="16"/>
      <c r="BR323" s="27"/>
      <c r="BT323" s="27"/>
      <c r="BU323" s="16"/>
      <c r="BV323" s="27"/>
      <c r="BX323" s="27"/>
      <c r="BY323" s="16"/>
      <c r="BZ323" s="27"/>
      <c r="CB323" s="27"/>
      <c r="CC323" s="16"/>
      <c r="CD323" s="27"/>
      <c r="CF323" s="27"/>
      <c r="CG323" s="16"/>
      <c r="CH323" s="27"/>
      <c r="CJ323" s="27"/>
      <c r="CK323" s="16"/>
      <c r="CL323" s="27"/>
      <c r="CN323" s="27"/>
      <c r="CO323" s="16"/>
      <c r="CP323" s="27"/>
      <c r="CR323" s="27"/>
      <c r="CS323" s="16"/>
      <c r="CT323" s="27"/>
      <c r="CV323" s="27"/>
      <c r="CW323" s="16"/>
      <c r="CX323" s="27"/>
      <c r="CZ323" s="27"/>
      <c r="DA323" s="16"/>
      <c r="DB323" s="27"/>
      <c r="DD323" s="16"/>
    </row>
    <row r="324" spans="1:108" s="14" customFormat="1" ht="21" x14ac:dyDescent="0.4">
      <c r="A324" s="27"/>
      <c r="B324" s="27"/>
      <c r="D324" s="16"/>
      <c r="E324" s="27"/>
      <c r="F324" s="27"/>
      <c r="H324" s="27"/>
      <c r="I324" s="16"/>
      <c r="J324" s="27"/>
      <c r="L324" s="27"/>
      <c r="M324" s="16"/>
      <c r="N324" s="27"/>
      <c r="P324" s="27"/>
      <c r="Q324" s="16"/>
      <c r="R324" s="27"/>
      <c r="T324" s="27"/>
      <c r="U324" s="16"/>
      <c r="V324" s="27"/>
      <c r="X324" s="27"/>
      <c r="Y324" s="16"/>
      <c r="Z324" s="27"/>
      <c r="AB324" s="27"/>
      <c r="AC324" s="16"/>
      <c r="AD324" s="27"/>
      <c r="AF324" s="27"/>
      <c r="AG324" s="16"/>
      <c r="AH324" s="27"/>
      <c r="AJ324" s="27"/>
      <c r="AK324" s="16"/>
      <c r="AL324" s="27"/>
      <c r="AN324" s="27"/>
      <c r="AO324" s="16"/>
      <c r="AP324" s="27"/>
      <c r="AR324" s="27"/>
      <c r="AS324" s="16"/>
      <c r="AT324" s="27"/>
      <c r="AV324" s="27"/>
      <c r="AW324" s="16"/>
      <c r="AX324" s="27"/>
      <c r="AZ324" s="27"/>
      <c r="BA324" s="16"/>
      <c r="BB324" s="27"/>
      <c r="BD324" s="27"/>
      <c r="BE324" s="16"/>
      <c r="BF324" s="27"/>
      <c r="BH324" s="27"/>
      <c r="BI324" s="16"/>
      <c r="BJ324" s="27"/>
      <c r="BL324" s="27"/>
      <c r="BM324" s="16"/>
      <c r="BN324" s="27"/>
      <c r="BP324" s="27"/>
      <c r="BQ324" s="16"/>
      <c r="BR324" s="27"/>
      <c r="BT324" s="27"/>
      <c r="BU324" s="16"/>
      <c r="BV324" s="27"/>
      <c r="BX324" s="27"/>
      <c r="BY324" s="16"/>
      <c r="BZ324" s="27"/>
      <c r="CB324" s="27"/>
      <c r="CC324" s="16"/>
      <c r="CD324" s="27"/>
      <c r="CF324" s="27"/>
      <c r="CG324" s="16"/>
      <c r="CH324" s="27"/>
      <c r="CJ324" s="27"/>
      <c r="CK324" s="16"/>
      <c r="CL324" s="27"/>
      <c r="CN324" s="27"/>
      <c r="CO324" s="16"/>
      <c r="CP324" s="27"/>
      <c r="CR324" s="27"/>
      <c r="CS324" s="16"/>
      <c r="CT324" s="27"/>
      <c r="CV324" s="27"/>
      <c r="CW324" s="16"/>
      <c r="CX324" s="27"/>
      <c r="CZ324" s="27"/>
      <c r="DA324" s="16"/>
      <c r="DB324" s="27"/>
      <c r="DD324" s="16"/>
    </row>
    <row r="325" spans="1:108" s="14" customFormat="1" ht="21" x14ac:dyDescent="0.4">
      <c r="A325" s="27"/>
      <c r="B325" s="27"/>
      <c r="D325" s="16"/>
      <c r="E325" s="27"/>
      <c r="F325" s="27"/>
      <c r="H325" s="27"/>
      <c r="I325" s="16"/>
      <c r="J325" s="27"/>
      <c r="L325" s="27"/>
      <c r="M325" s="16"/>
      <c r="N325" s="27"/>
      <c r="P325" s="27"/>
      <c r="Q325" s="16"/>
      <c r="R325" s="27"/>
      <c r="T325" s="27"/>
      <c r="U325" s="16"/>
      <c r="V325" s="27"/>
      <c r="X325" s="27"/>
      <c r="Y325" s="16"/>
      <c r="Z325" s="27"/>
      <c r="AB325" s="27"/>
      <c r="AC325" s="16"/>
      <c r="AD325" s="27"/>
      <c r="AF325" s="27"/>
      <c r="AG325" s="16"/>
      <c r="AH325" s="27"/>
      <c r="AJ325" s="27"/>
      <c r="AK325" s="16"/>
      <c r="AL325" s="27"/>
      <c r="AN325" s="27"/>
      <c r="AO325" s="16"/>
      <c r="AP325" s="27"/>
      <c r="AR325" s="27"/>
      <c r="AS325" s="16"/>
      <c r="AT325" s="27"/>
      <c r="AV325" s="27"/>
      <c r="AW325" s="16"/>
      <c r="AX325" s="27"/>
      <c r="AZ325" s="27"/>
      <c r="BA325" s="16"/>
      <c r="BB325" s="27"/>
      <c r="BD325" s="27"/>
      <c r="BE325" s="16"/>
      <c r="BF325" s="27"/>
      <c r="BH325" s="27"/>
      <c r="BI325" s="16"/>
      <c r="BJ325" s="27"/>
      <c r="BL325" s="27"/>
      <c r="BM325" s="16"/>
      <c r="BN325" s="27"/>
      <c r="BP325" s="27"/>
      <c r="BQ325" s="16"/>
      <c r="BR325" s="27"/>
      <c r="BT325" s="27"/>
      <c r="BU325" s="16"/>
      <c r="BV325" s="27"/>
      <c r="BX325" s="27"/>
      <c r="BY325" s="16"/>
      <c r="BZ325" s="27"/>
      <c r="CB325" s="27"/>
      <c r="CC325" s="16"/>
      <c r="CD325" s="27"/>
      <c r="CF325" s="27"/>
      <c r="CG325" s="16"/>
      <c r="CH325" s="27"/>
      <c r="CJ325" s="27"/>
      <c r="CK325" s="16"/>
      <c r="CL325" s="27"/>
      <c r="CN325" s="27"/>
      <c r="CO325" s="16"/>
      <c r="CP325" s="27"/>
      <c r="CR325" s="27"/>
      <c r="CS325" s="16"/>
      <c r="CT325" s="27"/>
      <c r="CV325" s="27"/>
      <c r="CW325" s="16"/>
      <c r="CX325" s="27"/>
      <c r="CZ325" s="27"/>
      <c r="DA325" s="16"/>
      <c r="DB325" s="27"/>
      <c r="DD325" s="16"/>
    </row>
    <row r="326" spans="1:108" s="14" customFormat="1" ht="21" x14ac:dyDescent="0.4">
      <c r="A326" s="27"/>
      <c r="B326" s="27"/>
      <c r="D326" s="16"/>
      <c r="E326" s="27"/>
      <c r="F326" s="27"/>
      <c r="H326" s="27"/>
      <c r="I326" s="16"/>
      <c r="J326" s="27"/>
      <c r="L326" s="27"/>
      <c r="M326" s="16"/>
      <c r="N326" s="27"/>
      <c r="P326" s="27"/>
      <c r="Q326" s="16"/>
      <c r="R326" s="27"/>
      <c r="T326" s="27"/>
      <c r="U326" s="16"/>
      <c r="V326" s="27"/>
      <c r="X326" s="27"/>
      <c r="Y326" s="16"/>
      <c r="Z326" s="27"/>
      <c r="AB326" s="27"/>
      <c r="AC326" s="16"/>
      <c r="AD326" s="27"/>
      <c r="AF326" s="27"/>
      <c r="AG326" s="16"/>
      <c r="AH326" s="27"/>
      <c r="AJ326" s="27"/>
      <c r="AK326" s="16"/>
      <c r="AL326" s="27"/>
      <c r="AN326" s="27"/>
      <c r="AO326" s="16"/>
      <c r="AP326" s="27"/>
      <c r="AR326" s="27"/>
      <c r="AS326" s="16"/>
      <c r="AT326" s="27"/>
      <c r="AV326" s="27"/>
      <c r="AW326" s="16"/>
      <c r="AX326" s="27"/>
      <c r="AZ326" s="27"/>
      <c r="BA326" s="16"/>
      <c r="BB326" s="27"/>
      <c r="BD326" s="27"/>
      <c r="BE326" s="16"/>
      <c r="BF326" s="27"/>
      <c r="BH326" s="27"/>
      <c r="BI326" s="16"/>
      <c r="BJ326" s="27"/>
      <c r="BL326" s="27"/>
      <c r="BM326" s="16"/>
      <c r="BN326" s="27"/>
      <c r="BP326" s="27"/>
      <c r="BQ326" s="16"/>
      <c r="BR326" s="27"/>
      <c r="BT326" s="27"/>
      <c r="BU326" s="16"/>
      <c r="BV326" s="27"/>
      <c r="BX326" s="27"/>
      <c r="BY326" s="16"/>
      <c r="BZ326" s="27"/>
      <c r="CB326" s="27"/>
      <c r="CC326" s="16"/>
      <c r="CD326" s="27"/>
      <c r="CF326" s="27"/>
      <c r="CG326" s="16"/>
      <c r="CH326" s="27"/>
      <c r="CJ326" s="27"/>
      <c r="CK326" s="16"/>
      <c r="CL326" s="27"/>
      <c r="CN326" s="27"/>
      <c r="CO326" s="16"/>
      <c r="CP326" s="27"/>
      <c r="CR326" s="27"/>
      <c r="CS326" s="16"/>
      <c r="CT326" s="27"/>
      <c r="CV326" s="27"/>
      <c r="CW326" s="16"/>
      <c r="CX326" s="27"/>
      <c r="CZ326" s="27"/>
      <c r="DA326" s="16"/>
      <c r="DB326" s="27"/>
      <c r="DD326" s="16"/>
    </row>
    <row r="327" spans="1:108" s="14" customFormat="1" ht="21" x14ac:dyDescent="0.4">
      <c r="A327" s="27"/>
      <c r="B327" s="27"/>
      <c r="D327" s="16"/>
      <c r="E327" s="27"/>
      <c r="F327" s="27"/>
      <c r="H327" s="27"/>
      <c r="I327" s="16"/>
      <c r="J327" s="27"/>
      <c r="L327" s="27"/>
      <c r="M327" s="16"/>
      <c r="N327" s="27"/>
      <c r="P327" s="27"/>
      <c r="Q327" s="16"/>
      <c r="R327" s="27"/>
      <c r="T327" s="27"/>
      <c r="U327" s="16"/>
      <c r="V327" s="27"/>
      <c r="X327" s="27"/>
      <c r="Y327" s="16"/>
      <c r="Z327" s="27"/>
      <c r="AB327" s="27"/>
      <c r="AC327" s="16"/>
      <c r="AD327" s="27"/>
      <c r="AF327" s="27"/>
      <c r="AG327" s="16"/>
      <c r="AH327" s="27"/>
      <c r="AJ327" s="27"/>
      <c r="AK327" s="16"/>
      <c r="AL327" s="27"/>
      <c r="AN327" s="27"/>
      <c r="AO327" s="16"/>
      <c r="AP327" s="27"/>
      <c r="AR327" s="27"/>
      <c r="AS327" s="16"/>
      <c r="AT327" s="27"/>
      <c r="AV327" s="27"/>
      <c r="AW327" s="16"/>
      <c r="AX327" s="27"/>
      <c r="AZ327" s="27"/>
      <c r="BA327" s="16"/>
      <c r="BB327" s="27"/>
      <c r="BD327" s="27"/>
      <c r="BE327" s="16"/>
      <c r="BF327" s="27"/>
      <c r="BH327" s="27"/>
      <c r="BI327" s="16"/>
      <c r="BJ327" s="27"/>
      <c r="BL327" s="27"/>
      <c r="BM327" s="16"/>
      <c r="BN327" s="27"/>
      <c r="BP327" s="27"/>
      <c r="BQ327" s="16"/>
      <c r="BR327" s="27"/>
      <c r="BT327" s="27"/>
      <c r="BU327" s="16"/>
      <c r="BV327" s="27"/>
      <c r="BX327" s="27"/>
      <c r="BY327" s="16"/>
      <c r="BZ327" s="27"/>
      <c r="CB327" s="27"/>
      <c r="CC327" s="16"/>
      <c r="CD327" s="27"/>
      <c r="CF327" s="27"/>
      <c r="CG327" s="16"/>
      <c r="CH327" s="27"/>
      <c r="CJ327" s="27"/>
      <c r="CK327" s="16"/>
      <c r="CL327" s="27"/>
      <c r="CN327" s="27"/>
      <c r="CO327" s="16"/>
      <c r="CP327" s="27"/>
      <c r="CR327" s="27"/>
      <c r="CS327" s="16"/>
      <c r="CT327" s="27"/>
      <c r="CV327" s="27"/>
      <c r="CW327" s="16"/>
      <c r="CX327" s="27"/>
      <c r="CZ327" s="27"/>
      <c r="DA327" s="16"/>
      <c r="DB327" s="27"/>
      <c r="DD327" s="16"/>
    </row>
    <row r="328" spans="1:108" s="14" customFormat="1" ht="21" x14ac:dyDescent="0.4">
      <c r="A328" s="27"/>
      <c r="B328" s="27"/>
      <c r="D328" s="16"/>
      <c r="E328" s="27"/>
      <c r="F328" s="27"/>
      <c r="H328" s="27"/>
      <c r="I328" s="16"/>
      <c r="J328" s="27"/>
      <c r="L328" s="27"/>
      <c r="M328" s="16"/>
      <c r="N328" s="27"/>
      <c r="P328" s="27"/>
      <c r="Q328" s="16"/>
      <c r="R328" s="27"/>
      <c r="T328" s="27"/>
      <c r="U328" s="16"/>
      <c r="V328" s="27"/>
      <c r="X328" s="27"/>
      <c r="Y328" s="16"/>
      <c r="Z328" s="27"/>
      <c r="AB328" s="27"/>
      <c r="AC328" s="16"/>
      <c r="AD328" s="27"/>
      <c r="AF328" s="27"/>
      <c r="AG328" s="16"/>
      <c r="AH328" s="27"/>
      <c r="AJ328" s="27"/>
      <c r="AK328" s="16"/>
      <c r="AL328" s="27"/>
      <c r="AN328" s="27"/>
      <c r="AO328" s="16"/>
      <c r="AP328" s="27"/>
      <c r="AR328" s="27"/>
      <c r="AS328" s="16"/>
      <c r="AT328" s="27"/>
      <c r="AV328" s="27"/>
      <c r="AW328" s="16"/>
      <c r="AX328" s="27"/>
      <c r="AZ328" s="27"/>
      <c r="BA328" s="16"/>
      <c r="BB328" s="27"/>
      <c r="BD328" s="27"/>
      <c r="BE328" s="16"/>
      <c r="BF328" s="27"/>
      <c r="BH328" s="27"/>
      <c r="BI328" s="16"/>
      <c r="BJ328" s="27"/>
      <c r="BL328" s="27"/>
      <c r="BM328" s="16"/>
      <c r="BN328" s="27"/>
      <c r="BP328" s="27"/>
      <c r="BQ328" s="16"/>
      <c r="BR328" s="27"/>
      <c r="BT328" s="27"/>
      <c r="BU328" s="16"/>
      <c r="BV328" s="27"/>
      <c r="BX328" s="27"/>
      <c r="BY328" s="16"/>
      <c r="BZ328" s="27"/>
      <c r="CB328" s="27"/>
      <c r="CC328" s="16"/>
      <c r="CD328" s="27"/>
      <c r="CF328" s="27"/>
      <c r="CG328" s="16"/>
      <c r="CH328" s="27"/>
      <c r="CJ328" s="27"/>
      <c r="CK328" s="16"/>
      <c r="CL328" s="27"/>
      <c r="CN328" s="27"/>
      <c r="CO328" s="16"/>
      <c r="CP328" s="27"/>
      <c r="CR328" s="27"/>
      <c r="CS328" s="16"/>
      <c r="CT328" s="27"/>
      <c r="CV328" s="27"/>
      <c r="CW328" s="16"/>
      <c r="CX328" s="27"/>
      <c r="CZ328" s="27"/>
      <c r="DA328" s="16"/>
      <c r="DB328" s="27"/>
      <c r="DD328" s="16"/>
    </row>
    <row r="329" spans="1:108" s="14" customFormat="1" ht="21" x14ac:dyDescent="0.4">
      <c r="A329" s="27"/>
      <c r="B329" s="27"/>
      <c r="D329" s="16"/>
      <c r="E329" s="27"/>
      <c r="F329" s="27"/>
      <c r="H329" s="27"/>
      <c r="I329" s="16"/>
      <c r="J329" s="27"/>
      <c r="L329" s="27"/>
      <c r="M329" s="16"/>
      <c r="N329" s="27"/>
      <c r="P329" s="27"/>
      <c r="Q329" s="16"/>
      <c r="R329" s="27"/>
      <c r="T329" s="27"/>
      <c r="U329" s="16"/>
      <c r="V329" s="27"/>
      <c r="X329" s="27"/>
      <c r="Y329" s="16"/>
      <c r="Z329" s="27"/>
      <c r="AB329" s="27"/>
      <c r="AC329" s="16"/>
      <c r="AD329" s="27"/>
      <c r="AF329" s="27"/>
      <c r="AG329" s="16"/>
      <c r="AH329" s="27"/>
      <c r="AJ329" s="27"/>
      <c r="AK329" s="16"/>
      <c r="AL329" s="27"/>
      <c r="AN329" s="27"/>
      <c r="AO329" s="16"/>
      <c r="AP329" s="27"/>
      <c r="AR329" s="27"/>
      <c r="AS329" s="16"/>
      <c r="AT329" s="27"/>
      <c r="AV329" s="27"/>
      <c r="AW329" s="16"/>
      <c r="AX329" s="27"/>
      <c r="AZ329" s="27"/>
      <c r="BA329" s="16"/>
      <c r="BB329" s="27"/>
      <c r="BD329" s="27"/>
      <c r="BE329" s="16"/>
      <c r="BF329" s="27"/>
      <c r="BH329" s="27"/>
      <c r="BI329" s="16"/>
      <c r="BJ329" s="27"/>
      <c r="BL329" s="27"/>
      <c r="BM329" s="16"/>
      <c r="BN329" s="27"/>
      <c r="BP329" s="27"/>
      <c r="BQ329" s="16"/>
      <c r="BR329" s="27"/>
      <c r="BT329" s="27"/>
      <c r="BU329" s="16"/>
      <c r="BV329" s="27"/>
      <c r="BX329" s="27"/>
      <c r="BY329" s="16"/>
      <c r="BZ329" s="27"/>
      <c r="CB329" s="27"/>
      <c r="CC329" s="16"/>
      <c r="CD329" s="27"/>
      <c r="CF329" s="27"/>
      <c r="CG329" s="16"/>
      <c r="CH329" s="27"/>
      <c r="CJ329" s="27"/>
      <c r="CK329" s="16"/>
      <c r="CL329" s="27"/>
      <c r="CN329" s="27"/>
      <c r="CO329" s="16"/>
      <c r="CP329" s="27"/>
      <c r="CR329" s="27"/>
      <c r="CS329" s="16"/>
      <c r="CT329" s="27"/>
      <c r="CV329" s="27"/>
      <c r="CW329" s="16"/>
      <c r="CX329" s="27"/>
      <c r="CZ329" s="27"/>
      <c r="DA329" s="16"/>
      <c r="DB329" s="27"/>
      <c r="DD329" s="16"/>
    </row>
    <row r="330" spans="1:108" s="14" customFormat="1" ht="21" x14ac:dyDescent="0.4">
      <c r="A330" s="27"/>
      <c r="B330" s="27"/>
      <c r="D330" s="16"/>
      <c r="E330" s="27"/>
      <c r="F330" s="27"/>
      <c r="H330" s="27"/>
      <c r="I330" s="16"/>
      <c r="J330" s="27"/>
      <c r="L330" s="27"/>
      <c r="M330" s="16"/>
      <c r="N330" s="27"/>
      <c r="P330" s="27"/>
      <c r="Q330" s="16"/>
      <c r="R330" s="27"/>
      <c r="T330" s="27"/>
      <c r="U330" s="16"/>
      <c r="V330" s="27"/>
      <c r="X330" s="27"/>
      <c r="Y330" s="16"/>
      <c r="Z330" s="27"/>
      <c r="AB330" s="27"/>
      <c r="AC330" s="16"/>
      <c r="AD330" s="27"/>
      <c r="AF330" s="27"/>
      <c r="AG330" s="16"/>
      <c r="AH330" s="27"/>
      <c r="AJ330" s="27"/>
      <c r="AK330" s="16"/>
      <c r="AL330" s="27"/>
      <c r="AN330" s="27"/>
      <c r="AO330" s="16"/>
      <c r="AP330" s="27"/>
      <c r="AR330" s="27"/>
      <c r="AS330" s="16"/>
      <c r="AT330" s="27"/>
      <c r="AV330" s="27"/>
      <c r="AW330" s="16"/>
      <c r="AX330" s="27"/>
      <c r="AZ330" s="27"/>
      <c r="BA330" s="16"/>
      <c r="BB330" s="27"/>
      <c r="BD330" s="27"/>
      <c r="BE330" s="16"/>
      <c r="BF330" s="27"/>
      <c r="BH330" s="27"/>
      <c r="BI330" s="16"/>
      <c r="BJ330" s="27"/>
      <c r="BL330" s="27"/>
      <c r="BM330" s="16"/>
      <c r="BN330" s="27"/>
      <c r="BP330" s="27"/>
      <c r="BQ330" s="16"/>
      <c r="BR330" s="27"/>
      <c r="BT330" s="27"/>
      <c r="BU330" s="16"/>
      <c r="BV330" s="27"/>
      <c r="BX330" s="27"/>
      <c r="BY330" s="16"/>
      <c r="BZ330" s="27"/>
      <c r="CB330" s="27"/>
      <c r="CC330" s="16"/>
      <c r="CD330" s="27"/>
      <c r="CF330" s="27"/>
      <c r="CG330" s="16"/>
      <c r="CH330" s="27"/>
      <c r="CJ330" s="27"/>
      <c r="CK330" s="16"/>
      <c r="CL330" s="27"/>
      <c r="CN330" s="27"/>
      <c r="CO330" s="16"/>
      <c r="CP330" s="27"/>
      <c r="CR330" s="27"/>
      <c r="CS330" s="16"/>
      <c r="CT330" s="27"/>
      <c r="CV330" s="27"/>
      <c r="CW330" s="16"/>
      <c r="CX330" s="27"/>
      <c r="CZ330" s="27"/>
      <c r="DA330" s="16"/>
      <c r="DB330" s="27"/>
      <c r="DD330" s="16"/>
    </row>
    <row r="331" spans="1:108" s="14" customFormat="1" ht="21" x14ac:dyDescent="0.4">
      <c r="A331" s="27"/>
      <c r="B331" s="27"/>
      <c r="D331" s="16"/>
      <c r="E331" s="27"/>
      <c r="F331" s="27"/>
      <c r="H331" s="27"/>
      <c r="I331" s="16"/>
      <c r="J331" s="27"/>
      <c r="L331" s="27"/>
      <c r="M331" s="16"/>
      <c r="N331" s="27"/>
      <c r="P331" s="27"/>
      <c r="Q331" s="16"/>
      <c r="R331" s="27"/>
      <c r="T331" s="27"/>
      <c r="U331" s="16"/>
      <c r="V331" s="27"/>
      <c r="X331" s="27"/>
      <c r="Y331" s="16"/>
      <c r="Z331" s="27"/>
      <c r="AB331" s="27"/>
      <c r="AC331" s="16"/>
      <c r="AD331" s="27"/>
      <c r="AF331" s="27"/>
      <c r="AG331" s="16"/>
      <c r="AH331" s="27"/>
      <c r="AJ331" s="27"/>
      <c r="AK331" s="16"/>
      <c r="AL331" s="27"/>
      <c r="AN331" s="27"/>
      <c r="AO331" s="16"/>
      <c r="AP331" s="27"/>
      <c r="AR331" s="27"/>
      <c r="AS331" s="16"/>
      <c r="AT331" s="27"/>
      <c r="AV331" s="27"/>
      <c r="AW331" s="16"/>
      <c r="AX331" s="27"/>
      <c r="AZ331" s="27"/>
      <c r="BA331" s="16"/>
      <c r="BB331" s="27"/>
      <c r="BD331" s="27"/>
      <c r="BE331" s="16"/>
      <c r="BF331" s="27"/>
      <c r="BH331" s="27"/>
      <c r="BI331" s="16"/>
      <c r="BJ331" s="27"/>
      <c r="BL331" s="27"/>
      <c r="BM331" s="16"/>
      <c r="BN331" s="27"/>
      <c r="BP331" s="27"/>
      <c r="BQ331" s="16"/>
      <c r="BR331" s="27"/>
      <c r="BT331" s="27"/>
      <c r="BU331" s="16"/>
      <c r="BV331" s="27"/>
      <c r="BX331" s="27"/>
      <c r="BY331" s="16"/>
      <c r="BZ331" s="27"/>
      <c r="CB331" s="27"/>
      <c r="CC331" s="16"/>
      <c r="CD331" s="27"/>
      <c r="CF331" s="27"/>
      <c r="CG331" s="16"/>
      <c r="CH331" s="27"/>
      <c r="CJ331" s="27"/>
      <c r="CK331" s="16"/>
      <c r="CL331" s="27"/>
      <c r="CN331" s="27"/>
      <c r="CO331" s="16"/>
      <c r="CP331" s="27"/>
      <c r="CR331" s="27"/>
      <c r="CS331" s="16"/>
      <c r="CT331" s="27"/>
      <c r="CV331" s="27"/>
      <c r="CW331" s="16"/>
      <c r="CX331" s="27"/>
      <c r="CZ331" s="27"/>
      <c r="DA331" s="16"/>
      <c r="DB331" s="27"/>
      <c r="DD331" s="16"/>
    </row>
    <row r="332" spans="1:108" s="14" customFormat="1" ht="21" x14ac:dyDescent="0.4">
      <c r="A332" s="27"/>
      <c r="B332" s="27"/>
      <c r="D332" s="16"/>
      <c r="E332" s="27"/>
      <c r="F332" s="27"/>
      <c r="H332" s="27"/>
      <c r="I332" s="16"/>
      <c r="J332" s="27"/>
      <c r="L332" s="27"/>
      <c r="M332" s="16"/>
      <c r="N332" s="27"/>
      <c r="P332" s="27"/>
      <c r="Q332" s="16"/>
      <c r="R332" s="27"/>
      <c r="T332" s="27"/>
      <c r="U332" s="16"/>
      <c r="V332" s="27"/>
      <c r="X332" s="27"/>
      <c r="Y332" s="16"/>
      <c r="Z332" s="27"/>
      <c r="AB332" s="27"/>
      <c r="AC332" s="16"/>
      <c r="AD332" s="27"/>
      <c r="AF332" s="27"/>
      <c r="AG332" s="16"/>
      <c r="AH332" s="27"/>
      <c r="AJ332" s="27"/>
      <c r="AK332" s="16"/>
      <c r="AL332" s="27"/>
      <c r="AN332" s="27"/>
      <c r="AO332" s="16"/>
      <c r="AP332" s="27"/>
      <c r="AR332" s="27"/>
      <c r="AS332" s="16"/>
      <c r="AT332" s="27"/>
      <c r="AV332" s="27"/>
      <c r="AW332" s="16"/>
      <c r="AX332" s="27"/>
      <c r="AZ332" s="27"/>
      <c r="BA332" s="16"/>
      <c r="BB332" s="27"/>
      <c r="BD332" s="27"/>
      <c r="BE332" s="16"/>
      <c r="BF332" s="27"/>
      <c r="BH332" s="27"/>
      <c r="BI332" s="16"/>
      <c r="BJ332" s="27"/>
      <c r="BL332" s="27"/>
      <c r="BM332" s="16"/>
      <c r="BN332" s="27"/>
      <c r="BP332" s="27"/>
      <c r="BQ332" s="16"/>
      <c r="BR332" s="27"/>
      <c r="BT332" s="27"/>
      <c r="BU332" s="16"/>
      <c r="BV332" s="27"/>
      <c r="BX332" s="27"/>
      <c r="BY332" s="16"/>
      <c r="BZ332" s="27"/>
      <c r="CB332" s="27"/>
      <c r="CC332" s="16"/>
      <c r="CD332" s="27"/>
      <c r="CF332" s="27"/>
      <c r="CG332" s="16"/>
      <c r="CH332" s="27"/>
      <c r="CJ332" s="27"/>
      <c r="CK332" s="16"/>
      <c r="CL332" s="27"/>
      <c r="CN332" s="27"/>
      <c r="CO332" s="16"/>
      <c r="CP332" s="27"/>
      <c r="CR332" s="27"/>
      <c r="CS332" s="16"/>
      <c r="CT332" s="27"/>
      <c r="CV332" s="27"/>
      <c r="CW332" s="16"/>
      <c r="CX332" s="27"/>
      <c r="CZ332" s="27"/>
      <c r="DA332" s="16"/>
      <c r="DB332" s="27"/>
      <c r="DD332" s="16"/>
    </row>
    <row r="333" spans="1:108" s="14" customFormat="1" ht="21" x14ac:dyDescent="0.4">
      <c r="A333" s="27"/>
      <c r="B333" s="27"/>
      <c r="D333" s="16"/>
      <c r="E333" s="27"/>
      <c r="F333" s="27"/>
      <c r="H333" s="27"/>
      <c r="I333" s="16"/>
      <c r="J333" s="27"/>
      <c r="L333" s="27"/>
      <c r="M333" s="16"/>
      <c r="N333" s="27"/>
      <c r="P333" s="27"/>
      <c r="Q333" s="16"/>
      <c r="R333" s="27"/>
      <c r="T333" s="27"/>
      <c r="U333" s="16"/>
      <c r="V333" s="27"/>
      <c r="X333" s="27"/>
      <c r="Y333" s="16"/>
      <c r="Z333" s="27"/>
      <c r="AB333" s="27"/>
      <c r="AC333" s="16"/>
      <c r="AD333" s="27"/>
      <c r="AF333" s="27"/>
      <c r="AG333" s="16"/>
      <c r="AH333" s="27"/>
      <c r="AJ333" s="27"/>
      <c r="AK333" s="16"/>
      <c r="AL333" s="27"/>
      <c r="AN333" s="27"/>
      <c r="AO333" s="16"/>
      <c r="AP333" s="27"/>
      <c r="AR333" s="27"/>
      <c r="AS333" s="16"/>
      <c r="AT333" s="27"/>
      <c r="AV333" s="27"/>
      <c r="AW333" s="16"/>
      <c r="AX333" s="27"/>
      <c r="AZ333" s="27"/>
      <c r="BA333" s="16"/>
      <c r="BB333" s="27"/>
      <c r="BD333" s="27"/>
      <c r="BE333" s="16"/>
      <c r="BF333" s="27"/>
      <c r="BH333" s="27"/>
      <c r="BI333" s="16"/>
      <c r="BJ333" s="27"/>
      <c r="BL333" s="27"/>
      <c r="BM333" s="16"/>
      <c r="BN333" s="27"/>
      <c r="BP333" s="27"/>
      <c r="BQ333" s="16"/>
      <c r="BR333" s="27"/>
      <c r="BT333" s="27"/>
      <c r="BU333" s="16"/>
      <c r="BV333" s="27"/>
      <c r="BX333" s="27"/>
      <c r="BY333" s="16"/>
      <c r="BZ333" s="27"/>
      <c r="CB333" s="27"/>
      <c r="CC333" s="16"/>
      <c r="CD333" s="27"/>
      <c r="CF333" s="27"/>
      <c r="CG333" s="16"/>
      <c r="CH333" s="27"/>
      <c r="CJ333" s="27"/>
      <c r="CK333" s="16"/>
      <c r="CL333" s="27"/>
      <c r="CN333" s="27"/>
      <c r="CO333" s="16"/>
      <c r="CP333" s="27"/>
      <c r="CR333" s="27"/>
      <c r="CS333" s="16"/>
      <c r="CT333" s="27"/>
      <c r="CV333" s="27"/>
      <c r="CW333" s="16"/>
      <c r="CX333" s="27"/>
      <c r="CZ333" s="27"/>
      <c r="DA333" s="16"/>
      <c r="DB333" s="27"/>
      <c r="DD333" s="16"/>
    </row>
    <row r="334" spans="1:108" s="14" customFormat="1" ht="21" x14ac:dyDescent="0.4">
      <c r="A334" s="27"/>
      <c r="B334" s="27"/>
      <c r="D334" s="16"/>
      <c r="E334" s="27"/>
      <c r="F334" s="27"/>
      <c r="H334" s="27"/>
      <c r="I334" s="16"/>
      <c r="J334" s="27"/>
      <c r="L334" s="27"/>
      <c r="M334" s="16"/>
      <c r="N334" s="27"/>
      <c r="P334" s="27"/>
      <c r="Q334" s="16"/>
      <c r="R334" s="27"/>
      <c r="T334" s="27"/>
      <c r="U334" s="16"/>
      <c r="V334" s="27"/>
      <c r="X334" s="27"/>
      <c r="Y334" s="16"/>
      <c r="Z334" s="27"/>
      <c r="AB334" s="27"/>
      <c r="AC334" s="16"/>
      <c r="AD334" s="27"/>
      <c r="AF334" s="27"/>
      <c r="AG334" s="16"/>
      <c r="AH334" s="27"/>
      <c r="AJ334" s="27"/>
      <c r="AK334" s="16"/>
      <c r="AL334" s="27"/>
      <c r="AN334" s="27"/>
      <c r="AO334" s="16"/>
      <c r="AP334" s="27"/>
      <c r="AR334" s="27"/>
      <c r="AS334" s="16"/>
      <c r="AT334" s="27"/>
      <c r="AV334" s="27"/>
      <c r="AW334" s="16"/>
      <c r="AX334" s="27"/>
      <c r="AZ334" s="27"/>
      <c r="BA334" s="16"/>
      <c r="BB334" s="27"/>
      <c r="BD334" s="27"/>
      <c r="BE334" s="16"/>
      <c r="BF334" s="27"/>
      <c r="BH334" s="27"/>
      <c r="BI334" s="16"/>
      <c r="BJ334" s="27"/>
      <c r="BL334" s="27"/>
      <c r="BM334" s="16"/>
      <c r="BN334" s="27"/>
      <c r="BP334" s="27"/>
      <c r="BQ334" s="16"/>
      <c r="BR334" s="27"/>
      <c r="BT334" s="27"/>
      <c r="BU334" s="16"/>
      <c r="BV334" s="27"/>
      <c r="BX334" s="27"/>
      <c r="BY334" s="16"/>
      <c r="BZ334" s="27"/>
      <c r="CB334" s="27"/>
      <c r="CC334" s="16"/>
      <c r="CD334" s="27"/>
      <c r="CF334" s="27"/>
      <c r="CG334" s="16"/>
      <c r="CH334" s="27"/>
      <c r="CJ334" s="27"/>
      <c r="CK334" s="16"/>
      <c r="CL334" s="27"/>
      <c r="CN334" s="27"/>
      <c r="CO334" s="16"/>
      <c r="CP334" s="27"/>
      <c r="CR334" s="27"/>
      <c r="CS334" s="16"/>
      <c r="CT334" s="27"/>
      <c r="CV334" s="27"/>
      <c r="CW334" s="16"/>
      <c r="CX334" s="27"/>
      <c r="CZ334" s="27"/>
      <c r="DA334" s="16"/>
      <c r="DB334" s="27"/>
      <c r="DD334" s="16"/>
    </row>
    <row r="335" spans="1:108" s="14" customFormat="1" ht="21" x14ac:dyDescent="0.4">
      <c r="A335" s="27"/>
      <c r="B335" s="27"/>
      <c r="D335" s="16"/>
      <c r="E335" s="27"/>
      <c r="F335" s="27"/>
      <c r="H335" s="27"/>
      <c r="I335" s="16"/>
      <c r="J335" s="27"/>
      <c r="L335" s="27"/>
      <c r="M335" s="16"/>
      <c r="N335" s="27"/>
      <c r="P335" s="27"/>
      <c r="Q335" s="16"/>
      <c r="R335" s="27"/>
      <c r="T335" s="27"/>
      <c r="U335" s="16"/>
      <c r="V335" s="27"/>
      <c r="X335" s="27"/>
      <c r="Y335" s="16"/>
      <c r="Z335" s="27"/>
      <c r="AB335" s="27"/>
      <c r="AC335" s="16"/>
      <c r="AD335" s="27"/>
      <c r="AF335" s="27"/>
      <c r="AG335" s="16"/>
      <c r="AH335" s="27"/>
      <c r="AJ335" s="27"/>
      <c r="AK335" s="16"/>
      <c r="AL335" s="27"/>
      <c r="AN335" s="27"/>
      <c r="AO335" s="16"/>
      <c r="AP335" s="27"/>
      <c r="AR335" s="27"/>
      <c r="AS335" s="16"/>
      <c r="AT335" s="27"/>
      <c r="AV335" s="27"/>
      <c r="AW335" s="16"/>
      <c r="AX335" s="27"/>
      <c r="AZ335" s="27"/>
      <c r="BA335" s="16"/>
      <c r="BB335" s="27"/>
      <c r="BD335" s="27"/>
      <c r="BE335" s="16"/>
      <c r="BF335" s="27"/>
      <c r="BH335" s="27"/>
      <c r="BI335" s="16"/>
      <c r="BJ335" s="27"/>
      <c r="BL335" s="27"/>
      <c r="BM335" s="16"/>
      <c r="BN335" s="27"/>
      <c r="BP335" s="27"/>
      <c r="BQ335" s="16"/>
      <c r="BR335" s="27"/>
      <c r="BT335" s="27"/>
      <c r="BU335" s="16"/>
      <c r="BV335" s="27"/>
      <c r="BX335" s="27"/>
      <c r="BY335" s="16"/>
      <c r="BZ335" s="27"/>
      <c r="CB335" s="27"/>
      <c r="CC335" s="16"/>
      <c r="CD335" s="27"/>
      <c r="CF335" s="27"/>
      <c r="CG335" s="16"/>
      <c r="CH335" s="27"/>
      <c r="CJ335" s="27"/>
      <c r="CK335" s="16"/>
      <c r="CL335" s="27"/>
      <c r="CN335" s="27"/>
      <c r="CO335" s="16"/>
      <c r="CP335" s="27"/>
      <c r="CR335" s="27"/>
      <c r="CS335" s="16"/>
      <c r="CT335" s="27"/>
      <c r="CV335" s="27"/>
      <c r="CW335" s="16"/>
      <c r="CX335" s="27"/>
      <c r="CZ335" s="27"/>
      <c r="DA335" s="16"/>
      <c r="DB335" s="27"/>
      <c r="DD335" s="16"/>
    </row>
    <row r="336" spans="1:108" s="14" customFormat="1" ht="21" x14ac:dyDescent="0.4">
      <c r="A336" s="27"/>
      <c r="B336" s="27"/>
      <c r="D336" s="16"/>
      <c r="E336" s="27"/>
      <c r="F336" s="27"/>
      <c r="H336" s="27"/>
      <c r="I336" s="16"/>
      <c r="J336" s="27"/>
      <c r="L336" s="27"/>
      <c r="M336" s="16"/>
      <c r="N336" s="27"/>
      <c r="P336" s="27"/>
      <c r="Q336" s="16"/>
      <c r="R336" s="27"/>
      <c r="T336" s="27"/>
      <c r="U336" s="16"/>
      <c r="V336" s="27"/>
      <c r="X336" s="27"/>
      <c r="Y336" s="16"/>
      <c r="Z336" s="27"/>
      <c r="AB336" s="27"/>
      <c r="AC336" s="16"/>
      <c r="AD336" s="27"/>
      <c r="AF336" s="27"/>
      <c r="AG336" s="16"/>
      <c r="AH336" s="27"/>
      <c r="AJ336" s="27"/>
      <c r="AK336" s="16"/>
      <c r="AL336" s="27"/>
      <c r="AN336" s="27"/>
      <c r="AO336" s="16"/>
      <c r="AP336" s="27"/>
      <c r="AR336" s="27"/>
      <c r="AS336" s="16"/>
      <c r="AT336" s="27"/>
      <c r="AV336" s="27"/>
      <c r="AW336" s="16"/>
      <c r="AX336" s="27"/>
      <c r="AZ336" s="27"/>
      <c r="BA336" s="16"/>
      <c r="BB336" s="27"/>
      <c r="BD336" s="27"/>
      <c r="BE336" s="16"/>
      <c r="BF336" s="27"/>
      <c r="BH336" s="27"/>
      <c r="BI336" s="16"/>
      <c r="BJ336" s="27"/>
      <c r="BL336" s="27"/>
      <c r="BM336" s="16"/>
      <c r="BN336" s="27"/>
      <c r="BP336" s="27"/>
      <c r="BQ336" s="16"/>
      <c r="BR336" s="27"/>
      <c r="BT336" s="27"/>
      <c r="BU336" s="16"/>
      <c r="BV336" s="27"/>
      <c r="BX336" s="27"/>
      <c r="BY336" s="16"/>
      <c r="BZ336" s="27"/>
      <c r="CB336" s="27"/>
      <c r="CC336" s="16"/>
      <c r="CD336" s="27"/>
      <c r="CF336" s="27"/>
      <c r="CG336" s="16"/>
      <c r="CH336" s="27"/>
      <c r="CJ336" s="27"/>
      <c r="CK336" s="16"/>
      <c r="CL336" s="27"/>
      <c r="CN336" s="27"/>
      <c r="CO336" s="16"/>
      <c r="CP336" s="27"/>
      <c r="CR336" s="27"/>
      <c r="CS336" s="16"/>
      <c r="CT336" s="27"/>
      <c r="CV336" s="27"/>
      <c r="CW336" s="16"/>
      <c r="CX336" s="27"/>
      <c r="CZ336" s="27"/>
      <c r="DA336" s="16"/>
      <c r="DB336" s="27"/>
      <c r="DD336" s="16"/>
    </row>
    <row r="337" spans="1:108" s="14" customFormat="1" ht="21" x14ac:dyDescent="0.4">
      <c r="A337" s="27"/>
      <c r="B337" s="27"/>
      <c r="D337" s="16"/>
      <c r="E337" s="27"/>
      <c r="F337" s="27"/>
      <c r="H337" s="27"/>
      <c r="I337" s="16"/>
      <c r="J337" s="27"/>
      <c r="L337" s="27"/>
      <c r="M337" s="16"/>
      <c r="N337" s="27"/>
      <c r="P337" s="27"/>
      <c r="Q337" s="16"/>
      <c r="R337" s="27"/>
      <c r="T337" s="27"/>
      <c r="U337" s="16"/>
      <c r="V337" s="27"/>
      <c r="X337" s="27"/>
      <c r="Y337" s="16"/>
      <c r="Z337" s="27"/>
      <c r="AB337" s="27"/>
      <c r="AC337" s="16"/>
      <c r="AD337" s="27"/>
      <c r="AF337" s="27"/>
      <c r="AG337" s="16"/>
      <c r="AH337" s="27"/>
      <c r="AJ337" s="27"/>
      <c r="AK337" s="16"/>
      <c r="AL337" s="27"/>
      <c r="AN337" s="27"/>
      <c r="AO337" s="16"/>
      <c r="AP337" s="27"/>
      <c r="AR337" s="27"/>
      <c r="AS337" s="16"/>
      <c r="AT337" s="27"/>
      <c r="AV337" s="27"/>
      <c r="AW337" s="16"/>
      <c r="AX337" s="27"/>
      <c r="AZ337" s="27"/>
      <c r="BA337" s="16"/>
      <c r="BB337" s="27"/>
      <c r="BD337" s="27"/>
      <c r="BE337" s="16"/>
      <c r="BF337" s="27"/>
      <c r="BH337" s="27"/>
      <c r="BI337" s="16"/>
      <c r="BJ337" s="27"/>
      <c r="BL337" s="27"/>
      <c r="BM337" s="16"/>
      <c r="BN337" s="27"/>
      <c r="BP337" s="27"/>
      <c r="BQ337" s="16"/>
      <c r="BR337" s="27"/>
      <c r="BT337" s="27"/>
      <c r="BU337" s="16"/>
      <c r="BV337" s="27"/>
      <c r="BX337" s="27"/>
      <c r="BY337" s="16"/>
      <c r="BZ337" s="27"/>
      <c r="CB337" s="27"/>
      <c r="CC337" s="16"/>
      <c r="CD337" s="27"/>
      <c r="CF337" s="27"/>
      <c r="CG337" s="16"/>
      <c r="CH337" s="27"/>
      <c r="CJ337" s="27"/>
      <c r="CK337" s="16"/>
      <c r="CL337" s="27"/>
      <c r="CN337" s="27"/>
      <c r="CO337" s="16"/>
      <c r="CP337" s="27"/>
      <c r="CR337" s="27"/>
      <c r="CS337" s="16"/>
      <c r="CT337" s="27"/>
      <c r="CV337" s="27"/>
      <c r="CW337" s="16"/>
      <c r="CX337" s="27"/>
      <c r="CZ337" s="27"/>
      <c r="DA337" s="16"/>
      <c r="DB337" s="27"/>
      <c r="DD337" s="16"/>
    </row>
    <row r="338" spans="1:108" s="14" customFormat="1" ht="21" x14ac:dyDescent="0.4">
      <c r="A338" s="27"/>
      <c r="B338" s="27"/>
      <c r="D338" s="16"/>
      <c r="E338" s="27"/>
      <c r="F338" s="27"/>
      <c r="H338" s="27"/>
      <c r="I338" s="16"/>
      <c r="J338" s="27"/>
      <c r="L338" s="27"/>
      <c r="M338" s="16"/>
      <c r="N338" s="27"/>
      <c r="P338" s="27"/>
      <c r="Q338" s="16"/>
      <c r="R338" s="27"/>
      <c r="T338" s="27"/>
      <c r="U338" s="16"/>
      <c r="V338" s="27"/>
      <c r="X338" s="27"/>
      <c r="Y338" s="16"/>
      <c r="Z338" s="27"/>
      <c r="AB338" s="27"/>
      <c r="AC338" s="16"/>
      <c r="AD338" s="27"/>
      <c r="AF338" s="27"/>
      <c r="AG338" s="16"/>
      <c r="AH338" s="27"/>
      <c r="AJ338" s="27"/>
      <c r="AK338" s="16"/>
      <c r="AL338" s="27"/>
      <c r="AN338" s="27"/>
      <c r="AO338" s="16"/>
      <c r="AP338" s="27"/>
      <c r="AR338" s="27"/>
      <c r="AS338" s="16"/>
      <c r="AT338" s="27"/>
      <c r="AV338" s="27"/>
      <c r="AW338" s="16"/>
      <c r="AX338" s="27"/>
      <c r="AZ338" s="27"/>
      <c r="BA338" s="16"/>
      <c r="BB338" s="27"/>
      <c r="BD338" s="27"/>
      <c r="BE338" s="16"/>
      <c r="BF338" s="27"/>
      <c r="BH338" s="27"/>
      <c r="BI338" s="16"/>
      <c r="BJ338" s="27"/>
      <c r="BL338" s="27"/>
      <c r="BM338" s="16"/>
      <c r="BN338" s="27"/>
      <c r="BP338" s="27"/>
      <c r="BQ338" s="16"/>
      <c r="BR338" s="27"/>
      <c r="BT338" s="27"/>
      <c r="BU338" s="16"/>
      <c r="BV338" s="27"/>
      <c r="BX338" s="27"/>
      <c r="BY338" s="16"/>
      <c r="BZ338" s="27"/>
      <c r="CB338" s="27"/>
      <c r="CC338" s="16"/>
      <c r="CD338" s="27"/>
      <c r="CF338" s="27"/>
      <c r="CG338" s="16"/>
      <c r="CH338" s="27"/>
      <c r="CJ338" s="27"/>
      <c r="CK338" s="16"/>
      <c r="CL338" s="27"/>
      <c r="CN338" s="27"/>
      <c r="CO338" s="16"/>
      <c r="CP338" s="27"/>
      <c r="CR338" s="27"/>
      <c r="CS338" s="16"/>
      <c r="CT338" s="27"/>
      <c r="CV338" s="27"/>
      <c r="CW338" s="16"/>
      <c r="CX338" s="27"/>
      <c r="CZ338" s="27"/>
      <c r="DA338" s="16"/>
      <c r="DB338" s="27"/>
      <c r="DD338" s="16"/>
    </row>
    <row r="339" spans="1:108" s="14" customFormat="1" ht="21" x14ac:dyDescent="0.4">
      <c r="A339" s="27"/>
      <c r="B339" s="27"/>
      <c r="D339" s="16"/>
      <c r="E339" s="27"/>
      <c r="F339" s="27"/>
      <c r="H339" s="27"/>
      <c r="I339" s="16"/>
      <c r="J339" s="27"/>
      <c r="L339" s="27"/>
      <c r="M339" s="16"/>
      <c r="N339" s="27"/>
      <c r="P339" s="27"/>
      <c r="Q339" s="16"/>
      <c r="R339" s="27"/>
      <c r="T339" s="27"/>
      <c r="U339" s="16"/>
      <c r="V339" s="27"/>
      <c r="X339" s="27"/>
      <c r="Y339" s="16"/>
      <c r="Z339" s="27"/>
      <c r="AB339" s="27"/>
      <c r="AC339" s="16"/>
      <c r="AD339" s="27"/>
      <c r="AF339" s="27"/>
      <c r="AG339" s="16"/>
      <c r="AH339" s="27"/>
      <c r="AJ339" s="27"/>
      <c r="AK339" s="16"/>
      <c r="AL339" s="27"/>
      <c r="AN339" s="27"/>
      <c r="AO339" s="16"/>
      <c r="AP339" s="27"/>
      <c r="AR339" s="27"/>
      <c r="AS339" s="16"/>
      <c r="AT339" s="27"/>
      <c r="AV339" s="27"/>
      <c r="AW339" s="16"/>
      <c r="AX339" s="27"/>
      <c r="AZ339" s="27"/>
      <c r="BA339" s="16"/>
      <c r="BB339" s="27"/>
      <c r="BD339" s="27"/>
      <c r="BE339" s="16"/>
      <c r="BF339" s="27"/>
      <c r="BH339" s="27"/>
      <c r="BI339" s="16"/>
      <c r="BJ339" s="27"/>
      <c r="BL339" s="27"/>
      <c r="BM339" s="16"/>
      <c r="BN339" s="27"/>
      <c r="BP339" s="27"/>
      <c r="BQ339" s="16"/>
      <c r="BR339" s="27"/>
      <c r="BT339" s="27"/>
      <c r="BU339" s="16"/>
      <c r="BV339" s="27"/>
      <c r="BX339" s="27"/>
      <c r="BY339" s="16"/>
      <c r="BZ339" s="27"/>
      <c r="CB339" s="27"/>
      <c r="CC339" s="16"/>
      <c r="CD339" s="27"/>
      <c r="CF339" s="27"/>
      <c r="CG339" s="16"/>
      <c r="CH339" s="27"/>
      <c r="CJ339" s="27"/>
      <c r="CK339" s="16"/>
      <c r="CL339" s="27"/>
      <c r="CN339" s="27"/>
      <c r="CO339" s="16"/>
      <c r="CP339" s="27"/>
      <c r="CR339" s="27"/>
      <c r="CS339" s="16"/>
      <c r="CT339" s="27"/>
      <c r="CV339" s="27"/>
      <c r="CW339" s="16"/>
      <c r="CX339" s="27"/>
      <c r="CZ339" s="27"/>
      <c r="DA339" s="16"/>
      <c r="DB339" s="27"/>
      <c r="DD339" s="16"/>
    </row>
    <row r="340" spans="1:108" s="14" customFormat="1" ht="21" x14ac:dyDescent="0.4">
      <c r="A340" s="27"/>
      <c r="B340" s="27"/>
      <c r="D340" s="16"/>
      <c r="E340" s="27"/>
      <c r="F340" s="27"/>
      <c r="H340" s="27"/>
      <c r="I340" s="16"/>
      <c r="J340" s="27"/>
      <c r="L340" s="27"/>
      <c r="M340" s="16"/>
      <c r="N340" s="27"/>
      <c r="P340" s="27"/>
      <c r="Q340" s="16"/>
      <c r="R340" s="27"/>
      <c r="T340" s="27"/>
      <c r="U340" s="16"/>
      <c r="V340" s="27"/>
      <c r="X340" s="27"/>
      <c r="Y340" s="16"/>
      <c r="Z340" s="27"/>
      <c r="AB340" s="27"/>
      <c r="AC340" s="16"/>
      <c r="AD340" s="27"/>
      <c r="AF340" s="27"/>
      <c r="AG340" s="16"/>
      <c r="AH340" s="27"/>
      <c r="AJ340" s="27"/>
      <c r="AK340" s="16"/>
      <c r="AL340" s="27"/>
      <c r="AN340" s="27"/>
      <c r="AO340" s="16"/>
      <c r="AP340" s="27"/>
      <c r="AR340" s="27"/>
      <c r="AS340" s="16"/>
      <c r="AT340" s="27"/>
      <c r="AV340" s="27"/>
      <c r="AW340" s="16"/>
      <c r="AX340" s="27"/>
      <c r="AZ340" s="27"/>
      <c r="BA340" s="16"/>
      <c r="BB340" s="27"/>
      <c r="BD340" s="27"/>
      <c r="BE340" s="16"/>
      <c r="BF340" s="27"/>
      <c r="BH340" s="27"/>
      <c r="BI340" s="16"/>
      <c r="BJ340" s="27"/>
      <c r="BL340" s="27"/>
      <c r="BM340" s="16"/>
      <c r="BN340" s="27"/>
      <c r="BP340" s="27"/>
      <c r="BQ340" s="16"/>
      <c r="BR340" s="27"/>
      <c r="BT340" s="27"/>
      <c r="BU340" s="16"/>
      <c r="BV340" s="27"/>
      <c r="BX340" s="27"/>
      <c r="BY340" s="16"/>
      <c r="BZ340" s="27"/>
      <c r="CB340" s="27"/>
      <c r="CC340" s="16"/>
      <c r="CD340" s="27"/>
      <c r="CF340" s="27"/>
      <c r="CG340" s="16"/>
      <c r="CH340" s="27"/>
      <c r="CJ340" s="27"/>
      <c r="CK340" s="16"/>
      <c r="CL340" s="27"/>
      <c r="CN340" s="27"/>
      <c r="CO340" s="16"/>
      <c r="CP340" s="27"/>
      <c r="CR340" s="27"/>
      <c r="CS340" s="16"/>
      <c r="CT340" s="27"/>
      <c r="CV340" s="27"/>
      <c r="CW340" s="16"/>
      <c r="CX340" s="27"/>
      <c r="CZ340" s="27"/>
      <c r="DA340" s="16"/>
      <c r="DB340" s="27"/>
      <c r="DD340" s="16"/>
    </row>
    <row r="341" spans="1:108" s="14" customFormat="1" ht="21" x14ac:dyDescent="0.4">
      <c r="A341" s="27"/>
      <c r="B341" s="27"/>
      <c r="D341" s="16"/>
      <c r="E341" s="27"/>
      <c r="F341" s="27"/>
      <c r="H341" s="27"/>
      <c r="I341" s="16"/>
      <c r="J341" s="27"/>
      <c r="L341" s="27"/>
      <c r="M341" s="16"/>
      <c r="N341" s="27"/>
      <c r="P341" s="27"/>
      <c r="Q341" s="16"/>
      <c r="R341" s="27"/>
      <c r="T341" s="27"/>
      <c r="U341" s="16"/>
      <c r="V341" s="27"/>
      <c r="X341" s="27"/>
      <c r="Y341" s="16"/>
      <c r="Z341" s="27"/>
      <c r="AB341" s="27"/>
      <c r="AC341" s="16"/>
      <c r="AD341" s="27"/>
      <c r="AF341" s="27"/>
      <c r="AG341" s="16"/>
      <c r="AH341" s="27"/>
      <c r="AJ341" s="27"/>
      <c r="AK341" s="16"/>
      <c r="AL341" s="27"/>
      <c r="AN341" s="27"/>
      <c r="AO341" s="16"/>
      <c r="AP341" s="27"/>
      <c r="AR341" s="27"/>
      <c r="AS341" s="16"/>
      <c r="AT341" s="27"/>
      <c r="AV341" s="27"/>
      <c r="AW341" s="16"/>
      <c r="AX341" s="27"/>
      <c r="AZ341" s="27"/>
      <c r="BA341" s="16"/>
      <c r="BB341" s="27"/>
      <c r="BD341" s="27"/>
      <c r="BE341" s="16"/>
      <c r="BF341" s="27"/>
      <c r="BH341" s="27"/>
      <c r="BI341" s="16"/>
      <c r="BJ341" s="27"/>
      <c r="BL341" s="27"/>
      <c r="BM341" s="16"/>
      <c r="BN341" s="27"/>
      <c r="BP341" s="27"/>
      <c r="BQ341" s="16"/>
      <c r="BR341" s="27"/>
      <c r="BT341" s="27"/>
      <c r="BU341" s="16"/>
      <c r="BV341" s="27"/>
      <c r="BX341" s="27"/>
      <c r="BY341" s="16"/>
      <c r="BZ341" s="27"/>
      <c r="CB341" s="27"/>
      <c r="CC341" s="16"/>
      <c r="CD341" s="27"/>
      <c r="CF341" s="27"/>
      <c r="CG341" s="16"/>
      <c r="CH341" s="27"/>
      <c r="CJ341" s="27"/>
      <c r="CK341" s="16"/>
      <c r="CL341" s="27"/>
      <c r="CN341" s="27"/>
      <c r="CO341" s="16"/>
      <c r="CP341" s="27"/>
      <c r="CR341" s="27"/>
      <c r="CS341" s="16"/>
      <c r="CT341" s="27"/>
      <c r="CV341" s="27"/>
      <c r="CW341" s="16"/>
      <c r="CX341" s="27"/>
      <c r="CZ341" s="27"/>
      <c r="DA341" s="16"/>
      <c r="DB341" s="27"/>
      <c r="DD341" s="16"/>
    </row>
    <row r="342" spans="1:108" s="14" customFormat="1" ht="21" x14ac:dyDescent="0.4">
      <c r="A342" s="27"/>
      <c r="B342" s="27"/>
      <c r="D342" s="16"/>
      <c r="E342" s="27"/>
      <c r="F342" s="27"/>
      <c r="H342" s="27"/>
      <c r="I342" s="16"/>
      <c r="J342" s="27"/>
      <c r="L342" s="27"/>
      <c r="M342" s="16"/>
      <c r="N342" s="27"/>
      <c r="P342" s="27"/>
      <c r="Q342" s="16"/>
      <c r="R342" s="27"/>
      <c r="T342" s="27"/>
      <c r="U342" s="16"/>
      <c r="V342" s="27"/>
      <c r="X342" s="27"/>
      <c r="Y342" s="16"/>
      <c r="Z342" s="27"/>
      <c r="AB342" s="27"/>
      <c r="AC342" s="16"/>
      <c r="AD342" s="27"/>
      <c r="AF342" s="27"/>
      <c r="AG342" s="16"/>
      <c r="AH342" s="27"/>
      <c r="AJ342" s="27"/>
      <c r="AK342" s="16"/>
      <c r="AL342" s="27"/>
      <c r="AN342" s="27"/>
      <c r="AO342" s="16"/>
      <c r="AP342" s="27"/>
      <c r="AR342" s="27"/>
      <c r="AS342" s="16"/>
      <c r="AT342" s="27"/>
      <c r="AV342" s="27"/>
      <c r="AW342" s="16"/>
      <c r="AX342" s="27"/>
      <c r="AZ342" s="27"/>
      <c r="BA342" s="16"/>
      <c r="BB342" s="27"/>
      <c r="BD342" s="27"/>
      <c r="BE342" s="16"/>
      <c r="BF342" s="27"/>
      <c r="BH342" s="27"/>
      <c r="BI342" s="16"/>
      <c r="BJ342" s="27"/>
      <c r="BL342" s="27"/>
      <c r="BM342" s="16"/>
      <c r="BN342" s="27"/>
      <c r="BP342" s="27"/>
      <c r="BQ342" s="16"/>
      <c r="BR342" s="27"/>
      <c r="BT342" s="27"/>
      <c r="BU342" s="16"/>
      <c r="BV342" s="27"/>
      <c r="BX342" s="27"/>
      <c r="BY342" s="16"/>
      <c r="BZ342" s="27"/>
      <c r="CB342" s="27"/>
      <c r="CC342" s="16"/>
      <c r="CD342" s="27"/>
      <c r="CF342" s="27"/>
      <c r="CG342" s="16"/>
      <c r="CH342" s="27"/>
      <c r="CJ342" s="27"/>
      <c r="CK342" s="16"/>
      <c r="CL342" s="27"/>
      <c r="CN342" s="27"/>
      <c r="CO342" s="16"/>
      <c r="CP342" s="27"/>
      <c r="CR342" s="27"/>
      <c r="CS342" s="16"/>
      <c r="CT342" s="27"/>
      <c r="CV342" s="27"/>
      <c r="CW342" s="16"/>
      <c r="CX342" s="27"/>
      <c r="CZ342" s="27"/>
      <c r="DA342" s="16"/>
      <c r="DB342" s="27"/>
      <c r="DD342" s="16"/>
    </row>
    <row r="343" spans="1:108" s="14" customFormat="1" ht="21" x14ac:dyDescent="0.4">
      <c r="A343" s="27"/>
      <c r="B343" s="27"/>
      <c r="D343" s="16"/>
      <c r="E343" s="27"/>
      <c r="F343" s="27"/>
      <c r="H343" s="27"/>
      <c r="I343" s="16"/>
      <c r="J343" s="27"/>
      <c r="L343" s="27"/>
      <c r="M343" s="16"/>
      <c r="N343" s="27"/>
      <c r="P343" s="27"/>
      <c r="Q343" s="16"/>
      <c r="R343" s="27"/>
      <c r="T343" s="27"/>
      <c r="U343" s="16"/>
      <c r="V343" s="27"/>
      <c r="X343" s="27"/>
      <c r="Y343" s="16"/>
      <c r="Z343" s="27"/>
      <c r="AB343" s="27"/>
      <c r="AC343" s="16"/>
      <c r="AD343" s="27"/>
      <c r="AF343" s="27"/>
      <c r="AG343" s="16"/>
      <c r="AH343" s="27"/>
      <c r="AJ343" s="27"/>
      <c r="AK343" s="16"/>
      <c r="AL343" s="27"/>
      <c r="AN343" s="27"/>
      <c r="AO343" s="16"/>
      <c r="AP343" s="27"/>
      <c r="AR343" s="27"/>
      <c r="AS343" s="16"/>
      <c r="AT343" s="27"/>
      <c r="AV343" s="27"/>
      <c r="AW343" s="16"/>
      <c r="AX343" s="27"/>
      <c r="AZ343" s="27"/>
      <c r="BA343" s="16"/>
      <c r="BB343" s="27"/>
      <c r="BD343" s="27"/>
      <c r="BE343" s="16"/>
      <c r="BF343" s="27"/>
      <c r="BH343" s="27"/>
      <c r="BI343" s="16"/>
      <c r="BJ343" s="27"/>
      <c r="BL343" s="27"/>
      <c r="BM343" s="16"/>
      <c r="BN343" s="27"/>
      <c r="BP343" s="27"/>
      <c r="BQ343" s="16"/>
      <c r="BR343" s="27"/>
      <c r="BT343" s="27"/>
      <c r="BU343" s="16"/>
      <c r="BV343" s="27"/>
      <c r="BX343" s="27"/>
      <c r="BY343" s="16"/>
      <c r="BZ343" s="27"/>
      <c r="CB343" s="27"/>
      <c r="CC343" s="16"/>
      <c r="CD343" s="27"/>
      <c r="CF343" s="27"/>
      <c r="CG343" s="16"/>
      <c r="CH343" s="27"/>
      <c r="CJ343" s="27"/>
      <c r="CK343" s="16"/>
      <c r="CL343" s="27"/>
      <c r="CN343" s="27"/>
      <c r="CO343" s="16"/>
      <c r="CP343" s="27"/>
      <c r="CR343" s="27"/>
      <c r="CS343" s="16"/>
      <c r="CT343" s="27"/>
      <c r="CV343" s="27"/>
      <c r="CW343" s="16"/>
      <c r="CX343" s="27"/>
      <c r="CZ343" s="27"/>
      <c r="DA343" s="16"/>
      <c r="DB343" s="27"/>
      <c r="DD343" s="16"/>
    </row>
    <row r="344" spans="1:108" s="14" customFormat="1" ht="21" x14ac:dyDescent="0.4">
      <c r="A344" s="27"/>
      <c r="B344" s="27"/>
      <c r="D344" s="16"/>
      <c r="E344" s="27"/>
      <c r="F344" s="27"/>
      <c r="H344" s="27"/>
      <c r="I344" s="16"/>
      <c r="J344" s="27"/>
      <c r="L344" s="27"/>
      <c r="M344" s="16"/>
      <c r="N344" s="27"/>
      <c r="P344" s="27"/>
      <c r="Q344" s="16"/>
      <c r="R344" s="27"/>
      <c r="T344" s="27"/>
      <c r="U344" s="16"/>
      <c r="V344" s="27"/>
      <c r="X344" s="27"/>
      <c r="Y344" s="16"/>
      <c r="Z344" s="27"/>
      <c r="AB344" s="27"/>
      <c r="AC344" s="16"/>
      <c r="AD344" s="27"/>
      <c r="AF344" s="27"/>
      <c r="AG344" s="16"/>
      <c r="AH344" s="27"/>
      <c r="AJ344" s="27"/>
      <c r="AK344" s="16"/>
      <c r="AL344" s="27"/>
      <c r="AN344" s="27"/>
      <c r="AO344" s="16"/>
      <c r="AP344" s="27"/>
      <c r="AR344" s="27"/>
      <c r="AS344" s="16"/>
      <c r="AT344" s="27"/>
      <c r="AV344" s="27"/>
      <c r="AW344" s="16"/>
      <c r="AX344" s="27"/>
      <c r="AZ344" s="27"/>
      <c r="BA344" s="16"/>
      <c r="BB344" s="27"/>
      <c r="BD344" s="27"/>
      <c r="BE344" s="16"/>
      <c r="BF344" s="27"/>
      <c r="BH344" s="27"/>
      <c r="BI344" s="16"/>
      <c r="BJ344" s="27"/>
      <c r="BL344" s="27"/>
      <c r="BM344" s="16"/>
      <c r="BN344" s="27"/>
      <c r="BP344" s="27"/>
      <c r="BQ344" s="16"/>
      <c r="BR344" s="27"/>
      <c r="BT344" s="27"/>
      <c r="BU344" s="16"/>
      <c r="BV344" s="27"/>
      <c r="BX344" s="27"/>
      <c r="BY344" s="16"/>
      <c r="BZ344" s="27"/>
      <c r="CB344" s="27"/>
      <c r="CC344" s="16"/>
      <c r="CD344" s="27"/>
      <c r="CF344" s="27"/>
      <c r="CG344" s="16"/>
      <c r="CH344" s="27"/>
      <c r="CJ344" s="27"/>
      <c r="CK344" s="16"/>
      <c r="CL344" s="27"/>
      <c r="CN344" s="27"/>
      <c r="CO344" s="16"/>
      <c r="CP344" s="27"/>
      <c r="CR344" s="27"/>
      <c r="CS344" s="16"/>
      <c r="CT344" s="27"/>
      <c r="CV344" s="27"/>
      <c r="CW344" s="16"/>
      <c r="CX344" s="27"/>
      <c r="CZ344" s="27"/>
      <c r="DA344" s="16"/>
      <c r="DB344" s="27"/>
      <c r="DD344" s="16"/>
    </row>
    <row r="345" spans="1:108" s="14" customFormat="1" ht="21" x14ac:dyDescent="0.4">
      <c r="A345" s="27"/>
      <c r="B345" s="27"/>
      <c r="D345" s="16"/>
      <c r="E345" s="27"/>
      <c r="F345" s="27"/>
      <c r="H345" s="27"/>
      <c r="I345" s="16"/>
      <c r="J345" s="27"/>
      <c r="L345" s="27"/>
      <c r="M345" s="16"/>
      <c r="N345" s="27"/>
      <c r="P345" s="27"/>
      <c r="Q345" s="16"/>
      <c r="R345" s="27"/>
      <c r="T345" s="27"/>
      <c r="U345" s="16"/>
      <c r="V345" s="27"/>
      <c r="X345" s="27"/>
      <c r="Y345" s="16"/>
      <c r="Z345" s="27"/>
      <c r="AB345" s="27"/>
      <c r="AC345" s="16"/>
      <c r="AD345" s="27"/>
      <c r="AF345" s="27"/>
      <c r="AG345" s="16"/>
      <c r="AH345" s="27"/>
      <c r="AJ345" s="27"/>
      <c r="AK345" s="16"/>
      <c r="AL345" s="27"/>
      <c r="AN345" s="27"/>
      <c r="AO345" s="16"/>
      <c r="AP345" s="27"/>
      <c r="AR345" s="27"/>
      <c r="AS345" s="16"/>
      <c r="AT345" s="27"/>
      <c r="AV345" s="27"/>
      <c r="AW345" s="16"/>
      <c r="AX345" s="27"/>
      <c r="AZ345" s="27"/>
      <c r="BA345" s="16"/>
      <c r="BB345" s="27"/>
      <c r="BD345" s="27"/>
      <c r="BE345" s="16"/>
      <c r="BF345" s="27"/>
      <c r="BH345" s="27"/>
      <c r="BI345" s="16"/>
      <c r="BJ345" s="27"/>
      <c r="BL345" s="27"/>
      <c r="BM345" s="16"/>
      <c r="BN345" s="27"/>
      <c r="BP345" s="27"/>
      <c r="BQ345" s="16"/>
      <c r="BR345" s="27"/>
      <c r="BT345" s="27"/>
      <c r="BU345" s="16"/>
      <c r="BV345" s="27"/>
      <c r="BX345" s="27"/>
      <c r="BY345" s="16"/>
      <c r="BZ345" s="27"/>
      <c r="CB345" s="27"/>
      <c r="CC345" s="16"/>
      <c r="CD345" s="27"/>
      <c r="CF345" s="27"/>
      <c r="CG345" s="16"/>
      <c r="CH345" s="27"/>
      <c r="CJ345" s="27"/>
      <c r="CK345" s="16"/>
      <c r="CL345" s="27"/>
      <c r="CN345" s="27"/>
      <c r="CO345" s="16"/>
      <c r="CP345" s="27"/>
      <c r="CR345" s="27"/>
      <c r="CS345" s="16"/>
      <c r="CT345" s="27"/>
      <c r="CV345" s="27"/>
      <c r="CW345" s="16"/>
      <c r="CX345" s="27"/>
      <c r="CZ345" s="27"/>
      <c r="DA345" s="16"/>
      <c r="DB345" s="27"/>
      <c r="DD345" s="16"/>
    </row>
    <row r="346" spans="1:108" s="14" customFormat="1" ht="21" x14ac:dyDescent="0.4">
      <c r="A346" s="27"/>
      <c r="B346" s="27"/>
      <c r="D346" s="16"/>
      <c r="E346" s="27"/>
      <c r="F346" s="27"/>
      <c r="H346" s="27"/>
      <c r="I346" s="16"/>
      <c r="J346" s="27"/>
      <c r="L346" s="27"/>
      <c r="M346" s="16"/>
      <c r="N346" s="27"/>
      <c r="P346" s="27"/>
      <c r="Q346" s="16"/>
      <c r="R346" s="27"/>
      <c r="T346" s="27"/>
      <c r="U346" s="16"/>
      <c r="V346" s="27"/>
      <c r="X346" s="27"/>
      <c r="Y346" s="16"/>
      <c r="Z346" s="27"/>
      <c r="AB346" s="27"/>
      <c r="AC346" s="16"/>
      <c r="AD346" s="27"/>
      <c r="AF346" s="27"/>
      <c r="AG346" s="16"/>
      <c r="AH346" s="27"/>
      <c r="AJ346" s="27"/>
      <c r="AK346" s="16"/>
      <c r="AL346" s="27"/>
      <c r="AN346" s="27"/>
      <c r="AO346" s="16"/>
      <c r="AP346" s="27"/>
      <c r="AR346" s="27"/>
      <c r="AS346" s="16"/>
      <c r="AT346" s="27"/>
      <c r="AV346" s="27"/>
      <c r="AW346" s="16"/>
      <c r="AX346" s="27"/>
      <c r="AZ346" s="27"/>
      <c r="BA346" s="16"/>
      <c r="BB346" s="27"/>
      <c r="BD346" s="27"/>
      <c r="BE346" s="16"/>
      <c r="BF346" s="27"/>
      <c r="BH346" s="27"/>
      <c r="BI346" s="16"/>
      <c r="BJ346" s="27"/>
      <c r="BL346" s="27"/>
      <c r="BM346" s="16"/>
      <c r="BN346" s="27"/>
      <c r="BP346" s="27"/>
      <c r="BQ346" s="16"/>
      <c r="BR346" s="27"/>
      <c r="BT346" s="27"/>
      <c r="BU346" s="16"/>
      <c r="BV346" s="27"/>
      <c r="BX346" s="27"/>
      <c r="BY346" s="16"/>
      <c r="BZ346" s="27"/>
      <c r="CB346" s="27"/>
      <c r="CC346" s="16"/>
      <c r="CD346" s="27"/>
      <c r="CF346" s="27"/>
      <c r="CG346" s="16"/>
      <c r="CH346" s="27"/>
      <c r="CJ346" s="27"/>
      <c r="CK346" s="16"/>
      <c r="CL346" s="27"/>
      <c r="CN346" s="27"/>
      <c r="CO346" s="16"/>
      <c r="CP346" s="27"/>
      <c r="CR346" s="27"/>
      <c r="CS346" s="16"/>
      <c r="CT346" s="27"/>
      <c r="CV346" s="27"/>
      <c r="CW346" s="16"/>
      <c r="CX346" s="27"/>
      <c r="CZ346" s="27"/>
      <c r="DA346" s="16"/>
      <c r="DB346" s="27"/>
      <c r="DD346" s="16"/>
    </row>
    <row r="347" spans="1:108" s="14" customFormat="1" ht="21" x14ac:dyDescent="0.4">
      <c r="A347" s="27"/>
      <c r="B347" s="27"/>
      <c r="D347" s="16"/>
      <c r="E347" s="27"/>
      <c r="F347" s="27"/>
      <c r="H347" s="27"/>
      <c r="I347" s="16"/>
      <c r="J347" s="27"/>
      <c r="L347" s="27"/>
      <c r="M347" s="16"/>
      <c r="N347" s="27"/>
      <c r="P347" s="27"/>
      <c r="Q347" s="16"/>
      <c r="R347" s="27"/>
      <c r="T347" s="27"/>
      <c r="U347" s="16"/>
      <c r="V347" s="27"/>
      <c r="X347" s="27"/>
      <c r="Y347" s="16"/>
      <c r="Z347" s="27"/>
      <c r="AB347" s="27"/>
      <c r="AC347" s="16"/>
      <c r="AD347" s="27"/>
      <c r="AF347" s="27"/>
      <c r="AG347" s="16"/>
      <c r="AH347" s="27"/>
      <c r="AJ347" s="27"/>
      <c r="AK347" s="16"/>
      <c r="AL347" s="27"/>
      <c r="AN347" s="27"/>
      <c r="AO347" s="16"/>
      <c r="AP347" s="27"/>
      <c r="AR347" s="27"/>
      <c r="AS347" s="16"/>
      <c r="AT347" s="27"/>
      <c r="AV347" s="27"/>
      <c r="AW347" s="16"/>
      <c r="AX347" s="27"/>
      <c r="AZ347" s="27"/>
      <c r="BA347" s="16"/>
      <c r="BB347" s="27"/>
      <c r="BD347" s="27"/>
      <c r="BE347" s="16"/>
      <c r="BF347" s="27"/>
      <c r="BH347" s="27"/>
      <c r="BI347" s="16"/>
      <c r="BJ347" s="27"/>
      <c r="BL347" s="27"/>
      <c r="BM347" s="16"/>
      <c r="BN347" s="27"/>
      <c r="BP347" s="27"/>
      <c r="BQ347" s="16"/>
      <c r="BR347" s="27"/>
      <c r="BT347" s="27"/>
      <c r="BU347" s="16"/>
      <c r="BV347" s="27"/>
      <c r="BX347" s="27"/>
      <c r="BY347" s="16"/>
      <c r="BZ347" s="27"/>
      <c r="CB347" s="27"/>
      <c r="CC347" s="16"/>
      <c r="CD347" s="27"/>
      <c r="CF347" s="27"/>
      <c r="CG347" s="16"/>
      <c r="CH347" s="27"/>
      <c r="CJ347" s="27"/>
      <c r="CK347" s="16"/>
      <c r="CL347" s="27"/>
      <c r="CN347" s="27"/>
      <c r="CO347" s="16"/>
      <c r="CP347" s="27"/>
      <c r="CR347" s="27"/>
      <c r="CS347" s="16"/>
      <c r="CT347" s="27"/>
      <c r="CV347" s="27"/>
      <c r="CW347" s="16"/>
      <c r="CX347" s="27"/>
      <c r="CZ347" s="27"/>
      <c r="DA347" s="16"/>
      <c r="DB347" s="27"/>
      <c r="DD347" s="16"/>
    </row>
    <row r="348" spans="1:108" s="14" customFormat="1" ht="21" x14ac:dyDescent="0.4">
      <c r="A348" s="27"/>
      <c r="B348" s="27"/>
      <c r="D348" s="16"/>
      <c r="E348" s="27"/>
      <c r="F348" s="27"/>
      <c r="H348" s="27"/>
      <c r="I348" s="16"/>
      <c r="J348" s="27"/>
      <c r="L348" s="27"/>
      <c r="M348" s="16"/>
      <c r="N348" s="27"/>
      <c r="P348" s="27"/>
      <c r="Q348" s="16"/>
      <c r="R348" s="27"/>
      <c r="T348" s="27"/>
      <c r="U348" s="16"/>
      <c r="V348" s="27"/>
      <c r="X348" s="27"/>
      <c r="Y348" s="16"/>
      <c r="Z348" s="27"/>
      <c r="AB348" s="27"/>
      <c r="AC348" s="16"/>
      <c r="AD348" s="27"/>
      <c r="AF348" s="27"/>
      <c r="AG348" s="16"/>
      <c r="AH348" s="27"/>
      <c r="AJ348" s="27"/>
      <c r="AK348" s="16"/>
      <c r="AL348" s="27"/>
      <c r="AN348" s="27"/>
      <c r="AO348" s="16"/>
      <c r="AP348" s="27"/>
      <c r="AR348" s="27"/>
      <c r="AS348" s="16"/>
      <c r="AT348" s="27"/>
      <c r="AV348" s="27"/>
      <c r="AW348" s="16"/>
      <c r="AX348" s="27"/>
      <c r="AZ348" s="27"/>
      <c r="BA348" s="16"/>
      <c r="BB348" s="27"/>
      <c r="BD348" s="27"/>
      <c r="BE348" s="16"/>
      <c r="BF348" s="27"/>
      <c r="BH348" s="27"/>
      <c r="BI348" s="16"/>
      <c r="BJ348" s="27"/>
      <c r="BL348" s="27"/>
      <c r="BM348" s="16"/>
      <c r="BN348" s="27"/>
      <c r="BP348" s="27"/>
      <c r="BQ348" s="16"/>
      <c r="BR348" s="27"/>
      <c r="BT348" s="27"/>
      <c r="BU348" s="16"/>
      <c r="BV348" s="27"/>
      <c r="BX348" s="27"/>
      <c r="BY348" s="16"/>
      <c r="BZ348" s="27"/>
      <c r="CB348" s="27"/>
      <c r="CC348" s="16"/>
      <c r="CD348" s="27"/>
      <c r="CF348" s="27"/>
      <c r="CG348" s="16"/>
      <c r="CH348" s="27"/>
      <c r="CJ348" s="27"/>
      <c r="CK348" s="16"/>
      <c r="CL348" s="27"/>
      <c r="CN348" s="27"/>
      <c r="CO348" s="16"/>
      <c r="CP348" s="27"/>
      <c r="CR348" s="27"/>
      <c r="CS348" s="16"/>
      <c r="CT348" s="27"/>
      <c r="CV348" s="27"/>
      <c r="CW348" s="16"/>
      <c r="CX348" s="27"/>
      <c r="CZ348" s="27"/>
      <c r="DA348" s="16"/>
      <c r="DB348" s="27"/>
      <c r="DD348" s="16"/>
    </row>
    <row r="349" spans="1:108" s="14" customFormat="1" ht="21" x14ac:dyDescent="0.4">
      <c r="A349" s="27"/>
      <c r="B349" s="27"/>
      <c r="D349" s="16"/>
      <c r="E349" s="27"/>
      <c r="F349" s="27"/>
      <c r="H349" s="27"/>
      <c r="I349" s="16"/>
      <c r="J349" s="27"/>
      <c r="L349" s="27"/>
      <c r="M349" s="16"/>
      <c r="N349" s="27"/>
      <c r="P349" s="27"/>
      <c r="Q349" s="16"/>
      <c r="R349" s="27"/>
      <c r="T349" s="27"/>
      <c r="U349" s="16"/>
      <c r="V349" s="27"/>
      <c r="X349" s="27"/>
      <c r="Y349" s="16"/>
      <c r="Z349" s="27"/>
      <c r="AB349" s="27"/>
      <c r="AC349" s="16"/>
      <c r="AD349" s="27"/>
      <c r="AF349" s="27"/>
      <c r="AG349" s="16"/>
      <c r="AH349" s="27"/>
      <c r="AJ349" s="27"/>
      <c r="AK349" s="16"/>
      <c r="AL349" s="27"/>
      <c r="AN349" s="27"/>
      <c r="AO349" s="16"/>
      <c r="AP349" s="27"/>
      <c r="AR349" s="27"/>
      <c r="AS349" s="16"/>
      <c r="AT349" s="27"/>
      <c r="AV349" s="27"/>
      <c r="AW349" s="16"/>
      <c r="AX349" s="27"/>
      <c r="AZ349" s="27"/>
      <c r="BA349" s="16"/>
      <c r="BB349" s="27"/>
      <c r="BD349" s="27"/>
      <c r="BE349" s="16"/>
      <c r="BF349" s="27"/>
      <c r="BH349" s="27"/>
      <c r="BI349" s="16"/>
      <c r="BJ349" s="27"/>
      <c r="BL349" s="27"/>
      <c r="BM349" s="16"/>
      <c r="BN349" s="27"/>
      <c r="BP349" s="27"/>
      <c r="BQ349" s="16"/>
      <c r="BR349" s="27"/>
      <c r="BT349" s="27"/>
      <c r="BU349" s="16"/>
      <c r="BV349" s="27"/>
      <c r="BX349" s="27"/>
      <c r="BY349" s="16"/>
      <c r="BZ349" s="27"/>
      <c r="CB349" s="27"/>
      <c r="CC349" s="16"/>
      <c r="CD349" s="27"/>
      <c r="CF349" s="27"/>
      <c r="CG349" s="16"/>
      <c r="CH349" s="27"/>
      <c r="CJ349" s="27"/>
      <c r="CK349" s="16"/>
      <c r="CL349" s="27"/>
      <c r="CN349" s="27"/>
      <c r="CO349" s="16"/>
      <c r="CP349" s="27"/>
      <c r="CR349" s="27"/>
      <c r="CS349" s="16"/>
      <c r="CT349" s="27"/>
      <c r="CV349" s="27"/>
      <c r="CW349" s="16"/>
      <c r="CX349" s="27"/>
      <c r="CZ349" s="27"/>
      <c r="DA349" s="16"/>
      <c r="DB349" s="27"/>
      <c r="DD349" s="16"/>
    </row>
    <row r="350" spans="1:108" s="14" customFormat="1" ht="21" x14ac:dyDescent="0.4">
      <c r="A350" s="27"/>
      <c r="B350" s="27"/>
      <c r="D350" s="16"/>
      <c r="E350" s="27"/>
      <c r="F350" s="27"/>
      <c r="H350" s="27"/>
      <c r="I350" s="16"/>
      <c r="J350" s="27"/>
      <c r="L350" s="27"/>
      <c r="M350" s="16"/>
      <c r="N350" s="27"/>
      <c r="P350" s="27"/>
      <c r="Q350" s="16"/>
      <c r="R350" s="27"/>
      <c r="T350" s="27"/>
      <c r="U350" s="16"/>
      <c r="V350" s="27"/>
      <c r="X350" s="27"/>
      <c r="Y350" s="16"/>
      <c r="Z350" s="27"/>
      <c r="AB350" s="27"/>
      <c r="AC350" s="16"/>
      <c r="AD350" s="27"/>
      <c r="AF350" s="27"/>
      <c r="AG350" s="16"/>
      <c r="AH350" s="27"/>
      <c r="AJ350" s="27"/>
      <c r="AK350" s="16"/>
      <c r="AL350" s="27"/>
      <c r="AN350" s="27"/>
      <c r="AO350" s="16"/>
      <c r="AP350" s="27"/>
      <c r="AR350" s="27"/>
      <c r="AS350" s="16"/>
      <c r="AT350" s="27"/>
      <c r="AV350" s="27"/>
      <c r="AW350" s="16"/>
      <c r="AX350" s="27"/>
      <c r="AZ350" s="27"/>
      <c r="BA350" s="16"/>
      <c r="BB350" s="27"/>
      <c r="BD350" s="27"/>
      <c r="BE350" s="16"/>
      <c r="BF350" s="27"/>
      <c r="BH350" s="27"/>
      <c r="BI350" s="16"/>
      <c r="BJ350" s="27"/>
      <c r="BL350" s="27"/>
      <c r="BM350" s="16"/>
      <c r="BN350" s="27"/>
      <c r="BP350" s="27"/>
      <c r="BQ350" s="16"/>
      <c r="BR350" s="27"/>
      <c r="BT350" s="27"/>
      <c r="BU350" s="16"/>
      <c r="BV350" s="27"/>
      <c r="BX350" s="27"/>
      <c r="BY350" s="16"/>
      <c r="BZ350" s="27"/>
      <c r="CB350" s="27"/>
      <c r="CC350" s="16"/>
      <c r="CD350" s="27"/>
      <c r="CF350" s="27"/>
      <c r="CG350" s="16"/>
      <c r="CH350" s="27"/>
      <c r="CJ350" s="27"/>
      <c r="CK350" s="16"/>
      <c r="CL350" s="27"/>
      <c r="CN350" s="27"/>
      <c r="CO350" s="16"/>
      <c r="CP350" s="27"/>
      <c r="CR350" s="27"/>
      <c r="CS350" s="16"/>
      <c r="CT350" s="27"/>
      <c r="CV350" s="27"/>
      <c r="CW350" s="16"/>
      <c r="CX350" s="27"/>
      <c r="CZ350" s="27"/>
      <c r="DA350" s="16"/>
      <c r="DB350" s="27"/>
      <c r="DD350" s="16"/>
    </row>
    <row r="351" spans="1:108" s="14" customFormat="1" ht="21" x14ac:dyDescent="0.4">
      <c r="A351" s="27"/>
      <c r="B351" s="27"/>
      <c r="D351" s="16"/>
      <c r="E351" s="27"/>
      <c r="F351" s="27"/>
      <c r="H351" s="27"/>
      <c r="I351" s="16"/>
      <c r="J351" s="27"/>
      <c r="L351" s="27"/>
      <c r="M351" s="16"/>
      <c r="N351" s="27"/>
      <c r="P351" s="27"/>
      <c r="Q351" s="16"/>
      <c r="R351" s="27"/>
      <c r="T351" s="27"/>
      <c r="U351" s="16"/>
      <c r="V351" s="27"/>
      <c r="X351" s="27"/>
      <c r="Y351" s="16"/>
      <c r="Z351" s="27"/>
      <c r="AB351" s="27"/>
      <c r="AC351" s="16"/>
      <c r="AD351" s="27"/>
      <c r="AF351" s="27"/>
      <c r="AG351" s="16"/>
      <c r="AH351" s="27"/>
      <c r="AJ351" s="27"/>
      <c r="AK351" s="16"/>
      <c r="AL351" s="27"/>
      <c r="AN351" s="27"/>
      <c r="AO351" s="16"/>
      <c r="AP351" s="27"/>
      <c r="AR351" s="27"/>
      <c r="AS351" s="16"/>
      <c r="AT351" s="27"/>
      <c r="AV351" s="27"/>
      <c r="AW351" s="16"/>
      <c r="AX351" s="27"/>
      <c r="AZ351" s="27"/>
      <c r="BA351" s="16"/>
      <c r="BB351" s="27"/>
      <c r="BD351" s="27"/>
      <c r="BE351" s="16"/>
      <c r="BF351" s="27"/>
      <c r="BH351" s="27"/>
      <c r="BI351" s="16"/>
      <c r="BJ351" s="27"/>
      <c r="BL351" s="27"/>
      <c r="BM351" s="16"/>
      <c r="BN351" s="27"/>
      <c r="BP351" s="27"/>
      <c r="BQ351" s="16"/>
      <c r="BR351" s="27"/>
      <c r="BT351" s="27"/>
      <c r="BU351" s="16"/>
      <c r="BV351" s="27"/>
      <c r="BX351" s="27"/>
      <c r="BY351" s="16"/>
      <c r="BZ351" s="27"/>
      <c r="CB351" s="27"/>
      <c r="CC351" s="16"/>
      <c r="CD351" s="27"/>
      <c r="CF351" s="27"/>
      <c r="CG351" s="16"/>
      <c r="CH351" s="27"/>
      <c r="CJ351" s="27"/>
      <c r="CK351" s="16"/>
      <c r="CL351" s="27"/>
      <c r="CN351" s="27"/>
      <c r="CO351" s="16"/>
      <c r="CP351" s="27"/>
      <c r="CR351" s="27"/>
      <c r="CS351" s="16"/>
      <c r="CT351" s="27"/>
      <c r="CV351" s="27"/>
      <c r="CW351" s="16"/>
      <c r="CX351" s="27"/>
      <c r="CZ351" s="27"/>
      <c r="DA351" s="16"/>
      <c r="DB351" s="27"/>
      <c r="DD351" s="16"/>
    </row>
    <row r="352" spans="1:108" s="14" customFormat="1" ht="21" x14ac:dyDescent="0.4">
      <c r="A352" s="27"/>
      <c r="B352" s="27"/>
      <c r="D352" s="16"/>
      <c r="E352" s="27"/>
      <c r="F352" s="27"/>
      <c r="H352" s="27"/>
      <c r="I352" s="16"/>
      <c r="J352" s="27"/>
      <c r="L352" s="27"/>
      <c r="M352" s="16"/>
      <c r="N352" s="27"/>
      <c r="P352" s="27"/>
      <c r="Q352" s="16"/>
      <c r="R352" s="27"/>
      <c r="T352" s="27"/>
      <c r="U352" s="16"/>
      <c r="V352" s="27"/>
      <c r="X352" s="27"/>
      <c r="Y352" s="16"/>
      <c r="Z352" s="27"/>
      <c r="AB352" s="27"/>
      <c r="AC352" s="16"/>
      <c r="AD352" s="27"/>
      <c r="AF352" s="27"/>
      <c r="AG352" s="16"/>
      <c r="AH352" s="27"/>
      <c r="AJ352" s="27"/>
      <c r="AK352" s="16"/>
      <c r="AL352" s="27"/>
      <c r="AN352" s="27"/>
      <c r="AO352" s="16"/>
      <c r="AP352" s="27"/>
      <c r="AR352" s="27"/>
      <c r="AS352" s="16"/>
      <c r="AT352" s="27"/>
      <c r="AV352" s="27"/>
      <c r="AW352" s="16"/>
      <c r="AX352" s="27"/>
      <c r="AZ352" s="27"/>
      <c r="BA352" s="16"/>
      <c r="BB352" s="27"/>
      <c r="BD352" s="27"/>
      <c r="BE352" s="16"/>
      <c r="BF352" s="27"/>
      <c r="BH352" s="27"/>
      <c r="BI352" s="16"/>
      <c r="BJ352" s="27"/>
      <c r="BL352" s="27"/>
      <c r="BM352" s="16"/>
      <c r="BN352" s="27"/>
      <c r="BP352" s="27"/>
      <c r="BQ352" s="16"/>
      <c r="BR352" s="27"/>
      <c r="BT352" s="27"/>
      <c r="BU352" s="16"/>
      <c r="BV352" s="27"/>
      <c r="BX352" s="27"/>
      <c r="BY352" s="16"/>
      <c r="BZ352" s="27"/>
      <c r="CB352" s="27"/>
      <c r="CC352" s="16"/>
      <c r="CD352" s="27"/>
      <c r="CF352" s="27"/>
      <c r="CG352" s="16"/>
      <c r="CH352" s="27"/>
      <c r="CJ352" s="27"/>
      <c r="CK352" s="16"/>
      <c r="CL352" s="27"/>
      <c r="CN352" s="27"/>
      <c r="CO352" s="16"/>
      <c r="CP352" s="27"/>
      <c r="CR352" s="27"/>
      <c r="CS352" s="16"/>
      <c r="CT352" s="27"/>
      <c r="CV352" s="27"/>
      <c r="CW352" s="16"/>
      <c r="CX352" s="27"/>
      <c r="CZ352" s="27"/>
      <c r="DA352" s="16"/>
      <c r="DB352" s="27"/>
      <c r="DD352" s="16"/>
    </row>
    <row r="353" spans="1:108" s="14" customFormat="1" ht="21" x14ac:dyDescent="0.4">
      <c r="A353" s="27"/>
      <c r="B353" s="27"/>
      <c r="D353" s="16"/>
      <c r="E353" s="27"/>
      <c r="F353" s="27"/>
      <c r="H353" s="27"/>
      <c r="I353" s="16"/>
      <c r="J353" s="27"/>
      <c r="L353" s="27"/>
      <c r="M353" s="16"/>
      <c r="N353" s="27"/>
      <c r="P353" s="27"/>
      <c r="Q353" s="16"/>
      <c r="R353" s="27"/>
      <c r="T353" s="27"/>
      <c r="U353" s="16"/>
      <c r="V353" s="27"/>
      <c r="X353" s="27"/>
      <c r="Y353" s="16"/>
      <c r="Z353" s="27"/>
      <c r="AB353" s="27"/>
      <c r="AC353" s="16"/>
      <c r="AD353" s="27"/>
      <c r="AF353" s="27"/>
      <c r="AG353" s="16"/>
      <c r="AH353" s="27"/>
      <c r="AJ353" s="27"/>
      <c r="AK353" s="16"/>
      <c r="AL353" s="27"/>
      <c r="AN353" s="27"/>
      <c r="AO353" s="16"/>
      <c r="AP353" s="27"/>
      <c r="AR353" s="27"/>
      <c r="AS353" s="16"/>
      <c r="AT353" s="27"/>
      <c r="AV353" s="27"/>
      <c r="AW353" s="16"/>
      <c r="AX353" s="27"/>
      <c r="AZ353" s="27"/>
      <c r="BA353" s="16"/>
      <c r="BB353" s="27"/>
      <c r="BD353" s="27"/>
      <c r="BE353" s="16"/>
      <c r="BF353" s="27"/>
      <c r="BH353" s="27"/>
      <c r="BI353" s="16"/>
      <c r="BJ353" s="27"/>
      <c r="BL353" s="27"/>
      <c r="BM353" s="16"/>
      <c r="BN353" s="27"/>
      <c r="BP353" s="27"/>
      <c r="BQ353" s="16"/>
      <c r="BR353" s="27"/>
      <c r="BT353" s="27"/>
      <c r="BU353" s="16"/>
      <c r="BV353" s="27"/>
      <c r="BX353" s="27"/>
      <c r="BY353" s="16"/>
      <c r="BZ353" s="27"/>
      <c r="CB353" s="27"/>
      <c r="CC353" s="16"/>
      <c r="CD353" s="27"/>
      <c r="CF353" s="27"/>
      <c r="CG353" s="16"/>
      <c r="CH353" s="27"/>
      <c r="CJ353" s="27"/>
      <c r="CK353" s="16"/>
      <c r="CL353" s="27"/>
      <c r="CN353" s="27"/>
      <c r="CO353" s="16"/>
      <c r="CP353" s="27"/>
      <c r="CR353" s="27"/>
      <c r="CS353" s="16"/>
      <c r="CT353" s="27"/>
      <c r="CV353" s="27"/>
      <c r="CW353" s="16"/>
      <c r="CX353" s="27"/>
      <c r="CZ353" s="27"/>
      <c r="DA353" s="16"/>
      <c r="DB353" s="27"/>
      <c r="DD353" s="16"/>
    </row>
    <row r="354" spans="1:108" s="14" customFormat="1" ht="21" x14ac:dyDescent="0.4">
      <c r="A354" s="27"/>
      <c r="B354" s="27"/>
      <c r="D354" s="16"/>
      <c r="E354" s="27"/>
      <c r="F354" s="27"/>
      <c r="H354" s="27"/>
      <c r="I354" s="16"/>
      <c r="J354" s="27"/>
      <c r="L354" s="27"/>
      <c r="M354" s="16"/>
      <c r="N354" s="27"/>
      <c r="P354" s="27"/>
      <c r="Q354" s="16"/>
      <c r="R354" s="27"/>
      <c r="T354" s="27"/>
      <c r="U354" s="16"/>
      <c r="V354" s="27"/>
      <c r="X354" s="27"/>
      <c r="Y354" s="16"/>
      <c r="Z354" s="27"/>
      <c r="AB354" s="27"/>
      <c r="AC354" s="16"/>
      <c r="AD354" s="27"/>
      <c r="AF354" s="27"/>
      <c r="AG354" s="16"/>
      <c r="AH354" s="27"/>
      <c r="AJ354" s="27"/>
      <c r="AK354" s="16"/>
      <c r="AL354" s="27"/>
      <c r="AN354" s="27"/>
      <c r="AO354" s="16"/>
      <c r="AP354" s="27"/>
      <c r="AR354" s="27"/>
      <c r="AS354" s="16"/>
      <c r="AT354" s="27"/>
      <c r="AV354" s="27"/>
      <c r="AW354" s="16"/>
      <c r="AX354" s="27"/>
      <c r="AZ354" s="27"/>
      <c r="BA354" s="16"/>
      <c r="BB354" s="27"/>
      <c r="BD354" s="27"/>
      <c r="BE354" s="16"/>
      <c r="BF354" s="27"/>
      <c r="BH354" s="27"/>
      <c r="BI354" s="16"/>
      <c r="BJ354" s="27"/>
      <c r="BL354" s="27"/>
      <c r="BM354" s="16"/>
      <c r="BN354" s="27"/>
      <c r="BP354" s="27"/>
      <c r="BQ354" s="16"/>
      <c r="BR354" s="27"/>
      <c r="BT354" s="27"/>
      <c r="BU354" s="16"/>
      <c r="BV354" s="27"/>
      <c r="BX354" s="27"/>
      <c r="BY354" s="16"/>
      <c r="BZ354" s="27"/>
      <c r="CB354" s="27"/>
      <c r="CC354" s="16"/>
      <c r="CD354" s="27"/>
      <c r="CF354" s="27"/>
      <c r="CG354" s="16"/>
      <c r="CH354" s="27"/>
      <c r="CJ354" s="27"/>
      <c r="CK354" s="16"/>
      <c r="CL354" s="27"/>
      <c r="CN354" s="27"/>
      <c r="CO354" s="16"/>
      <c r="CP354" s="27"/>
      <c r="CR354" s="27"/>
      <c r="CS354" s="16"/>
      <c r="CT354" s="27"/>
      <c r="CV354" s="27"/>
      <c r="CW354" s="16"/>
      <c r="CX354" s="27"/>
      <c r="CZ354" s="27"/>
      <c r="DA354" s="16"/>
      <c r="DB354" s="27"/>
      <c r="DD354" s="16"/>
    </row>
    <row r="355" spans="1:108" s="14" customFormat="1" ht="21" x14ac:dyDescent="0.4">
      <c r="A355" s="27"/>
      <c r="B355" s="27"/>
      <c r="D355" s="16"/>
      <c r="E355" s="27"/>
      <c r="F355" s="27"/>
      <c r="H355" s="27"/>
      <c r="I355" s="16"/>
      <c r="J355" s="27"/>
      <c r="L355" s="27"/>
      <c r="M355" s="16"/>
      <c r="N355" s="27"/>
      <c r="P355" s="27"/>
      <c r="Q355" s="16"/>
      <c r="R355" s="27"/>
      <c r="T355" s="27"/>
      <c r="U355" s="16"/>
      <c r="V355" s="27"/>
      <c r="X355" s="27"/>
      <c r="Y355" s="16"/>
      <c r="Z355" s="27"/>
      <c r="AB355" s="27"/>
      <c r="AC355" s="16"/>
      <c r="AD355" s="27"/>
      <c r="AF355" s="27"/>
      <c r="AG355" s="16"/>
      <c r="AH355" s="27"/>
      <c r="AJ355" s="27"/>
      <c r="AK355" s="16"/>
      <c r="AL355" s="27"/>
      <c r="AN355" s="27"/>
      <c r="AO355" s="16"/>
      <c r="AP355" s="27"/>
      <c r="AR355" s="27"/>
      <c r="AS355" s="16"/>
      <c r="AT355" s="27"/>
      <c r="AV355" s="27"/>
      <c r="AW355" s="16"/>
      <c r="AX355" s="27"/>
      <c r="AZ355" s="27"/>
      <c r="BA355" s="16"/>
      <c r="BB355" s="27"/>
      <c r="BD355" s="27"/>
      <c r="BE355" s="16"/>
      <c r="BF355" s="27"/>
      <c r="BH355" s="27"/>
      <c r="BI355" s="16"/>
      <c r="BJ355" s="27"/>
      <c r="BL355" s="27"/>
      <c r="BM355" s="16"/>
      <c r="BN355" s="27"/>
      <c r="BP355" s="27"/>
      <c r="BQ355" s="16"/>
      <c r="BR355" s="27"/>
      <c r="BT355" s="27"/>
      <c r="BU355" s="16"/>
      <c r="BV355" s="27"/>
      <c r="BX355" s="27"/>
      <c r="BY355" s="16"/>
      <c r="BZ355" s="27"/>
      <c r="CB355" s="27"/>
      <c r="CC355" s="16"/>
      <c r="CD355" s="27"/>
      <c r="CF355" s="27"/>
      <c r="CG355" s="16"/>
      <c r="CH355" s="27"/>
      <c r="CJ355" s="27"/>
      <c r="CK355" s="16"/>
      <c r="CL355" s="27"/>
      <c r="CN355" s="27"/>
      <c r="CO355" s="16"/>
      <c r="CP355" s="27"/>
      <c r="CR355" s="27"/>
      <c r="CS355" s="16"/>
      <c r="CT355" s="27"/>
      <c r="CV355" s="27"/>
      <c r="CW355" s="16"/>
      <c r="CX355" s="27"/>
      <c r="CZ355" s="27"/>
      <c r="DA355" s="16"/>
      <c r="DB355" s="27"/>
      <c r="DD355" s="16"/>
    </row>
    <row r="356" spans="1:108" s="14" customFormat="1" ht="21" x14ac:dyDescent="0.4">
      <c r="A356" s="27"/>
      <c r="B356" s="27"/>
      <c r="D356" s="16"/>
      <c r="E356" s="27"/>
      <c r="F356" s="27"/>
      <c r="H356" s="27"/>
      <c r="I356" s="16"/>
      <c r="J356" s="27"/>
      <c r="L356" s="27"/>
      <c r="M356" s="16"/>
      <c r="N356" s="27"/>
      <c r="P356" s="27"/>
      <c r="Q356" s="16"/>
      <c r="R356" s="27"/>
      <c r="T356" s="27"/>
      <c r="U356" s="16"/>
      <c r="V356" s="27"/>
      <c r="X356" s="27"/>
      <c r="Y356" s="16"/>
      <c r="Z356" s="27"/>
      <c r="AB356" s="27"/>
      <c r="AC356" s="16"/>
      <c r="AD356" s="27"/>
      <c r="AF356" s="27"/>
      <c r="AG356" s="16"/>
      <c r="AH356" s="27"/>
      <c r="AJ356" s="27"/>
      <c r="AK356" s="16"/>
      <c r="AL356" s="27"/>
      <c r="AN356" s="27"/>
      <c r="AO356" s="16"/>
      <c r="AP356" s="27"/>
      <c r="AR356" s="27"/>
      <c r="AS356" s="16"/>
      <c r="AT356" s="27"/>
      <c r="AV356" s="27"/>
      <c r="AW356" s="16"/>
      <c r="AX356" s="27"/>
      <c r="AZ356" s="27"/>
      <c r="BA356" s="16"/>
      <c r="BB356" s="27"/>
      <c r="BD356" s="27"/>
      <c r="BE356" s="16"/>
      <c r="BF356" s="27"/>
      <c r="BH356" s="27"/>
      <c r="BI356" s="16"/>
      <c r="BJ356" s="27"/>
      <c r="BL356" s="27"/>
      <c r="BM356" s="16"/>
      <c r="BN356" s="27"/>
      <c r="BP356" s="27"/>
      <c r="BQ356" s="16"/>
      <c r="BR356" s="27"/>
      <c r="BT356" s="27"/>
      <c r="BU356" s="16"/>
      <c r="BV356" s="27"/>
      <c r="BX356" s="27"/>
      <c r="BY356" s="16"/>
      <c r="BZ356" s="27"/>
      <c r="CB356" s="27"/>
      <c r="CC356" s="16"/>
      <c r="CD356" s="27"/>
      <c r="CF356" s="27"/>
      <c r="CG356" s="16"/>
      <c r="CH356" s="27"/>
      <c r="CJ356" s="27"/>
      <c r="CK356" s="16"/>
      <c r="CL356" s="27"/>
      <c r="CN356" s="27"/>
      <c r="CO356" s="16"/>
      <c r="CP356" s="27"/>
      <c r="CR356" s="27"/>
      <c r="CS356" s="16"/>
      <c r="CT356" s="27"/>
      <c r="CV356" s="27"/>
      <c r="CW356" s="16"/>
      <c r="CX356" s="27"/>
      <c r="CZ356" s="27"/>
      <c r="DA356" s="16"/>
      <c r="DB356" s="27"/>
      <c r="DD356" s="16"/>
    </row>
    <row r="357" spans="1:108" s="14" customFormat="1" ht="21" x14ac:dyDescent="0.4">
      <c r="A357" s="27"/>
      <c r="B357" s="27"/>
      <c r="D357" s="16"/>
      <c r="E357" s="27"/>
      <c r="F357" s="27"/>
      <c r="H357" s="27"/>
      <c r="I357" s="16"/>
      <c r="J357" s="27"/>
      <c r="L357" s="27"/>
      <c r="M357" s="16"/>
      <c r="N357" s="27"/>
      <c r="P357" s="27"/>
      <c r="Q357" s="16"/>
      <c r="R357" s="27"/>
      <c r="T357" s="27"/>
      <c r="U357" s="16"/>
      <c r="V357" s="27"/>
      <c r="X357" s="27"/>
      <c r="Y357" s="16"/>
      <c r="Z357" s="27"/>
      <c r="AB357" s="27"/>
      <c r="AC357" s="16"/>
      <c r="AD357" s="27"/>
      <c r="AF357" s="27"/>
      <c r="AG357" s="16"/>
      <c r="AH357" s="27"/>
      <c r="AJ357" s="27"/>
      <c r="AK357" s="16"/>
      <c r="AL357" s="27"/>
      <c r="AN357" s="27"/>
      <c r="AO357" s="16"/>
      <c r="AP357" s="27"/>
      <c r="AR357" s="27"/>
      <c r="AS357" s="16"/>
      <c r="AT357" s="27"/>
      <c r="AV357" s="27"/>
      <c r="AW357" s="16"/>
      <c r="AX357" s="27"/>
      <c r="AZ357" s="27"/>
      <c r="BA357" s="16"/>
      <c r="BB357" s="27"/>
      <c r="BD357" s="27"/>
      <c r="BE357" s="16"/>
      <c r="BF357" s="27"/>
      <c r="BH357" s="27"/>
      <c r="BI357" s="16"/>
      <c r="BJ357" s="27"/>
      <c r="BL357" s="27"/>
      <c r="BM357" s="16"/>
      <c r="BN357" s="27"/>
      <c r="BP357" s="27"/>
      <c r="BQ357" s="16"/>
      <c r="BR357" s="27"/>
      <c r="BT357" s="27"/>
      <c r="BU357" s="16"/>
      <c r="BV357" s="27"/>
      <c r="BX357" s="27"/>
      <c r="BY357" s="16"/>
      <c r="BZ357" s="27"/>
      <c r="CB357" s="27"/>
      <c r="CC357" s="16"/>
      <c r="CD357" s="27"/>
      <c r="CF357" s="27"/>
      <c r="CG357" s="16"/>
      <c r="CH357" s="27"/>
      <c r="CJ357" s="27"/>
      <c r="CK357" s="16"/>
      <c r="CL357" s="27"/>
      <c r="CN357" s="27"/>
      <c r="CO357" s="16"/>
      <c r="CP357" s="27"/>
      <c r="CR357" s="27"/>
      <c r="CS357" s="16"/>
      <c r="CT357" s="27"/>
      <c r="CV357" s="27"/>
      <c r="CW357" s="16"/>
      <c r="CX357" s="27"/>
      <c r="CZ357" s="27"/>
      <c r="DA357" s="16"/>
      <c r="DB357" s="27"/>
      <c r="DD357" s="16"/>
    </row>
    <row r="358" spans="1:108" s="14" customFormat="1" ht="21" x14ac:dyDescent="0.4">
      <c r="A358" s="27"/>
      <c r="B358" s="27"/>
      <c r="D358" s="16"/>
      <c r="E358" s="27"/>
      <c r="F358" s="27"/>
      <c r="H358" s="27"/>
      <c r="I358" s="16"/>
      <c r="J358" s="27"/>
      <c r="L358" s="27"/>
      <c r="M358" s="16"/>
      <c r="N358" s="27"/>
      <c r="P358" s="27"/>
      <c r="Q358" s="16"/>
      <c r="R358" s="27"/>
      <c r="T358" s="27"/>
      <c r="U358" s="16"/>
      <c r="V358" s="27"/>
      <c r="X358" s="27"/>
      <c r="Y358" s="16"/>
      <c r="Z358" s="27"/>
      <c r="AB358" s="27"/>
      <c r="AC358" s="16"/>
      <c r="AD358" s="27"/>
      <c r="AF358" s="27"/>
      <c r="AG358" s="16"/>
      <c r="AH358" s="27"/>
      <c r="AJ358" s="27"/>
      <c r="AK358" s="16"/>
      <c r="AL358" s="27"/>
      <c r="AN358" s="27"/>
      <c r="AO358" s="16"/>
      <c r="AP358" s="27"/>
      <c r="AR358" s="27"/>
      <c r="AS358" s="16"/>
      <c r="AT358" s="27"/>
      <c r="AV358" s="27"/>
      <c r="AW358" s="16"/>
      <c r="AX358" s="27"/>
      <c r="AZ358" s="27"/>
      <c r="BA358" s="16"/>
      <c r="BB358" s="27"/>
      <c r="BD358" s="27"/>
      <c r="BE358" s="16"/>
      <c r="BF358" s="27"/>
      <c r="BH358" s="27"/>
      <c r="BI358" s="16"/>
      <c r="BJ358" s="27"/>
      <c r="BL358" s="27"/>
      <c r="BM358" s="16"/>
      <c r="BN358" s="27"/>
      <c r="BP358" s="27"/>
      <c r="BQ358" s="16"/>
      <c r="BR358" s="27"/>
      <c r="BT358" s="27"/>
      <c r="BU358" s="16"/>
      <c r="BV358" s="27"/>
      <c r="BX358" s="27"/>
      <c r="BY358" s="16"/>
      <c r="BZ358" s="27"/>
      <c r="CB358" s="27"/>
      <c r="CC358" s="16"/>
      <c r="CD358" s="27"/>
      <c r="CF358" s="27"/>
      <c r="CG358" s="16"/>
      <c r="CH358" s="27"/>
      <c r="CJ358" s="27"/>
      <c r="CK358" s="16"/>
      <c r="CL358" s="27"/>
      <c r="CN358" s="27"/>
      <c r="CO358" s="16"/>
      <c r="CP358" s="27"/>
      <c r="CR358" s="27"/>
      <c r="CS358" s="16"/>
      <c r="CT358" s="27"/>
      <c r="CV358" s="27"/>
      <c r="CW358" s="16"/>
      <c r="CX358" s="27"/>
      <c r="CZ358" s="27"/>
      <c r="DA358" s="16"/>
      <c r="DB358" s="27"/>
      <c r="DD358" s="16"/>
    </row>
    <row r="359" spans="1:108" s="14" customFormat="1" ht="21" x14ac:dyDescent="0.4">
      <c r="A359" s="27"/>
      <c r="B359" s="27"/>
      <c r="D359" s="16"/>
      <c r="E359" s="27"/>
      <c r="F359" s="27"/>
      <c r="H359" s="27"/>
      <c r="I359" s="16"/>
      <c r="J359" s="27"/>
      <c r="L359" s="27"/>
      <c r="M359" s="16"/>
      <c r="N359" s="27"/>
      <c r="P359" s="27"/>
      <c r="Q359" s="16"/>
      <c r="R359" s="27"/>
      <c r="T359" s="27"/>
      <c r="U359" s="16"/>
      <c r="V359" s="27"/>
      <c r="X359" s="27"/>
      <c r="Y359" s="16"/>
      <c r="Z359" s="27"/>
      <c r="AB359" s="27"/>
      <c r="AC359" s="16"/>
      <c r="AD359" s="27"/>
      <c r="AF359" s="27"/>
      <c r="AG359" s="16"/>
      <c r="AH359" s="27"/>
      <c r="AJ359" s="27"/>
      <c r="AK359" s="16"/>
      <c r="AL359" s="27"/>
      <c r="AN359" s="27"/>
      <c r="AO359" s="16"/>
      <c r="AP359" s="27"/>
      <c r="AR359" s="27"/>
      <c r="AS359" s="16"/>
      <c r="AT359" s="27"/>
      <c r="AV359" s="27"/>
      <c r="AW359" s="16"/>
      <c r="AX359" s="27"/>
      <c r="AZ359" s="27"/>
      <c r="BA359" s="16"/>
      <c r="BB359" s="27"/>
      <c r="BD359" s="27"/>
      <c r="BE359" s="16"/>
      <c r="BF359" s="27"/>
      <c r="BH359" s="27"/>
      <c r="BI359" s="16"/>
      <c r="BJ359" s="27"/>
      <c r="BL359" s="27"/>
      <c r="BM359" s="16"/>
      <c r="BN359" s="27"/>
      <c r="BP359" s="27"/>
      <c r="BQ359" s="16"/>
      <c r="BR359" s="27"/>
      <c r="BT359" s="27"/>
      <c r="BU359" s="16"/>
      <c r="BV359" s="27"/>
      <c r="BX359" s="27"/>
      <c r="BY359" s="16"/>
      <c r="BZ359" s="27"/>
      <c r="CB359" s="27"/>
      <c r="CC359" s="16"/>
      <c r="CD359" s="27"/>
      <c r="CF359" s="27"/>
      <c r="CG359" s="16"/>
      <c r="CH359" s="27"/>
      <c r="CJ359" s="27"/>
      <c r="CK359" s="16"/>
      <c r="CL359" s="27"/>
      <c r="CN359" s="27"/>
      <c r="CO359" s="16"/>
      <c r="CP359" s="27"/>
      <c r="CR359" s="27"/>
      <c r="CS359" s="16"/>
      <c r="CT359" s="27"/>
      <c r="CV359" s="27"/>
      <c r="CW359" s="16"/>
      <c r="CX359" s="27"/>
      <c r="CZ359" s="27"/>
      <c r="DA359" s="16"/>
      <c r="DB359" s="27"/>
      <c r="DD359" s="16"/>
    </row>
    <row r="360" spans="1:108" s="14" customFormat="1" ht="21" x14ac:dyDescent="0.4">
      <c r="A360" s="27"/>
      <c r="B360" s="27"/>
      <c r="D360" s="16"/>
      <c r="E360" s="27"/>
      <c r="F360" s="27"/>
      <c r="H360" s="27"/>
      <c r="I360" s="16"/>
      <c r="J360" s="27"/>
      <c r="L360" s="27"/>
      <c r="M360" s="16"/>
      <c r="N360" s="27"/>
      <c r="P360" s="27"/>
      <c r="Q360" s="16"/>
      <c r="R360" s="27"/>
      <c r="T360" s="27"/>
      <c r="U360" s="16"/>
      <c r="V360" s="27"/>
      <c r="X360" s="27"/>
      <c r="Y360" s="16"/>
      <c r="Z360" s="27"/>
      <c r="AB360" s="27"/>
      <c r="AC360" s="16"/>
      <c r="AD360" s="27"/>
      <c r="AF360" s="27"/>
      <c r="AG360" s="16"/>
      <c r="AH360" s="27"/>
      <c r="AJ360" s="27"/>
      <c r="AK360" s="16"/>
      <c r="AL360" s="27"/>
      <c r="AN360" s="27"/>
      <c r="AO360" s="16"/>
      <c r="AP360" s="27"/>
      <c r="AR360" s="27"/>
      <c r="AS360" s="16"/>
      <c r="AT360" s="27"/>
      <c r="AV360" s="27"/>
      <c r="AW360" s="16"/>
      <c r="AX360" s="27"/>
      <c r="AZ360" s="27"/>
      <c r="BA360" s="16"/>
      <c r="BB360" s="27"/>
      <c r="BD360" s="27"/>
      <c r="BE360" s="16"/>
      <c r="BF360" s="27"/>
      <c r="BH360" s="27"/>
      <c r="BI360" s="16"/>
      <c r="BJ360" s="27"/>
      <c r="BL360" s="27"/>
      <c r="BM360" s="16"/>
      <c r="BN360" s="27"/>
      <c r="BP360" s="27"/>
      <c r="BQ360" s="16"/>
      <c r="BR360" s="27"/>
      <c r="BT360" s="27"/>
      <c r="BU360" s="16"/>
      <c r="BV360" s="27"/>
      <c r="BX360" s="27"/>
      <c r="BY360" s="16"/>
      <c r="BZ360" s="27"/>
      <c r="CB360" s="27"/>
      <c r="CC360" s="16"/>
      <c r="CD360" s="27"/>
      <c r="CF360" s="27"/>
      <c r="CG360" s="16"/>
      <c r="CH360" s="27"/>
      <c r="CJ360" s="27"/>
      <c r="CK360" s="16"/>
      <c r="CL360" s="27"/>
      <c r="CN360" s="27"/>
      <c r="CO360" s="16"/>
      <c r="CP360" s="27"/>
      <c r="CR360" s="27"/>
      <c r="CS360" s="16"/>
      <c r="CT360" s="27"/>
      <c r="CV360" s="27"/>
      <c r="CW360" s="16"/>
      <c r="CX360" s="27"/>
      <c r="CZ360" s="27"/>
      <c r="DA360" s="16"/>
      <c r="DB360" s="27"/>
      <c r="DD360" s="16"/>
    </row>
    <row r="361" spans="1:108" s="14" customFormat="1" ht="21" x14ac:dyDescent="0.4">
      <c r="A361" s="27"/>
      <c r="B361" s="27"/>
      <c r="D361" s="16"/>
      <c r="E361" s="27"/>
      <c r="F361" s="27"/>
      <c r="H361" s="27"/>
      <c r="I361" s="16"/>
      <c r="J361" s="27"/>
      <c r="L361" s="27"/>
      <c r="M361" s="16"/>
      <c r="N361" s="27"/>
      <c r="P361" s="27"/>
      <c r="Q361" s="16"/>
      <c r="R361" s="27"/>
      <c r="T361" s="27"/>
      <c r="U361" s="16"/>
      <c r="V361" s="27"/>
      <c r="X361" s="27"/>
      <c r="Y361" s="16"/>
      <c r="Z361" s="27"/>
      <c r="AB361" s="27"/>
      <c r="AC361" s="16"/>
      <c r="AD361" s="27"/>
      <c r="AF361" s="27"/>
      <c r="AG361" s="16"/>
      <c r="AH361" s="27"/>
      <c r="AJ361" s="27"/>
      <c r="AK361" s="16"/>
      <c r="AL361" s="27"/>
      <c r="AN361" s="27"/>
      <c r="AO361" s="16"/>
      <c r="AP361" s="27"/>
      <c r="AR361" s="27"/>
      <c r="AS361" s="16"/>
      <c r="AT361" s="27"/>
      <c r="AV361" s="27"/>
      <c r="AW361" s="16"/>
      <c r="AX361" s="27"/>
      <c r="AZ361" s="27"/>
      <c r="BA361" s="16"/>
      <c r="BB361" s="27"/>
      <c r="BD361" s="27"/>
      <c r="BE361" s="16"/>
      <c r="BF361" s="27"/>
      <c r="BH361" s="27"/>
      <c r="BI361" s="16"/>
      <c r="BJ361" s="27"/>
      <c r="BL361" s="27"/>
      <c r="BM361" s="16"/>
      <c r="BN361" s="27"/>
      <c r="BP361" s="27"/>
      <c r="BQ361" s="16"/>
      <c r="BR361" s="27"/>
      <c r="BT361" s="27"/>
      <c r="BU361" s="16"/>
      <c r="BV361" s="27"/>
      <c r="BX361" s="27"/>
      <c r="BY361" s="16"/>
      <c r="BZ361" s="27"/>
      <c r="CB361" s="27"/>
      <c r="CC361" s="16"/>
      <c r="CD361" s="27"/>
      <c r="CF361" s="27"/>
      <c r="CG361" s="16"/>
      <c r="CH361" s="27"/>
      <c r="CJ361" s="27"/>
      <c r="CK361" s="16"/>
      <c r="CL361" s="27"/>
      <c r="CN361" s="27"/>
      <c r="CO361" s="16"/>
      <c r="CP361" s="27"/>
      <c r="CR361" s="27"/>
      <c r="CS361" s="16"/>
      <c r="CT361" s="27"/>
      <c r="CV361" s="27"/>
      <c r="CW361" s="16"/>
      <c r="CX361" s="27"/>
      <c r="CZ361" s="27"/>
      <c r="DA361" s="16"/>
      <c r="DB361" s="27"/>
      <c r="DD361" s="16"/>
    </row>
    <row r="362" spans="1:108" s="14" customFormat="1" ht="21" x14ac:dyDescent="0.4">
      <c r="A362" s="27"/>
      <c r="B362" s="27"/>
      <c r="D362" s="16"/>
      <c r="E362" s="27"/>
      <c r="F362" s="27"/>
      <c r="H362" s="27"/>
      <c r="I362" s="16"/>
      <c r="J362" s="27"/>
      <c r="L362" s="27"/>
      <c r="M362" s="16"/>
      <c r="N362" s="27"/>
      <c r="P362" s="27"/>
      <c r="Q362" s="16"/>
      <c r="R362" s="27"/>
      <c r="T362" s="27"/>
      <c r="U362" s="16"/>
      <c r="V362" s="27"/>
      <c r="X362" s="27"/>
      <c r="Y362" s="16"/>
      <c r="Z362" s="27"/>
      <c r="AB362" s="27"/>
      <c r="AC362" s="16"/>
      <c r="AD362" s="27"/>
      <c r="AF362" s="27"/>
      <c r="AG362" s="16"/>
      <c r="AH362" s="27"/>
      <c r="AJ362" s="27"/>
      <c r="AK362" s="16"/>
      <c r="AL362" s="27"/>
      <c r="AN362" s="27"/>
      <c r="AO362" s="16"/>
      <c r="AP362" s="27"/>
      <c r="AR362" s="27"/>
      <c r="AS362" s="16"/>
      <c r="AT362" s="27"/>
      <c r="AV362" s="27"/>
      <c r="AW362" s="16"/>
      <c r="AX362" s="27"/>
      <c r="AZ362" s="27"/>
      <c r="BA362" s="16"/>
      <c r="BB362" s="27"/>
      <c r="BD362" s="27"/>
      <c r="BE362" s="16"/>
      <c r="BF362" s="27"/>
      <c r="BH362" s="27"/>
      <c r="BI362" s="16"/>
      <c r="BJ362" s="27"/>
      <c r="BL362" s="27"/>
      <c r="BM362" s="16"/>
      <c r="BN362" s="27"/>
      <c r="BP362" s="27"/>
      <c r="BQ362" s="16"/>
      <c r="BR362" s="27"/>
      <c r="BT362" s="27"/>
      <c r="BU362" s="16"/>
      <c r="BV362" s="27"/>
      <c r="BX362" s="27"/>
      <c r="BY362" s="16"/>
      <c r="BZ362" s="27"/>
      <c r="CB362" s="27"/>
      <c r="CC362" s="16"/>
      <c r="CD362" s="27"/>
      <c r="CF362" s="27"/>
      <c r="CG362" s="16"/>
      <c r="CH362" s="27"/>
      <c r="CJ362" s="27"/>
      <c r="CK362" s="16"/>
      <c r="CL362" s="27"/>
      <c r="CN362" s="27"/>
      <c r="CO362" s="16"/>
      <c r="CP362" s="27"/>
      <c r="CR362" s="27"/>
      <c r="CS362" s="16"/>
      <c r="CT362" s="27"/>
      <c r="CV362" s="27"/>
      <c r="CW362" s="16"/>
      <c r="CX362" s="27"/>
      <c r="CZ362" s="27"/>
      <c r="DA362" s="16"/>
      <c r="DB362" s="27"/>
      <c r="DD362" s="16"/>
    </row>
    <row r="363" spans="1:108" s="14" customFormat="1" ht="21" x14ac:dyDescent="0.4">
      <c r="A363" s="27"/>
      <c r="B363" s="27"/>
      <c r="D363" s="16"/>
      <c r="E363" s="27"/>
      <c r="F363" s="27"/>
      <c r="H363" s="27"/>
      <c r="I363" s="16"/>
      <c r="J363" s="27"/>
      <c r="L363" s="27"/>
      <c r="M363" s="16"/>
      <c r="N363" s="27"/>
      <c r="P363" s="27"/>
      <c r="Q363" s="16"/>
      <c r="R363" s="27"/>
      <c r="T363" s="27"/>
      <c r="U363" s="16"/>
      <c r="V363" s="27"/>
      <c r="X363" s="27"/>
      <c r="Y363" s="16"/>
      <c r="Z363" s="27"/>
      <c r="AB363" s="27"/>
      <c r="AC363" s="16"/>
      <c r="AD363" s="27"/>
      <c r="AF363" s="27"/>
      <c r="AG363" s="16"/>
      <c r="AH363" s="27"/>
      <c r="AJ363" s="27"/>
      <c r="AK363" s="16"/>
      <c r="AL363" s="27"/>
      <c r="AN363" s="27"/>
      <c r="AO363" s="16"/>
      <c r="AP363" s="27"/>
      <c r="AR363" s="27"/>
      <c r="AS363" s="16"/>
      <c r="AT363" s="27"/>
      <c r="AV363" s="27"/>
      <c r="AW363" s="16"/>
      <c r="AX363" s="27"/>
      <c r="AZ363" s="27"/>
      <c r="BA363" s="16"/>
      <c r="BB363" s="27"/>
      <c r="BD363" s="27"/>
      <c r="BE363" s="16"/>
      <c r="BF363" s="27"/>
      <c r="BH363" s="27"/>
      <c r="BI363" s="16"/>
      <c r="BJ363" s="27"/>
      <c r="BL363" s="27"/>
      <c r="BM363" s="16"/>
      <c r="BN363" s="27"/>
      <c r="BP363" s="27"/>
      <c r="BQ363" s="16"/>
      <c r="BR363" s="27"/>
      <c r="BT363" s="27"/>
      <c r="BU363" s="16"/>
      <c r="BV363" s="27"/>
      <c r="BX363" s="27"/>
      <c r="BY363" s="16"/>
      <c r="BZ363" s="27"/>
      <c r="CB363" s="27"/>
      <c r="CC363" s="16"/>
      <c r="CD363" s="27"/>
      <c r="CF363" s="27"/>
      <c r="CG363" s="16"/>
      <c r="CH363" s="27"/>
      <c r="CJ363" s="27"/>
      <c r="CK363" s="16"/>
      <c r="CL363" s="27"/>
      <c r="CN363" s="27"/>
      <c r="CO363" s="16"/>
      <c r="CP363" s="27"/>
      <c r="CR363" s="27"/>
      <c r="CS363" s="16"/>
      <c r="CT363" s="27"/>
      <c r="CV363" s="27"/>
      <c r="CW363" s="16"/>
      <c r="CX363" s="27"/>
      <c r="CZ363" s="27"/>
      <c r="DA363" s="16"/>
      <c r="DB363" s="27"/>
      <c r="DD363" s="16"/>
    </row>
    <row r="364" spans="1:108" s="14" customFormat="1" ht="21" x14ac:dyDescent="0.4">
      <c r="A364" s="27"/>
      <c r="B364" s="27"/>
      <c r="D364" s="16"/>
      <c r="E364" s="27"/>
      <c r="F364" s="27"/>
      <c r="H364" s="27"/>
      <c r="I364" s="16"/>
      <c r="J364" s="27"/>
      <c r="L364" s="27"/>
      <c r="M364" s="16"/>
      <c r="N364" s="27"/>
      <c r="P364" s="27"/>
      <c r="Q364" s="16"/>
      <c r="R364" s="27"/>
      <c r="T364" s="27"/>
      <c r="U364" s="16"/>
      <c r="V364" s="27"/>
      <c r="X364" s="27"/>
      <c r="Y364" s="16"/>
      <c r="Z364" s="27"/>
      <c r="AB364" s="27"/>
      <c r="AC364" s="16"/>
      <c r="AD364" s="27"/>
      <c r="AF364" s="27"/>
      <c r="AG364" s="16"/>
      <c r="AH364" s="27"/>
      <c r="AJ364" s="27"/>
      <c r="AK364" s="16"/>
      <c r="AL364" s="27"/>
      <c r="AN364" s="27"/>
      <c r="AO364" s="16"/>
      <c r="AP364" s="27"/>
      <c r="AR364" s="27"/>
      <c r="AS364" s="16"/>
      <c r="AT364" s="27"/>
      <c r="AV364" s="27"/>
      <c r="AW364" s="16"/>
      <c r="AX364" s="27"/>
      <c r="AZ364" s="27"/>
      <c r="BA364" s="16"/>
      <c r="BB364" s="27"/>
      <c r="BD364" s="27"/>
      <c r="BE364" s="16"/>
      <c r="BF364" s="27"/>
      <c r="BH364" s="27"/>
      <c r="BI364" s="16"/>
      <c r="BJ364" s="27"/>
      <c r="BL364" s="27"/>
      <c r="BM364" s="16"/>
      <c r="BN364" s="27"/>
      <c r="BP364" s="27"/>
      <c r="BQ364" s="16"/>
      <c r="BR364" s="27"/>
      <c r="BT364" s="27"/>
      <c r="BU364" s="16"/>
      <c r="BV364" s="27"/>
      <c r="BX364" s="27"/>
      <c r="BY364" s="16"/>
      <c r="BZ364" s="27"/>
      <c r="CB364" s="27"/>
      <c r="CC364" s="16"/>
      <c r="CD364" s="27"/>
      <c r="CF364" s="27"/>
      <c r="CG364" s="16"/>
      <c r="CH364" s="27"/>
      <c r="CJ364" s="27"/>
      <c r="CK364" s="16"/>
      <c r="CL364" s="27"/>
      <c r="CN364" s="27"/>
      <c r="CO364" s="16"/>
      <c r="CP364" s="27"/>
      <c r="CR364" s="27"/>
      <c r="CS364" s="16"/>
      <c r="CT364" s="27"/>
      <c r="CV364" s="27"/>
      <c r="CW364" s="16"/>
      <c r="CX364" s="27"/>
      <c r="CZ364" s="27"/>
      <c r="DA364" s="16"/>
      <c r="DB364" s="27"/>
      <c r="DD364" s="16"/>
    </row>
    <row r="365" spans="1:108" s="14" customFormat="1" ht="21" x14ac:dyDescent="0.4">
      <c r="A365" s="27"/>
      <c r="B365" s="27"/>
      <c r="D365" s="16"/>
      <c r="E365" s="27"/>
      <c r="F365" s="27"/>
      <c r="H365" s="27"/>
      <c r="I365" s="16"/>
      <c r="J365" s="27"/>
      <c r="L365" s="27"/>
      <c r="M365" s="16"/>
      <c r="N365" s="27"/>
      <c r="P365" s="27"/>
      <c r="Q365" s="16"/>
      <c r="R365" s="27"/>
      <c r="T365" s="27"/>
      <c r="U365" s="16"/>
      <c r="V365" s="27"/>
      <c r="X365" s="27"/>
      <c r="Y365" s="16"/>
      <c r="Z365" s="27"/>
      <c r="AB365" s="27"/>
      <c r="AC365" s="16"/>
      <c r="AD365" s="27"/>
      <c r="AF365" s="27"/>
      <c r="AG365" s="16"/>
      <c r="AH365" s="27"/>
      <c r="AJ365" s="27"/>
      <c r="AK365" s="16"/>
      <c r="AL365" s="27"/>
      <c r="AN365" s="27"/>
      <c r="AO365" s="16"/>
      <c r="AP365" s="27"/>
      <c r="AR365" s="27"/>
      <c r="AS365" s="16"/>
      <c r="AT365" s="27"/>
      <c r="AV365" s="27"/>
      <c r="AW365" s="16"/>
      <c r="AX365" s="27"/>
      <c r="AZ365" s="27"/>
      <c r="BA365" s="16"/>
      <c r="BB365" s="27"/>
      <c r="BD365" s="27"/>
      <c r="BE365" s="16"/>
      <c r="BF365" s="27"/>
      <c r="BH365" s="27"/>
      <c r="BI365" s="16"/>
      <c r="BJ365" s="27"/>
      <c r="BL365" s="27"/>
      <c r="BM365" s="16"/>
      <c r="BN365" s="27"/>
      <c r="BP365" s="27"/>
      <c r="BQ365" s="16"/>
      <c r="BR365" s="27"/>
      <c r="BT365" s="27"/>
      <c r="BU365" s="16"/>
      <c r="BV365" s="27"/>
      <c r="BX365" s="27"/>
      <c r="BY365" s="16"/>
      <c r="BZ365" s="27"/>
      <c r="CB365" s="27"/>
      <c r="CC365" s="16"/>
      <c r="CD365" s="27"/>
      <c r="CF365" s="27"/>
      <c r="CG365" s="16"/>
      <c r="CH365" s="27"/>
      <c r="CJ365" s="27"/>
      <c r="CK365" s="16"/>
      <c r="CL365" s="27"/>
      <c r="CN365" s="27"/>
      <c r="CO365" s="16"/>
      <c r="CP365" s="27"/>
      <c r="CR365" s="27"/>
      <c r="CS365" s="16"/>
      <c r="CT365" s="27"/>
      <c r="CV365" s="27"/>
      <c r="CW365" s="16"/>
      <c r="CX365" s="27"/>
      <c r="CZ365" s="27"/>
      <c r="DA365" s="16"/>
      <c r="DB365" s="27"/>
      <c r="DD365" s="16"/>
    </row>
    <row r="366" spans="1:108" s="14" customFormat="1" ht="21" x14ac:dyDescent="0.4">
      <c r="A366" s="27"/>
      <c r="B366" s="27"/>
      <c r="D366" s="16"/>
      <c r="E366" s="27"/>
      <c r="F366" s="27"/>
      <c r="H366" s="27"/>
      <c r="I366" s="16"/>
      <c r="J366" s="27"/>
      <c r="L366" s="27"/>
      <c r="M366" s="16"/>
      <c r="N366" s="27"/>
      <c r="P366" s="27"/>
      <c r="Q366" s="16"/>
      <c r="R366" s="27"/>
      <c r="T366" s="27"/>
      <c r="U366" s="16"/>
      <c r="V366" s="27"/>
      <c r="X366" s="27"/>
      <c r="Y366" s="16"/>
      <c r="Z366" s="27"/>
      <c r="AB366" s="27"/>
      <c r="AC366" s="16"/>
      <c r="AD366" s="27"/>
      <c r="AF366" s="27"/>
      <c r="AG366" s="16"/>
      <c r="AH366" s="27"/>
      <c r="AJ366" s="27"/>
      <c r="AK366" s="16"/>
      <c r="AL366" s="27"/>
      <c r="AN366" s="27"/>
      <c r="AO366" s="16"/>
      <c r="AP366" s="27"/>
      <c r="AR366" s="27"/>
      <c r="AS366" s="16"/>
      <c r="AT366" s="27"/>
      <c r="AV366" s="27"/>
      <c r="AW366" s="16"/>
      <c r="AX366" s="27"/>
      <c r="AZ366" s="27"/>
      <c r="BA366" s="16"/>
      <c r="BB366" s="27"/>
      <c r="BD366" s="27"/>
      <c r="BE366" s="16"/>
      <c r="BF366" s="27"/>
      <c r="BH366" s="27"/>
      <c r="BI366" s="16"/>
      <c r="BJ366" s="27"/>
      <c r="BL366" s="27"/>
      <c r="BM366" s="16"/>
      <c r="BN366" s="27"/>
      <c r="BP366" s="27"/>
      <c r="BQ366" s="16"/>
      <c r="BR366" s="27"/>
      <c r="BT366" s="27"/>
      <c r="BU366" s="16"/>
      <c r="BV366" s="27"/>
      <c r="BX366" s="27"/>
      <c r="BY366" s="16"/>
      <c r="BZ366" s="27"/>
      <c r="CB366" s="27"/>
      <c r="CC366" s="16"/>
      <c r="CD366" s="27"/>
      <c r="CF366" s="27"/>
      <c r="CG366" s="16"/>
      <c r="CH366" s="27"/>
      <c r="CJ366" s="27"/>
      <c r="CK366" s="16"/>
      <c r="CL366" s="27"/>
      <c r="CN366" s="27"/>
      <c r="CO366" s="16"/>
      <c r="CP366" s="27"/>
      <c r="CR366" s="27"/>
      <c r="CS366" s="16"/>
      <c r="CT366" s="27"/>
      <c r="CV366" s="27"/>
      <c r="CW366" s="16"/>
      <c r="CX366" s="27"/>
      <c r="CZ366" s="27"/>
      <c r="DA366" s="16"/>
      <c r="DB366" s="27"/>
      <c r="DD366" s="16"/>
    </row>
    <row r="367" spans="1:108" s="14" customFormat="1" ht="21" x14ac:dyDescent="0.4">
      <c r="A367" s="27"/>
      <c r="B367" s="27"/>
      <c r="D367" s="16"/>
      <c r="E367" s="27"/>
      <c r="F367" s="27"/>
      <c r="H367" s="27"/>
      <c r="I367" s="16"/>
      <c r="J367" s="27"/>
      <c r="L367" s="27"/>
      <c r="M367" s="16"/>
      <c r="N367" s="27"/>
      <c r="P367" s="27"/>
      <c r="Q367" s="16"/>
      <c r="R367" s="27"/>
      <c r="T367" s="27"/>
      <c r="U367" s="16"/>
      <c r="V367" s="27"/>
      <c r="X367" s="27"/>
      <c r="Y367" s="16"/>
      <c r="Z367" s="27"/>
      <c r="AB367" s="27"/>
      <c r="AC367" s="16"/>
      <c r="AD367" s="27"/>
      <c r="AF367" s="27"/>
      <c r="AG367" s="16"/>
      <c r="AH367" s="27"/>
      <c r="AJ367" s="27"/>
      <c r="AK367" s="16"/>
      <c r="AL367" s="27"/>
      <c r="AN367" s="27"/>
      <c r="AO367" s="16"/>
      <c r="AP367" s="27"/>
      <c r="AR367" s="27"/>
      <c r="AS367" s="16"/>
      <c r="AT367" s="27"/>
      <c r="AV367" s="27"/>
      <c r="AW367" s="16"/>
      <c r="AX367" s="27"/>
      <c r="AZ367" s="27"/>
      <c r="BA367" s="16"/>
      <c r="BB367" s="27"/>
      <c r="BD367" s="27"/>
      <c r="BE367" s="16"/>
      <c r="BF367" s="27"/>
      <c r="BH367" s="27"/>
      <c r="BI367" s="16"/>
      <c r="BJ367" s="27"/>
      <c r="BL367" s="27"/>
      <c r="BM367" s="16"/>
      <c r="BN367" s="27"/>
      <c r="BP367" s="27"/>
      <c r="BQ367" s="16"/>
      <c r="BR367" s="27"/>
      <c r="BT367" s="27"/>
      <c r="BU367" s="16"/>
      <c r="BV367" s="27"/>
      <c r="BX367" s="27"/>
      <c r="BY367" s="16"/>
      <c r="BZ367" s="27"/>
      <c r="CB367" s="27"/>
      <c r="CC367" s="16"/>
      <c r="CD367" s="27"/>
      <c r="CF367" s="27"/>
      <c r="CG367" s="16"/>
      <c r="CH367" s="27"/>
      <c r="CJ367" s="27"/>
      <c r="CK367" s="16"/>
      <c r="CL367" s="27"/>
      <c r="CN367" s="27"/>
      <c r="CO367" s="16"/>
      <c r="CP367" s="27"/>
      <c r="CR367" s="27"/>
      <c r="CS367" s="16"/>
      <c r="CT367" s="27"/>
      <c r="CV367" s="27"/>
      <c r="CW367" s="16"/>
      <c r="CX367" s="27"/>
      <c r="CZ367" s="27"/>
      <c r="DA367" s="16"/>
      <c r="DB367" s="27"/>
      <c r="DD367" s="16"/>
    </row>
    <row r="368" spans="1:108" s="14" customFormat="1" ht="21" x14ac:dyDescent="0.4">
      <c r="A368" s="27"/>
      <c r="B368" s="27"/>
      <c r="D368" s="16"/>
      <c r="E368" s="27"/>
      <c r="F368" s="27"/>
      <c r="H368" s="27"/>
      <c r="I368" s="16"/>
      <c r="J368" s="27"/>
      <c r="L368" s="27"/>
      <c r="M368" s="16"/>
      <c r="N368" s="27"/>
      <c r="P368" s="27"/>
      <c r="Q368" s="16"/>
      <c r="R368" s="27"/>
      <c r="T368" s="27"/>
      <c r="U368" s="16"/>
      <c r="V368" s="27"/>
      <c r="X368" s="27"/>
      <c r="Y368" s="16"/>
      <c r="Z368" s="27"/>
      <c r="AB368" s="27"/>
      <c r="AC368" s="16"/>
      <c r="AD368" s="27"/>
      <c r="AF368" s="27"/>
      <c r="AG368" s="16"/>
      <c r="AH368" s="27"/>
      <c r="AJ368" s="27"/>
      <c r="AK368" s="16"/>
      <c r="AL368" s="27"/>
      <c r="AN368" s="27"/>
      <c r="AO368" s="16"/>
      <c r="AP368" s="27"/>
      <c r="AR368" s="27"/>
      <c r="AS368" s="16"/>
      <c r="AT368" s="27"/>
      <c r="AV368" s="27"/>
      <c r="AW368" s="16"/>
      <c r="AX368" s="27"/>
      <c r="AZ368" s="27"/>
      <c r="BA368" s="16"/>
      <c r="BB368" s="27"/>
      <c r="BD368" s="27"/>
      <c r="BE368" s="16"/>
      <c r="BF368" s="27"/>
      <c r="BH368" s="27"/>
      <c r="BI368" s="16"/>
      <c r="BJ368" s="27"/>
      <c r="BL368" s="27"/>
      <c r="BM368" s="16"/>
      <c r="BN368" s="27"/>
      <c r="BP368" s="27"/>
      <c r="BQ368" s="16"/>
      <c r="BR368" s="27"/>
      <c r="BT368" s="27"/>
      <c r="BU368" s="16"/>
      <c r="BV368" s="27"/>
      <c r="BX368" s="27"/>
      <c r="BY368" s="16"/>
      <c r="BZ368" s="27"/>
      <c r="CB368" s="27"/>
      <c r="CC368" s="16"/>
      <c r="CD368" s="27"/>
      <c r="CF368" s="27"/>
      <c r="CG368" s="16"/>
      <c r="CH368" s="27"/>
      <c r="CJ368" s="27"/>
      <c r="CK368" s="16"/>
      <c r="CL368" s="27"/>
      <c r="CN368" s="27"/>
      <c r="CO368" s="16"/>
      <c r="CP368" s="27"/>
      <c r="CR368" s="27"/>
      <c r="CS368" s="16"/>
      <c r="CT368" s="27"/>
      <c r="CV368" s="27"/>
      <c r="CW368" s="16"/>
      <c r="CX368" s="27"/>
      <c r="CZ368" s="27"/>
      <c r="DA368" s="16"/>
      <c r="DB368" s="27"/>
      <c r="DD368" s="16"/>
    </row>
    <row r="369" spans="1:108" s="14" customFormat="1" ht="21" x14ac:dyDescent="0.4">
      <c r="A369" s="27"/>
      <c r="B369" s="27"/>
      <c r="D369" s="16"/>
      <c r="E369" s="27"/>
      <c r="F369" s="27"/>
      <c r="H369" s="27"/>
      <c r="I369" s="16"/>
      <c r="J369" s="27"/>
      <c r="L369" s="27"/>
      <c r="M369" s="16"/>
      <c r="N369" s="27"/>
      <c r="P369" s="27"/>
      <c r="Q369" s="16"/>
      <c r="R369" s="27"/>
      <c r="T369" s="27"/>
      <c r="U369" s="16"/>
      <c r="V369" s="27"/>
      <c r="X369" s="27"/>
      <c r="Y369" s="16"/>
      <c r="Z369" s="27"/>
      <c r="AB369" s="27"/>
      <c r="AC369" s="16"/>
      <c r="AD369" s="27"/>
      <c r="AF369" s="27"/>
      <c r="AG369" s="16"/>
      <c r="AH369" s="27"/>
      <c r="AJ369" s="27"/>
      <c r="AK369" s="16"/>
      <c r="AL369" s="27"/>
      <c r="AN369" s="27"/>
      <c r="AO369" s="16"/>
      <c r="AP369" s="27"/>
      <c r="AR369" s="27"/>
      <c r="AS369" s="16"/>
      <c r="AT369" s="27"/>
      <c r="AV369" s="27"/>
      <c r="AW369" s="16"/>
      <c r="AX369" s="27"/>
      <c r="AZ369" s="27"/>
      <c r="BA369" s="16"/>
      <c r="BB369" s="27"/>
      <c r="BD369" s="27"/>
      <c r="BE369" s="16"/>
      <c r="BF369" s="27"/>
      <c r="BH369" s="27"/>
      <c r="BI369" s="16"/>
      <c r="BJ369" s="27"/>
      <c r="BL369" s="27"/>
      <c r="BM369" s="16"/>
      <c r="BN369" s="27"/>
      <c r="BP369" s="27"/>
      <c r="BQ369" s="16"/>
      <c r="BR369" s="27"/>
      <c r="BT369" s="27"/>
      <c r="BU369" s="16"/>
      <c r="BV369" s="27"/>
      <c r="BX369" s="27"/>
      <c r="BY369" s="16"/>
      <c r="BZ369" s="27"/>
      <c r="CB369" s="27"/>
      <c r="CC369" s="16"/>
      <c r="CD369" s="27"/>
      <c r="CF369" s="27"/>
      <c r="CG369" s="16"/>
      <c r="CH369" s="27"/>
      <c r="CJ369" s="27"/>
      <c r="CK369" s="16"/>
      <c r="CL369" s="27"/>
      <c r="CN369" s="27"/>
      <c r="CO369" s="16"/>
      <c r="CP369" s="27"/>
      <c r="CR369" s="27"/>
      <c r="CS369" s="16"/>
      <c r="CT369" s="27"/>
      <c r="CV369" s="27"/>
      <c r="CW369" s="16"/>
      <c r="CX369" s="27"/>
      <c r="CZ369" s="27"/>
      <c r="DA369" s="16"/>
      <c r="DB369" s="27"/>
      <c r="DD369" s="16"/>
    </row>
    <row r="370" spans="1:108" s="14" customFormat="1" ht="21" x14ac:dyDescent="0.4">
      <c r="A370" s="27"/>
      <c r="B370" s="27"/>
      <c r="D370" s="16"/>
      <c r="E370" s="27"/>
      <c r="F370" s="27"/>
      <c r="H370" s="27"/>
      <c r="I370" s="16"/>
      <c r="J370" s="27"/>
      <c r="L370" s="27"/>
      <c r="M370" s="16"/>
      <c r="N370" s="27"/>
      <c r="P370" s="27"/>
      <c r="Q370" s="16"/>
      <c r="R370" s="27"/>
      <c r="T370" s="27"/>
      <c r="U370" s="16"/>
      <c r="V370" s="27"/>
      <c r="X370" s="27"/>
      <c r="Y370" s="16"/>
      <c r="Z370" s="27"/>
      <c r="AB370" s="27"/>
      <c r="AC370" s="16"/>
      <c r="AD370" s="27"/>
      <c r="AF370" s="27"/>
      <c r="AG370" s="16"/>
      <c r="AH370" s="27"/>
      <c r="AJ370" s="27"/>
      <c r="AK370" s="16"/>
      <c r="AL370" s="27"/>
      <c r="AN370" s="27"/>
      <c r="AO370" s="16"/>
      <c r="AP370" s="27"/>
      <c r="AR370" s="27"/>
      <c r="AS370" s="16"/>
      <c r="AT370" s="27"/>
      <c r="AV370" s="27"/>
      <c r="AW370" s="16"/>
      <c r="AX370" s="27"/>
      <c r="AZ370" s="27"/>
      <c r="BA370" s="16"/>
      <c r="BB370" s="27"/>
      <c r="BD370" s="27"/>
      <c r="BE370" s="16"/>
      <c r="BF370" s="27"/>
      <c r="BH370" s="27"/>
      <c r="BI370" s="16"/>
      <c r="BJ370" s="27"/>
      <c r="BL370" s="27"/>
      <c r="BM370" s="16"/>
      <c r="BN370" s="27"/>
      <c r="BP370" s="27"/>
      <c r="BQ370" s="16"/>
      <c r="BR370" s="27"/>
      <c r="BT370" s="27"/>
      <c r="BU370" s="16"/>
      <c r="BV370" s="27"/>
      <c r="BX370" s="27"/>
      <c r="BY370" s="16"/>
      <c r="BZ370" s="27"/>
      <c r="CB370" s="27"/>
      <c r="CC370" s="16"/>
      <c r="CD370" s="27"/>
      <c r="CF370" s="27"/>
      <c r="CG370" s="16"/>
      <c r="CH370" s="27"/>
      <c r="CJ370" s="27"/>
      <c r="CK370" s="16"/>
      <c r="CL370" s="27"/>
      <c r="CN370" s="27"/>
      <c r="CO370" s="16"/>
      <c r="CP370" s="27"/>
      <c r="CR370" s="27"/>
      <c r="CS370" s="16"/>
      <c r="CT370" s="27"/>
      <c r="CV370" s="27"/>
      <c r="CW370" s="16"/>
      <c r="CX370" s="27"/>
      <c r="CZ370" s="27"/>
      <c r="DA370" s="16"/>
      <c r="DB370" s="27"/>
      <c r="DD370" s="16"/>
    </row>
    <row r="371" spans="1:108" s="14" customFormat="1" ht="21" x14ac:dyDescent="0.4">
      <c r="A371" s="27"/>
      <c r="B371" s="27"/>
      <c r="D371" s="16"/>
      <c r="E371" s="27"/>
      <c r="F371" s="27"/>
      <c r="H371" s="27"/>
      <c r="I371" s="16"/>
      <c r="J371" s="27"/>
      <c r="L371" s="27"/>
      <c r="M371" s="16"/>
      <c r="N371" s="27"/>
      <c r="P371" s="27"/>
      <c r="Q371" s="16"/>
      <c r="R371" s="27"/>
      <c r="T371" s="27"/>
      <c r="U371" s="16"/>
      <c r="V371" s="27"/>
      <c r="X371" s="27"/>
      <c r="Y371" s="16"/>
      <c r="Z371" s="27"/>
      <c r="AB371" s="27"/>
      <c r="AC371" s="16"/>
      <c r="AD371" s="27"/>
      <c r="AF371" s="27"/>
      <c r="AG371" s="16"/>
      <c r="AH371" s="27"/>
      <c r="AJ371" s="27"/>
      <c r="AK371" s="16"/>
      <c r="AL371" s="27"/>
      <c r="AN371" s="27"/>
      <c r="AO371" s="16"/>
      <c r="AP371" s="27"/>
      <c r="AR371" s="27"/>
      <c r="AS371" s="16"/>
      <c r="AT371" s="27"/>
      <c r="AV371" s="27"/>
      <c r="AW371" s="16"/>
      <c r="AX371" s="27"/>
      <c r="AZ371" s="27"/>
      <c r="BA371" s="16"/>
      <c r="BB371" s="27"/>
      <c r="BD371" s="27"/>
      <c r="BE371" s="16"/>
      <c r="BF371" s="27"/>
      <c r="BH371" s="27"/>
      <c r="BI371" s="16"/>
      <c r="BJ371" s="27"/>
      <c r="BL371" s="27"/>
      <c r="BM371" s="16"/>
      <c r="BN371" s="27"/>
      <c r="BP371" s="27"/>
      <c r="BQ371" s="16"/>
      <c r="BR371" s="27"/>
      <c r="BT371" s="27"/>
      <c r="BU371" s="16"/>
      <c r="BV371" s="27"/>
      <c r="BX371" s="27"/>
      <c r="BY371" s="16"/>
      <c r="BZ371" s="27"/>
      <c r="CB371" s="27"/>
      <c r="CC371" s="16"/>
      <c r="CD371" s="27"/>
      <c r="CF371" s="27"/>
      <c r="CG371" s="16"/>
      <c r="CH371" s="27"/>
      <c r="CJ371" s="27"/>
      <c r="CK371" s="16"/>
      <c r="CL371" s="27"/>
      <c r="CN371" s="27"/>
      <c r="CO371" s="16"/>
      <c r="CP371" s="27"/>
      <c r="CR371" s="27"/>
      <c r="CS371" s="16"/>
      <c r="CT371" s="27"/>
      <c r="CV371" s="27"/>
      <c r="CW371" s="16"/>
      <c r="CX371" s="27"/>
      <c r="CZ371" s="27"/>
      <c r="DA371" s="16"/>
      <c r="DB371" s="27"/>
      <c r="DD371" s="16"/>
    </row>
    <row r="372" spans="1:108" s="14" customFormat="1" ht="21" x14ac:dyDescent="0.4">
      <c r="A372" s="27"/>
      <c r="B372" s="27"/>
      <c r="D372" s="16"/>
      <c r="E372" s="27"/>
      <c r="F372" s="27"/>
      <c r="H372" s="27"/>
      <c r="I372" s="16"/>
      <c r="J372" s="27"/>
      <c r="L372" s="27"/>
      <c r="M372" s="16"/>
      <c r="N372" s="27"/>
      <c r="P372" s="27"/>
      <c r="Q372" s="16"/>
      <c r="R372" s="27"/>
      <c r="T372" s="27"/>
      <c r="U372" s="16"/>
      <c r="V372" s="27"/>
      <c r="X372" s="27"/>
      <c r="Y372" s="16"/>
      <c r="Z372" s="27"/>
      <c r="AB372" s="27"/>
      <c r="AC372" s="16"/>
      <c r="AD372" s="27"/>
      <c r="AF372" s="27"/>
      <c r="AG372" s="16"/>
      <c r="AH372" s="27"/>
      <c r="AJ372" s="27"/>
      <c r="AK372" s="16"/>
      <c r="AL372" s="27"/>
      <c r="AN372" s="27"/>
      <c r="AO372" s="16"/>
      <c r="AP372" s="27"/>
      <c r="AR372" s="27"/>
      <c r="AS372" s="16"/>
      <c r="AT372" s="27"/>
      <c r="AV372" s="27"/>
      <c r="AW372" s="16"/>
      <c r="AX372" s="27"/>
      <c r="AZ372" s="27"/>
      <c r="BA372" s="16"/>
      <c r="BB372" s="27"/>
      <c r="BD372" s="27"/>
      <c r="BE372" s="16"/>
      <c r="BF372" s="27"/>
      <c r="BH372" s="27"/>
      <c r="BI372" s="16"/>
      <c r="BJ372" s="27"/>
      <c r="BL372" s="27"/>
      <c r="BM372" s="16"/>
      <c r="BN372" s="27"/>
      <c r="BP372" s="27"/>
      <c r="BQ372" s="16"/>
      <c r="BR372" s="27"/>
      <c r="BT372" s="27"/>
      <c r="BU372" s="16"/>
      <c r="BV372" s="27"/>
      <c r="BX372" s="27"/>
      <c r="BY372" s="16"/>
      <c r="BZ372" s="27"/>
      <c r="CB372" s="27"/>
      <c r="CC372" s="16"/>
      <c r="CD372" s="27"/>
      <c r="CF372" s="27"/>
      <c r="CG372" s="16"/>
      <c r="CH372" s="27"/>
      <c r="CJ372" s="27"/>
      <c r="CK372" s="16"/>
      <c r="CL372" s="27"/>
      <c r="CN372" s="27"/>
      <c r="CO372" s="16"/>
      <c r="CP372" s="27"/>
      <c r="CR372" s="27"/>
      <c r="CS372" s="16"/>
      <c r="CT372" s="27"/>
      <c r="CV372" s="27"/>
      <c r="CW372" s="16"/>
      <c r="CX372" s="27"/>
      <c r="CZ372" s="27"/>
      <c r="DA372" s="16"/>
      <c r="DB372" s="27"/>
      <c r="DD372" s="16"/>
    </row>
    <row r="373" spans="1:108" s="14" customFormat="1" ht="21" x14ac:dyDescent="0.4">
      <c r="A373" s="27"/>
      <c r="B373" s="27"/>
      <c r="D373" s="16"/>
      <c r="E373" s="27"/>
      <c r="F373" s="27"/>
      <c r="H373" s="27"/>
      <c r="I373" s="16"/>
      <c r="J373" s="27"/>
      <c r="L373" s="27"/>
      <c r="M373" s="16"/>
      <c r="N373" s="27"/>
      <c r="P373" s="27"/>
      <c r="Q373" s="16"/>
      <c r="R373" s="27"/>
      <c r="T373" s="27"/>
      <c r="U373" s="16"/>
      <c r="V373" s="27"/>
      <c r="X373" s="27"/>
      <c r="Y373" s="16"/>
      <c r="Z373" s="27"/>
      <c r="AB373" s="27"/>
      <c r="AC373" s="16"/>
      <c r="AD373" s="27"/>
      <c r="AF373" s="27"/>
      <c r="AG373" s="16"/>
      <c r="AH373" s="27"/>
      <c r="AJ373" s="27"/>
      <c r="AK373" s="16"/>
      <c r="AL373" s="27"/>
      <c r="AN373" s="27"/>
      <c r="AO373" s="16"/>
      <c r="AP373" s="27"/>
      <c r="AR373" s="27"/>
      <c r="AS373" s="16"/>
      <c r="AT373" s="27"/>
      <c r="AV373" s="27"/>
      <c r="AW373" s="16"/>
      <c r="AX373" s="27"/>
      <c r="AZ373" s="27"/>
      <c r="BA373" s="16"/>
      <c r="BB373" s="27"/>
      <c r="BD373" s="27"/>
      <c r="BE373" s="16"/>
      <c r="BF373" s="27"/>
      <c r="BH373" s="27"/>
      <c r="BI373" s="16"/>
      <c r="BJ373" s="27"/>
      <c r="BL373" s="27"/>
      <c r="BM373" s="16"/>
      <c r="BN373" s="27"/>
      <c r="BP373" s="27"/>
      <c r="BQ373" s="16"/>
      <c r="BR373" s="27"/>
      <c r="BT373" s="27"/>
      <c r="BU373" s="16"/>
      <c r="BV373" s="27"/>
      <c r="BX373" s="27"/>
      <c r="BY373" s="16"/>
      <c r="BZ373" s="27"/>
      <c r="CB373" s="27"/>
      <c r="CC373" s="16"/>
      <c r="CD373" s="27"/>
      <c r="CF373" s="27"/>
      <c r="CG373" s="16"/>
      <c r="CH373" s="27"/>
      <c r="CJ373" s="27"/>
      <c r="CK373" s="16"/>
      <c r="CL373" s="27"/>
      <c r="CN373" s="27"/>
      <c r="CO373" s="16"/>
      <c r="CP373" s="27"/>
      <c r="CR373" s="27"/>
      <c r="CS373" s="16"/>
      <c r="CT373" s="27"/>
      <c r="CV373" s="27"/>
      <c r="CW373" s="16"/>
      <c r="CX373" s="27"/>
      <c r="CZ373" s="27"/>
      <c r="DA373" s="16"/>
      <c r="DB373" s="27"/>
      <c r="DD373" s="16"/>
    </row>
    <row r="374" spans="1:108" s="14" customFormat="1" ht="21" x14ac:dyDescent="0.4">
      <c r="A374" s="27"/>
      <c r="B374" s="27"/>
      <c r="D374" s="16"/>
      <c r="E374" s="27"/>
      <c r="F374" s="27"/>
      <c r="H374" s="27"/>
      <c r="I374" s="16"/>
      <c r="J374" s="27"/>
      <c r="L374" s="27"/>
      <c r="M374" s="16"/>
      <c r="N374" s="27"/>
      <c r="P374" s="27"/>
      <c r="Q374" s="16"/>
      <c r="R374" s="27"/>
      <c r="T374" s="27"/>
      <c r="U374" s="16"/>
      <c r="V374" s="27"/>
      <c r="X374" s="27"/>
      <c r="Y374" s="16"/>
      <c r="Z374" s="27"/>
      <c r="AB374" s="27"/>
      <c r="AC374" s="16"/>
      <c r="AD374" s="27"/>
      <c r="AF374" s="27"/>
      <c r="AG374" s="16"/>
      <c r="AH374" s="27"/>
      <c r="AJ374" s="27"/>
      <c r="AK374" s="16"/>
      <c r="AL374" s="27"/>
      <c r="AN374" s="27"/>
      <c r="AO374" s="16"/>
      <c r="AP374" s="27"/>
      <c r="AR374" s="27"/>
      <c r="AS374" s="16"/>
      <c r="AT374" s="27"/>
      <c r="AV374" s="27"/>
      <c r="AW374" s="16"/>
      <c r="AX374" s="27"/>
      <c r="AZ374" s="27"/>
      <c r="BA374" s="16"/>
      <c r="BB374" s="27"/>
      <c r="BD374" s="27"/>
      <c r="BE374" s="16"/>
      <c r="BF374" s="27"/>
      <c r="BH374" s="27"/>
      <c r="BI374" s="16"/>
      <c r="BJ374" s="27"/>
      <c r="BL374" s="27"/>
      <c r="BM374" s="16"/>
      <c r="BN374" s="27"/>
      <c r="BP374" s="27"/>
      <c r="BQ374" s="16"/>
      <c r="BR374" s="27"/>
      <c r="BT374" s="27"/>
      <c r="BU374" s="16"/>
      <c r="BV374" s="27"/>
      <c r="BX374" s="27"/>
      <c r="BY374" s="16"/>
      <c r="BZ374" s="27"/>
      <c r="CB374" s="27"/>
      <c r="CC374" s="16"/>
      <c r="CD374" s="27"/>
      <c r="CF374" s="27"/>
      <c r="CG374" s="16"/>
      <c r="CH374" s="27"/>
      <c r="CJ374" s="27"/>
      <c r="CK374" s="16"/>
      <c r="CL374" s="27"/>
      <c r="CN374" s="27"/>
      <c r="CO374" s="16"/>
      <c r="CP374" s="27"/>
      <c r="CR374" s="27"/>
      <c r="CS374" s="16"/>
      <c r="CT374" s="27"/>
      <c r="CV374" s="27"/>
      <c r="CW374" s="16"/>
      <c r="CX374" s="27"/>
      <c r="CZ374" s="27"/>
      <c r="DA374" s="16"/>
      <c r="DB374" s="27"/>
      <c r="DD374" s="16"/>
    </row>
    <row r="375" spans="1:108" s="14" customFormat="1" ht="21" x14ac:dyDescent="0.4">
      <c r="A375" s="27"/>
      <c r="B375" s="27"/>
      <c r="D375" s="16"/>
      <c r="E375" s="27"/>
      <c r="F375" s="27"/>
      <c r="H375" s="27"/>
      <c r="I375" s="16"/>
      <c r="J375" s="27"/>
      <c r="L375" s="27"/>
      <c r="M375" s="16"/>
      <c r="N375" s="27"/>
      <c r="P375" s="27"/>
      <c r="Q375" s="16"/>
      <c r="R375" s="27"/>
      <c r="T375" s="27"/>
      <c r="U375" s="16"/>
      <c r="V375" s="27"/>
      <c r="X375" s="27"/>
      <c r="Y375" s="16"/>
      <c r="Z375" s="27"/>
      <c r="AB375" s="27"/>
      <c r="AC375" s="16"/>
      <c r="AD375" s="27"/>
      <c r="AF375" s="27"/>
      <c r="AG375" s="16"/>
      <c r="AH375" s="27"/>
      <c r="AJ375" s="27"/>
      <c r="AK375" s="16"/>
      <c r="AL375" s="27"/>
      <c r="AN375" s="27"/>
      <c r="AO375" s="16"/>
      <c r="AP375" s="27"/>
      <c r="AR375" s="27"/>
      <c r="AS375" s="16"/>
      <c r="AT375" s="27"/>
      <c r="AV375" s="27"/>
      <c r="AW375" s="16"/>
      <c r="AX375" s="27"/>
      <c r="AZ375" s="27"/>
      <c r="BA375" s="16"/>
      <c r="BB375" s="27"/>
      <c r="BD375" s="27"/>
      <c r="BE375" s="16"/>
      <c r="BF375" s="27"/>
      <c r="BH375" s="27"/>
      <c r="BI375" s="16"/>
      <c r="BJ375" s="27"/>
      <c r="BL375" s="27"/>
      <c r="BM375" s="16"/>
      <c r="BN375" s="27"/>
      <c r="BP375" s="27"/>
      <c r="BQ375" s="16"/>
      <c r="BR375" s="27"/>
      <c r="BT375" s="27"/>
      <c r="BU375" s="16"/>
      <c r="BV375" s="27"/>
      <c r="BX375" s="27"/>
      <c r="BY375" s="16"/>
      <c r="BZ375" s="27"/>
      <c r="CB375" s="27"/>
      <c r="CC375" s="16"/>
      <c r="CD375" s="27"/>
      <c r="CF375" s="27"/>
      <c r="CG375" s="16"/>
      <c r="CH375" s="27"/>
      <c r="CJ375" s="27"/>
      <c r="CK375" s="16"/>
      <c r="CL375" s="27"/>
      <c r="CN375" s="27"/>
      <c r="CO375" s="16"/>
      <c r="CP375" s="27"/>
      <c r="CR375" s="27"/>
      <c r="CS375" s="16"/>
      <c r="CT375" s="27"/>
      <c r="CV375" s="27"/>
      <c r="CW375" s="16"/>
      <c r="CX375" s="27"/>
      <c r="CZ375" s="27"/>
      <c r="DA375" s="16"/>
      <c r="DB375" s="27"/>
      <c r="DD375" s="16"/>
    </row>
    <row r="376" spans="1:108" s="14" customFormat="1" ht="21" x14ac:dyDescent="0.4">
      <c r="A376" s="27"/>
      <c r="B376" s="27"/>
      <c r="D376" s="16"/>
      <c r="E376" s="27"/>
      <c r="F376" s="27"/>
      <c r="H376" s="27"/>
      <c r="I376" s="16"/>
      <c r="J376" s="27"/>
      <c r="L376" s="27"/>
      <c r="M376" s="16"/>
      <c r="N376" s="27"/>
      <c r="P376" s="27"/>
      <c r="Q376" s="16"/>
      <c r="R376" s="27"/>
      <c r="T376" s="27"/>
      <c r="U376" s="16"/>
      <c r="V376" s="27"/>
      <c r="X376" s="27"/>
      <c r="Y376" s="16"/>
      <c r="Z376" s="27"/>
      <c r="AB376" s="27"/>
      <c r="AC376" s="16"/>
      <c r="AD376" s="27"/>
      <c r="AF376" s="27"/>
      <c r="AG376" s="16"/>
      <c r="AH376" s="27"/>
      <c r="AJ376" s="27"/>
      <c r="AK376" s="16"/>
      <c r="AL376" s="27"/>
      <c r="AN376" s="27"/>
      <c r="AO376" s="16"/>
      <c r="AP376" s="27"/>
      <c r="AR376" s="27"/>
      <c r="AS376" s="16"/>
      <c r="AT376" s="27"/>
      <c r="AV376" s="27"/>
      <c r="AW376" s="16"/>
      <c r="AX376" s="27"/>
      <c r="AZ376" s="27"/>
      <c r="BA376" s="16"/>
      <c r="BB376" s="27"/>
      <c r="BD376" s="27"/>
      <c r="BE376" s="16"/>
      <c r="BF376" s="27"/>
      <c r="BH376" s="27"/>
      <c r="BI376" s="16"/>
      <c r="BJ376" s="27"/>
      <c r="BL376" s="27"/>
      <c r="BM376" s="16"/>
      <c r="BN376" s="27"/>
      <c r="BP376" s="27"/>
      <c r="BQ376" s="16"/>
      <c r="BR376" s="27"/>
      <c r="BT376" s="27"/>
      <c r="BU376" s="16"/>
      <c r="BV376" s="27"/>
      <c r="BX376" s="27"/>
      <c r="BY376" s="16"/>
      <c r="BZ376" s="27"/>
      <c r="CB376" s="27"/>
      <c r="CC376" s="16"/>
      <c r="CD376" s="27"/>
      <c r="CF376" s="27"/>
      <c r="CG376" s="16"/>
      <c r="CH376" s="27"/>
      <c r="CJ376" s="27"/>
      <c r="CK376" s="16"/>
      <c r="CL376" s="27"/>
      <c r="CN376" s="27"/>
      <c r="CO376" s="16"/>
      <c r="CP376" s="27"/>
      <c r="CR376" s="27"/>
      <c r="CS376" s="16"/>
      <c r="CT376" s="27"/>
      <c r="CV376" s="27"/>
      <c r="CW376" s="16"/>
      <c r="CX376" s="27"/>
      <c r="CZ376" s="27"/>
      <c r="DA376" s="16"/>
      <c r="DB376" s="27"/>
      <c r="DD376" s="16"/>
    </row>
    <row r="377" spans="1:108" s="14" customFormat="1" ht="21" x14ac:dyDescent="0.4">
      <c r="A377" s="27"/>
      <c r="B377" s="27"/>
      <c r="D377" s="16"/>
      <c r="E377" s="27"/>
      <c r="F377" s="27"/>
      <c r="H377" s="27"/>
      <c r="I377" s="16"/>
      <c r="J377" s="27"/>
      <c r="L377" s="27"/>
      <c r="M377" s="16"/>
      <c r="N377" s="27"/>
      <c r="P377" s="27"/>
      <c r="Q377" s="16"/>
      <c r="R377" s="27"/>
      <c r="T377" s="27"/>
      <c r="U377" s="16"/>
      <c r="V377" s="27"/>
      <c r="X377" s="27"/>
      <c r="Y377" s="16"/>
      <c r="Z377" s="27"/>
      <c r="AB377" s="27"/>
      <c r="AC377" s="16"/>
      <c r="AD377" s="27"/>
      <c r="AF377" s="27"/>
      <c r="AG377" s="16"/>
      <c r="AH377" s="27"/>
      <c r="AJ377" s="27"/>
      <c r="AK377" s="16"/>
      <c r="AL377" s="27"/>
      <c r="AN377" s="27"/>
      <c r="AO377" s="16"/>
      <c r="AP377" s="27"/>
      <c r="AR377" s="27"/>
      <c r="AS377" s="16"/>
      <c r="AT377" s="27"/>
      <c r="AV377" s="27"/>
      <c r="AW377" s="16"/>
      <c r="AX377" s="27"/>
      <c r="AZ377" s="27"/>
      <c r="BA377" s="16"/>
      <c r="BB377" s="27"/>
      <c r="BD377" s="27"/>
      <c r="BE377" s="16"/>
      <c r="BF377" s="27"/>
      <c r="BH377" s="27"/>
      <c r="BI377" s="16"/>
      <c r="BJ377" s="27"/>
      <c r="BL377" s="27"/>
      <c r="BM377" s="16"/>
      <c r="BN377" s="27"/>
      <c r="BP377" s="27"/>
      <c r="BQ377" s="16"/>
      <c r="BR377" s="27"/>
      <c r="BT377" s="27"/>
      <c r="BU377" s="16"/>
      <c r="BV377" s="27"/>
      <c r="BX377" s="27"/>
      <c r="BY377" s="16"/>
      <c r="BZ377" s="27"/>
      <c r="CB377" s="27"/>
      <c r="CC377" s="16"/>
      <c r="CD377" s="27"/>
      <c r="CF377" s="27"/>
      <c r="CG377" s="16"/>
      <c r="CH377" s="27"/>
      <c r="CJ377" s="27"/>
      <c r="CK377" s="16"/>
      <c r="CL377" s="27"/>
      <c r="CN377" s="27"/>
      <c r="CO377" s="16"/>
      <c r="CP377" s="27"/>
      <c r="CR377" s="27"/>
      <c r="CS377" s="16"/>
      <c r="CT377" s="27"/>
      <c r="CV377" s="27"/>
      <c r="CW377" s="16"/>
      <c r="CX377" s="27"/>
      <c r="CZ377" s="27"/>
      <c r="DA377" s="16"/>
      <c r="DB377" s="27"/>
      <c r="DD377" s="16"/>
    </row>
    <row r="378" spans="1:108" s="14" customFormat="1" ht="21" x14ac:dyDescent="0.4">
      <c r="A378" s="27"/>
      <c r="B378" s="27"/>
      <c r="D378" s="16"/>
      <c r="E378" s="27"/>
      <c r="F378" s="27"/>
      <c r="H378" s="27"/>
      <c r="I378" s="16"/>
      <c r="J378" s="27"/>
      <c r="L378" s="27"/>
      <c r="M378" s="16"/>
      <c r="N378" s="27"/>
      <c r="P378" s="27"/>
      <c r="Q378" s="16"/>
      <c r="R378" s="27"/>
      <c r="T378" s="27"/>
      <c r="U378" s="16"/>
      <c r="V378" s="27"/>
      <c r="X378" s="27"/>
      <c r="Y378" s="16"/>
      <c r="Z378" s="27"/>
      <c r="AB378" s="27"/>
      <c r="AC378" s="16"/>
      <c r="AD378" s="27"/>
      <c r="AF378" s="27"/>
      <c r="AG378" s="16"/>
      <c r="AH378" s="27"/>
      <c r="AJ378" s="27"/>
      <c r="AK378" s="16"/>
      <c r="AL378" s="27"/>
      <c r="AN378" s="27"/>
      <c r="AO378" s="16"/>
      <c r="AP378" s="27"/>
      <c r="AR378" s="27"/>
      <c r="AS378" s="16"/>
      <c r="AT378" s="27"/>
      <c r="AV378" s="27"/>
      <c r="AW378" s="16"/>
      <c r="AX378" s="27"/>
      <c r="AZ378" s="27"/>
      <c r="BA378" s="16"/>
      <c r="BB378" s="27"/>
      <c r="BD378" s="27"/>
      <c r="BE378" s="16"/>
      <c r="BF378" s="27"/>
      <c r="BH378" s="27"/>
      <c r="BI378" s="16"/>
      <c r="BJ378" s="27"/>
      <c r="BL378" s="27"/>
      <c r="BM378" s="16"/>
      <c r="BN378" s="27"/>
      <c r="BP378" s="27"/>
      <c r="BQ378" s="16"/>
      <c r="BR378" s="27"/>
      <c r="BT378" s="27"/>
      <c r="BU378" s="16"/>
      <c r="BV378" s="27"/>
      <c r="BX378" s="27"/>
      <c r="BY378" s="16"/>
      <c r="BZ378" s="27"/>
      <c r="CB378" s="27"/>
      <c r="CC378" s="16"/>
      <c r="CD378" s="27"/>
      <c r="CF378" s="27"/>
      <c r="CG378" s="16"/>
      <c r="CH378" s="27"/>
      <c r="CJ378" s="27"/>
      <c r="CK378" s="16"/>
      <c r="CL378" s="27"/>
      <c r="CN378" s="27"/>
      <c r="CO378" s="16"/>
      <c r="CP378" s="27"/>
      <c r="CR378" s="27"/>
      <c r="CS378" s="16"/>
      <c r="CT378" s="27"/>
      <c r="CV378" s="27"/>
      <c r="CW378" s="16"/>
      <c r="CX378" s="27"/>
      <c r="CZ378" s="27"/>
      <c r="DA378" s="16"/>
      <c r="DB378" s="27"/>
      <c r="DD378" s="16"/>
    </row>
    <row r="379" spans="1:108" s="14" customFormat="1" ht="21" x14ac:dyDescent="0.4">
      <c r="A379" s="27"/>
      <c r="B379" s="27"/>
      <c r="D379" s="16"/>
      <c r="E379" s="27"/>
      <c r="F379" s="27"/>
      <c r="H379" s="27"/>
      <c r="I379" s="16"/>
      <c r="J379" s="27"/>
      <c r="L379" s="27"/>
      <c r="M379" s="16"/>
      <c r="N379" s="27"/>
      <c r="P379" s="27"/>
      <c r="Q379" s="16"/>
      <c r="R379" s="27"/>
      <c r="T379" s="27"/>
      <c r="U379" s="16"/>
      <c r="V379" s="27"/>
      <c r="X379" s="27"/>
      <c r="Y379" s="16"/>
      <c r="Z379" s="27"/>
      <c r="AB379" s="27"/>
      <c r="AC379" s="16"/>
      <c r="AD379" s="27"/>
      <c r="AF379" s="27"/>
      <c r="AG379" s="16"/>
      <c r="AH379" s="27"/>
      <c r="AJ379" s="27"/>
      <c r="AK379" s="16"/>
      <c r="AL379" s="27"/>
      <c r="AN379" s="27"/>
      <c r="AO379" s="16"/>
      <c r="AP379" s="27"/>
      <c r="AR379" s="27"/>
      <c r="AS379" s="16"/>
      <c r="AT379" s="27"/>
      <c r="AV379" s="27"/>
      <c r="AW379" s="16"/>
      <c r="AX379" s="27"/>
      <c r="AZ379" s="27"/>
      <c r="BA379" s="16"/>
      <c r="BB379" s="27"/>
      <c r="BD379" s="27"/>
      <c r="BE379" s="16"/>
      <c r="BF379" s="27"/>
      <c r="BH379" s="27"/>
      <c r="BI379" s="16"/>
      <c r="BJ379" s="27"/>
      <c r="BL379" s="27"/>
      <c r="BM379" s="16"/>
      <c r="BN379" s="27"/>
      <c r="BP379" s="27"/>
      <c r="BQ379" s="16"/>
      <c r="BR379" s="27"/>
      <c r="BT379" s="27"/>
      <c r="BU379" s="16"/>
      <c r="BV379" s="27"/>
      <c r="BX379" s="27"/>
      <c r="BY379" s="16"/>
      <c r="BZ379" s="27"/>
      <c r="CB379" s="27"/>
      <c r="CC379" s="16"/>
      <c r="CD379" s="27"/>
      <c r="CF379" s="27"/>
      <c r="CG379" s="16"/>
      <c r="CH379" s="27"/>
      <c r="CJ379" s="27"/>
      <c r="CK379" s="16"/>
      <c r="CL379" s="27"/>
      <c r="CN379" s="27"/>
      <c r="CO379" s="16"/>
      <c r="CP379" s="27"/>
      <c r="CR379" s="27"/>
      <c r="CS379" s="16"/>
      <c r="CT379" s="27"/>
      <c r="CV379" s="27"/>
      <c r="CW379" s="16"/>
      <c r="CX379" s="27"/>
      <c r="CZ379" s="27"/>
      <c r="DA379" s="16"/>
      <c r="DB379" s="27"/>
      <c r="DD379" s="16"/>
    </row>
    <row r="380" spans="1:108" s="14" customFormat="1" ht="21" x14ac:dyDescent="0.4">
      <c r="A380" s="27"/>
      <c r="B380" s="27"/>
      <c r="D380" s="16"/>
      <c r="E380" s="27"/>
      <c r="F380" s="27"/>
      <c r="H380" s="27"/>
      <c r="I380" s="16"/>
      <c r="J380" s="27"/>
      <c r="L380" s="27"/>
      <c r="M380" s="16"/>
      <c r="N380" s="27"/>
      <c r="P380" s="27"/>
      <c r="Q380" s="16"/>
      <c r="R380" s="27"/>
      <c r="T380" s="27"/>
      <c r="U380" s="16"/>
      <c r="V380" s="27"/>
      <c r="X380" s="27"/>
      <c r="Y380" s="16"/>
      <c r="Z380" s="27"/>
      <c r="AB380" s="27"/>
      <c r="AC380" s="16"/>
      <c r="AD380" s="27"/>
      <c r="AF380" s="27"/>
      <c r="AG380" s="16"/>
      <c r="AH380" s="27"/>
      <c r="AJ380" s="27"/>
      <c r="AK380" s="16"/>
      <c r="AL380" s="27"/>
      <c r="AN380" s="27"/>
      <c r="AO380" s="16"/>
      <c r="AP380" s="27"/>
      <c r="AR380" s="27"/>
      <c r="AS380" s="16"/>
      <c r="AT380" s="27"/>
      <c r="AV380" s="27"/>
      <c r="AW380" s="16"/>
      <c r="AX380" s="27"/>
      <c r="AZ380" s="27"/>
      <c r="BA380" s="16"/>
      <c r="BB380" s="27"/>
      <c r="BD380" s="27"/>
      <c r="BE380" s="16"/>
      <c r="BF380" s="27"/>
      <c r="BH380" s="27"/>
      <c r="BI380" s="16"/>
      <c r="BJ380" s="27"/>
      <c r="BL380" s="27"/>
      <c r="BM380" s="16"/>
      <c r="BN380" s="27"/>
      <c r="BP380" s="27"/>
      <c r="BQ380" s="16"/>
      <c r="BR380" s="27"/>
      <c r="BT380" s="27"/>
      <c r="BU380" s="16"/>
      <c r="BV380" s="27"/>
      <c r="BX380" s="27"/>
      <c r="BY380" s="16"/>
      <c r="BZ380" s="27"/>
      <c r="CB380" s="27"/>
      <c r="CC380" s="16"/>
      <c r="CD380" s="27"/>
      <c r="CF380" s="27"/>
      <c r="CG380" s="16"/>
      <c r="CH380" s="27"/>
      <c r="CJ380" s="27"/>
      <c r="CK380" s="16"/>
      <c r="CL380" s="27"/>
      <c r="CN380" s="27"/>
      <c r="CO380" s="16"/>
      <c r="CP380" s="27"/>
      <c r="CR380" s="27"/>
      <c r="CS380" s="16"/>
      <c r="CT380" s="27"/>
      <c r="CV380" s="27"/>
      <c r="CW380" s="16"/>
      <c r="CX380" s="27"/>
      <c r="CZ380" s="27"/>
      <c r="DA380" s="16"/>
      <c r="DB380" s="27"/>
      <c r="DD380" s="16"/>
    </row>
    <row r="381" spans="1:108" s="14" customFormat="1" ht="21" x14ac:dyDescent="0.4">
      <c r="A381" s="27"/>
      <c r="B381" s="27"/>
      <c r="D381" s="16"/>
      <c r="E381" s="27"/>
      <c r="F381" s="27"/>
      <c r="H381" s="27"/>
      <c r="I381" s="16"/>
      <c r="J381" s="27"/>
      <c r="L381" s="27"/>
      <c r="M381" s="16"/>
      <c r="N381" s="27"/>
      <c r="P381" s="27"/>
      <c r="Q381" s="16"/>
      <c r="R381" s="27"/>
      <c r="T381" s="27"/>
      <c r="U381" s="16"/>
      <c r="V381" s="27"/>
      <c r="X381" s="27"/>
      <c r="Y381" s="16"/>
      <c r="Z381" s="27"/>
      <c r="AB381" s="27"/>
      <c r="AC381" s="16"/>
      <c r="AD381" s="27"/>
      <c r="AF381" s="27"/>
      <c r="AG381" s="16"/>
      <c r="AH381" s="27"/>
      <c r="AJ381" s="27"/>
      <c r="AK381" s="16"/>
      <c r="AL381" s="27"/>
      <c r="AN381" s="27"/>
      <c r="AO381" s="16"/>
      <c r="AP381" s="27"/>
      <c r="AR381" s="27"/>
      <c r="AS381" s="16"/>
      <c r="AT381" s="27"/>
      <c r="AV381" s="27"/>
      <c r="AW381" s="16"/>
      <c r="AX381" s="27"/>
      <c r="AZ381" s="27"/>
      <c r="BA381" s="16"/>
      <c r="BB381" s="27"/>
      <c r="BD381" s="27"/>
      <c r="BE381" s="16"/>
      <c r="BF381" s="27"/>
      <c r="BH381" s="27"/>
      <c r="BI381" s="16"/>
      <c r="BJ381" s="27"/>
      <c r="BL381" s="27"/>
      <c r="BM381" s="16"/>
      <c r="BN381" s="27"/>
      <c r="BP381" s="27"/>
      <c r="BQ381" s="16"/>
      <c r="BR381" s="27"/>
      <c r="BT381" s="27"/>
      <c r="BU381" s="16"/>
      <c r="BV381" s="27"/>
      <c r="BX381" s="27"/>
      <c r="BY381" s="16"/>
      <c r="BZ381" s="27"/>
      <c r="CB381" s="27"/>
      <c r="CC381" s="16"/>
      <c r="CD381" s="27"/>
      <c r="CF381" s="27"/>
      <c r="CG381" s="16"/>
      <c r="CH381" s="27"/>
      <c r="CJ381" s="27"/>
      <c r="CK381" s="16"/>
      <c r="CL381" s="27"/>
      <c r="CN381" s="27"/>
      <c r="CO381" s="16"/>
      <c r="CP381" s="27"/>
      <c r="CR381" s="27"/>
      <c r="CS381" s="16"/>
      <c r="CT381" s="27"/>
      <c r="CV381" s="27"/>
      <c r="CW381" s="16"/>
      <c r="CX381" s="27"/>
      <c r="CZ381" s="27"/>
      <c r="DA381" s="16"/>
      <c r="DB381" s="27"/>
      <c r="DD381" s="16"/>
    </row>
    <row r="382" spans="1:108" s="14" customFormat="1" ht="21" x14ac:dyDescent="0.4">
      <c r="A382" s="27"/>
      <c r="B382" s="27"/>
      <c r="D382" s="16"/>
      <c r="E382" s="27"/>
      <c r="F382" s="27"/>
      <c r="H382" s="27"/>
      <c r="I382" s="16"/>
      <c r="J382" s="27"/>
      <c r="L382" s="27"/>
      <c r="M382" s="16"/>
      <c r="N382" s="27"/>
      <c r="P382" s="27"/>
      <c r="Q382" s="16"/>
      <c r="R382" s="27"/>
      <c r="T382" s="27"/>
      <c r="U382" s="16"/>
      <c r="V382" s="27"/>
      <c r="X382" s="27"/>
      <c r="Y382" s="16"/>
      <c r="Z382" s="27"/>
      <c r="AB382" s="27"/>
      <c r="AC382" s="16"/>
      <c r="AD382" s="27"/>
      <c r="AF382" s="27"/>
      <c r="AG382" s="16"/>
      <c r="AH382" s="27"/>
      <c r="AJ382" s="27"/>
      <c r="AK382" s="16"/>
      <c r="AL382" s="27"/>
      <c r="AN382" s="27"/>
      <c r="AO382" s="16"/>
      <c r="AP382" s="27"/>
      <c r="AR382" s="27"/>
      <c r="AS382" s="16"/>
      <c r="AT382" s="27"/>
      <c r="AV382" s="27"/>
      <c r="AW382" s="16"/>
      <c r="AX382" s="27"/>
      <c r="AZ382" s="27"/>
      <c r="BA382" s="16"/>
      <c r="BB382" s="27"/>
      <c r="BD382" s="27"/>
      <c r="BE382" s="16"/>
      <c r="BF382" s="27"/>
      <c r="BH382" s="27"/>
      <c r="BI382" s="16"/>
      <c r="BJ382" s="27"/>
      <c r="BL382" s="27"/>
      <c r="BM382" s="16"/>
      <c r="BN382" s="27"/>
      <c r="BP382" s="27"/>
      <c r="BQ382" s="16"/>
      <c r="BR382" s="27"/>
      <c r="BT382" s="27"/>
      <c r="BU382" s="16"/>
      <c r="BV382" s="27"/>
      <c r="BX382" s="27"/>
      <c r="BY382" s="16"/>
      <c r="BZ382" s="27"/>
      <c r="CB382" s="27"/>
      <c r="CC382" s="16"/>
      <c r="CD382" s="27"/>
      <c r="CF382" s="27"/>
      <c r="CG382" s="16"/>
      <c r="CH382" s="27"/>
      <c r="CJ382" s="27"/>
      <c r="CK382" s="16"/>
      <c r="CL382" s="27"/>
      <c r="CN382" s="27"/>
      <c r="CO382" s="16"/>
      <c r="CP382" s="27"/>
      <c r="CR382" s="27"/>
      <c r="CS382" s="16"/>
      <c r="CT382" s="27"/>
      <c r="CV382" s="27"/>
      <c r="CW382" s="16"/>
      <c r="CX382" s="27"/>
      <c r="CZ382" s="27"/>
      <c r="DA382" s="16"/>
      <c r="DB382" s="27"/>
      <c r="DD382" s="16"/>
    </row>
    <row r="383" spans="1:108" s="14" customFormat="1" ht="21" x14ac:dyDescent="0.4">
      <c r="A383" s="27"/>
      <c r="B383" s="27"/>
      <c r="D383" s="16"/>
      <c r="E383" s="27"/>
      <c r="F383" s="27"/>
      <c r="H383" s="27"/>
      <c r="I383" s="16"/>
      <c r="J383" s="27"/>
      <c r="L383" s="27"/>
      <c r="M383" s="16"/>
      <c r="N383" s="27"/>
      <c r="P383" s="27"/>
      <c r="Q383" s="16"/>
      <c r="R383" s="27"/>
      <c r="T383" s="27"/>
      <c r="U383" s="16"/>
      <c r="V383" s="27"/>
      <c r="X383" s="27"/>
      <c r="Y383" s="16"/>
      <c r="Z383" s="27"/>
      <c r="AB383" s="27"/>
      <c r="AC383" s="16"/>
      <c r="AD383" s="27"/>
      <c r="AF383" s="27"/>
      <c r="AG383" s="16"/>
      <c r="AH383" s="27"/>
      <c r="AJ383" s="27"/>
      <c r="AK383" s="16"/>
      <c r="AL383" s="27"/>
      <c r="AN383" s="27"/>
      <c r="AO383" s="16"/>
      <c r="AP383" s="27"/>
      <c r="AR383" s="27"/>
      <c r="AS383" s="16"/>
      <c r="AT383" s="27"/>
      <c r="AV383" s="27"/>
      <c r="AW383" s="16"/>
      <c r="AX383" s="27"/>
      <c r="AZ383" s="27"/>
      <c r="BA383" s="16"/>
      <c r="BB383" s="27"/>
      <c r="BD383" s="27"/>
      <c r="BE383" s="16"/>
      <c r="BF383" s="27"/>
      <c r="BH383" s="27"/>
      <c r="BI383" s="16"/>
      <c r="BJ383" s="27"/>
      <c r="BL383" s="27"/>
      <c r="BM383" s="16"/>
      <c r="BN383" s="27"/>
      <c r="BP383" s="27"/>
      <c r="BQ383" s="16"/>
      <c r="BR383" s="27"/>
      <c r="BT383" s="27"/>
      <c r="BU383" s="16"/>
      <c r="BV383" s="27"/>
      <c r="BX383" s="27"/>
      <c r="BY383" s="16"/>
      <c r="BZ383" s="27"/>
      <c r="CB383" s="27"/>
      <c r="CC383" s="16"/>
      <c r="CD383" s="27"/>
      <c r="CF383" s="27"/>
      <c r="CG383" s="16"/>
      <c r="CH383" s="27"/>
      <c r="CJ383" s="27"/>
      <c r="CK383" s="16"/>
      <c r="CL383" s="27"/>
      <c r="CN383" s="27"/>
      <c r="CO383" s="16"/>
      <c r="CP383" s="27"/>
      <c r="CR383" s="27"/>
      <c r="CS383" s="16"/>
      <c r="CT383" s="27"/>
      <c r="CV383" s="27"/>
      <c r="CW383" s="16"/>
      <c r="CX383" s="27"/>
      <c r="CZ383" s="27"/>
      <c r="DA383" s="16"/>
      <c r="DB383" s="27"/>
      <c r="DD383" s="16"/>
    </row>
    <row r="384" spans="1:108" s="14" customFormat="1" ht="21" x14ac:dyDescent="0.4">
      <c r="A384" s="27"/>
      <c r="B384" s="27"/>
      <c r="D384" s="16"/>
      <c r="E384" s="27"/>
      <c r="F384" s="27"/>
      <c r="H384" s="27"/>
      <c r="I384" s="16"/>
      <c r="J384" s="27"/>
      <c r="L384" s="27"/>
      <c r="M384" s="16"/>
      <c r="N384" s="27"/>
      <c r="P384" s="27"/>
      <c r="Q384" s="16"/>
      <c r="R384" s="27"/>
      <c r="T384" s="27"/>
      <c r="U384" s="16"/>
      <c r="V384" s="27"/>
      <c r="X384" s="27"/>
      <c r="Y384" s="16"/>
      <c r="Z384" s="27"/>
      <c r="AB384" s="27"/>
      <c r="AC384" s="16"/>
      <c r="AD384" s="27"/>
      <c r="AF384" s="27"/>
      <c r="AG384" s="16"/>
      <c r="AH384" s="27"/>
      <c r="AJ384" s="27"/>
      <c r="AK384" s="16"/>
      <c r="AL384" s="27"/>
      <c r="AN384" s="27"/>
      <c r="AO384" s="16"/>
      <c r="AP384" s="27"/>
      <c r="AR384" s="27"/>
      <c r="AS384" s="16"/>
      <c r="AT384" s="27"/>
      <c r="AV384" s="27"/>
      <c r="AW384" s="16"/>
      <c r="AX384" s="27"/>
      <c r="AZ384" s="27"/>
      <c r="BA384" s="16"/>
      <c r="BB384" s="27"/>
      <c r="BD384" s="27"/>
      <c r="BE384" s="16"/>
      <c r="BF384" s="27"/>
      <c r="BH384" s="27"/>
      <c r="BI384" s="16"/>
      <c r="BJ384" s="27"/>
      <c r="BL384" s="27"/>
      <c r="BM384" s="16"/>
      <c r="BN384" s="27"/>
      <c r="BP384" s="27"/>
      <c r="BQ384" s="16"/>
      <c r="BR384" s="27"/>
      <c r="BT384" s="27"/>
      <c r="BU384" s="16"/>
      <c r="BV384" s="27"/>
      <c r="BX384" s="27"/>
      <c r="BY384" s="16"/>
      <c r="BZ384" s="27"/>
      <c r="CB384" s="27"/>
      <c r="CC384" s="16"/>
      <c r="CD384" s="27"/>
      <c r="CF384" s="27"/>
      <c r="CG384" s="16"/>
      <c r="CH384" s="27"/>
      <c r="CJ384" s="27"/>
      <c r="CK384" s="16"/>
      <c r="CL384" s="27"/>
      <c r="CN384" s="27"/>
      <c r="CO384" s="16"/>
      <c r="CP384" s="27"/>
      <c r="CR384" s="27"/>
      <c r="CS384" s="16"/>
      <c r="CT384" s="27"/>
      <c r="CV384" s="27"/>
      <c r="CW384" s="16"/>
      <c r="CX384" s="27"/>
      <c r="CZ384" s="27"/>
      <c r="DA384" s="16"/>
      <c r="DB384" s="27"/>
      <c r="DD384" s="16"/>
    </row>
    <row r="385" spans="1:108" s="14" customFormat="1" ht="21" x14ac:dyDescent="0.4">
      <c r="A385" s="27"/>
      <c r="B385" s="27"/>
      <c r="D385" s="16"/>
      <c r="E385" s="27"/>
      <c r="F385" s="27"/>
      <c r="H385" s="27"/>
      <c r="I385" s="16"/>
      <c r="J385" s="27"/>
      <c r="L385" s="27"/>
      <c r="M385" s="16"/>
      <c r="N385" s="27"/>
      <c r="P385" s="27"/>
      <c r="Q385" s="16"/>
      <c r="R385" s="27"/>
      <c r="T385" s="27"/>
      <c r="U385" s="16"/>
      <c r="V385" s="27"/>
      <c r="X385" s="27"/>
      <c r="Y385" s="16"/>
      <c r="Z385" s="27"/>
      <c r="AB385" s="27"/>
      <c r="AC385" s="16"/>
      <c r="AD385" s="27"/>
      <c r="AF385" s="27"/>
      <c r="AG385" s="16"/>
      <c r="AH385" s="27"/>
      <c r="AJ385" s="27"/>
      <c r="AK385" s="16"/>
      <c r="AL385" s="27"/>
      <c r="AN385" s="27"/>
      <c r="AO385" s="16"/>
      <c r="AP385" s="27"/>
      <c r="AR385" s="27"/>
      <c r="AS385" s="16"/>
      <c r="AT385" s="27"/>
      <c r="AV385" s="27"/>
      <c r="AW385" s="16"/>
      <c r="AX385" s="27"/>
      <c r="AZ385" s="27"/>
      <c r="BA385" s="16"/>
      <c r="BB385" s="27"/>
      <c r="BD385" s="27"/>
      <c r="BE385" s="16"/>
      <c r="BF385" s="27"/>
      <c r="BH385" s="27"/>
      <c r="BI385" s="16"/>
      <c r="BJ385" s="27"/>
      <c r="BL385" s="27"/>
      <c r="BM385" s="16"/>
      <c r="BN385" s="27"/>
      <c r="BP385" s="27"/>
      <c r="BQ385" s="16"/>
      <c r="BR385" s="27"/>
      <c r="BT385" s="27"/>
      <c r="BU385" s="16"/>
      <c r="BV385" s="27"/>
      <c r="BX385" s="27"/>
      <c r="BY385" s="16"/>
      <c r="BZ385" s="27"/>
      <c r="CB385" s="27"/>
      <c r="CC385" s="16"/>
      <c r="CD385" s="27"/>
      <c r="CF385" s="27"/>
      <c r="CG385" s="16"/>
      <c r="CH385" s="27"/>
      <c r="CJ385" s="27"/>
      <c r="CK385" s="16"/>
      <c r="CL385" s="27"/>
      <c r="CN385" s="27"/>
      <c r="CO385" s="16"/>
      <c r="CP385" s="27"/>
      <c r="CR385" s="27"/>
      <c r="CS385" s="16"/>
      <c r="CT385" s="27"/>
      <c r="CV385" s="27"/>
      <c r="CW385" s="16"/>
      <c r="CX385" s="27"/>
      <c r="CZ385" s="27"/>
      <c r="DA385" s="16"/>
      <c r="DB385" s="27"/>
      <c r="DD385" s="16"/>
    </row>
    <row r="386" spans="1:108" s="14" customFormat="1" ht="21" x14ac:dyDescent="0.4">
      <c r="A386" s="27"/>
      <c r="B386" s="27"/>
      <c r="D386" s="16"/>
      <c r="E386" s="27"/>
      <c r="F386" s="27"/>
      <c r="H386" s="27"/>
      <c r="I386" s="16"/>
      <c r="J386" s="27"/>
      <c r="L386" s="27"/>
      <c r="M386" s="16"/>
      <c r="N386" s="27"/>
      <c r="P386" s="27"/>
      <c r="Q386" s="16"/>
      <c r="R386" s="27"/>
      <c r="T386" s="27"/>
      <c r="U386" s="16"/>
      <c r="V386" s="27"/>
      <c r="X386" s="27"/>
      <c r="Y386" s="16"/>
      <c r="Z386" s="27"/>
      <c r="AB386" s="27"/>
      <c r="AC386" s="16"/>
      <c r="AD386" s="27"/>
      <c r="AF386" s="27"/>
      <c r="AG386" s="16"/>
      <c r="AH386" s="27"/>
      <c r="AJ386" s="27"/>
      <c r="AK386" s="16"/>
      <c r="AL386" s="27"/>
      <c r="AN386" s="27"/>
      <c r="AO386" s="16"/>
      <c r="AP386" s="27"/>
      <c r="AR386" s="27"/>
      <c r="AS386" s="16"/>
      <c r="AT386" s="27"/>
      <c r="AV386" s="27"/>
      <c r="AW386" s="16"/>
      <c r="AX386" s="27"/>
      <c r="AZ386" s="27"/>
      <c r="BA386" s="16"/>
      <c r="BB386" s="27"/>
      <c r="BD386" s="27"/>
      <c r="BE386" s="16"/>
      <c r="BF386" s="27"/>
      <c r="BH386" s="27"/>
      <c r="BI386" s="16"/>
      <c r="BJ386" s="27"/>
      <c r="BL386" s="27"/>
      <c r="BM386" s="16"/>
      <c r="BN386" s="27"/>
      <c r="BP386" s="27"/>
      <c r="BQ386" s="16"/>
      <c r="BR386" s="27"/>
      <c r="BT386" s="27"/>
      <c r="BU386" s="16"/>
      <c r="BV386" s="27"/>
      <c r="BX386" s="27"/>
      <c r="BY386" s="16"/>
      <c r="BZ386" s="27"/>
      <c r="CB386" s="27"/>
      <c r="CC386" s="16"/>
      <c r="CD386" s="27"/>
      <c r="CF386" s="27"/>
      <c r="CG386" s="16"/>
      <c r="CH386" s="27"/>
      <c r="CJ386" s="27"/>
      <c r="CK386" s="16"/>
      <c r="CL386" s="27"/>
      <c r="CN386" s="27"/>
      <c r="CO386" s="16"/>
      <c r="CP386" s="27"/>
      <c r="CR386" s="27"/>
      <c r="CS386" s="16"/>
      <c r="CT386" s="27"/>
      <c r="CV386" s="27"/>
      <c r="CW386" s="16"/>
      <c r="CX386" s="27"/>
      <c r="CZ386" s="27"/>
      <c r="DA386" s="16"/>
      <c r="DB386" s="27"/>
      <c r="DD386" s="16"/>
    </row>
    <row r="387" spans="1:108" s="14" customFormat="1" ht="21" x14ac:dyDescent="0.4">
      <c r="A387" s="27"/>
      <c r="B387" s="27"/>
      <c r="D387" s="16"/>
      <c r="E387" s="27"/>
      <c r="F387" s="27"/>
      <c r="H387" s="27"/>
      <c r="I387" s="16"/>
      <c r="J387" s="27"/>
      <c r="L387" s="27"/>
      <c r="M387" s="16"/>
      <c r="N387" s="27"/>
      <c r="P387" s="27"/>
      <c r="Q387" s="16"/>
      <c r="R387" s="27"/>
      <c r="T387" s="27"/>
      <c r="U387" s="16"/>
      <c r="V387" s="27"/>
      <c r="X387" s="27"/>
      <c r="Y387" s="16"/>
      <c r="Z387" s="27"/>
      <c r="AB387" s="27"/>
      <c r="AC387" s="16"/>
      <c r="AD387" s="27"/>
      <c r="AF387" s="27"/>
      <c r="AG387" s="16"/>
      <c r="AH387" s="27"/>
      <c r="AJ387" s="27"/>
      <c r="AK387" s="16"/>
      <c r="AL387" s="27"/>
      <c r="AN387" s="27"/>
      <c r="AO387" s="16"/>
      <c r="AP387" s="27"/>
      <c r="AR387" s="27"/>
      <c r="AS387" s="16"/>
      <c r="AT387" s="27"/>
      <c r="AV387" s="27"/>
      <c r="AW387" s="16"/>
      <c r="AX387" s="27"/>
      <c r="AZ387" s="27"/>
      <c r="BA387" s="16"/>
      <c r="BB387" s="27"/>
      <c r="BD387" s="27"/>
      <c r="BE387" s="16"/>
      <c r="BF387" s="27"/>
      <c r="BH387" s="27"/>
      <c r="BI387" s="16"/>
      <c r="BJ387" s="27"/>
      <c r="BL387" s="27"/>
      <c r="BM387" s="16"/>
      <c r="BN387" s="27"/>
      <c r="BP387" s="27"/>
      <c r="BQ387" s="16"/>
      <c r="BR387" s="27"/>
      <c r="BT387" s="27"/>
      <c r="BU387" s="16"/>
      <c r="BV387" s="27"/>
      <c r="BX387" s="27"/>
      <c r="BY387" s="16"/>
      <c r="BZ387" s="27"/>
      <c r="CB387" s="27"/>
      <c r="CC387" s="16"/>
      <c r="CD387" s="27"/>
      <c r="CF387" s="27"/>
      <c r="CG387" s="16"/>
      <c r="CH387" s="27"/>
      <c r="CJ387" s="27"/>
      <c r="CK387" s="16"/>
      <c r="CL387" s="27"/>
      <c r="CN387" s="27"/>
      <c r="CO387" s="16"/>
      <c r="CP387" s="27"/>
      <c r="CR387" s="27"/>
      <c r="CS387" s="16"/>
      <c r="CT387" s="27"/>
      <c r="CV387" s="27"/>
      <c r="CW387" s="16"/>
      <c r="CX387" s="27"/>
      <c r="CZ387" s="27"/>
      <c r="DA387" s="16"/>
      <c r="DB387" s="27"/>
      <c r="DD387" s="16"/>
    </row>
    <row r="388" spans="1:108" s="14" customFormat="1" ht="21" x14ac:dyDescent="0.4">
      <c r="A388" s="27"/>
      <c r="B388" s="27"/>
      <c r="D388" s="16"/>
      <c r="E388" s="27"/>
      <c r="F388" s="27"/>
      <c r="H388" s="27"/>
      <c r="I388" s="16"/>
      <c r="J388" s="27"/>
      <c r="L388" s="27"/>
      <c r="M388" s="16"/>
      <c r="N388" s="27"/>
      <c r="P388" s="27"/>
      <c r="Q388" s="16"/>
      <c r="R388" s="27"/>
      <c r="T388" s="27"/>
      <c r="U388" s="16"/>
      <c r="V388" s="27"/>
      <c r="X388" s="27"/>
      <c r="Y388" s="16"/>
      <c r="Z388" s="27"/>
      <c r="AB388" s="27"/>
      <c r="AC388" s="16"/>
      <c r="AD388" s="27"/>
      <c r="AF388" s="27"/>
      <c r="AG388" s="16"/>
      <c r="AH388" s="27"/>
      <c r="AJ388" s="27"/>
      <c r="AK388" s="16"/>
      <c r="AL388" s="27"/>
      <c r="AN388" s="27"/>
      <c r="AO388" s="16"/>
      <c r="AP388" s="27"/>
      <c r="AR388" s="27"/>
      <c r="AS388" s="16"/>
      <c r="AT388" s="27"/>
      <c r="AV388" s="27"/>
      <c r="AW388" s="16"/>
      <c r="AX388" s="27"/>
      <c r="AZ388" s="27"/>
      <c r="BA388" s="16"/>
      <c r="BB388" s="27"/>
      <c r="BD388" s="27"/>
      <c r="BE388" s="16"/>
      <c r="BF388" s="27"/>
      <c r="BH388" s="27"/>
      <c r="BI388" s="16"/>
      <c r="BJ388" s="27"/>
      <c r="BL388" s="27"/>
      <c r="BM388" s="16"/>
      <c r="BN388" s="27"/>
      <c r="BP388" s="27"/>
      <c r="BQ388" s="16"/>
      <c r="BR388" s="27"/>
      <c r="BT388" s="27"/>
      <c r="BU388" s="16"/>
      <c r="BV388" s="27"/>
      <c r="BX388" s="27"/>
      <c r="BY388" s="16"/>
      <c r="BZ388" s="27"/>
      <c r="CB388" s="27"/>
      <c r="CC388" s="16"/>
      <c r="CD388" s="27"/>
      <c r="CF388" s="27"/>
      <c r="CG388" s="16"/>
      <c r="CH388" s="27"/>
      <c r="CJ388" s="27"/>
      <c r="CK388" s="16"/>
      <c r="CL388" s="27"/>
      <c r="CN388" s="27"/>
      <c r="CO388" s="16"/>
      <c r="CP388" s="27"/>
      <c r="CR388" s="27"/>
      <c r="CS388" s="16"/>
      <c r="CT388" s="27"/>
      <c r="CV388" s="27"/>
      <c r="CW388" s="16"/>
      <c r="CX388" s="27"/>
      <c r="CZ388" s="27"/>
      <c r="DA388" s="16"/>
      <c r="DB388" s="27"/>
      <c r="DD388" s="16"/>
    </row>
    <row r="389" spans="1:108" s="14" customFormat="1" ht="21" x14ac:dyDescent="0.4">
      <c r="A389" s="27"/>
      <c r="B389" s="27"/>
      <c r="D389" s="16"/>
      <c r="E389" s="27"/>
      <c r="F389" s="27"/>
      <c r="H389" s="27"/>
      <c r="I389" s="16"/>
      <c r="J389" s="27"/>
      <c r="L389" s="27"/>
      <c r="M389" s="16"/>
      <c r="N389" s="27"/>
      <c r="P389" s="27"/>
      <c r="Q389" s="16"/>
      <c r="R389" s="27"/>
      <c r="T389" s="27"/>
      <c r="U389" s="16"/>
      <c r="V389" s="27"/>
      <c r="X389" s="27"/>
      <c r="Y389" s="16"/>
      <c r="Z389" s="27"/>
      <c r="AB389" s="27"/>
      <c r="AC389" s="16"/>
      <c r="AD389" s="27"/>
      <c r="AF389" s="27"/>
      <c r="AG389" s="16"/>
      <c r="AH389" s="27"/>
      <c r="AJ389" s="27"/>
      <c r="AK389" s="16"/>
      <c r="AL389" s="27"/>
      <c r="AN389" s="27"/>
      <c r="AO389" s="16"/>
      <c r="AP389" s="27"/>
      <c r="AR389" s="27"/>
      <c r="AS389" s="16"/>
      <c r="AT389" s="27"/>
      <c r="AV389" s="27"/>
      <c r="AW389" s="16"/>
      <c r="AX389" s="27"/>
      <c r="AZ389" s="27"/>
      <c r="BA389" s="16"/>
      <c r="BB389" s="27"/>
      <c r="BD389" s="27"/>
      <c r="BE389" s="16"/>
      <c r="BF389" s="27"/>
      <c r="BH389" s="27"/>
      <c r="BI389" s="16"/>
      <c r="BJ389" s="27"/>
      <c r="BL389" s="27"/>
      <c r="BM389" s="16"/>
      <c r="BN389" s="27"/>
      <c r="BP389" s="27"/>
      <c r="BQ389" s="16"/>
      <c r="BR389" s="27"/>
      <c r="BT389" s="27"/>
      <c r="BU389" s="16"/>
      <c r="BV389" s="27"/>
      <c r="BX389" s="27"/>
      <c r="BY389" s="16"/>
      <c r="BZ389" s="27"/>
      <c r="CB389" s="27"/>
      <c r="CC389" s="16"/>
      <c r="CD389" s="27"/>
      <c r="CF389" s="27"/>
      <c r="CG389" s="16"/>
      <c r="CH389" s="27"/>
      <c r="CJ389" s="27"/>
      <c r="CK389" s="16"/>
      <c r="CL389" s="27"/>
      <c r="CN389" s="27"/>
      <c r="CO389" s="16"/>
      <c r="CP389" s="27"/>
      <c r="CR389" s="27"/>
      <c r="CS389" s="16"/>
      <c r="CT389" s="27"/>
      <c r="CV389" s="27"/>
      <c r="CW389" s="16"/>
      <c r="CX389" s="27"/>
      <c r="CZ389" s="27"/>
      <c r="DA389" s="16"/>
      <c r="DB389" s="27"/>
      <c r="DD389" s="16"/>
    </row>
    <row r="390" spans="1:108" s="14" customFormat="1" ht="21" x14ac:dyDescent="0.4">
      <c r="A390" s="27"/>
      <c r="B390" s="27"/>
      <c r="D390" s="16"/>
      <c r="E390" s="27"/>
      <c r="F390" s="27"/>
      <c r="H390" s="27"/>
      <c r="I390" s="16"/>
      <c r="J390" s="27"/>
      <c r="L390" s="27"/>
      <c r="M390" s="16"/>
      <c r="N390" s="27"/>
      <c r="P390" s="27"/>
      <c r="Q390" s="16"/>
      <c r="R390" s="27"/>
      <c r="T390" s="27"/>
      <c r="U390" s="16"/>
      <c r="V390" s="27"/>
      <c r="X390" s="27"/>
      <c r="Y390" s="16"/>
      <c r="Z390" s="27"/>
      <c r="AB390" s="27"/>
      <c r="AC390" s="16"/>
      <c r="AD390" s="27"/>
      <c r="AF390" s="27"/>
      <c r="AG390" s="16"/>
      <c r="AH390" s="27"/>
      <c r="AJ390" s="27"/>
      <c r="AK390" s="16"/>
      <c r="AL390" s="27"/>
      <c r="AN390" s="27"/>
      <c r="AO390" s="16"/>
      <c r="AP390" s="27"/>
      <c r="AR390" s="27"/>
      <c r="AS390" s="16"/>
      <c r="AT390" s="27"/>
      <c r="AV390" s="27"/>
      <c r="AW390" s="16"/>
      <c r="AX390" s="27"/>
      <c r="AZ390" s="27"/>
      <c r="BA390" s="16"/>
      <c r="BB390" s="27"/>
      <c r="BD390" s="27"/>
      <c r="BE390" s="16"/>
      <c r="BF390" s="27"/>
      <c r="BH390" s="27"/>
      <c r="BI390" s="16"/>
      <c r="BJ390" s="27"/>
      <c r="BL390" s="27"/>
      <c r="BM390" s="16"/>
      <c r="BN390" s="27"/>
      <c r="BP390" s="27"/>
      <c r="BQ390" s="16"/>
      <c r="BR390" s="27"/>
      <c r="BT390" s="27"/>
      <c r="BU390" s="16"/>
      <c r="BV390" s="27"/>
      <c r="BX390" s="27"/>
      <c r="BY390" s="16"/>
      <c r="BZ390" s="27"/>
      <c r="CB390" s="27"/>
      <c r="CC390" s="16"/>
      <c r="CD390" s="27"/>
      <c r="CF390" s="27"/>
      <c r="CG390" s="16"/>
      <c r="CH390" s="27"/>
      <c r="CJ390" s="27"/>
      <c r="CK390" s="16"/>
      <c r="CL390" s="27"/>
      <c r="CN390" s="27"/>
      <c r="CO390" s="16"/>
      <c r="CP390" s="27"/>
      <c r="CR390" s="27"/>
      <c r="CS390" s="16"/>
      <c r="CT390" s="27"/>
      <c r="CV390" s="27"/>
      <c r="CW390" s="16"/>
      <c r="CX390" s="27"/>
      <c r="CZ390" s="27"/>
      <c r="DA390" s="16"/>
      <c r="DB390" s="27"/>
      <c r="DD390" s="16"/>
    </row>
    <row r="391" spans="1:108" s="14" customFormat="1" ht="21" x14ac:dyDescent="0.4">
      <c r="A391" s="27"/>
      <c r="B391" s="27"/>
      <c r="D391" s="16"/>
      <c r="E391" s="27"/>
      <c r="F391" s="27"/>
      <c r="H391" s="27"/>
      <c r="I391" s="16"/>
      <c r="J391" s="27"/>
      <c r="L391" s="27"/>
      <c r="M391" s="16"/>
      <c r="N391" s="27"/>
      <c r="P391" s="27"/>
      <c r="Q391" s="16"/>
      <c r="R391" s="27"/>
      <c r="T391" s="27"/>
      <c r="U391" s="16"/>
      <c r="V391" s="27"/>
      <c r="X391" s="27"/>
      <c r="Y391" s="16"/>
      <c r="Z391" s="27"/>
      <c r="AB391" s="27"/>
      <c r="AC391" s="16"/>
      <c r="AD391" s="27"/>
      <c r="AF391" s="27"/>
      <c r="AG391" s="16"/>
      <c r="AH391" s="27"/>
      <c r="AJ391" s="27"/>
      <c r="AK391" s="16"/>
      <c r="AL391" s="27"/>
      <c r="AN391" s="27"/>
      <c r="AO391" s="16"/>
      <c r="AP391" s="27"/>
      <c r="AR391" s="27"/>
      <c r="AS391" s="16"/>
      <c r="AT391" s="27"/>
      <c r="AV391" s="27"/>
      <c r="AW391" s="16"/>
      <c r="AX391" s="27"/>
      <c r="AZ391" s="27"/>
      <c r="BA391" s="16"/>
      <c r="BB391" s="27"/>
      <c r="BD391" s="27"/>
      <c r="BE391" s="16"/>
      <c r="BF391" s="27"/>
      <c r="BH391" s="27"/>
      <c r="BI391" s="16"/>
      <c r="BJ391" s="27"/>
      <c r="BL391" s="27"/>
      <c r="BM391" s="16"/>
      <c r="BN391" s="27"/>
      <c r="BP391" s="27"/>
      <c r="BQ391" s="16"/>
      <c r="BR391" s="27"/>
      <c r="BT391" s="27"/>
      <c r="BU391" s="16"/>
      <c r="BV391" s="27"/>
      <c r="BX391" s="27"/>
      <c r="BY391" s="16"/>
      <c r="BZ391" s="27"/>
      <c r="CB391" s="27"/>
      <c r="CC391" s="16"/>
      <c r="CD391" s="27"/>
      <c r="CF391" s="27"/>
      <c r="CG391" s="16"/>
      <c r="CH391" s="27"/>
      <c r="CJ391" s="27"/>
      <c r="CK391" s="16"/>
      <c r="CL391" s="27"/>
      <c r="CN391" s="27"/>
      <c r="CO391" s="16"/>
      <c r="CP391" s="27"/>
      <c r="CR391" s="27"/>
      <c r="CS391" s="16"/>
      <c r="CT391" s="27"/>
      <c r="CV391" s="27"/>
      <c r="CW391" s="16"/>
      <c r="CX391" s="27"/>
      <c r="CZ391" s="27"/>
      <c r="DA391" s="16"/>
      <c r="DB391" s="27"/>
      <c r="DD391" s="16"/>
    </row>
    <row r="392" spans="1:108" s="14" customFormat="1" ht="21" x14ac:dyDescent="0.4">
      <c r="A392" s="27"/>
      <c r="B392" s="27"/>
      <c r="D392" s="16"/>
      <c r="E392" s="27"/>
      <c r="F392" s="27"/>
      <c r="H392" s="27"/>
      <c r="I392" s="16"/>
      <c r="J392" s="27"/>
      <c r="L392" s="27"/>
      <c r="M392" s="16"/>
      <c r="N392" s="27"/>
      <c r="P392" s="27"/>
      <c r="Q392" s="16"/>
      <c r="R392" s="27"/>
      <c r="T392" s="27"/>
      <c r="U392" s="16"/>
      <c r="V392" s="27"/>
      <c r="X392" s="27"/>
      <c r="Y392" s="16"/>
      <c r="Z392" s="27"/>
      <c r="AB392" s="27"/>
      <c r="AC392" s="16"/>
      <c r="AD392" s="27"/>
      <c r="AF392" s="27"/>
      <c r="AG392" s="16"/>
      <c r="AH392" s="27"/>
      <c r="AJ392" s="27"/>
      <c r="AK392" s="16"/>
      <c r="AL392" s="27"/>
      <c r="AN392" s="27"/>
      <c r="AO392" s="16"/>
      <c r="AP392" s="27"/>
      <c r="AR392" s="27"/>
      <c r="AS392" s="16"/>
      <c r="AT392" s="27"/>
      <c r="AV392" s="27"/>
      <c r="AW392" s="16"/>
      <c r="AX392" s="27"/>
      <c r="AZ392" s="27"/>
      <c r="BA392" s="16"/>
      <c r="BB392" s="27"/>
      <c r="BD392" s="27"/>
      <c r="BE392" s="16"/>
      <c r="BF392" s="27"/>
      <c r="BH392" s="27"/>
      <c r="BI392" s="16"/>
      <c r="BJ392" s="27"/>
      <c r="BL392" s="27"/>
      <c r="BM392" s="16"/>
      <c r="BN392" s="27"/>
      <c r="BP392" s="27"/>
      <c r="BQ392" s="16"/>
      <c r="BR392" s="27"/>
      <c r="BT392" s="27"/>
      <c r="BU392" s="16"/>
      <c r="BV392" s="27"/>
      <c r="BX392" s="27"/>
      <c r="BY392" s="16"/>
      <c r="BZ392" s="27"/>
      <c r="CB392" s="27"/>
      <c r="CC392" s="16"/>
      <c r="CD392" s="27"/>
      <c r="CF392" s="27"/>
      <c r="CG392" s="16"/>
      <c r="CH392" s="27"/>
      <c r="CJ392" s="27"/>
      <c r="CK392" s="16"/>
      <c r="CL392" s="27"/>
      <c r="CN392" s="27"/>
      <c r="CO392" s="16"/>
      <c r="CP392" s="27"/>
      <c r="CR392" s="27"/>
      <c r="CS392" s="16"/>
      <c r="CT392" s="27"/>
      <c r="CV392" s="27"/>
      <c r="CW392" s="16"/>
      <c r="CX392" s="27"/>
      <c r="CZ392" s="27"/>
      <c r="DA392" s="16"/>
      <c r="DB392" s="27"/>
      <c r="DD392" s="16"/>
    </row>
    <row r="393" spans="1:108" s="14" customFormat="1" ht="21" x14ac:dyDescent="0.4">
      <c r="A393" s="27"/>
      <c r="B393" s="27"/>
      <c r="D393" s="16"/>
      <c r="E393" s="27"/>
      <c r="F393" s="27"/>
      <c r="H393" s="27"/>
      <c r="I393" s="16"/>
      <c r="J393" s="27"/>
      <c r="L393" s="27"/>
      <c r="M393" s="16"/>
      <c r="N393" s="27"/>
      <c r="P393" s="27"/>
      <c r="Q393" s="16"/>
      <c r="R393" s="27"/>
      <c r="T393" s="27"/>
      <c r="U393" s="16"/>
      <c r="V393" s="27"/>
      <c r="X393" s="27"/>
      <c r="Y393" s="16"/>
      <c r="Z393" s="27"/>
      <c r="AB393" s="27"/>
      <c r="AC393" s="16"/>
      <c r="AD393" s="27"/>
      <c r="AF393" s="27"/>
      <c r="AG393" s="16"/>
      <c r="AH393" s="27"/>
      <c r="AJ393" s="27"/>
      <c r="AK393" s="16"/>
      <c r="AL393" s="27"/>
      <c r="AN393" s="27"/>
      <c r="AO393" s="16"/>
      <c r="AP393" s="27"/>
      <c r="AR393" s="27"/>
      <c r="AS393" s="16"/>
      <c r="AT393" s="27"/>
      <c r="AV393" s="27"/>
      <c r="AW393" s="16"/>
      <c r="AX393" s="27"/>
      <c r="AZ393" s="27"/>
      <c r="BA393" s="16"/>
      <c r="BB393" s="27"/>
      <c r="BD393" s="27"/>
      <c r="BE393" s="16"/>
      <c r="BF393" s="27"/>
      <c r="BH393" s="27"/>
      <c r="BI393" s="16"/>
      <c r="BJ393" s="27"/>
      <c r="BL393" s="27"/>
      <c r="BM393" s="16"/>
      <c r="BN393" s="27"/>
      <c r="BP393" s="27"/>
      <c r="BQ393" s="16"/>
      <c r="BR393" s="27"/>
      <c r="BT393" s="27"/>
      <c r="BU393" s="16"/>
      <c r="BV393" s="27"/>
      <c r="BX393" s="27"/>
      <c r="BY393" s="16"/>
      <c r="BZ393" s="27"/>
      <c r="CB393" s="27"/>
      <c r="CC393" s="16"/>
      <c r="CD393" s="27"/>
      <c r="CF393" s="27"/>
      <c r="CG393" s="16"/>
      <c r="CH393" s="27"/>
      <c r="CJ393" s="27"/>
      <c r="CK393" s="16"/>
      <c r="CL393" s="27"/>
      <c r="CN393" s="27"/>
      <c r="CO393" s="16"/>
      <c r="CP393" s="27"/>
      <c r="CR393" s="27"/>
      <c r="CS393" s="16"/>
      <c r="CT393" s="27"/>
      <c r="CV393" s="27"/>
      <c r="CW393" s="16"/>
      <c r="CX393" s="27"/>
      <c r="CZ393" s="27"/>
      <c r="DA393" s="16"/>
      <c r="DB393" s="27"/>
      <c r="DD393" s="16"/>
    </row>
    <row r="394" spans="1:108" s="14" customFormat="1" ht="21" x14ac:dyDescent="0.4">
      <c r="A394" s="27"/>
      <c r="B394" s="27"/>
      <c r="D394" s="16"/>
      <c r="E394" s="27"/>
      <c r="F394" s="27"/>
      <c r="H394" s="27"/>
      <c r="I394" s="16"/>
      <c r="J394" s="27"/>
      <c r="L394" s="27"/>
      <c r="M394" s="16"/>
      <c r="N394" s="27"/>
      <c r="P394" s="27"/>
      <c r="Q394" s="16"/>
      <c r="R394" s="27"/>
      <c r="T394" s="27"/>
      <c r="U394" s="16"/>
      <c r="V394" s="27"/>
      <c r="X394" s="27"/>
      <c r="Y394" s="16"/>
      <c r="Z394" s="27"/>
      <c r="AB394" s="27"/>
      <c r="AC394" s="16"/>
      <c r="AD394" s="27"/>
      <c r="AF394" s="27"/>
      <c r="AG394" s="16"/>
      <c r="AH394" s="27"/>
      <c r="AJ394" s="27"/>
      <c r="AK394" s="16"/>
      <c r="AL394" s="27"/>
      <c r="AN394" s="27"/>
      <c r="AO394" s="16"/>
      <c r="AP394" s="27"/>
      <c r="AR394" s="27"/>
      <c r="AS394" s="16"/>
      <c r="AT394" s="27"/>
      <c r="AV394" s="27"/>
      <c r="AW394" s="16"/>
      <c r="AX394" s="27"/>
      <c r="AZ394" s="27"/>
      <c r="BA394" s="16"/>
      <c r="BB394" s="27"/>
      <c r="BD394" s="27"/>
      <c r="BE394" s="16"/>
      <c r="BF394" s="27"/>
      <c r="BH394" s="27"/>
      <c r="BI394" s="16"/>
      <c r="BJ394" s="27"/>
      <c r="BL394" s="27"/>
      <c r="BM394" s="16"/>
      <c r="BN394" s="27"/>
      <c r="BP394" s="27"/>
      <c r="BQ394" s="16"/>
      <c r="BR394" s="27"/>
      <c r="BT394" s="27"/>
      <c r="BU394" s="16"/>
      <c r="BV394" s="27"/>
      <c r="BX394" s="27"/>
      <c r="BY394" s="16"/>
      <c r="BZ394" s="27"/>
      <c r="CB394" s="27"/>
      <c r="CC394" s="16"/>
      <c r="CD394" s="27"/>
      <c r="CF394" s="27"/>
      <c r="CG394" s="16"/>
      <c r="CH394" s="27"/>
      <c r="CJ394" s="27"/>
      <c r="CK394" s="16"/>
      <c r="CL394" s="27"/>
      <c r="CN394" s="27"/>
      <c r="CO394" s="16"/>
      <c r="CP394" s="27"/>
      <c r="CR394" s="27"/>
      <c r="CS394" s="16"/>
      <c r="CT394" s="27"/>
      <c r="CV394" s="27"/>
      <c r="CW394" s="16"/>
      <c r="CX394" s="27"/>
      <c r="CZ394" s="27"/>
      <c r="DA394" s="16"/>
      <c r="DB394" s="27"/>
      <c r="DD394" s="16"/>
    </row>
    <row r="395" spans="1:108" s="14" customFormat="1" ht="21" x14ac:dyDescent="0.4">
      <c r="A395" s="27"/>
      <c r="B395" s="27"/>
      <c r="D395" s="16"/>
      <c r="E395" s="27"/>
      <c r="F395" s="27"/>
      <c r="H395" s="27"/>
      <c r="I395" s="16"/>
      <c r="J395" s="27"/>
      <c r="L395" s="27"/>
      <c r="M395" s="16"/>
      <c r="N395" s="27"/>
      <c r="P395" s="27"/>
      <c r="Q395" s="16"/>
      <c r="R395" s="27"/>
      <c r="T395" s="27"/>
      <c r="U395" s="16"/>
      <c r="V395" s="27"/>
      <c r="X395" s="27"/>
      <c r="Y395" s="16"/>
      <c r="Z395" s="27"/>
      <c r="AB395" s="27"/>
      <c r="AC395" s="16"/>
      <c r="AD395" s="27"/>
      <c r="AF395" s="27"/>
      <c r="AG395" s="16"/>
      <c r="AH395" s="27"/>
      <c r="AJ395" s="27"/>
      <c r="AK395" s="16"/>
      <c r="AL395" s="27"/>
      <c r="AN395" s="27"/>
      <c r="AO395" s="16"/>
      <c r="AP395" s="27"/>
      <c r="AR395" s="27"/>
      <c r="AS395" s="16"/>
      <c r="AT395" s="27"/>
      <c r="AV395" s="27"/>
      <c r="AW395" s="16"/>
      <c r="AX395" s="27"/>
      <c r="AZ395" s="27"/>
      <c r="BA395" s="16"/>
      <c r="BB395" s="27"/>
      <c r="BD395" s="27"/>
      <c r="BE395" s="16"/>
      <c r="BF395" s="27"/>
      <c r="BH395" s="27"/>
      <c r="BI395" s="16"/>
      <c r="BJ395" s="27"/>
      <c r="BL395" s="27"/>
      <c r="BM395" s="16"/>
      <c r="BN395" s="27"/>
      <c r="BP395" s="27"/>
      <c r="BQ395" s="16"/>
      <c r="BR395" s="27"/>
      <c r="BT395" s="27"/>
      <c r="BU395" s="16"/>
      <c r="BV395" s="27"/>
      <c r="BX395" s="27"/>
      <c r="BY395" s="16"/>
      <c r="BZ395" s="27"/>
      <c r="CB395" s="27"/>
      <c r="CC395" s="16"/>
      <c r="CD395" s="27"/>
      <c r="CF395" s="27"/>
      <c r="CG395" s="16"/>
      <c r="CH395" s="27"/>
      <c r="CJ395" s="27"/>
      <c r="CK395" s="16"/>
      <c r="CL395" s="27"/>
      <c r="CN395" s="27"/>
      <c r="CO395" s="16"/>
      <c r="CP395" s="27"/>
      <c r="CR395" s="27"/>
      <c r="CS395" s="16"/>
      <c r="CT395" s="27"/>
      <c r="CV395" s="27"/>
      <c r="CW395" s="16"/>
      <c r="CX395" s="27"/>
      <c r="CZ395" s="27"/>
      <c r="DA395" s="16"/>
      <c r="DB395" s="27"/>
      <c r="DD395" s="16"/>
    </row>
    <row r="396" spans="1:108" s="14" customFormat="1" ht="21" x14ac:dyDescent="0.4">
      <c r="A396" s="27"/>
      <c r="B396" s="27"/>
      <c r="D396" s="16"/>
      <c r="E396" s="27"/>
      <c r="F396" s="27"/>
      <c r="H396" s="27"/>
      <c r="I396" s="16"/>
      <c r="J396" s="27"/>
      <c r="L396" s="27"/>
      <c r="M396" s="16"/>
      <c r="N396" s="27"/>
      <c r="P396" s="27"/>
      <c r="Q396" s="16"/>
      <c r="R396" s="27"/>
      <c r="T396" s="27"/>
      <c r="U396" s="16"/>
      <c r="V396" s="27"/>
      <c r="X396" s="27"/>
      <c r="Y396" s="16"/>
      <c r="Z396" s="27"/>
      <c r="AB396" s="27"/>
      <c r="AC396" s="16"/>
      <c r="AD396" s="27"/>
      <c r="AF396" s="27"/>
      <c r="AG396" s="16"/>
      <c r="AH396" s="27"/>
      <c r="AJ396" s="27"/>
      <c r="AK396" s="16"/>
      <c r="AL396" s="27"/>
      <c r="AN396" s="27"/>
      <c r="AO396" s="16"/>
      <c r="AP396" s="27"/>
      <c r="AR396" s="27"/>
      <c r="AS396" s="16"/>
      <c r="AT396" s="27"/>
      <c r="AV396" s="27"/>
      <c r="AW396" s="16"/>
      <c r="AX396" s="27"/>
      <c r="AZ396" s="27"/>
      <c r="BA396" s="16"/>
      <c r="BB396" s="27"/>
      <c r="BD396" s="27"/>
      <c r="BE396" s="16"/>
      <c r="BF396" s="27"/>
      <c r="BH396" s="27"/>
      <c r="BI396" s="16"/>
      <c r="BJ396" s="27"/>
      <c r="BL396" s="27"/>
      <c r="BM396" s="16"/>
      <c r="BN396" s="27"/>
      <c r="BP396" s="27"/>
      <c r="BQ396" s="16"/>
      <c r="BR396" s="27"/>
      <c r="BT396" s="27"/>
      <c r="BU396" s="16"/>
      <c r="BV396" s="27"/>
      <c r="BX396" s="27"/>
      <c r="BY396" s="16"/>
      <c r="BZ396" s="27"/>
      <c r="CB396" s="27"/>
      <c r="CC396" s="16"/>
      <c r="CD396" s="27"/>
      <c r="CF396" s="27"/>
      <c r="CG396" s="16"/>
      <c r="CH396" s="27"/>
      <c r="CJ396" s="27"/>
      <c r="CK396" s="16"/>
      <c r="CL396" s="27"/>
      <c r="CN396" s="27"/>
      <c r="CO396" s="16"/>
      <c r="CP396" s="27"/>
      <c r="CR396" s="27"/>
      <c r="CS396" s="16"/>
      <c r="CT396" s="27"/>
      <c r="CV396" s="27"/>
      <c r="CW396" s="16"/>
      <c r="CX396" s="27"/>
      <c r="CZ396" s="27"/>
      <c r="DA396" s="16"/>
      <c r="DB396" s="27"/>
      <c r="DD396" s="16"/>
    </row>
    <row r="397" spans="1:108" s="14" customFormat="1" ht="21" x14ac:dyDescent="0.4">
      <c r="A397" s="27"/>
      <c r="B397" s="27"/>
      <c r="D397" s="16"/>
      <c r="E397" s="27"/>
      <c r="F397" s="27"/>
      <c r="H397" s="27"/>
      <c r="I397" s="16"/>
      <c r="J397" s="27"/>
      <c r="L397" s="27"/>
      <c r="M397" s="16"/>
      <c r="N397" s="27"/>
      <c r="P397" s="27"/>
      <c r="Q397" s="16"/>
      <c r="R397" s="27"/>
      <c r="T397" s="27"/>
      <c r="U397" s="16"/>
      <c r="V397" s="27"/>
      <c r="X397" s="27"/>
      <c r="Y397" s="16"/>
      <c r="Z397" s="27"/>
      <c r="AB397" s="27"/>
      <c r="AC397" s="16"/>
      <c r="AD397" s="27"/>
      <c r="AF397" s="27"/>
      <c r="AG397" s="16"/>
      <c r="AH397" s="27"/>
      <c r="AJ397" s="27"/>
      <c r="AK397" s="16"/>
      <c r="AL397" s="27"/>
      <c r="AN397" s="27"/>
      <c r="AO397" s="16"/>
      <c r="AP397" s="27"/>
      <c r="AR397" s="27"/>
      <c r="AS397" s="16"/>
      <c r="AT397" s="27"/>
      <c r="AV397" s="27"/>
      <c r="AW397" s="16"/>
      <c r="AX397" s="27"/>
      <c r="AZ397" s="27"/>
      <c r="BA397" s="16"/>
      <c r="BB397" s="27"/>
      <c r="BD397" s="27"/>
      <c r="BE397" s="16"/>
      <c r="BF397" s="27"/>
      <c r="BH397" s="27"/>
      <c r="BI397" s="16"/>
      <c r="BJ397" s="27"/>
      <c r="BL397" s="27"/>
      <c r="BM397" s="16"/>
      <c r="BN397" s="27"/>
      <c r="BP397" s="27"/>
      <c r="BQ397" s="16"/>
      <c r="BR397" s="27"/>
      <c r="BT397" s="27"/>
      <c r="BU397" s="16"/>
      <c r="BV397" s="27"/>
      <c r="BX397" s="27"/>
      <c r="BY397" s="16"/>
      <c r="BZ397" s="27"/>
      <c r="CB397" s="27"/>
      <c r="CC397" s="16"/>
      <c r="CD397" s="27"/>
      <c r="CF397" s="27"/>
      <c r="CG397" s="16"/>
      <c r="CH397" s="27"/>
      <c r="CJ397" s="27"/>
      <c r="CK397" s="16"/>
      <c r="CL397" s="27"/>
      <c r="CN397" s="27"/>
      <c r="CO397" s="16"/>
      <c r="CP397" s="27"/>
      <c r="CR397" s="27"/>
      <c r="CS397" s="16"/>
      <c r="CT397" s="27"/>
      <c r="CV397" s="27"/>
      <c r="CW397" s="16"/>
      <c r="CX397" s="27"/>
      <c r="CZ397" s="27"/>
      <c r="DA397" s="16"/>
      <c r="DB397" s="27"/>
      <c r="DD397" s="16"/>
    </row>
    <row r="398" spans="1:108" s="14" customFormat="1" ht="21" x14ac:dyDescent="0.4">
      <c r="A398" s="27"/>
      <c r="B398" s="27"/>
      <c r="D398" s="16"/>
      <c r="E398" s="27"/>
      <c r="F398" s="27"/>
      <c r="H398" s="27"/>
      <c r="I398" s="16"/>
      <c r="J398" s="27"/>
      <c r="L398" s="27"/>
      <c r="M398" s="16"/>
      <c r="N398" s="27"/>
      <c r="P398" s="27"/>
      <c r="Q398" s="16"/>
      <c r="R398" s="27"/>
      <c r="T398" s="27"/>
      <c r="U398" s="16"/>
      <c r="V398" s="27"/>
      <c r="X398" s="27"/>
      <c r="Y398" s="16"/>
      <c r="Z398" s="27"/>
      <c r="AB398" s="27"/>
      <c r="AC398" s="16"/>
      <c r="AD398" s="27"/>
      <c r="AF398" s="27"/>
      <c r="AG398" s="16"/>
      <c r="AH398" s="27"/>
      <c r="AJ398" s="27"/>
      <c r="AK398" s="16"/>
      <c r="AL398" s="27"/>
      <c r="AN398" s="27"/>
      <c r="AO398" s="16"/>
      <c r="AP398" s="27"/>
      <c r="AR398" s="27"/>
      <c r="AS398" s="16"/>
      <c r="AT398" s="27"/>
      <c r="AV398" s="27"/>
      <c r="AW398" s="16"/>
      <c r="AX398" s="27"/>
      <c r="AZ398" s="27"/>
      <c r="BA398" s="16"/>
      <c r="BB398" s="27"/>
      <c r="BD398" s="27"/>
      <c r="BE398" s="16"/>
      <c r="BF398" s="27"/>
      <c r="BH398" s="27"/>
      <c r="BI398" s="16"/>
      <c r="BJ398" s="27"/>
      <c r="BL398" s="27"/>
      <c r="BM398" s="16"/>
      <c r="BN398" s="27"/>
      <c r="BP398" s="27"/>
      <c r="BQ398" s="16"/>
      <c r="BR398" s="27"/>
      <c r="BT398" s="27"/>
      <c r="BU398" s="16"/>
      <c r="BV398" s="27"/>
      <c r="BX398" s="27"/>
      <c r="BY398" s="16"/>
      <c r="BZ398" s="27"/>
      <c r="CB398" s="27"/>
      <c r="CC398" s="16"/>
      <c r="CD398" s="27"/>
      <c r="CF398" s="27"/>
      <c r="CG398" s="16"/>
      <c r="CH398" s="27"/>
      <c r="CJ398" s="27"/>
      <c r="CK398" s="16"/>
      <c r="CL398" s="27"/>
      <c r="CN398" s="27"/>
      <c r="CO398" s="16"/>
      <c r="CP398" s="27"/>
      <c r="CR398" s="27"/>
      <c r="CS398" s="16"/>
      <c r="CT398" s="27"/>
      <c r="CV398" s="27"/>
      <c r="CW398" s="16"/>
      <c r="CX398" s="27"/>
      <c r="CZ398" s="27"/>
      <c r="DA398" s="16"/>
      <c r="DB398" s="27"/>
      <c r="DD398" s="16"/>
    </row>
    <row r="399" spans="1:108" s="14" customFormat="1" ht="21" x14ac:dyDescent="0.4">
      <c r="A399" s="27"/>
      <c r="B399" s="27"/>
      <c r="D399" s="16"/>
      <c r="E399" s="27"/>
      <c r="F399" s="27"/>
      <c r="H399" s="27"/>
      <c r="I399" s="16"/>
      <c r="J399" s="27"/>
      <c r="L399" s="27"/>
      <c r="M399" s="16"/>
      <c r="N399" s="27"/>
      <c r="P399" s="27"/>
      <c r="Q399" s="16"/>
      <c r="R399" s="27"/>
      <c r="T399" s="27"/>
      <c r="U399" s="16"/>
      <c r="V399" s="27"/>
      <c r="X399" s="27"/>
      <c r="Y399" s="16"/>
      <c r="Z399" s="27"/>
      <c r="AB399" s="27"/>
      <c r="AC399" s="16"/>
      <c r="AD399" s="27"/>
      <c r="AF399" s="27"/>
      <c r="AG399" s="16"/>
      <c r="AH399" s="27"/>
      <c r="AJ399" s="27"/>
      <c r="AK399" s="16"/>
      <c r="AL399" s="27"/>
      <c r="AN399" s="27"/>
      <c r="AO399" s="16"/>
      <c r="AP399" s="27"/>
      <c r="AR399" s="27"/>
      <c r="AS399" s="16"/>
      <c r="AT399" s="27"/>
      <c r="AV399" s="27"/>
      <c r="AW399" s="16"/>
      <c r="AX399" s="27"/>
      <c r="AZ399" s="27"/>
      <c r="BA399" s="16"/>
      <c r="BB399" s="27"/>
      <c r="BD399" s="27"/>
      <c r="BE399" s="16"/>
      <c r="BF399" s="27"/>
      <c r="BH399" s="27"/>
      <c r="BI399" s="16"/>
      <c r="BJ399" s="27"/>
      <c r="BL399" s="27"/>
      <c r="BM399" s="16"/>
      <c r="BN399" s="27"/>
      <c r="BP399" s="27"/>
      <c r="BQ399" s="16"/>
      <c r="BR399" s="27"/>
      <c r="BT399" s="27"/>
      <c r="BU399" s="16"/>
      <c r="BV399" s="27"/>
      <c r="BX399" s="27"/>
      <c r="BY399" s="16"/>
      <c r="BZ399" s="27"/>
      <c r="CB399" s="27"/>
      <c r="CC399" s="16"/>
      <c r="CD399" s="27"/>
      <c r="CF399" s="27"/>
      <c r="CG399" s="16"/>
      <c r="CH399" s="27"/>
      <c r="CJ399" s="27"/>
      <c r="CK399" s="16"/>
      <c r="CL399" s="27"/>
      <c r="CN399" s="27"/>
      <c r="CO399" s="16"/>
      <c r="CP399" s="27"/>
      <c r="CR399" s="27"/>
      <c r="CS399" s="16"/>
      <c r="CT399" s="27"/>
      <c r="CV399" s="27"/>
      <c r="CW399" s="16"/>
      <c r="CX399" s="27"/>
      <c r="CZ399" s="27"/>
      <c r="DA399" s="16"/>
      <c r="DB399" s="27"/>
      <c r="DD399" s="16"/>
    </row>
    <row r="400" spans="1:108" s="14" customFormat="1" ht="21" x14ac:dyDescent="0.4">
      <c r="A400" s="27"/>
      <c r="B400" s="27"/>
      <c r="D400" s="16"/>
      <c r="E400" s="27"/>
      <c r="F400" s="27"/>
      <c r="H400" s="27"/>
      <c r="I400" s="16"/>
      <c r="J400" s="27"/>
      <c r="L400" s="27"/>
      <c r="M400" s="16"/>
      <c r="N400" s="27"/>
      <c r="P400" s="27"/>
      <c r="Q400" s="16"/>
      <c r="R400" s="27"/>
      <c r="T400" s="27"/>
      <c r="U400" s="16"/>
      <c r="V400" s="27"/>
      <c r="X400" s="27"/>
      <c r="Y400" s="16"/>
      <c r="Z400" s="27"/>
      <c r="AB400" s="27"/>
      <c r="AC400" s="16"/>
      <c r="AD400" s="27"/>
      <c r="AF400" s="27"/>
      <c r="AG400" s="16"/>
      <c r="AH400" s="27"/>
      <c r="AJ400" s="27"/>
      <c r="AK400" s="16"/>
      <c r="AL400" s="27"/>
      <c r="AN400" s="27"/>
      <c r="AO400" s="16"/>
      <c r="AP400" s="27"/>
      <c r="AR400" s="27"/>
      <c r="AS400" s="16"/>
      <c r="AT400" s="27"/>
      <c r="AV400" s="27"/>
      <c r="AW400" s="16"/>
      <c r="AX400" s="27"/>
      <c r="AZ400" s="27"/>
      <c r="BA400" s="16"/>
      <c r="BB400" s="27"/>
      <c r="BD400" s="27"/>
      <c r="BE400" s="16"/>
      <c r="BF400" s="27"/>
      <c r="BH400" s="27"/>
      <c r="BI400" s="16"/>
      <c r="BJ400" s="27"/>
      <c r="BL400" s="27"/>
      <c r="BM400" s="16"/>
      <c r="BN400" s="27"/>
      <c r="BP400" s="27"/>
      <c r="BQ400" s="16"/>
      <c r="BR400" s="27"/>
      <c r="BT400" s="27"/>
      <c r="BU400" s="16"/>
      <c r="BV400" s="27"/>
      <c r="BX400" s="27"/>
      <c r="BY400" s="16"/>
      <c r="BZ400" s="27"/>
      <c r="CB400" s="27"/>
      <c r="CC400" s="16"/>
      <c r="CD400" s="27"/>
      <c r="CF400" s="27"/>
      <c r="CG400" s="16"/>
      <c r="CH400" s="27"/>
      <c r="CJ400" s="27"/>
      <c r="CK400" s="16"/>
      <c r="CL400" s="27"/>
      <c r="CN400" s="27"/>
      <c r="CO400" s="16"/>
      <c r="CP400" s="27"/>
      <c r="CR400" s="27"/>
      <c r="CS400" s="16"/>
      <c r="CT400" s="27"/>
      <c r="CV400" s="27"/>
      <c r="CW400" s="16"/>
      <c r="CX400" s="27"/>
      <c r="CZ400" s="27"/>
      <c r="DA400" s="16"/>
      <c r="DB400" s="27"/>
      <c r="DD400" s="16"/>
    </row>
    <row r="401" spans="1:108" s="14" customFormat="1" ht="21" x14ac:dyDescent="0.4">
      <c r="A401" s="27"/>
      <c r="B401" s="27"/>
      <c r="D401" s="16"/>
      <c r="E401" s="27"/>
      <c r="F401" s="27"/>
      <c r="H401" s="27"/>
      <c r="I401" s="16"/>
      <c r="J401" s="27"/>
      <c r="L401" s="27"/>
      <c r="M401" s="16"/>
      <c r="N401" s="27"/>
      <c r="P401" s="27"/>
      <c r="Q401" s="16"/>
      <c r="R401" s="27"/>
      <c r="T401" s="27"/>
      <c r="U401" s="16"/>
      <c r="V401" s="27"/>
      <c r="X401" s="27"/>
      <c r="Y401" s="16"/>
      <c r="Z401" s="27"/>
      <c r="AB401" s="27"/>
      <c r="AC401" s="16"/>
      <c r="AD401" s="27"/>
      <c r="AF401" s="27"/>
      <c r="AG401" s="16"/>
      <c r="AH401" s="27"/>
      <c r="AJ401" s="27"/>
      <c r="AK401" s="16"/>
      <c r="AL401" s="27"/>
      <c r="AN401" s="27"/>
      <c r="AO401" s="16"/>
      <c r="AP401" s="27"/>
      <c r="AR401" s="27"/>
      <c r="AS401" s="16"/>
      <c r="AT401" s="27"/>
      <c r="AV401" s="27"/>
      <c r="AW401" s="16"/>
      <c r="AX401" s="27"/>
      <c r="AZ401" s="27"/>
      <c r="BA401" s="16"/>
      <c r="BB401" s="27"/>
      <c r="BD401" s="27"/>
      <c r="BE401" s="16"/>
      <c r="BF401" s="27"/>
      <c r="BH401" s="27"/>
      <c r="BI401" s="16"/>
      <c r="BJ401" s="27"/>
      <c r="BL401" s="27"/>
      <c r="BM401" s="16"/>
      <c r="BN401" s="27"/>
      <c r="BP401" s="27"/>
      <c r="BQ401" s="16"/>
      <c r="BR401" s="27"/>
      <c r="BT401" s="27"/>
      <c r="BU401" s="16"/>
      <c r="BV401" s="27"/>
      <c r="BX401" s="27"/>
      <c r="BY401" s="16"/>
      <c r="BZ401" s="27"/>
      <c r="CB401" s="27"/>
      <c r="CC401" s="16"/>
      <c r="CD401" s="27"/>
      <c r="CF401" s="27"/>
      <c r="CG401" s="16"/>
      <c r="CH401" s="27"/>
      <c r="CJ401" s="27"/>
      <c r="CK401" s="16"/>
      <c r="CL401" s="27"/>
      <c r="CN401" s="27"/>
      <c r="CO401" s="16"/>
      <c r="CP401" s="27"/>
      <c r="CR401" s="27"/>
      <c r="CS401" s="16"/>
      <c r="CT401" s="27"/>
      <c r="CV401" s="27"/>
      <c r="CW401" s="16"/>
      <c r="CX401" s="27"/>
      <c r="CZ401" s="27"/>
      <c r="DA401" s="16"/>
      <c r="DB401" s="27"/>
      <c r="DD401" s="16"/>
    </row>
    <row r="402" spans="1:108" s="14" customFormat="1" ht="21" x14ac:dyDescent="0.4">
      <c r="A402" s="27"/>
      <c r="B402" s="27"/>
      <c r="D402" s="16"/>
      <c r="E402" s="27"/>
      <c r="F402" s="27"/>
      <c r="H402" s="27"/>
      <c r="I402" s="16"/>
      <c r="J402" s="27"/>
      <c r="L402" s="27"/>
      <c r="M402" s="16"/>
      <c r="N402" s="27"/>
      <c r="P402" s="27"/>
      <c r="Q402" s="16"/>
      <c r="R402" s="27"/>
      <c r="T402" s="27"/>
      <c r="U402" s="16"/>
      <c r="V402" s="27"/>
      <c r="X402" s="27"/>
      <c r="Y402" s="16"/>
      <c r="Z402" s="27"/>
      <c r="AB402" s="27"/>
      <c r="AC402" s="16"/>
      <c r="AD402" s="27"/>
      <c r="AF402" s="27"/>
      <c r="AG402" s="16"/>
      <c r="AH402" s="27"/>
      <c r="AJ402" s="27"/>
      <c r="AK402" s="16"/>
      <c r="AL402" s="27"/>
      <c r="AN402" s="27"/>
      <c r="AO402" s="16"/>
      <c r="AP402" s="27"/>
      <c r="AR402" s="27"/>
      <c r="AS402" s="16"/>
      <c r="AT402" s="27"/>
      <c r="AV402" s="27"/>
      <c r="AW402" s="16"/>
      <c r="AX402" s="27"/>
      <c r="AZ402" s="27"/>
      <c r="BA402" s="16"/>
      <c r="BB402" s="27"/>
      <c r="BD402" s="27"/>
      <c r="BE402" s="16"/>
      <c r="BF402" s="27"/>
      <c r="BH402" s="27"/>
      <c r="BI402" s="16"/>
      <c r="BJ402" s="27"/>
      <c r="BL402" s="27"/>
      <c r="BM402" s="16"/>
      <c r="BN402" s="27"/>
      <c r="BP402" s="27"/>
      <c r="BQ402" s="16"/>
      <c r="BR402" s="27"/>
      <c r="BT402" s="27"/>
      <c r="BU402" s="16"/>
      <c r="BV402" s="27"/>
      <c r="BX402" s="27"/>
      <c r="BY402" s="16"/>
      <c r="BZ402" s="27"/>
      <c r="CB402" s="27"/>
      <c r="CC402" s="16"/>
      <c r="CD402" s="27"/>
      <c r="CF402" s="27"/>
      <c r="CG402" s="16"/>
      <c r="CH402" s="27"/>
      <c r="CJ402" s="27"/>
      <c r="CK402" s="16"/>
      <c r="CL402" s="27"/>
      <c r="CN402" s="27"/>
      <c r="CO402" s="16"/>
      <c r="CP402" s="27"/>
      <c r="CR402" s="27"/>
      <c r="CS402" s="16"/>
      <c r="CT402" s="27"/>
      <c r="CV402" s="27"/>
      <c r="CW402" s="16"/>
      <c r="CX402" s="27"/>
      <c r="CZ402" s="27"/>
      <c r="DA402" s="16"/>
      <c r="DB402" s="27"/>
      <c r="DD402" s="16"/>
    </row>
    <row r="403" spans="1:108" s="14" customFormat="1" ht="21" x14ac:dyDescent="0.4">
      <c r="A403" s="27"/>
      <c r="B403" s="27"/>
      <c r="D403" s="16"/>
      <c r="E403" s="27"/>
      <c r="F403" s="27"/>
      <c r="H403" s="27"/>
      <c r="I403" s="16"/>
      <c r="J403" s="27"/>
      <c r="L403" s="27"/>
      <c r="M403" s="16"/>
      <c r="N403" s="27"/>
      <c r="P403" s="27"/>
      <c r="Q403" s="16"/>
      <c r="R403" s="27"/>
      <c r="T403" s="27"/>
      <c r="U403" s="16"/>
      <c r="V403" s="27"/>
      <c r="X403" s="27"/>
      <c r="Y403" s="16"/>
      <c r="Z403" s="27"/>
      <c r="AB403" s="27"/>
      <c r="AC403" s="16"/>
      <c r="AD403" s="27"/>
      <c r="AF403" s="27"/>
      <c r="AG403" s="16"/>
      <c r="AH403" s="27"/>
      <c r="AJ403" s="27"/>
      <c r="AK403" s="16"/>
      <c r="AL403" s="27"/>
      <c r="AN403" s="27"/>
      <c r="AO403" s="16"/>
      <c r="AP403" s="27"/>
      <c r="AR403" s="27"/>
      <c r="AS403" s="16"/>
      <c r="AT403" s="27"/>
      <c r="AV403" s="27"/>
      <c r="AW403" s="16"/>
      <c r="AX403" s="27"/>
      <c r="AZ403" s="27"/>
      <c r="BA403" s="16"/>
      <c r="BB403" s="27"/>
      <c r="BD403" s="27"/>
      <c r="BE403" s="16"/>
      <c r="BF403" s="27"/>
      <c r="BH403" s="27"/>
      <c r="BI403" s="16"/>
      <c r="BJ403" s="27"/>
      <c r="BL403" s="27"/>
      <c r="BM403" s="16"/>
      <c r="BN403" s="27"/>
      <c r="BP403" s="27"/>
      <c r="BQ403" s="16"/>
      <c r="BR403" s="27"/>
      <c r="BT403" s="27"/>
      <c r="BU403" s="16"/>
      <c r="BV403" s="27"/>
      <c r="BX403" s="27"/>
      <c r="BY403" s="16"/>
      <c r="BZ403" s="27"/>
      <c r="CB403" s="27"/>
      <c r="CC403" s="16"/>
      <c r="CD403" s="27"/>
      <c r="CF403" s="27"/>
      <c r="CG403" s="16"/>
      <c r="CH403" s="27"/>
      <c r="CJ403" s="27"/>
      <c r="CK403" s="16"/>
      <c r="CL403" s="27"/>
      <c r="CN403" s="27"/>
      <c r="CO403" s="16"/>
      <c r="CP403" s="27"/>
      <c r="CR403" s="27"/>
      <c r="CS403" s="16"/>
      <c r="CT403" s="27"/>
      <c r="CV403" s="27"/>
      <c r="CW403" s="16"/>
      <c r="CX403" s="27"/>
      <c r="CZ403" s="27"/>
      <c r="DA403" s="16"/>
      <c r="DB403" s="27"/>
      <c r="DD403" s="16"/>
    </row>
    <row r="404" spans="1:108" s="14" customFormat="1" ht="21" x14ac:dyDescent="0.4">
      <c r="A404" s="27"/>
      <c r="B404" s="27"/>
      <c r="D404" s="16"/>
      <c r="E404" s="27"/>
      <c r="F404" s="27"/>
      <c r="H404" s="27"/>
      <c r="I404" s="16"/>
      <c r="J404" s="27"/>
      <c r="L404" s="27"/>
      <c r="M404" s="16"/>
      <c r="N404" s="27"/>
      <c r="P404" s="27"/>
      <c r="Q404" s="16"/>
      <c r="R404" s="27"/>
      <c r="T404" s="27"/>
      <c r="U404" s="16"/>
      <c r="V404" s="27"/>
      <c r="X404" s="27"/>
      <c r="Y404" s="16"/>
      <c r="Z404" s="27"/>
      <c r="AB404" s="27"/>
      <c r="AC404" s="16"/>
      <c r="AD404" s="27"/>
      <c r="AF404" s="27"/>
      <c r="AG404" s="16"/>
      <c r="AH404" s="27"/>
      <c r="AJ404" s="27"/>
      <c r="AK404" s="16"/>
      <c r="AL404" s="27"/>
      <c r="AN404" s="27"/>
      <c r="AO404" s="16"/>
      <c r="AP404" s="27"/>
      <c r="AR404" s="27"/>
      <c r="AS404" s="16"/>
      <c r="AT404" s="27"/>
      <c r="AV404" s="27"/>
      <c r="AW404" s="16"/>
      <c r="AX404" s="27"/>
      <c r="AZ404" s="27"/>
      <c r="BA404" s="16"/>
      <c r="BB404" s="27"/>
      <c r="BD404" s="27"/>
      <c r="BE404" s="16"/>
      <c r="BF404" s="27"/>
      <c r="BH404" s="27"/>
      <c r="BI404" s="16"/>
      <c r="BJ404" s="27"/>
      <c r="BL404" s="27"/>
      <c r="BM404" s="16"/>
      <c r="BN404" s="27"/>
      <c r="BP404" s="27"/>
      <c r="BQ404" s="16"/>
      <c r="BR404" s="27"/>
      <c r="BT404" s="27"/>
      <c r="BU404" s="16"/>
      <c r="BV404" s="27"/>
      <c r="BX404" s="27"/>
      <c r="BY404" s="16"/>
      <c r="BZ404" s="27"/>
      <c r="CB404" s="27"/>
      <c r="CC404" s="16"/>
      <c r="CD404" s="27"/>
      <c r="CF404" s="27"/>
      <c r="CG404" s="16"/>
      <c r="CH404" s="27"/>
      <c r="CJ404" s="27"/>
      <c r="CK404" s="16"/>
      <c r="CL404" s="27"/>
      <c r="CN404" s="27"/>
      <c r="CO404" s="16"/>
      <c r="CP404" s="27"/>
      <c r="CR404" s="27"/>
      <c r="CS404" s="16"/>
      <c r="CT404" s="27"/>
      <c r="CV404" s="27"/>
      <c r="CW404" s="16"/>
      <c r="CX404" s="27"/>
      <c r="CZ404" s="27"/>
      <c r="DA404" s="16"/>
      <c r="DB404" s="27"/>
      <c r="DD404" s="16"/>
    </row>
    <row r="405" spans="1:108" s="14" customFormat="1" ht="21" x14ac:dyDescent="0.4">
      <c r="A405" s="27"/>
      <c r="B405" s="27"/>
      <c r="D405" s="16"/>
      <c r="E405" s="27"/>
      <c r="F405" s="27"/>
      <c r="H405" s="27"/>
      <c r="I405" s="16"/>
      <c r="J405" s="27"/>
      <c r="L405" s="27"/>
      <c r="M405" s="16"/>
      <c r="N405" s="27"/>
      <c r="P405" s="27"/>
      <c r="Q405" s="16"/>
      <c r="R405" s="27"/>
      <c r="T405" s="27"/>
      <c r="U405" s="16"/>
      <c r="V405" s="27"/>
      <c r="X405" s="27"/>
      <c r="Y405" s="16"/>
      <c r="Z405" s="27"/>
      <c r="AB405" s="27"/>
      <c r="AC405" s="16"/>
      <c r="AD405" s="27"/>
      <c r="AF405" s="27"/>
      <c r="AG405" s="16"/>
      <c r="AH405" s="27"/>
      <c r="AJ405" s="27"/>
      <c r="AK405" s="16"/>
      <c r="AL405" s="27"/>
      <c r="AN405" s="27"/>
      <c r="AO405" s="16"/>
      <c r="AP405" s="27"/>
      <c r="AR405" s="27"/>
      <c r="AS405" s="16"/>
      <c r="AT405" s="27"/>
      <c r="AV405" s="27"/>
      <c r="AW405" s="16"/>
      <c r="AX405" s="27"/>
      <c r="AZ405" s="27"/>
      <c r="BA405" s="16"/>
      <c r="BB405" s="27"/>
      <c r="BD405" s="27"/>
      <c r="BE405" s="16"/>
      <c r="BF405" s="27"/>
      <c r="BH405" s="27"/>
      <c r="BI405" s="16"/>
      <c r="BJ405" s="27"/>
      <c r="BL405" s="27"/>
      <c r="BM405" s="16"/>
      <c r="BN405" s="27"/>
      <c r="BP405" s="27"/>
      <c r="BQ405" s="16"/>
      <c r="BR405" s="27"/>
      <c r="BT405" s="27"/>
      <c r="BU405" s="16"/>
      <c r="BV405" s="27"/>
      <c r="BX405" s="27"/>
      <c r="BY405" s="16"/>
      <c r="BZ405" s="27"/>
      <c r="CB405" s="27"/>
      <c r="CC405" s="16"/>
      <c r="CD405" s="27"/>
      <c r="CF405" s="27"/>
      <c r="CG405" s="16"/>
      <c r="CH405" s="27"/>
      <c r="CJ405" s="27"/>
      <c r="CK405" s="16"/>
      <c r="CL405" s="27"/>
      <c r="CN405" s="27"/>
      <c r="CO405" s="16"/>
      <c r="CP405" s="27"/>
      <c r="CR405" s="27"/>
      <c r="CS405" s="16"/>
      <c r="CT405" s="27"/>
      <c r="CV405" s="27"/>
      <c r="CW405" s="16"/>
      <c r="CX405" s="27"/>
      <c r="CZ405" s="27"/>
      <c r="DA405" s="16"/>
      <c r="DB405" s="27"/>
      <c r="DD405" s="16"/>
    </row>
    <row r="406" spans="1:108" s="14" customFormat="1" ht="21" x14ac:dyDescent="0.4">
      <c r="A406" s="27"/>
      <c r="B406" s="27"/>
      <c r="D406" s="16"/>
      <c r="E406" s="27"/>
      <c r="F406" s="27"/>
      <c r="H406" s="27"/>
      <c r="I406" s="16"/>
      <c r="J406" s="27"/>
      <c r="L406" s="27"/>
      <c r="M406" s="16"/>
      <c r="N406" s="27"/>
      <c r="P406" s="27"/>
      <c r="Q406" s="16"/>
      <c r="R406" s="27"/>
      <c r="T406" s="27"/>
      <c r="U406" s="16"/>
      <c r="V406" s="27"/>
      <c r="X406" s="27"/>
      <c r="Y406" s="16"/>
      <c r="Z406" s="27"/>
      <c r="AB406" s="27"/>
      <c r="AC406" s="16"/>
      <c r="AD406" s="27"/>
      <c r="AF406" s="27"/>
      <c r="AG406" s="16"/>
      <c r="AH406" s="27"/>
      <c r="AJ406" s="27"/>
      <c r="AK406" s="16"/>
      <c r="AL406" s="27"/>
      <c r="AN406" s="27"/>
      <c r="AO406" s="16"/>
      <c r="AP406" s="27"/>
      <c r="AR406" s="27"/>
      <c r="AS406" s="16"/>
      <c r="AT406" s="27"/>
      <c r="AV406" s="27"/>
      <c r="AW406" s="16"/>
      <c r="AX406" s="27"/>
      <c r="AZ406" s="27"/>
      <c r="BA406" s="16"/>
      <c r="BB406" s="27"/>
      <c r="BD406" s="27"/>
      <c r="BE406" s="16"/>
      <c r="BF406" s="27"/>
      <c r="BH406" s="27"/>
      <c r="BI406" s="16"/>
      <c r="BJ406" s="27"/>
      <c r="BL406" s="27"/>
      <c r="BM406" s="16"/>
      <c r="BN406" s="27"/>
      <c r="BP406" s="27"/>
      <c r="BQ406" s="16"/>
      <c r="BR406" s="27"/>
      <c r="BT406" s="27"/>
      <c r="BU406" s="16"/>
      <c r="BV406" s="27"/>
      <c r="BX406" s="27"/>
      <c r="BY406" s="16"/>
      <c r="BZ406" s="27"/>
      <c r="CB406" s="27"/>
      <c r="CC406" s="16"/>
      <c r="CD406" s="27"/>
      <c r="CF406" s="27"/>
      <c r="CG406" s="16"/>
      <c r="CH406" s="27"/>
      <c r="CJ406" s="27"/>
      <c r="CK406" s="16"/>
      <c r="CL406" s="27"/>
      <c r="CN406" s="27"/>
      <c r="CO406" s="16"/>
      <c r="CP406" s="27"/>
      <c r="CR406" s="27"/>
      <c r="CS406" s="16"/>
      <c r="CT406" s="27"/>
      <c r="CV406" s="27"/>
      <c r="CW406" s="16"/>
      <c r="CX406" s="27"/>
      <c r="CZ406" s="27"/>
      <c r="DA406" s="16"/>
      <c r="DB406" s="27"/>
      <c r="DD406" s="16"/>
    </row>
    <row r="407" spans="1:108" s="14" customFormat="1" ht="21" x14ac:dyDescent="0.4">
      <c r="A407" s="27"/>
      <c r="B407" s="27"/>
      <c r="D407" s="16"/>
      <c r="E407" s="27"/>
      <c r="F407" s="27"/>
      <c r="H407" s="27"/>
      <c r="I407" s="16"/>
      <c r="J407" s="27"/>
      <c r="L407" s="27"/>
      <c r="M407" s="16"/>
      <c r="N407" s="27"/>
      <c r="P407" s="27"/>
      <c r="Q407" s="16"/>
      <c r="R407" s="27"/>
      <c r="T407" s="27"/>
      <c r="U407" s="16"/>
      <c r="V407" s="27"/>
      <c r="X407" s="27"/>
      <c r="Y407" s="16"/>
      <c r="Z407" s="27"/>
      <c r="AB407" s="27"/>
      <c r="AC407" s="16"/>
      <c r="AD407" s="27"/>
      <c r="AF407" s="27"/>
      <c r="AG407" s="16"/>
      <c r="AH407" s="27"/>
      <c r="AJ407" s="27"/>
      <c r="AK407" s="16"/>
      <c r="AL407" s="27"/>
      <c r="AN407" s="27"/>
      <c r="AO407" s="16"/>
      <c r="AP407" s="27"/>
      <c r="AR407" s="27"/>
      <c r="AS407" s="16"/>
      <c r="AT407" s="27"/>
      <c r="AV407" s="27"/>
      <c r="AW407" s="16"/>
      <c r="AX407" s="27"/>
      <c r="AZ407" s="27"/>
      <c r="BA407" s="16"/>
      <c r="BB407" s="27"/>
      <c r="BD407" s="27"/>
      <c r="BE407" s="16"/>
      <c r="BF407" s="27"/>
      <c r="BH407" s="27"/>
      <c r="BI407" s="16"/>
      <c r="BJ407" s="27"/>
      <c r="BL407" s="27"/>
      <c r="BM407" s="16"/>
      <c r="BN407" s="27"/>
      <c r="BP407" s="27"/>
      <c r="BQ407" s="16"/>
      <c r="BR407" s="27"/>
      <c r="BT407" s="27"/>
      <c r="BU407" s="16"/>
      <c r="BV407" s="27"/>
      <c r="BX407" s="27"/>
      <c r="BY407" s="16"/>
      <c r="BZ407" s="27"/>
      <c r="CB407" s="27"/>
      <c r="CC407" s="16"/>
      <c r="CD407" s="27"/>
      <c r="CF407" s="27"/>
      <c r="CG407" s="16"/>
      <c r="CH407" s="27"/>
      <c r="CJ407" s="27"/>
      <c r="CK407" s="16"/>
      <c r="CL407" s="27"/>
      <c r="CN407" s="27"/>
      <c r="CO407" s="16"/>
      <c r="CP407" s="27"/>
      <c r="CR407" s="27"/>
      <c r="CS407" s="16"/>
      <c r="CT407" s="27"/>
      <c r="CV407" s="27"/>
      <c r="CW407" s="16"/>
      <c r="CX407" s="27"/>
      <c r="CZ407" s="27"/>
      <c r="DA407" s="16"/>
      <c r="DB407" s="27"/>
      <c r="DD407" s="16"/>
    </row>
    <row r="408" spans="1:108" s="14" customFormat="1" ht="21" x14ac:dyDescent="0.4">
      <c r="A408" s="27"/>
      <c r="B408" s="27"/>
      <c r="D408" s="16"/>
      <c r="E408" s="27"/>
      <c r="F408" s="27"/>
      <c r="H408" s="27"/>
      <c r="I408" s="16"/>
      <c r="J408" s="27"/>
      <c r="L408" s="27"/>
      <c r="M408" s="16"/>
      <c r="N408" s="27"/>
      <c r="P408" s="27"/>
      <c r="Q408" s="16"/>
      <c r="R408" s="27"/>
      <c r="T408" s="27"/>
      <c r="U408" s="16"/>
      <c r="V408" s="27"/>
      <c r="X408" s="27"/>
      <c r="Y408" s="16"/>
      <c r="Z408" s="27"/>
      <c r="AB408" s="27"/>
      <c r="AC408" s="16"/>
      <c r="AD408" s="27"/>
      <c r="AF408" s="27"/>
      <c r="AG408" s="16"/>
      <c r="AH408" s="27"/>
      <c r="AJ408" s="27"/>
      <c r="AK408" s="16"/>
      <c r="AL408" s="27"/>
      <c r="AN408" s="27"/>
      <c r="AO408" s="16"/>
      <c r="AP408" s="27"/>
      <c r="AR408" s="27"/>
      <c r="AS408" s="16"/>
      <c r="AT408" s="27"/>
      <c r="AV408" s="27"/>
      <c r="AW408" s="16"/>
      <c r="AX408" s="27"/>
      <c r="AZ408" s="27"/>
      <c r="BA408" s="16"/>
      <c r="BB408" s="27"/>
      <c r="BD408" s="27"/>
      <c r="BE408" s="16"/>
      <c r="BF408" s="27"/>
      <c r="BH408" s="27"/>
      <c r="BI408" s="16"/>
      <c r="BJ408" s="27"/>
      <c r="BL408" s="27"/>
      <c r="BM408" s="16"/>
      <c r="BN408" s="27"/>
      <c r="BP408" s="27"/>
      <c r="BQ408" s="16"/>
      <c r="BR408" s="27"/>
      <c r="BT408" s="27"/>
      <c r="BU408" s="16"/>
      <c r="BV408" s="27"/>
      <c r="BX408" s="27"/>
      <c r="BY408" s="16"/>
      <c r="BZ408" s="27"/>
      <c r="CB408" s="27"/>
      <c r="CC408" s="16"/>
      <c r="CD408" s="27"/>
      <c r="CF408" s="27"/>
      <c r="CG408" s="16"/>
      <c r="CH408" s="27"/>
      <c r="CJ408" s="27"/>
      <c r="CK408" s="16"/>
      <c r="CL408" s="27"/>
      <c r="CN408" s="27"/>
      <c r="CO408" s="16"/>
      <c r="CP408" s="27"/>
      <c r="CR408" s="27"/>
      <c r="CS408" s="16"/>
      <c r="CT408" s="27"/>
      <c r="CV408" s="27"/>
      <c r="CW408" s="16"/>
      <c r="CX408" s="27"/>
      <c r="CZ408" s="27"/>
      <c r="DA408" s="16"/>
      <c r="DB408" s="27"/>
      <c r="DD408" s="16"/>
    </row>
    <row r="409" spans="1:108" s="14" customFormat="1" ht="21" x14ac:dyDescent="0.4">
      <c r="A409" s="27"/>
      <c r="B409" s="27"/>
      <c r="D409" s="16"/>
      <c r="E409" s="27"/>
      <c r="F409" s="27"/>
      <c r="H409" s="27"/>
      <c r="I409" s="16"/>
      <c r="J409" s="27"/>
      <c r="L409" s="27"/>
      <c r="M409" s="16"/>
      <c r="N409" s="27"/>
      <c r="P409" s="27"/>
      <c r="Q409" s="16"/>
      <c r="R409" s="27"/>
      <c r="T409" s="27"/>
      <c r="U409" s="16"/>
      <c r="V409" s="27"/>
      <c r="X409" s="27"/>
      <c r="Y409" s="16"/>
      <c r="Z409" s="27"/>
      <c r="AB409" s="27"/>
      <c r="AC409" s="16"/>
      <c r="AD409" s="27"/>
      <c r="AF409" s="27"/>
      <c r="AG409" s="16"/>
      <c r="AH409" s="27"/>
      <c r="AJ409" s="27"/>
      <c r="AK409" s="16"/>
      <c r="AL409" s="27"/>
      <c r="AN409" s="27"/>
      <c r="AO409" s="16"/>
      <c r="AP409" s="27"/>
      <c r="AR409" s="27"/>
      <c r="AS409" s="16"/>
      <c r="AT409" s="27"/>
      <c r="AV409" s="27"/>
      <c r="AW409" s="16"/>
      <c r="AX409" s="27"/>
      <c r="AZ409" s="27"/>
      <c r="BA409" s="16"/>
      <c r="BB409" s="27"/>
      <c r="BD409" s="27"/>
      <c r="BE409" s="16"/>
      <c r="BF409" s="27"/>
      <c r="BH409" s="27"/>
      <c r="BI409" s="16"/>
      <c r="BJ409" s="27"/>
      <c r="BL409" s="27"/>
      <c r="BM409" s="16"/>
      <c r="BN409" s="27"/>
      <c r="BP409" s="27"/>
      <c r="BQ409" s="16"/>
      <c r="BR409" s="27"/>
      <c r="BT409" s="27"/>
      <c r="BU409" s="16"/>
      <c r="BV409" s="27"/>
      <c r="BX409" s="27"/>
      <c r="BY409" s="16"/>
      <c r="BZ409" s="27"/>
      <c r="CB409" s="27"/>
      <c r="CC409" s="16"/>
      <c r="CD409" s="27"/>
      <c r="CF409" s="27"/>
      <c r="CG409" s="16"/>
      <c r="CH409" s="27"/>
      <c r="CJ409" s="27"/>
      <c r="CK409" s="16"/>
      <c r="CL409" s="27"/>
      <c r="CN409" s="27"/>
      <c r="CO409" s="16"/>
      <c r="CP409" s="27"/>
      <c r="CR409" s="27"/>
      <c r="CS409" s="16"/>
      <c r="CT409" s="27"/>
      <c r="CV409" s="27"/>
      <c r="CW409" s="16"/>
      <c r="CX409" s="27"/>
      <c r="CZ409" s="27"/>
      <c r="DA409" s="16"/>
      <c r="DB409" s="27"/>
      <c r="DD409" s="16"/>
    </row>
    <row r="410" spans="1:108" s="14" customFormat="1" ht="21" x14ac:dyDescent="0.4">
      <c r="A410" s="27"/>
      <c r="B410" s="27"/>
      <c r="D410" s="16"/>
      <c r="E410" s="27"/>
      <c r="F410" s="27"/>
      <c r="H410" s="27"/>
      <c r="I410" s="16"/>
      <c r="J410" s="27"/>
      <c r="L410" s="27"/>
      <c r="M410" s="16"/>
      <c r="N410" s="27"/>
      <c r="P410" s="27"/>
      <c r="Q410" s="16"/>
      <c r="R410" s="27"/>
      <c r="T410" s="27"/>
      <c r="U410" s="16"/>
      <c r="V410" s="27"/>
      <c r="X410" s="27"/>
      <c r="Y410" s="16"/>
      <c r="Z410" s="27"/>
      <c r="AB410" s="27"/>
      <c r="AC410" s="16"/>
      <c r="AD410" s="27"/>
      <c r="AF410" s="27"/>
      <c r="AG410" s="16"/>
      <c r="AH410" s="27"/>
      <c r="AJ410" s="27"/>
      <c r="AK410" s="16"/>
      <c r="AL410" s="27"/>
      <c r="AN410" s="27"/>
      <c r="AO410" s="16"/>
      <c r="AP410" s="27"/>
      <c r="AR410" s="27"/>
      <c r="AS410" s="16"/>
      <c r="AT410" s="27"/>
      <c r="AV410" s="27"/>
      <c r="AW410" s="16"/>
      <c r="AX410" s="27"/>
      <c r="AZ410" s="27"/>
      <c r="BA410" s="16"/>
      <c r="BB410" s="27"/>
      <c r="BD410" s="27"/>
      <c r="BE410" s="16"/>
      <c r="BF410" s="27"/>
      <c r="BH410" s="27"/>
      <c r="BI410" s="16"/>
      <c r="BJ410" s="27"/>
      <c r="BL410" s="27"/>
      <c r="BM410" s="16"/>
      <c r="BN410" s="27"/>
      <c r="BP410" s="27"/>
      <c r="BQ410" s="16"/>
      <c r="BR410" s="27"/>
      <c r="BT410" s="27"/>
      <c r="BU410" s="16"/>
      <c r="BV410" s="27"/>
      <c r="BX410" s="27"/>
      <c r="BY410" s="16"/>
      <c r="BZ410" s="27"/>
      <c r="CB410" s="27"/>
      <c r="CC410" s="16"/>
      <c r="CD410" s="27"/>
      <c r="CF410" s="27"/>
      <c r="CG410" s="16"/>
      <c r="CH410" s="27"/>
      <c r="CJ410" s="27"/>
      <c r="CK410" s="16"/>
      <c r="CL410" s="27"/>
      <c r="CN410" s="27"/>
      <c r="CO410" s="16"/>
      <c r="CP410" s="27"/>
      <c r="CR410" s="27"/>
      <c r="CS410" s="16"/>
      <c r="CT410" s="27"/>
      <c r="CV410" s="27"/>
      <c r="CW410" s="16"/>
      <c r="CX410" s="27"/>
      <c r="CZ410" s="27"/>
      <c r="DA410" s="16"/>
      <c r="DB410" s="27"/>
      <c r="DD410" s="16"/>
    </row>
    <row r="411" spans="1:108" s="14" customFormat="1" ht="21" x14ac:dyDescent="0.4">
      <c r="A411" s="27"/>
      <c r="B411" s="27"/>
      <c r="D411" s="16"/>
      <c r="E411" s="27"/>
      <c r="F411" s="27"/>
      <c r="H411" s="27"/>
      <c r="I411" s="16"/>
      <c r="J411" s="27"/>
      <c r="L411" s="27"/>
      <c r="M411" s="16"/>
      <c r="N411" s="27"/>
      <c r="P411" s="27"/>
      <c r="Q411" s="16"/>
      <c r="R411" s="27"/>
      <c r="T411" s="27"/>
      <c r="U411" s="16"/>
      <c r="V411" s="27"/>
      <c r="X411" s="27"/>
      <c r="Y411" s="16"/>
      <c r="Z411" s="27"/>
      <c r="AB411" s="27"/>
      <c r="AC411" s="16"/>
      <c r="AD411" s="27"/>
      <c r="AF411" s="27"/>
      <c r="AG411" s="16"/>
      <c r="AH411" s="27"/>
      <c r="AJ411" s="27"/>
      <c r="AK411" s="16"/>
      <c r="AL411" s="27"/>
      <c r="AN411" s="27"/>
      <c r="AO411" s="16"/>
      <c r="AP411" s="27"/>
      <c r="AR411" s="27"/>
      <c r="AS411" s="16"/>
      <c r="AT411" s="27"/>
      <c r="AV411" s="27"/>
      <c r="AW411" s="16"/>
      <c r="AX411" s="27"/>
      <c r="AZ411" s="27"/>
      <c r="BA411" s="16"/>
      <c r="BB411" s="27"/>
      <c r="BD411" s="27"/>
      <c r="BE411" s="16"/>
      <c r="BF411" s="27"/>
      <c r="BH411" s="27"/>
      <c r="BI411" s="16"/>
      <c r="BJ411" s="27"/>
      <c r="BL411" s="27"/>
      <c r="BM411" s="16"/>
      <c r="BN411" s="27"/>
      <c r="BP411" s="27"/>
      <c r="BQ411" s="16"/>
      <c r="BR411" s="27"/>
      <c r="BT411" s="27"/>
      <c r="BU411" s="16"/>
      <c r="BV411" s="27"/>
      <c r="BX411" s="27"/>
      <c r="BY411" s="16"/>
      <c r="BZ411" s="27"/>
      <c r="CB411" s="27"/>
      <c r="CC411" s="16"/>
      <c r="CD411" s="27"/>
      <c r="CF411" s="27"/>
      <c r="CG411" s="16"/>
      <c r="CH411" s="27"/>
      <c r="CJ411" s="27"/>
      <c r="CK411" s="16"/>
      <c r="CL411" s="27"/>
      <c r="CN411" s="27"/>
      <c r="CO411" s="16"/>
      <c r="CP411" s="27"/>
      <c r="CR411" s="27"/>
      <c r="CS411" s="16"/>
      <c r="CT411" s="27"/>
      <c r="CV411" s="27"/>
      <c r="CW411" s="16"/>
      <c r="CX411" s="27"/>
      <c r="CZ411" s="27"/>
      <c r="DA411" s="16"/>
      <c r="DB411" s="27"/>
      <c r="DD411" s="16"/>
    </row>
    <row r="412" spans="1:108" s="14" customFormat="1" ht="21" x14ac:dyDescent="0.4">
      <c r="A412" s="27"/>
      <c r="B412" s="27"/>
      <c r="D412" s="16"/>
      <c r="E412" s="27"/>
      <c r="F412" s="27"/>
      <c r="H412" s="27"/>
      <c r="I412" s="16"/>
      <c r="J412" s="27"/>
      <c r="L412" s="27"/>
      <c r="M412" s="16"/>
      <c r="N412" s="27"/>
      <c r="P412" s="27"/>
      <c r="Q412" s="16"/>
      <c r="R412" s="27"/>
      <c r="T412" s="27"/>
      <c r="U412" s="16"/>
      <c r="V412" s="27"/>
      <c r="X412" s="27"/>
      <c r="Y412" s="16"/>
      <c r="Z412" s="27"/>
      <c r="AB412" s="27"/>
      <c r="AC412" s="16"/>
      <c r="AD412" s="27"/>
      <c r="AF412" s="27"/>
      <c r="AG412" s="16"/>
      <c r="AH412" s="27"/>
      <c r="AJ412" s="27"/>
      <c r="AK412" s="16"/>
      <c r="AL412" s="27"/>
      <c r="AN412" s="27"/>
      <c r="AO412" s="16"/>
      <c r="AP412" s="27"/>
      <c r="AR412" s="27"/>
      <c r="AS412" s="16"/>
      <c r="AT412" s="27"/>
      <c r="AV412" s="27"/>
      <c r="AW412" s="16"/>
      <c r="AX412" s="27"/>
      <c r="AZ412" s="27"/>
      <c r="BA412" s="16"/>
      <c r="BB412" s="27"/>
      <c r="BD412" s="27"/>
      <c r="BE412" s="16"/>
      <c r="BF412" s="27"/>
      <c r="BH412" s="27"/>
      <c r="BI412" s="16"/>
      <c r="BJ412" s="27"/>
      <c r="BL412" s="27"/>
      <c r="BM412" s="16"/>
      <c r="BN412" s="27"/>
      <c r="BP412" s="27"/>
      <c r="BQ412" s="16"/>
      <c r="BR412" s="27"/>
      <c r="BT412" s="27"/>
      <c r="BU412" s="16"/>
      <c r="BV412" s="27"/>
      <c r="BX412" s="27"/>
      <c r="BY412" s="16"/>
      <c r="BZ412" s="27"/>
      <c r="CB412" s="27"/>
      <c r="CC412" s="16"/>
      <c r="CD412" s="27"/>
      <c r="CF412" s="27"/>
      <c r="CG412" s="16"/>
      <c r="CH412" s="27"/>
      <c r="CJ412" s="27"/>
      <c r="CK412" s="16"/>
      <c r="CL412" s="27"/>
      <c r="CN412" s="27"/>
      <c r="CO412" s="16"/>
      <c r="CP412" s="27"/>
      <c r="CR412" s="27"/>
      <c r="CS412" s="16"/>
      <c r="CT412" s="27"/>
      <c r="CV412" s="27"/>
      <c r="CW412" s="16"/>
      <c r="CX412" s="27"/>
      <c r="CZ412" s="27"/>
      <c r="DA412" s="16"/>
      <c r="DB412" s="27"/>
      <c r="DD412" s="16"/>
    </row>
    <row r="413" spans="1:108" s="14" customFormat="1" ht="21" x14ac:dyDescent="0.4">
      <c r="A413" s="27"/>
      <c r="B413" s="27"/>
      <c r="D413" s="16"/>
      <c r="E413" s="27"/>
      <c r="F413" s="27"/>
      <c r="H413" s="27"/>
      <c r="I413" s="16"/>
      <c r="J413" s="27"/>
      <c r="L413" s="27"/>
      <c r="M413" s="16"/>
      <c r="N413" s="27"/>
      <c r="P413" s="27"/>
      <c r="Q413" s="16"/>
      <c r="R413" s="27"/>
      <c r="T413" s="27"/>
      <c r="U413" s="16"/>
      <c r="V413" s="27"/>
      <c r="X413" s="27"/>
      <c r="Y413" s="16"/>
      <c r="Z413" s="27"/>
      <c r="AB413" s="27"/>
      <c r="AC413" s="16"/>
      <c r="AD413" s="27"/>
      <c r="AF413" s="27"/>
      <c r="AG413" s="16"/>
      <c r="AH413" s="27"/>
      <c r="AJ413" s="27"/>
      <c r="AK413" s="16"/>
      <c r="AL413" s="27"/>
      <c r="AN413" s="27"/>
      <c r="AO413" s="16"/>
      <c r="AP413" s="27"/>
      <c r="AR413" s="27"/>
      <c r="AS413" s="16"/>
      <c r="AT413" s="27"/>
      <c r="AV413" s="27"/>
      <c r="AW413" s="16"/>
      <c r="AX413" s="27"/>
      <c r="AZ413" s="27"/>
      <c r="BA413" s="16"/>
      <c r="BB413" s="27"/>
      <c r="BD413" s="27"/>
      <c r="BE413" s="16"/>
      <c r="BF413" s="27"/>
      <c r="BH413" s="27"/>
      <c r="BI413" s="16"/>
      <c r="BJ413" s="27"/>
      <c r="BL413" s="27"/>
      <c r="BM413" s="16"/>
      <c r="BN413" s="27"/>
      <c r="BP413" s="27"/>
      <c r="BQ413" s="16"/>
      <c r="BR413" s="27"/>
      <c r="BT413" s="27"/>
      <c r="BU413" s="16"/>
      <c r="BV413" s="27"/>
      <c r="BX413" s="27"/>
      <c r="BY413" s="16"/>
      <c r="BZ413" s="27"/>
      <c r="CB413" s="27"/>
      <c r="CC413" s="16"/>
      <c r="CD413" s="27"/>
      <c r="CF413" s="27"/>
      <c r="CG413" s="16"/>
      <c r="CH413" s="27"/>
      <c r="CJ413" s="27"/>
      <c r="CK413" s="16"/>
      <c r="CL413" s="27"/>
      <c r="CN413" s="27"/>
      <c r="CO413" s="16"/>
      <c r="CP413" s="27"/>
      <c r="CR413" s="27"/>
      <c r="CS413" s="16"/>
      <c r="CT413" s="27"/>
      <c r="CV413" s="27"/>
      <c r="CW413" s="16"/>
      <c r="CX413" s="27"/>
      <c r="CZ413" s="27"/>
      <c r="DA413" s="16"/>
      <c r="DB413" s="27"/>
      <c r="DD413" s="16"/>
    </row>
    <row r="414" spans="1:108" s="14" customFormat="1" ht="21" x14ac:dyDescent="0.4">
      <c r="A414" s="27"/>
      <c r="B414" s="27"/>
      <c r="D414" s="16"/>
      <c r="E414" s="27"/>
      <c r="F414" s="27"/>
      <c r="H414" s="27"/>
      <c r="I414" s="16"/>
      <c r="J414" s="27"/>
      <c r="L414" s="27"/>
      <c r="M414" s="16"/>
      <c r="N414" s="27"/>
      <c r="P414" s="27"/>
      <c r="Q414" s="16"/>
      <c r="R414" s="27"/>
      <c r="T414" s="27"/>
      <c r="U414" s="16"/>
      <c r="V414" s="27"/>
      <c r="X414" s="27"/>
      <c r="Y414" s="16"/>
      <c r="Z414" s="27"/>
      <c r="AB414" s="27"/>
      <c r="AC414" s="16"/>
      <c r="AD414" s="27"/>
      <c r="AF414" s="27"/>
      <c r="AG414" s="16"/>
      <c r="AH414" s="27"/>
      <c r="AJ414" s="27"/>
      <c r="AK414" s="16"/>
      <c r="AL414" s="27"/>
      <c r="AN414" s="27"/>
      <c r="AO414" s="16"/>
      <c r="AP414" s="27"/>
      <c r="AR414" s="27"/>
      <c r="AS414" s="16"/>
      <c r="AT414" s="27"/>
      <c r="AV414" s="27"/>
      <c r="AW414" s="16"/>
      <c r="AX414" s="27"/>
      <c r="AZ414" s="27"/>
      <c r="BA414" s="16"/>
      <c r="BB414" s="27"/>
      <c r="BD414" s="27"/>
      <c r="BE414" s="16"/>
      <c r="BF414" s="27"/>
      <c r="BH414" s="27"/>
      <c r="BI414" s="16"/>
      <c r="BJ414" s="27"/>
      <c r="BL414" s="27"/>
      <c r="BM414" s="16"/>
      <c r="BN414" s="27"/>
      <c r="BP414" s="27"/>
      <c r="BQ414" s="16"/>
      <c r="BR414" s="27"/>
      <c r="BT414" s="27"/>
      <c r="BU414" s="16"/>
      <c r="BV414" s="27"/>
      <c r="BX414" s="27"/>
      <c r="BY414" s="16"/>
      <c r="BZ414" s="27"/>
      <c r="CB414" s="27"/>
      <c r="CC414" s="16"/>
      <c r="CD414" s="27"/>
      <c r="CF414" s="27"/>
      <c r="CG414" s="16"/>
      <c r="CH414" s="27"/>
      <c r="CJ414" s="27"/>
      <c r="CK414" s="16"/>
      <c r="CL414" s="27"/>
      <c r="CN414" s="27"/>
      <c r="CO414" s="16"/>
      <c r="CP414" s="27"/>
      <c r="CR414" s="27"/>
      <c r="CS414" s="16"/>
      <c r="CT414" s="27"/>
      <c r="CV414" s="27"/>
      <c r="CW414" s="16"/>
      <c r="CX414" s="27"/>
      <c r="CZ414" s="27"/>
      <c r="DA414" s="16"/>
      <c r="DB414" s="27"/>
      <c r="DD414" s="16"/>
    </row>
    <row r="415" spans="1:108" s="14" customFormat="1" ht="21" x14ac:dyDescent="0.4">
      <c r="A415" s="27"/>
      <c r="B415" s="27"/>
      <c r="D415" s="16"/>
      <c r="E415" s="27"/>
      <c r="F415" s="27"/>
      <c r="H415" s="27"/>
      <c r="I415" s="16"/>
      <c r="J415" s="27"/>
      <c r="L415" s="27"/>
      <c r="M415" s="16"/>
      <c r="N415" s="27"/>
      <c r="P415" s="27"/>
      <c r="Q415" s="16"/>
      <c r="R415" s="27"/>
      <c r="T415" s="27"/>
      <c r="U415" s="16"/>
      <c r="V415" s="27"/>
      <c r="X415" s="27"/>
      <c r="Y415" s="16"/>
      <c r="Z415" s="27"/>
      <c r="AB415" s="27"/>
      <c r="AC415" s="16"/>
      <c r="AD415" s="27"/>
      <c r="AF415" s="27"/>
      <c r="AG415" s="16"/>
      <c r="AH415" s="27"/>
      <c r="AJ415" s="27"/>
      <c r="AK415" s="16"/>
      <c r="AL415" s="27"/>
      <c r="AN415" s="27"/>
      <c r="AO415" s="16"/>
      <c r="AP415" s="27"/>
      <c r="AR415" s="27"/>
      <c r="AS415" s="16"/>
      <c r="AT415" s="27"/>
      <c r="AV415" s="27"/>
      <c r="AW415" s="16"/>
      <c r="AX415" s="27"/>
      <c r="AZ415" s="27"/>
      <c r="BA415" s="16"/>
      <c r="BB415" s="27"/>
      <c r="BD415" s="27"/>
      <c r="BE415" s="16"/>
      <c r="BF415" s="27"/>
      <c r="BH415" s="27"/>
      <c r="BI415" s="16"/>
      <c r="BJ415" s="27"/>
      <c r="BL415" s="27"/>
      <c r="BM415" s="16"/>
      <c r="BN415" s="27"/>
      <c r="BP415" s="27"/>
      <c r="BQ415" s="16"/>
      <c r="BR415" s="27"/>
      <c r="BT415" s="27"/>
      <c r="BU415" s="16"/>
      <c r="BV415" s="27"/>
      <c r="BX415" s="27"/>
      <c r="BY415" s="16"/>
      <c r="BZ415" s="27"/>
      <c r="CB415" s="27"/>
      <c r="CC415" s="16"/>
      <c r="CD415" s="27"/>
      <c r="CF415" s="27"/>
      <c r="CG415" s="16"/>
      <c r="CH415" s="27"/>
      <c r="CJ415" s="27"/>
      <c r="CK415" s="16"/>
      <c r="CL415" s="27"/>
      <c r="CN415" s="27"/>
      <c r="CO415" s="16"/>
      <c r="CP415" s="27"/>
      <c r="CR415" s="27"/>
      <c r="CS415" s="16"/>
      <c r="CT415" s="27"/>
      <c r="CV415" s="27"/>
      <c r="CW415" s="16"/>
      <c r="CX415" s="27"/>
      <c r="CZ415" s="27"/>
      <c r="DA415" s="16"/>
      <c r="DB415" s="27"/>
      <c r="DD415" s="16"/>
    </row>
    <row r="416" spans="1:108" s="14" customFormat="1" ht="21" x14ac:dyDescent="0.4">
      <c r="A416" s="27"/>
      <c r="B416" s="27"/>
      <c r="D416" s="16"/>
      <c r="E416" s="27"/>
      <c r="F416" s="27"/>
      <c r="H416" s="27"/>
      <c r="I416" s="16"/>
      <c r="J416" s="27"/>
      <c r="L416" s="27"/>
      <c r="M416" s="16"/>
      <c r="N416" s="27"/>
      <c r="P416" s="27"/>
      <c r="Q416" s="16"/>
      <c r="R416" s="27"/>
      <c r="T416" s="27"/>
      <c r="U416" s="16"/>
      <c r="V416" s="27"/>
      <c r="X416" s="27"/>
      <c r="Y416" s="16"/>
      <c r="Z416" s="27"/>
      <c r="AB416" s="27"/>
      <c r="AC416" s="16"/>
      <c r="AD416" s="27"/>
      <c r="AF416" s="27"/>
      <c r="AG416" s="16"/>
      <c r="AH416" s="27"/>
      <c r="AJ416" s="27"/>
      <c r="AK416" s="16"/>
      <c r="AL416" s="27"/>
      <c r="AN416" s="27"/>
      <c r="AO416" s="16"/>
      <c r="AP416" s="27"/>
      <c r="AR416" s="27"/>
      <c r="AS416" s="16"/>
      <c r="AT416" s="27"/>
      <c r="AV416" s="27"/>
      <c r="AW416" s="16"/>
      <c r="AX416" s="27"/>
      <c r="AZ416" s="27"/>
      <c r="BA416" s="16"/>
      <c r="BB416" s="27"/>
      <c r="BD416" s="27"/>
      <c r="BE416" s="16"/>
      <c r="BF416" s="27"/>
      <c r="BH416" s="27"/>
      <c r="BI416" s="16"/>
      <c r="BJ416" s="27"/>
      <c r="BL416" s="27"/>
      <c r="BM416" s="16"/>
      <c r="BN416" s="27"/>
      <c r="BP416" s="27"/>
      <c r="BQ416" s="16"/>
      <c r="BR416" s="27"/>
      <c r="BT416" s="27"/>
      <c r="BU416" s="16"/>
      <c r="BV416" s="27"/>
      <c r="BX416" s="27"/>
      <c r="BY416" s="16"/>
      <c r="BZ416" s="27"/>
      <c r="CB416" s="27"/>
      <c r="CC416" s="16"/>
      <c r="CD416" s="27"/>
      <c r="CF416" s="27"/>
      <c r="CG416" s="16"/>
      <c r="CH416" s="27"/>
      <c r="CJ416" s="27"/>
      <c r="CK416" s="16"/>
      <c r="CL416" s="27"/>
      <c r="CN416" s="27"/>
      <c r="CO416" s="16"/>
      <c r="CP416" s="27"/>
      <c r="CR416" s="27"/>
      <c r="CS416" s="16"/>
      <c r="CT416" s="27"/>
      <c r="CV416" s="27"/>
      <c r="CW416" s="16"/>
      <c r="CX416" s="27"/>
      <c r="CZ416" s="27"/>
      <c r="DA416" s="16"/>
      <c r="DB416" s="27"/>
      <c r="DD416" s="16"/>
    </row>
    <row r="417" spans="1:108" s="14" customFormat="1" ht="21" x14ac:dyDescent="0.4">
      <c r="A417" s="27"/>
      <c r="B417" s="27"/>
      <c r="D417" s="16"/>
      <c r="E417" s="27"/>
      <c r="F417" s="27"/>
      <c r="H417" s="27"/>
      <c r="I417" s="16"/>
      <c r="J417" s="27"/>
      <c r="L417" s="27"/>
      <c r="M417" s="16"/>
      <c r="N417" s="27"/>
      <c r="P417" s="27"/>
      <c r="Q417" s="16"/>
      <c r="R417" s="27"/>
      <c r="T417" s="27"/>
      <c r="U417" s="16"/>
      <c r="V417" s="27"/>
      <c r="X417" s="27"/>
      <c r="Y417" s="16"/>
      <c r="Z417" s="27"/>
      <c r="AB417" s="27"/>
      <c r="AC417" s="16"/>
      <c r="AD417" s="27"/>
      <c r="AF417" s="27"/>
      <c r="AG417" s="16"/>
      <c r="AH417" s="27"/>
      <c r="AJ417" s="27"/>
      <c r="AK417" s="16"/>
      <c r="AL417" s="27"/>
      <c r="AN417" s="27"/>
      <c r="AO417" s="16"/>
      <c r="AP417" s="27"/>
      <c r="AR417" s="27"/>
      <c r="AS417" s="16"/>
      <c r="AT417" s="27"/>
      <c r="AV417" s="27"/>
      <c r="AW417" s="16"/>
      <c r="AX417" s="27"/>
      <c r="AZ417" s="27"/>
      <c r="BA417" s="16"/>
      <c r="BB417" s="27"/>
      <c r="BD417" s="27"/>
      <c r="BE417" s="16"/>
      <c r="BF417" s="27"/>
      <c r="BH417" s="27"/>
      <c r="BI417" s="16"/>
      <c r="BJ417" s="27"/>
      <c r="BL417" s="27"/>
      <c r="BM417" s="16"/>
      <c r="BN417" s="27"/>
      <c r="BP417" s="27"/>
      <c r="BQ417" s="16"/>
      <c r="BR417" s="27"/>
      <c r="BT417" s="27"/>
      <c r="BU417" s="16"/>
      <c r="BV417" s="27"/>
      <c r="BX417" s="27"/>
      <c r="BY417" s="16"/>
      <c r="BZ417" s="27"/>
      <c r="CB417" s="27"/>
      <c r="CC417" s="16"/>
      <c r="CD417" s="27"/>
      <c r="CF417" s="27"/>
      <c r="CG417" s="16"/>
      <c r="CH417" s="27"/>
      <c r="CJ417" s="27"/>
      <c r="CK417" s="16"/>
      <c r="CL417" s="27"/>
      <c r="CN417" s="27"/>
      <c r="CO417" s="16"/>
      <c r="CP417" s="27"/>
      <c r="CR417" s="27"/>
      <c r="CS417" s="16"/>
      <c r="CT417" s="27"/>
      <c r="CV417" s="27"/>
      <c r="CW417" s="16"/>
      <c r="CX417" s="27"/>
      <c r="CZ417" s="27"/>
      <c r="DA417" s="16"/>
      <c r="DB417" s="27"/>
      <c r="DD417" s="16"/>
    </row>
    <row r="418" spans="1:108" s="14" customFormat="1" ht="21" x14ac:dyDescent="0.4">
      <c r="A418" s="27"/>
      <c r="B418" s="27"/>
      <c r="D418" s="16"/>
      <c r="E418" s="27"/>
      <c r="F418" s="27"/>
      <c r="H418" s="27"/>
      <c r="I418" s="16"/>
      <c r="J418" s="27"/>
      <c r="L418" s="27"/>
      <c r="M418" s="16"/>
      <c r="N418" s="27"/>
      <c r="P418" s="27"/>
      <c r="Q418" s="16"/>
      <c r="R418" s="27"/>
      <c r="T418" s="27"/>
      <c r="U418" s="16"/>
      <c r="V418" s="27"/>
      <c r="X418" s="27"/>
      <c r="Y418" s="16"/>
      <c r="Z418" s="27"/>
      <c r="AB418" s="27"/>
      <c r="AC418" s="16"/>
      <c r="AD418" s="27"/>
      <c r="AF418" s="27"/>
      <c r="AG418" s="16"/>
      <c r="AH418" s="27"/>
      <c r="AJ418" s="27"/>
      <c r="AK418" s="16"/>
      <c r="AL418" s="27"/>
      <c r="AN418" s="27"/>
      <c r="AO418" s="16"/>
      <c r="AP418" s="27"/>
      <c r="AR418" s="27"/>
      <c r="AS418" s="16"/>
      <c r="AT418" s="27"/>
      <c r="AV418" s="27"/>
      <c r="AW418" s="16"/>
      <c r="AX418" s="27"/>
      <c r="AZ418" s="27"/>
      <c r="BA418" s="16"/>
      <c r="BB418" s="27"/>
      <c r="BD418" s="27"/>
      <c r="BE418" s="16"/>
      <c r="BF418" s="27"/>
      <c r="BH418" s="27"/>
      <c r="BI418" s="16"/>
      <c r="BJ418" s="27"/>
      <c r="BL418" s="27"/>
      <c r="BM418" s="16"/>
      <c r="BN418" s="27"/>
      <c r="BP418" s="27"/>
      <c r="BQ418" s="16"/>
      <c r="BR418" s="27"/>
      <c r="BT418" s="27"/>
      <c r="BU418" s="16"/>
      <c r="BV418" s="27"/>
      <c r="BX418" s="27"/>
      <c r="BY418" s="16"/>
      <c r="BZ418" s="27"/>
      <c r="CB418" s="27"/>
      <c r="CC418" s="16"/>
      <c r="CD418" s="27"/>
      <c r="CF418" s="27"/>
      <c r="CG418" s="16"/>
      <c r="CH418" s="27"/>
      <c r="CJ418" s="27"/>
      <c r="CK418" s="16"/>
      <c r="CL418" s="27"/>
      <c r="CN418" s="27"/>
      <c r="CO418" s="16"/>
      <c r="CP418" s="27"/>
      <c r="CR418" s="27"/>
      <c r="CS418" s="16"/>
      <c r="CT418" s="27"/>
      <c r="CV418" s="27"/>
      <c r="CW418" s="16"/>
      <c r="CX418" s="27"/>
      <c r="CZ418" s="27"/>
      <c r="DA418" s="16"/>
      <c r="DB418" s="27"/>
      <c r="DD418" s="16"/>
    </row>
    <row r="419" spans="1:108" s="14" customFormat="1" ht="21" x14ac:dyDescent="0.4">
      <c r="A419" s="27"/>
      <c r="B419" s="27"/>
      <c r="D419" s="16"/>
      <c r="E419" s="27"/>
      <c r="F419" s="27"/>
      <c r="H419" s="27"/>
      <c r="I419" s="16"/>
      <c r="J419" s="27"/>
      <c r="L419" s="27"/>
      <c r="M419" s="16"/>
      <c r="N419" s="27"/>
      <c r="P419" s="27"/>
      <c r="Q419" s="16"/>
      <c r="R419" s="27"/>
      <c r="T419" s="27"/>
      <c r="U419" s="16"/>
      <c r="V419" s="27"/>
      <c r="X419" s="27"/>
      <c r="Y419" s="16"/>
      <c r="Z419" s="27"/>
      <c r="AB419" s="27"/>
      <c r="AC419" s="16"/>
      <c r="AD419" s="27"/>
      <c r="AF419" s="27"/>
      <c r="AG419" s="16"/>
      <c r="AH419" s="27"/>
      <c r="AJ419" s="27"/>
      <c r="AK419" s="16"/>
      <c r="AL419" s="27"/>
      <c r="AN419" s="27"/>
      <c r="AO419" s="16"/>
      <c r="AP419" s="27"/>
      <c r="AR419" s="27"/>
      <c r="AS419" s="16"/>
      <c r="AT419" s="27"/>
      <c r="AV419" s="27"/>
      <c r="AW419" s="16"/>
      <c r="AX419" s="27"/>
      <c r="AZ419" s="27"/>
      <c r="BA419" s="16"/>
      <c r="BB419" s="27"/>
      <c r="BD419" s="27"/>
      <c r="BE419" s="16"/>
      <c r="BF419" s="27"/>
      <c r="BH419" s="27"/>
      <c r="BI419" s="16"/>
      <c r="BJ419" s="27"/>
      <c r="BL419" s="27"/>
      <c r="BM419" s="16"/>
      <c r="BN419" s="27"/>
      <c r="BP419" s="27"/>
      <c r="BQ419" s="16"/>
      <c r="BR419" s="27"/>
      <c r="BT419" s="27"/>
      <c r="BU419" s="16"/>
      <c r="BV419" s="27"/>
      <c r="BX419" s="27"/>
      <c r="BY419" s="16"/>
      <c r="BZ419" s="27"/>
      <c r="CB419" s="27"/>
      <c r="CC419" s="16"/>
      <c r="CD419" s="27"/>
      <c r="CF419" s="27"/>
      <c r="CG419" s="16"/>
      <c r="CH419" s="27"/>
      <c r="CJ419" s="27"/>
      <c r="CK419" s="16"/>
      <c r="CL419" s="27"/>
      <c r="CN419" s="27"/>
      <c r="CO419" s="16"/>
      <c r="CP419" s="27"/>
      <c r="CR419" s="27"/>
      <c r="CS419" s="16"/>
      <c r="CT419" s="27"/>
      <c r="CV419" s="27"/>
      <c r="CW419" s="16"/>
      <c r="CX419" s="27"/>
      <c r="CZ419" s="27"/>
      <c r="DA419" s="16"/>
      <c r="DB419" s="27"/>
      <c r="DD419" s="16"/>
    </row>
    <row r="420" spans="1:108" s="14" customFormat="1" ht="21" x14ac:dyDescent="0.4">
      <c r="A420" s="27"/>
      <c r="B420" s="27"/>
      <c r="D420" s="16"/>
      <c r="E420" s="27"/>
      <c r="F420" s="27"/>
      <c r="H420" s="27"/>
      <c r="I420" s="16"/>
      <c r="J420" s="27"/>
      <c r="L420" s="27"/>
      <c r="M420" s="16"/>
      <c r="N420" s="27"/>
      <c r="P420" s="27"/>
      <c r="Q420" s="16"/>
      <c r="R420" s="27"/>
      <c r="T420" s="27"/>
      <c r="U420" s="16"/>
      <c r="V420" s="27"/>
      <c r="X420" s="27"/>
      <c r="Y420" s="16"/>
      <c r="Z420" s="27"/>
      <c r="AB420" s="27"/>
      <c r="AC420" s="16"/>
      <c r="AD420" s="27"/>
      <c r="AF420" s="27"/>
      <c r="AG420" s="16"/>
      <c r="AH420" s="27"/>
      <c r="AJ420" s="27"/>
      <c r="AK420" s="16"/>
      <c r="AL420" s="27"/>
      <c r="AN420" s="27"/>
      <c r="AO420" s="16"/>
      <c r="AP420" s="27"/>
      <c r="AR420" s="27"/>
      <c r="AS420" s="16"/>
      <c r="AT420" s="27"/>
      <c r="AV420" s="27"/>
      <c r="AW420" s="16"/>
      <c r="AX420" s="27"/>
      <c r="AZ420" s="27"/>
      <c r="BA420" s="16"/>
      <c r="BB420" s="27"/>
      <c r="BD420" s="27"/>
      <c r="BE420" s="16"/>
      <c r="BF420" s="27"/>
      <c r="BH420" s="27"/>
      <c r="BI420" s="16"/>
      <c r="BJ420" s="27"/>
      <c r="BL420" s="27"/>
      <c r="BM420" s="16"/>
      <c r="BN420" s="27"/>
      <c r="BP420" s="27"/>
      <c r="BQ420" s="16"/>
      <c r="BR420" s="27"/>
      <c r="BT420" s="27"/>
      <c r="BU420" s="16"/>
      <c r="BV420" s="27"/>
      <c r="BX420" s="27"/>
      <c r="BY420" s="16"/>
      <c r="BZ420" s="27"/>
      <c r="CB420" s="27"/>
      <c r="CC420" s="16"/>
      <c r="CD420" s="27"/>
      <c r="CF420" s="27"/>
      <c r="CG420" s="16"/>
      <c r="CH420" s="27"/>
      <c r="CJ420" s="27"/>
      <c r="CK420" s="16"/>
      <c r="CL420" s="27"/>
      <c r="CN420" s="27"/>
      <c r="CO420" s="16"/>
      <c r="CP420" s="27"/>
      <c r="CR420" s="27"/>
      <c r="CS420" s="16"/>
      <c r="CT420" s="27"/>
      <c r="CV420" s="27"/>
      <c r="CW420" s="16"/>
      <c r="CX420" s="27"/>
      <c r="CZ420" s="27"/>
      <c r="DA420" s="16"/>
      <c r="DB420" s="27"/>
      <c r="DD420" s="16"/>
    </row>
    <row r="421" spans="1:108" s="14" customFormat="1" ht="21" x14ac:dyDescent="0.4">
      <c r="A421" s="27"/>
      <c r="B421" s="27"/>
      <c r="D421" s="16"/>
      <c r="E421" s="27"/>
      <c r="F421" s="27"/>
      <c r="H421" s="27"/>
      <c r="I421" s="16"/>
      <c r="J421" s="27"/>
      <c r="L421" s="27"/>
      <c r="M421" s="16"/>
      <c r="N421" s="27"/>
      <c r="P421" s="27"/>
      <c r="Q421" s="16"/>
      <c r="R421" s="27"/>
      <c r="T421" s="27"/>
      <c r="U421" s="16"/>
      <c r="V421" s="27"/>
      <c r="X421" s="27"/>
      <c r="Y421" s="16"/>
      <c r="Z421" s="27"/>
      <c r="AB421" s="27"/>
      <c r="AC421" s="16"/>
      <c r="AD421" s="27"/>
      <c r="AF421" s="27"/>
      <c r="AG421" s="16"/>
      <c r="AH421" s="27"/>
      <c r="AJ421" s="27"/>
      <c r="AK421" s="16"/>
      <c r="AL421" s="27"/>
      <c r="AN421" s="27"/>
      <c r="AO421" s="16"/>
      <c r="AP421" s="27"/>
      <c r="AR421" s="27"/>
      <c r="AS421" s="16"/>
      <c r="AT421" s="27"/>
      <c r="AV421" s="27"/>
      <c r="AW421" s="16"/>
      <c r="AX421" s="27"/>
      <c r="AZ421" s="27"/>
      <c r="BA421" s="16"/>
      <c r="BB421" s="27"/>
      <c r="BD421" s="27"/>
      <c r="BE421" s="16"/>
      <c r="BF421" s="27"/>
      <c r="BH421" s="27"/>
      <c r="BI421" s="16"/>
      <c r="BJ421" s="27"/>
      <c r="BL421" s="27"/>
      <c r="BM421" s="16"/>
      <c r="BN421" s="27"/>
      <c r="BP421" s="27"/>
      <c r="BQ421" s="16"/>
      <c r="BR421" s="27"/>
      <c r="BT421" s="27"/>
      <c r="BU421" s="16"/>
      <c r="BV421" s="27"/>
      <c r="BX421" s="27"/>
      <c r="BY421" s="16"/>
      <c r="BZ421" s="27"/>
      <c r="CB421" s="27"/>
      <c r="CC421" s="16"/>
      <c r="CD421" s="27"/>
      <c r="CF421" s="27"/>
      <c r="CG421" s="16"/>
      <c r="CH421" s="27"/>
      <c r="CJ421" s="27"/>
      <c r="CK421" s="16"/>
      <c r="CL421" s="27"/>
      <c r="CN421" s="27"/>
      <c r="CO421" s="16"/>
      <c r="CP421" s="27"/>
      <c r="CR421" s="27"/>
      <c r="CS421" s="16"/>
      <c r="CT421" s="27"/>
      <c r="CV421" s="27"/>
      <c r="CW421" s="16"/>
      <c r="CX421" s="27"/>
      <c r="CZ421" s="27"/>
      <c r="DA421" s="16"/>
      <c r="DB421" s="27"/>
      <c r="DD421" s="16"/>
    </row>
    <row r="422" spans="1:108" s="14" customFormat="1" ht="21" x14ac:dyDescent="0.4">
      <c r="A422" s="27"/>
      <c r="B422" s="27"/>
      <c r="D422" s="16"/>
      <c r="E422" s="27"/>
      <c r="F422" s="27"/>
      <c r="H422" s="27"/>
      <c r="I422" s="16"/>
      <c r="J422" s="27"/>
      <c r="L422" s="27"/>
      <c r="M422" s="16"/>
      <c r="N422" s="27"/>
      <c r="P422" s="27"/>
      <c r="Q422" s="16"/>
      <c r="R422" s="27"/>
      <c r="T422" s="27"/>
      <c r="U422" s="16"/>
      <c r="V422" s="27"/>
      <c r="X422" s="27"/>
      <c r="Y422" s="16"/>
      <c r="Z422" s="27"/>
      <c r="AB422" s="27"/>
      <c r="AC422" s="16"/>
      <c r="AD422" s="27"/>
      <c r="AF422" s="27"/>
      <c r="AG422" s="16"/>
      <c r="AH422" s="27"/>
      <c r="AJ422" s="27"/>
      <c r="AK422" s="16"/>
      <c r="AL422" s="27"/>
      <c r="AN422" s="27"/>
      <c r="AO422" s="16"/>
      <c r="AP422" s="27"/>
      <c r="AR422" s="27"/>
      <c r="AS422" s="16"/>
      <c r="AT422" s="27"/>
      <c r="AV422" s="27"/>
      <c r="AW422" s="16"/>
      <c r="AX422" s="27"/>
      <c r="AZ422" s="27"/>
      <c r="BA422" s="16"/>
      <c r="BB422" s="27"/>
      <c r="BD422" s="27"/>
      <c r="BE422" s="16"/>
      <c r="BF422" s="27"/>
      <c r="BH422" s="27"/>
      <c r="BI422" s="16"/>
      <c r="BJ422" s="27"/>
      <c r="BL422" s="27"/>
      <c r="BM422" s="16"/>
      <c r="BN422" s="27"/>
      <c r="BP422" s="27"/>
      <c r="BQ422" s="16"/>
      <c r="BR422" s="27"/>
      <c r="BT422" s="27"/>
      <c r="BU422" s="16"/>
      <c r="BV422" s="27"/>
      <c r="BX422" s="27"/>
      <c r="BY422" s="16"/>
      <c r="BZ422" s="27"/>
      <c r="CB422" s="27"/>
      <c r="CC422" s="16"/>
      <c r="CD422" s="27"/>
      <c r="CF422" s="27"/>
      <c r="CG422" s="16"/>
      <c r="CH422" s="27"/>
      <c r="CJ422" s="27"/>
      <c r="CK422" s="16"/>
      <c r="CL422" s="27"/>
      <c r="CN422" s="27"/>
      <c r="CO422" s="16"/>
      <c r="CP422" s="27"/>
      <c r="CR422" s="27"/>
      <c r="CS422" s="16"/>
      <c r="CT422" s="27"/>
      <c r="CV422" s="27"/>
      <c r="CW422" s="16"/>
      <c r="CX422" s="27"/>
      <c r="CZ422" s="27"/>
      <c r="DA422" s="16"/>
      <c r="DB422" s="27"/>
      <c r="DD422" s="16"/>
    </row>
    <row r="423" spans="1:108" s="14" customFormat="1" ht="21" x14ac:dyDescent="0.4">
      <c r="A423" s="27"/>
      <c r="B423" s="27"/>
      <c r="D423" s="16"/>
      <c r="E423" s="27"/>
      <c r="F423" s="27"/>
      <c r="H423" s="27"/>
      <c r="I423" s="16"/>
      <c r="J423" s="27"/>
      <c r="L423" s="27"/>
      <c r="M423" s="16"/>
      <c r="N423" s="27"/>
      <c r="P423" s="27"/>
      <c r="Q423" s="16"/>
      <c r="R423" s="27"/>
      <c r="T423" s="27"/>
      <c r="U423" s="16"/>
      <c r="V423" s="27"/>
      <c r="X423" s="27"/>
      <c r="Y423" s="16"/>
      <c r="Z423" s="27"/>
      <c r="AB423" s="27"/>
      <c r="AC423" s="16"/>
      <c r="AD423" s="27"/>
      <c r="AF423" s="27"/>
      <c r="AG423" s="16"/>
      <c r="AH423" s="27"/>
      <c r="AJ423" s="27"/>
      <c r="AK423" s="16"/>
      <c r="AL423" s="27"/>
      <c r="AN423" s="27"/>
      <c r="AO423" s="16"/>
      <c r="AP423" s="27"/>
      <c r="AR423" s="27"/>
      <c r="AS423" s="16"/>
      <c r="AT423" s="27"/>
      <c r="AV423" s="27"/>
      <c r="AW423" s="16"/>
      <c r="AX423" s="27"/>
      <c r="AZ423" s="27"/>
      <c r="BA423" s="16"/>
      <c r="BB423" s="27"/>
      <c r="BD423" s="27"/>
      <c r="BE423" s="16"/>
      <c r="BF423" s="27"/>
      <c r="BH423" s="27"/>
      <c r="BI423" s="16"/>
      <c r="BJ423" s="27"/>
      <c r="BL423" s="27"/>
      <c r="BM423" s="16"/>
      <c r="BN423" s="27"/>
      <c r="BP423" s="27"/>
      <c r="BQ423" s="16"/>
      <c r="BR423" s="27"/>
      <c r="BT423" s="27"/>
      <c r="BU423" s="16"/>
      <c r="BV423" s="27"/>
      <c r="BX423" s="27"/>
      <c r="BY423" s="16"/>
      <c r="BZ423" s="27"/>
      <c r="CB423" s="27"/>
      <c r="CC423" s="16"/>
      <c r="CD423" s="27"/>
      <c r="CF423" s="27"/>
      <c r="CG423" s="16"/>
      <c r="CH423" s="27"/>
      <c r="CJ423" s="27"/>
      <c r="CK423" s="16"/>
      <c r="CL423" s="27"/>
      <c r="CN423" s="27"/>
      <c r="CO423" s="16"/>
      <c r="CP423" s="27"/>
      <c r="CR423" s="27"/>
      <c r="CS423" s="16"/>
      <c r="CT423" s="27"/>
      <c r="CV423" s="27"/>
      <c r="CW423" s="16"/>
      <c r="CX423" s="27"/>
      <c r="CZ423" s="27"/>
      <c r="DA423" s="16"/>
      <c r="DB423" s="27"/>
      <c r="DD423" s="16"/>
    </row>
    <row r="424" spans="1:108" s="14" customFormat="1" ht="21" x14ac:dyDescent="0.4">
      <c r="A424" s="27"/>
      <c r="B424" s="27"/>
      <c r="D424" s="16"/>
      <c r="E424" s="27"/>
      <c r="F424" s="27"/>
      <c r="H424" s="27"/>
      <c r="I424" s="16"/>
      <c r="J424" s="27"/>
      <c r="L424" s="27"/>
      <c r="M424" s="16"/>
      <c r="N424" s="27"/>
      <c r="P424" s="27"/>
      <c r="Q424" s="16"/>
      <c r="R424" s="27"/>
      <c r="T424" s="27"/>
      <c r="U424" s="16"/>
      <c r="V424" s="27"/>
      <c r="X424" s="27"/>
      <c r="Y424" s="16"/>
      <c r="Z424" s="27"/>
      <c r="AB424" s="27"/>
      <c r="AC424" s="16"/>
      <c r="AD424" s="27"/>
      <c r="AF424" s="27"/>
      <c r="AG424" s="16"/>
      <c r="AH424" s="27"/>
      <c r="AJ424" s="27"/>
      <c r="AK424" s="16"/>
      <c r="AL424" s="27"/>
      <c r="AN424" s="27"/>
      <c r="AO424" s="16"/>
      <c r="AP424" s="27"/>
      <c r="AR424" s="27"/>
      <c r="AS424" s="16"/>
      <c r="AT424" s="27"/>
      <c r="AV424" s="27"/>
      <c r="AW424" s="16"/>
      <c r="AX424" s="27"/>
      <c r="AZ424" s="27"/>
      <c r="BA424" s="16"/>
      <c r="BB424" s="27"/>
      <c r="BD424" s="27"/>
      <c r="BE424" s="16"/>
      <c r="BF424" s="27"/>
      <c r="BH424" s="27"/>
      <c r="BI424" s="16"/>
      <c r="BJ424" s="27"/>
      <c r="BL424" s="27"/>
      <c r="BM424" s="16"/>
      <c r="BN424" s="27"/>
      <c r="BP424" s="27"/>
      <c r="BQ424" s="16"/>
      <c r="BR424" s="27"/>
      <c r="BT424" s="27"/>
      <c r="BU424" s="16"/>
      <c r="BV424" s="27"/>
      <c r="BX424" s="27"/>
      <c r="BY424" s="16"/>
      <c r="BZ424" s="27"/>
      <c r="CB424" s="27"/>
      <c r="CC424" s="16"/>
      <c r="CD424" s="27"/>
      <c r="CF424" s="27"/>
      <c r="CG424" s="16"/>
      <c r="CH424" s="27"/>
      <c r="CJ424" s="27"/>
      <c r="CK424" s="16"/>
      <c r="CL424" s="27"/>
      <c r="CN424" s="27"/>
      <c r="CO424" s="16"/>
      <c r="CP424" s="27"/>
      <c r="CR424" s="27"/>
      <c r="CS424" s="16"/>
      <c r="CT424" s="27"/>
      <c r="CV424" s="27"/>
      <c r="CW424" s="16"/>
      <c r="CX424" s="27"/>
      <c r="CZ424" s="27"/>
      <c r="DA424" s="16"/>
      <c r="DB424" s="27"/>
      <c r="DD424" s="16"/>
    </row>
    <row r="425" spans="1:108" s="14" customFormat="1" ht="21" x14ac:dyDescent="0.4">
      <c r="A425" s="27"/>
      <c r="B425" s="27"/>
      <c r="D425" s="16"/>
      <c r="E425" s="27"/>
      <c r="F425" s="27"/>
      <c r="H425" s="27"/>
      <c r="I425" s="16"/>
      <c r="J425" s="27"/>
      <c r="L425" s="27"/>
      <c r="M425" s="16"/>
      <c r="N425" s="27"/>
      <c r="P425" s="27"/>
      <c r="Q425" s="16"/>
      <c r="R425" s="27"/>
      <c r="T425" s="27"/>
      <c r="U425" s="16"/>
      <c r="V425" s="27"/>
      <c r="X425" s="27"/>
      <c r="Y425" s="16"/>
      <c r="Z425" s="27"/>
      <c r="AB425" s="27"/>
      <c r="AC425" s="16"/>
      <c r="AD425" s="27"/>
      <c r="AF425" s="27"/>
      <c r="AG425" s="16"/>
      <c r="AH425" s="27"/>
      <c r="AJ425" s="27"/>
      <c r="AK425" s="16"/>
      <c r="AL425" s="27"/>
      <c r="AN425" s="27"/>
      <c r="AO425" s="16"/>
      <c r="AP425" s="27"/>
      <c r="AR425" s="27"/>
      <c r="AS425" s="16"/>
      <c r="AT425" s="27"/>
      <c r="AV425" s="27"/>
      <c r="AW425" s="16"/>
      <c r="AX425" s="27"/>
      <c r="AZ425" s="27"/>
      <c r="BA425" s="16"/>
      <c r="BB425" s="27"/>
      <c r="BD425" s="27"/>
      <c r="BE425" s="16"/>
      <c r="BF425" s="27"/>
      <c r="BH425" s="27"/>
      <c r="BI425" s="16"/>
      <c r="BJ425" s="27"/>
      <c r="BL425" s="27"/>
      <c r="BM425" s="16"/>
      <c r="BN425" s="27"/>
      <c r="BP425" s="27"/>
      <c r="BQ425" s="16"/>
      <c r="BR425" s="27"/>
      <c r="BT425" s="27"/>
      <c r="BU425" s="16"/>
      <c r="BV425" s="27"/>
      <c r="BX425" s="27"/>
      <c r="BY425" s="16"/>
      <c r="BZ425" s="27"/>
      <c r="CB425" s="27"/>
      <c r="CC425" s="16"/>
      <c r="CD425" s="27"/>
      <c r="CF425" s="27"/>
      <c r="CG425" s="16"/>
      <c r="CH425" s="27"/>
      <c r="CJ425" s="27"/>
      <c r="CK425" s="16"/>
      <c r="CL425" s="27"/>
      <c r="CN425" s="27"/>
      <c r="CO425" s="16"/>
      <c r="CP425" s="27"/>
      <c r="CR425" s="27"/>
      <c r="CS425" s="16"/>
      <c r="CT425" s="27"/>
      <c r="CV425" s="27"/>
      <c r="CW425" s="16"/>
      <c r="CX425" s="27"/>
      <c r="CZ425" s="27"/>
      <c r="DA425" s="16"/>
      <c r="DB425" s="27"/>
      <c r="DD425" s="16"/>
    </row>
    <row r="426" spans="1:108" s="14" customFormat="1" ht="21" x14ac:dyDescent="0.4">
      <c r="A426" s="27"/>
      <c r="B426" s="27"/>
      <c r="D426" s="16"/>
      <c r="E426" s="27"/>
      <c r="F426" s="27"/>
      <c r="H426" s="27"/>
      <c r="I426" s="16"/>
      <c r="J426" s="27"/>
      <c r="L426" s="27"/>
      <c r="M426" s="16"/>
      <c r="N426" s="27"/>
      <c r="P426" s="27"/>
      <c r="Q426" s="16"/>
      <c r="R426" s="27"/>
      <c r="T426" s="27"/>
      <c r="U426" s="16"/>
      <c r="V426" s="27"/>
      <c r="X426" s="27"/>
      <c r="Y426" s="16"/>
      <c r="Z426" s="27"/>
      <c r="AB426" s="27"/>
      <c r="AC426" s="16"/>
      <c r="AD426" s="27"/>
      <c r="AF426" s="27"/>
      <c r="AG426" s="16"/>
      <c r="AH426" s="27"/>
      <c r="AJ426" s="27"/>
      <c r="AK426" s="16"/>
      <c r="AL426" s="27"/>
      <c r="AN426" s="27"/>
      <c r="AO426" s="16"/>
      <c r="AP426" s="27"/>
      <c r="AR426" s="27"/>
      <c r="AS426" s="16"/>
      <c r="AT426" s="27"/>
      <c r="AV426" s="27"/>
      <c r="AW426" s="16"/>
      <c r="AX426" s="27"/>
      <c r="AZ426" s="27"/>
      <c r="BA426" s="16"/>
      <c r="BB426" s="27"/>
      <c r="BD426" s="27"/>
      <c r="BE426" s="16"/>
      <c r="BF426" s="27"/>
      <c r="BH426" s="27"/>
      <c r="BI426" s="16"/>
      <c r="BJ426" s="27"/>
      <c r="BL426" s="27"/>
      <c r="BM426" s="16"/>
      <c r="BN426" s="27"/>
      <c r="BP426" s="27"/>
      <c r="BQ426" s="16"/>
      <c r="BR426" s="27"/>
      <c r="BT426" s="27"/>
      <c r="BU426" s="16"/>
      <c r="BV426" s="27"/>
      <c r="BX426" s="27"/>
      <c r="BY426" s="16"/>
      <c r="BZ426" s="27"/>
      <c r="CB426" s="27"/>
      <c r="CC426" s="16"/>
      <c r="CD426" s="27"/>
      <c r="CF426" s="27"/>
      <c r="CG426" s="16"/>
      <c r="CH426" s="27"/>
      <c r="CJ426" s="27"/>
      <c r="CK426" s="16"/>
      <c r="CL426" s="27"/>
      <c r="CN426" s="27"/>
      <c r="CO426" s="16"/>
      <c r="CP426" s="27"/>
      <c r="CR426" s="27"/>
      <c r="CS426" s="16"/>
      <c r="CT426" s="27"/>
      <c r="CV426" s="27"/>
      <c r="CW426" s="16"/>
      <c r="CX426" s="27"/>
      <c r="CZ426" s="27"/>
      <c r="DA426" s="16"/>
      <c r="DB426" s="27"/>
      <c r="DD426" s="16"/>
    </row>
    <row r="427" spans="1:108" s="14" customFormat="1" ht="21" x14ac:dyDescent="0.4">
      <c r="A427" s="27"/>
      <c r="B427" s="27"/>
      <c r="D427" s="16"/>
      <c r="E427" s="27"/>
      <c r="F427" s="27"/>
      <c r="H427" s="27"/>
      <c r="I427" s="16"/>
      <c r="J427" s="27"/>
      <c r="L427" s="27"/>
      <c r="M427" s="16"/>
      <c r="N427" s="27"/>
      <c r="P427" s="27"/>
      <c r="Q427" s="16"/>
      <c r="R427" s="27"/>
      <c r="T427" s="27"/>
      <c r="U427" s="16"/>
      <c r="V427" s="27"/>
      <c r="X427" s="27"/>
      <c r="Y427" s="16"/>
      <c r="Z427" s="27"/>
      <c r="AB427" s="27"/>
      <c r="AC427" s="16"/>
      <c r="AD427" s="27"/>
      <c r="AF427" s="27"/>
      <c r="AG427" s="16"/>
      <c r="AH427" s="27"/>
      <c r="AJ427" s="27"/>
      <c r="AK427" s="16"/>
      <c r="AL427" s="27"/>
      <c r="AN427" s="27"/>
      <c r="AO427" s="16"/>
      <c r="AP427" s="27"/>
      <c r="AR427" s="27"/>
      <c r="AS427" s="16"/>
      <c r="AT427" s="27"/>
      <c r="AV427" s="27"/>
      <c r="AW427" s="16"/>
      <c r="AX427" s="27"/>
      <c r="AZ427" s="27"/>
      <c r="BA427" s="16"/>
      <c r="BB427" s="27"/>
      <c r="BD427" s="27"/>
      <c r="BE427" s="16"/>
      <c r="BF427" s="27"/>
      <c r="BH427" s="27"/>
      <c r="BI427" s="16"/>
      <c r="BJ427" s="27"/>
      <c r="BL427" s="27"/>
      <c r="BM427" s="16"/>
      <c r="BN427" s="27"/>
      <c r="BP427" s="27"/>
      <c r="BQ427" s="16"/>
      <c r="BR427" s="27"/>
      <c r="BT427" s="27"/>
      <c r="BU427" s="16"/>
      <c r="BV427" s="27"/>
      <c r="BX427" s="27"/>
      <c r="BY427" s="16"/>
      <c r="BZ427" s="27"/>
      <c r="CB427" s="27"/>
      <c r="CC427" s="16"/>
      <c r="CD427" s="27"/>
      <c r="CF427" s="27"/>
      <c r="CG427" s="16"/>
      <c r="CH427" s="27"/>
      <c r="CJ427" s="27"/>
      <c r="CK427" s="16"/>
      <c r="CL427" s="27"/>
      <c r="CN427" s="27"/>
      <c r="CO427" s="16"/>
      <c r="CP427" s="27"/>
      <c r="CR427" s="27"/>
      <c r="CS427" s="16"/>
      <c r="CT427" s="27"/>
      <c r="CV427" s="27"/>
      <c r="CW427" s="16"/>
      <c r="CX427" s="27"/>
      <c r="CZ427" s="27"/>
      <c r="DA427" s="16"/>
      <c r="DB427" s="27"/>
      <c r="DD427" s="16"/>
    </row>
    <row r="428" spans="1:108" s="14" customFormat="1" ht="21" x14ac:dyDescent="0.4">
      <c r="A428" s="27"/>
      <c r="B428" s="27"/>
      <c r="D428" s="16"/>
      <c r="E428" s="27"/>
      <c r="F428" s="27"/>
      <c r="H428" s="27"/>
      <c r="I428" s="16"/>
      <c r="J428" s="27"/>
      <c r="L428" s="27"/>
      <c r="M428" s="16"/>
      <c r="N428" s="27"/>
      <c r="P428" s="27"/>
      <c r="Q428" s="16"/>
      <c r="R428" s="27"/>
      <c r="T428" s="27"/>
      <c r="U428" s="16"/>
      <c r="V428" s="27"/>
      <c r="X428" s="27"/>
      <c r="Y428" s="16"/>
      <c r="Z428" s="27"/>
      <c r="AB428" s="27"/>
      <c r="AC428" s="16"/>
      <c r="AD428" s="27"/>
      <c r="AF428" s="27"/>
      <c r="AG428" s="16"/>
      <c r="AH428" s="27"/>
      <c r="AJ428" s="27"/>
      <c r="AK428" s="16"/>
      <c r="AL428" s="27"/>
      <c r="AN428" s="27"/>
      <c r="AO428" s="16"/>
      <c r="AP428" s="27"/>
      <c r="AR428" s="27"/>
      <c r="AS428" s="16"/>
      <c r="AT428" s="27"/>
      <c r="AV428" s="27"/>
      <c r="AW428" s="16"/>
      <c r="AX428" s="27"/>
      <c r="AZ428" s="27"/>
      <c r="BA428" s="16"/>
      <c r="BB428" s="27"/>
      <c r="BD428" s="27"/>
      <c r="BE428" s="16"/>
      <c r="BF428" s="27"/>
      <c r="BH428" s="27"/>
      <c r="BI428" s="16"/>
      <c r="BJ428" s="27"/>
      <c r="BL428" s="27"/>
      <c r="BM428" s="16"/>
      <c r="BN428" s="27"/>
      <c r="BP428" s="27"/>
      <c r="BQ428" s="16"/>
      <c r="BR428" s="27"/>
      <c r="BT428" s="27"/>
      <c r="BU428" s="16"/>
      <c r="BV428" s="27"/>
      <c r="BX428" s="27"/>
      <c r="BY428" s="16"/>
      <c r="BZ428" s="27"/>
      <c r="CB428" s="27"/>
      <c r="CC428" s="16"/>
      <c r="CD428" s="27"/>
      <c r="CF428" s="27"/>
      <c r="CG428" s="16"/>
      <c r="CH428" s="27"/>
      <c r="CJ428" s="27"/>
      <c r="CK428" s="16"/>
      <c r="CL428" s="27"/>
      <c r="CN428" s="27"/>
      <c r="CO428" s="16"/>
      <c r="CP428" s="27"/>
      <c r="CR428" s="27"/>
      <c r="CS428" s="16"/>
      <c r="CT428" s="27"/>
      <c r="CV428" s="27"/>
      <c r="CW428" s="16"/>
      <c r="CX428" s="27"/>
      <c r="CZ428" s="27"/>
      <c r="DA428" s="16"/>
      <c r="DB428" s="27"/>
      <c r="DD428" s="16"/>
    </row>
    <row r="429" spans="1:108" s="14" customFormat="1" ht="21" x14ac:dyDescent="0.4">
      <c r="A429" s="27"/>
      <c r="B429" s="27"/>
      <c r="D429" s="16"/>
      <c r="E429" s="27"/>
      <c r="F429" s="27"/>
      <c r="H429" s="27"/>
      <c r="I429" s="16"/>
      <c r="J429" s="27"/>
      <c r="L429" s="27"/>
      <c r="M429" s="16"/>
      <c r="N429" s="27"/>
      <c r="P429" s="27"/>
      <c r="Q429" s="16"/>
      <c r="R429" s="27"/>
      <c r="T429" s="27"/>
      <c r="U429" s="16"/>
      <c r="V429" s="27"/>
      <c r="X429" s="27"/>
      <c r="Y429" s="16"/>
      <c r="Z429" s="27"/>
      <c r="AB429" s="27"/>
      <c r="AC429" s="16"/>
      <c r="AD429" s="27"/>
      <c r="AF429" s="27"/>
      <c r="AG429" s="16"/>
      <c r="AH429" s="27"/>
      <c r="AJ429" s="27"/>
      <c r="AK429" s="16"/>
      <c r="AL429" s="27"/>
      <c r="AN429" s="27"/>
      <c r="AO429" s="16"/>
      <c r="AP429" s="27"/>
      <c r="AR429" s="27"/>
      <c r="AS429" s="16"/>
      <c r="AT429" s="27"/>
      <c r="AV429" s="27"/>
      <c r="AW429" s="16"/>
      <c r="AX429" s="27"/>
      <c r="AZ429" s="27"/>
      <c r="BA429" s="16"/>
      <c r="BB429" s="27"/>
      <c r="BD429" s="27"/>
      <c r="BE429" s="16"/>
      <c r="BF429" s="27"/>
      <c r="BH429" s="27"/>
      <c r="BI429" s="16"/>
      <c r="BJ429" s="27"/>
      <c r="BL429" s="27"/>
      <c r="BM429" s="16"/>
      <c r="BN429" s="27"/>
      <c r="BP429" s="27"/>
      <c r="BQ429" s="16"/>
      <c r="BR429" s="27"/>
      <c r="BT429" s="27"/>
      <c r="BU429" s="16"/>
      <c r="BV429" s="27"/>
      <c r="BX429" s="27"/>
      <c r="BY429" s="16"/>
      <c r="BZ429" s="27"/>
      <c r="CB429" s="27"/>
      <c r="CC429" s="16"/>
      <c r="CD429" s="27"/>
      <c r="CF429" s="27"/>
      <c r="CG429" s="16"/>
      <c r="CH429" s="27"/>
      <c r="CJ429" s="27"/>
      <c r="CK429" s="16"/>
      <c r="CL429" s="27"/>
      <c r="CN429" s="27"/>
      <c r="CO429" s="16"/>
      <c r="CP429" s="27"/>
      <c r="CR429" s="27"/>
      <c r="CS429" s="16"/>
      <c r="CT429" s="27"/>
      <c r="CV429" s="27"/>
      <c r="CW429" s="16"/>
      <c r="CX429" s="27"/>
      <c r="CZ429" s="27"/>
      <c r="DA429" s="16"/>
      <c r="DB429" s="27"/>
      <c r="DD429" s="16"/>
    </row>
    <row r="430" spans="1:108" s="14" customFormat="1" ht="21" x14ac:dyDescent="0.4">
      <c r="A430" s="27"/>
      <c r="B430" s="27"/>
      <c r="D430" s="16"/>
      <c r="E430" s="27"/>
      <c r="F430" s="27"/>
      <c r="H430" s="27"/>
      <c r="I430" s="16"/>
      <c r="J430" s="27"/>
      <c r="L430" s="27"/>
      <c r="M430" s="16"/>
      <c r="N430" s="27"/>
      <c r="P430" s="27"/>
      <c r="Q430" s="16"/>
      <c r="R430" s="27"/>
      <c r="T430" s="27"/>
      <c r="U430" s="16"/>
      <c r="V430" s="27"/>
      <c r="X430" s="27"/>
      <c r="Y430" s="16"/>
      <c r="Z430" s="27"/>
      <c r="AB430" s="27"/>
      <c r="AC430" s="16"/>
      <c r="AD430" s="27"/>
      <c r="AF430" s="27"/>
      <c r="AG430" s="16"/>
      <c r="AH430" s="27"/>
      <c r="AJ430" s="27"/>
      <c r="AK430" s="16"/>
      <c r="AL430" s="27"/>
      <c r="AN430" s="27"/>
      <c r="AO430" s="16"/>
      <c r="AP430" s="27"/>
      <c r="AR430" s="27"/>
      <c r="AS430" s="16"/>
      <c r="AT430" s="27"/>
      <c r="AV430" s="27"/>
      <c r="AW430" s="16"/>
      <c r="AX430" s="27"/>
      <c r="AZ430" s="27"/>
      <c r="BA430" s="16"/>
      <c r="BB430" s="27"/>
      <c r="BD430" s="27"/>
      <c r="BE430" s="16"/>
      <c r="BF430" s="27"/>
      <c r="BH430" s="27"/>
      <c r="BI430" s="16"/>
      <c r="BJ430" s="27"/>
      <c r="BL430" s="27"/>
      <c r="BM430" s="16"/>
      <c r="BN430" s="27"/>
      <c r="BP430" s="27"/>
      <c r="BQ430" s="16"/>
      <c r="BR430" s="27"/>
      <c r="BT430" s="27"/>
      <c r="BU430" s="16"/>
      <c r="BV430" s="27"/>
      <c r="BX430" s="27"/>
      <c r="BY430" s="16"/>
      <c r="BZ430" s="27"/>
      <c r="CB430" s="27"/>
      <c r="CC430" s="16"/>
      <c r="CD430" s="27"/>
      <c r="CF430" s="27"/>
      <c r="CG430" s="16"/>
      <c r="CH430" s="27"/>
      <c r="CJ430" s="27"/>
      <c r="CK430" s="16"/>
      <c r="CL430" s="27"/>
      <c r="CN430" s="27"/>
      <c r="CO430" s="16"/>
      <c r="CP430" s="27"/>
      <c r="CR430" s="27"/>
      <c r="CS430" s="16"/>
      <c r="CT430" s="27"/>
      <c r="CV430" s="27"/>
      <c r="CW430" s="16"/>
      <c r="CX430" s="27"/>
      <c r="CZ430" s="27"/>
      <c r="DA430" s="16"/>
      <c r="DB430" s="27"/>
      <c r="DD430" s="16"/>
    </row>
    <row r="431" spans="1:108" s="14" customFormat="1" ht="21" x14ac:dyDescent="0.4">
      <c r="A431" s="27"/>
      <c r="B431" s="27"/>
      <c r="D431" s="16"/>
      <c r="E431" s="27"/>
      <c r="F431" s="27"/>
      <c r="H431" s="27"/>
      <c r="I431" s="16"/>
      <c r="J431" s="27"/>
      <c r="L431" s="27"/>
      <c r="M431" s="16"/>
      <c r="N431" s="27"/>
      <c r="P431" s="27"/>
      <c r="Q431" s="16"/>
      <c r="R431" s="27"/>
      <c r="T431" s="27"/>
      <c r="U431" s="16"/>
      <c r="V431" s="27"/>
      <c r="X431" s="27"/>
      <c r="Y431" s="16"/>
      <c r="Z431" s="27"/>
      <c r="AB431" s="27"/>
      <c r="AC431" s="16"/>
      <c r="AD431" s="27"/>
      <c r="AF431" s="27"/>
      <c r="AG431" s="16"/>
      <c r="AH431" s="27"/>
      <c r="AJ431" s="27"/>
      <c r="AK431" s="16"/>
      <c r="AL431" s="27"/>
      <c r="AN431" s="27"/>
      <c r="AO431" s="16"/>
      <c r="AP431" s="27"/>
      <c r="AR431" s="27"/>
      <c r="AS431" s="16"/>
      <c r="AT431" s="27"/>
      <c r="AV431" s="27"/>
      <c r="AW431" s="16"/>
      <c r="AX431" s="27"/>
      <c r="AZ431" s="27"/>
      <c r="BA431" s="16"/>
      <c r="BB431" s="27"/>
      <c r="BD431" s="27"/>
      <c r="BE431" s="16"/>
      <c r="BF431" s="27"/>
      <c r="BH431" s="27"/>
      <c r="BI431" s="16"/>
      <c r="BJ431" s="27"/>
      <c r="BL431" s="27"/>
      <c r="BM431" s="16"/>
      <c r="BN431" s="27"/>
      <c r="BP431" s="27"/>
      <c r="BQ431" s="16"/>
      <c r="BR431" s="27"/>
      <c r="BT431" s="27"/>
      <c r="BU431" s="16"/>
      <c r="BV431" s="27"/>
      <c r="BX431" s="27"/>
      <c r="BY431" s="16"/>
      <c r="BZ431" s="27"/>
      <c r="CB431" s="27"/>
      <c r="CC431" s="16"/>
      <c r="CD431" s="27"/>
      <c r="CF431" s="27"/>
      <c r="CG431" s="16"/>
      <c r="CH431" s="27"/>
      <c r="CJ431" s="27"/>
      <c r="CK431" s="16"/>
      <c r="CL431" s="27"/>
      <c r="CN431" s="27"/>
      <c r="CO431" s="16"/>
      <c r="CP431" s="27"/>
      <c r="CR431" s="27"/>
      <c r="CS431" s="16"/>
      <c r="CT431" s="27"/>
      <c r="CV431" s="27"/>
      <c r="CW431" s="16"/>
      <c r="CX431" s="27"/>
      <c r="CZ431" s="27"/>
      <c r="DA431" s="16"/>
      <c r="DB431" s="27"/>
      <c r="DD431" s="16"/>
    </row>
    <row r="432" spans="1:108" s="14" customFormat="1" ht="21" x14ac:dyDescent="0.4">
      <c r="A432" s="27"/>
      <c r="B432" s="27"/>
      <c r="D432" s="16"/>
      <c r="E432" s="27"/>
      <c r="F432" s="27"/>
      <c r="H432" s="27"/>
      <c r="I432" s="16"/>
      <c r="J432" s="27"/>
      <c r="L432" s="27"/>
      <c r="M432" s="16"/>
      <c r="N432" s="27"/>
      <c r="P432" s="27"/>
      <c r="Q432" s="16"/>
      <c r="R432" s="27"/>
      <c r="T432" s="27"/>
      <c r="U432" s="16"/>
      <c r="V432" s="27"/>
      <c r="X432" s="27"/>
      <c r="Y432" s="16"/>
      <c r="Z432" s="27"/>
      <c r="AB432" s="27"/>
      <c r="AC432" s="16"/>
      <c r="AD432" s="27"/>
      <c r="AF432" s="27"/>
      <c r="AG432" s="16"/>
      <c r="AH432" s="27"/>
      <c r="AJ432" s="27"/>
      <c r="AK432" s="16"/>
      <c r="AL432" s="27"/>
      <c r="AN432" s="27"/>
      <c r="AO432" s="16"/>
      <c r="AP432" s="27"/>
      <c r="AR432" s="27"/>
      <c r="AS432" s="16"/>
      <c r="AT432" s="27"/>
      <c r="AV432" s="27"/>
      <c r="AW432" s="16"/>
      <c r="AX432" s="27"/>
      <c r="AZ432" s="27"/>
      <c r="BA432" s="16"/>
      <c r="BB432" s="27"/>
      <c r="BD432" s="27"/>
      <c r="BE432" s="16"/>
      <c r="BF432" s="27"/>
      <c r="BH432" s="27"/>
      <c r="BI432" s="16"/>
      <c r="BJ432" s="27"/>
      <c r="BL432" s="27"/>
      <c r="BM432" s="16"/>
      <c r="BN432" s="27"/>
      <c r="BP432" s="27"/>
      <c r="BQ432" s="16"/>
      <c r="BR432" s="27"/>
      <c r="BT432" s="27"/>
      <c r="BU432" s="16"/>
      <c r="BV432" s="27"/>
      <c r="BX432" s="27"/>
      <c r="BY432" s="16"/>
      <c r="BZ432" s="27"/>
      <c r="CB432" s="27"/>
      <c r="CC432" s="16"/>
      <c r="CD432" s="27"/>
      <c r="CF432" s="27"/>
      <c r="CG432" s="16"/>
      <c r="CH432" s="27"/>
      <c r="CJ432" s="27"/>
      <c r="CK432" s="16"/>
      <c r="CL432" s="27"/>
      <c r="CN432" s="27"/>
      <c r="CO432" s="16"/>
      <c r="CP432" s="27"/>
      <c r="CR432" s="27"/>
      <c r="CS432" s="16"/>
      <c r="CT432" s="27"/>
      <c r="CV432" s="27"/>
      <c r="CW432" s="16"/>
      <c r="CX432" s="27"/>
      <c r="CZ432" s="27"/>
      <c r="DA432" s="16"/>
      <c r="DB432" s="27"/>
      <c r="DD432" s="16"/>
    </row>
    <row r="433" spans="1:108" s="14" customFormat="1" ht="21" x14ac:dyDescent="0.4">
      <c r="A433" s="27"/>
      <c r="B433" s="27"/>
      <c r="D433" s="16"/>
      <c r="E433" s="27"/>
      <c r="F433" s="27"/>
      <c r="H433" s="27"/>
      <c r="I433" s="16"/>
      <c r="J433" s="27"/>
      <c r="L433" s="27"/>
      <c r="M433" s="16"/>
      <c r="N433" s="27"/>
      <c r="P433" s="27"/>
      <c r="Q433" s="16"/>
      <c r="R433" s="27"/>
      <c r="T433" s="27"/>
      <c r="U433" s="16"/>
      <c r="V433" s="27"/>
      <c r="X433" s="27"/>
      <c r="Y433" s="16"/>
      <c r="Z433" s="27"/>
      <c r="AB433" s="27"/>
      <c r="AC433" s="16"/>
      <c r="AD433" s="27"/>
      <c r="AF433" s="27"/>
      <c r="AG433" s="16"/>
      <c r="AH433" s="27"/>
      <c r="AJ433" s="27"/>
      <c r="AK433" s="16"/>
      <c r="AL433" s="27"/>
      <c r="AN433" s="27"/>
      <c r="AO433" s="16"/>
      <c r="AP433" s="27"/>
      <c r="AR433" s="27"/>
      <c r="AS433" s="16"/>
      <c r="AT433" s="27"/>
      <c r="AV433" s="27"/>
      <c r="AW433" s="16"/>
      <c r="AX433" s="27"/>
      <c r="AZ433" s="27"/>
      <c r="BA433" s="16"/>
      <c r="BB433" s="27"/>
      <c r="BD433" s="27"/>
      <c r="BE433" s="16"/>
      <c r="BF433" s="27"/>
      <c r="BH433" s="27"/>
      <c r="BI433" s="16"/>
      <c r="BJ433" s="27"/>
      <c r="BL433" s="27"/>
      <c r="BM433" s="16"/>
      <c r="BN433" s="27"/>
      <c r="BP433" s="27"/>
      <c r="BQ433" s="16"/>
      <c r="BR433" s="27"/>
      <c r="BT433" s="27"/>
      <c r="BU433" s="16"/>
      <c r="BV433" s="27"/>
      <c r="BX433" s="27"/>
      <c r="BY433" s="16"/>
      <c r="BZ433" s="27"/>
      <c r="CB433" s="27"/>
      <c r="CC433" s="16"/>
      <c r="CD433" s="27"/>
      <c r="CF433" s="27"/>
      <c r="CG433" s="16"/>
      <c r="CH433" s="27"/>
      <c r="CJ433" s="27"/>
      <c r="CK433" s="16"/>
      <c r="CL433" s="27"/>
      <c r="CN433" s="27"/>
      <c r="CO433" s="16"/>
      <c r="CP433" s="27"/>
      <c r="CR433" s="27"/>
      <c r="CS433" s="16"/>
      <c r="CT433" s="27"/>
      <c r="CV433" s="27"/>
      <c r="CW433" s="16"/>
      <c r="CX433" s="27"/>
      <c r="CZ433" s="27"/>
      <c r="DA433" s="16"/>
      <c r="DB433" s="27"/>
      <c r="DD433" s="16"/>
    </row>
    <row r="434" spans="1:108" s="14" customFormat="1" ht="21" x14ac:dyDescent="0.4">
      <c r="A434" s="27"/>
      <c r="B434" s="27"/>
      <c r="D434" s="16"/>
      <c r="E434" s="27"/>
      <c r="F434" s="27"/>
      <c r="H434" s="27"/>
      <c r="I434" s="16"/>
      <c r="J434" s="27"/>
      <c r="L434" s="27"/>
      <c r="M434" s="16"/>
      <c r="N434" s="27"/>
      <c r="P434" s="27"/>
      <c r="Q434" s="16"/>
      <c r="R434" s="27"/>
      <c r="T434" s="27"/>
      <c r="U434" s="16"/>
      <c r="V434" s="27"/>
      <c r="X434" s="27"/>
      <c r="Y434" s="16"/>
      <c r="Z434" s="27"/>
      <c r="AB434" s="27"/>
      <c r="AC434" s="16"/>
      <c r="AD434" s="27"/>
      <c r="AF434" s="27"/>
      <c r="AG434" s="16"/>
      <c r="AH434" s="27"/>
      <c r="AJ434" s="27"/>
      <c r="AK434" s="16"/>
      <c r="AL434" s="27"/>
      <c r="AN434" s="27"/>
      <c r="AO434" s="16"/>
      <c r="AP434" s="27"/>
      <c r="AR434" s="27"/>
      <c r="AS434" s="16"/>
      <c r="AT434" s="27"/>
      <c r="AV434" s="27"/>
      <c r="AW434" s="16"/>
      <c r="AX434" s="27"/>
      <c r="AZ434" s="27"/>
      <c r="BA434" s="16"/>
      <c r="BB434" s="27"/>
      <c r="BD434" s="27"/>
      <c r="BE434" s="16"/>
      <c r="BF434" s="27"/>
      <c r="BH434" s="27"/>
      <c r="BI434" s="16"/>
      <c r="BJ434" s="27"/>
      <c r="BL434" s="27"/>
      <c r="BM434" s="16"/>
      <c r="BN434" s="27"/>
      <c r="BP434" s="27"/>
      <c r="BQ434" s="16"/>
      <c r="BR434" s="27"/>
      <c r="BT434" s="27"/>
      <c r="BU434" s="16"/>
      <c r="BV434" s="27"/>
      <c r="BX434" s="27"/>
      <c r="BY434" s="16"/>
      <c r="BZ434" s="27"/>
      <c r="CB434" s="27"/>
      <c r="CC434" s="16"/>
      <c r="CD434" s="27"/>
      <c r="CF434" s="27"/>
      <c r="CG434" s="16"/>
      <c r="CH434" s="27"/>
      <c r="CJ434" s="27"/>
      <c r="CK434" s="16"/>
      <c r="CL434" s="27"/>
      <c r="CN434" s="27"/>
      <c r="CO434" s="16"/>
      <c r="CP434" s="27"/>
      <c r="CR434" s="27"/>
      <c r="CS434" s="16"/>
      <c r="CT434" s="27"/>
      <c r="CV434" s="27"/>
      <c r="CW434" s="16"/>
      <c r="CX434" s="27"/>
      <c r="CZ434" s="27"/>
      <c r="DA434" s="16"/>
      <c r="DB434" s="27"/>
      <c r="DD434" s="16"/>
    </row>
    <row r="435" spans="1:108" s="14" customFormat="1" ht="21" x14ac:dyDescent="0.4">
      <c r="A435" s="27"/>
      <c r="B435" s="27"/>
      <c r="D435" s="16"/>
      <c r="E435" s="27"/>
      <c r="F435" s="27"/>
      <c r="H435" s="27"/>
      <c r="I435" s="16"/>
      <c r="J435" s="27"/>
      <c r="L435" s="27"/>
      <c r="M435" s="16"/>
      <c r="N435" s="27"/>
      <c r="P435" s="27"/>
      <c r="Q435" s="16"/>
      <c r="R435" s="27"/>
      <c r="T435" s="27"/>
      <c r="U435" s="16"/>
      <c r="V435" s="27"/>
      <c r="X435" s="27"/>
      <c r="Y435" s="16"/>
      <c r="Z435" s="27"/>
      <c r="AB435" s="27"/>
      <c r="AC435" s="16"/>
      <c r="AD435" s="27"/>
      <c r="AF435" s="27"/>
      <c r="AG435" s="16"/>
      <c r="AH435" s="27"/>
      <c r="AJ435" s="27"/>
      <c r="AK435" s="16"/>
      <c r="AL435" s="27"/>
      <c r="AN435" s="27"/>
      <c r="AO435" s="16"/>
      <c r="AP435" s="27"/>
      <c r="AR435" s="27"/>
      <c r="AS435" s="16"/>
      <c r="AT435" s="27"/>
      <c r="AV435" s="27"/>
      <c r="AW435" s="16"/>
      <c r="AX435" s="27"/>
      <c r="AZ435" s="27"/>
      <c r="BA435" s="16"/>
      <c r="BB435" s="27"/>
      <c r="BD435" s="27"/>
      <c r="BE435" s="16"/>
      <c r="BF435" s="27"/>
      <c r="BH435" s="27"/>
      <c r="BI435" s="16"/>
      <c r="BJ435" s="27"/>
      <c r="BL435" s="27"/>
      <c r="BM435" s="16"/>
      <c r="BN435" s="27"/>
      <c r="BP435" s="27"/>
      <c r="BQ435" s="16"/>
      <c r="BR435" s="27"/>
      <c r="BT435" s="27"/>
      <c r="BU435" s="16"/>
      <c r="BV435" s="27"/>
      <c r="BX435" s="27"/>
      <c r="BY435" s="16"/>
      <c r="BZ435" s="27"/>
      <c r="CB435" s="27"/>
      <c r="CC435" s="16"/>
      <c r="CD435" s="27"/>
      <c r="CF435" s="27"/>
      <c r="CG435" s="16"/>
      <c r="CH435" s="27"/>
      <c r="CJ435" s="27"/>
      <c r="CK435" s="16"/>
      <c r="CL435" s="27"/>
      <c r="CN435" s="27"/>
      <c r="CO435" s="16"/>
      <c r="CP435" s="27"/>
      <c r="CR435" s="27"/>
      <c r="CS435" s="16"/>
      <c r="CT435" s="27"/>
      <c r="CV435" s="27"/>
      <c r="CW435" s="16"/>
      <c r="CX435" s="27"/>
      <c r="CZ435" s="27"/>
      <c r="DA435" s="16"/>
      <c r="DB435" s="27"/>
      <c r="DD435" s="16"/>
    </row>
    <row r="436" spans="1:108" s="14" customFormat="1" ht="21" x14ac:dyDescent="0.4">
      <c r="A436" s="27"/>
      <c r="B436" s="27"/>
      <c r="D436" s="16"/>
      <c r="E436" s="27"/>
      <c r="F436" s="27"/>
      <c r="H436" s="27"/>
      <c r="I436" s="16"/>
      <c r="J436" s="27"/>
      <c r="L436" s="27"/>
      <c r="M436" s="16"/>
      <c r="N436" s="27"/>
      <c r="P436" s="27"/>
      <c r="Q436" s="16"/>
      <c r="R436" s="27"/>
      <c r="T436" s="27"/>
      <c r="U436" s="16"/>
      <c r="V436" s="27"/>
      <c r="X436" s="27"/>
      <c r="Y436" s="16"/>
      <c r="Z436" s="27"/>
      <c r="AB436" s="27"/>
      <c r="AC436" s="16"/>
      <c r="AD436" s="27"/>
      <c r="AF436" s="27"/>
      <c r="AG436" s="16"/>
      <c r="AH436" s="27"/>
      <c r="AJ436" s="27"/>
      <c r="AK436" s="16"/>
      <c r="AL436" s="27"/>
      <c r="AN436" s="27"/>
      <c r="AO436" s="16"/>
      <c r="AP436" s="27"/>
      <c r="AR436" s="27"/>
      <c r="AS436" s="16"/>
      <c r="AT436" s="27"/>
      <c r="AV436" s="27"/>
      <c r="AW436" s="16"/>
      <c r="AX436" s="27"/>
      <c r="AZ436" s="27"/>
      <c r="BA436" s="16"/>
      <c r="BB436" s="27"/>
      <c r="BD436" s="27"/>
      <c r="BE436" s="16"/>
      <c r="BF436" s="27"/>
      <c r="BH436" s="27"/>
      <c r="BI436" s="16"/>
      <c r="BJ436" s="27"/>
      <c r="BL436" s="27"/>
      <c r="BM436" s="16"/>
      <c r="BN436" s="27"/>
      <c r="BP436" s="27"/>
      <c r="BQ436" s="16"/>
      <c r="BR436" s="27"/>
      <c r="BT436" s="27"/>
      <c r="BU436" s="16"/>
      <c r="BV436" s="27"/>
      <c r="BX436" s="27"/>
      <c r="BY436" s="16"/>
      <c r="BZ436" s="27"/>
      <c r="CB436" s="27"/>
      <c r="CC436" s="16"/>
      <c r="CD436" s="27"/>
      <c r="CF436" s="27"/>
      <c r="CG436" s="16"/>
      <c r="CH436" s="27"/>
      <c r="CJ436" s="27"/>
      <c r="CK436" s="16"/>
      <c r="CL436" s="27"/>
      <c r="CN436" s="27"/>
      <c r="CO436" s="16"/>
      <c r="CP436" s="27"/>
      <c r="CR436" s="27"/>
      <c r="CS436" s="16"/>
      <c r="CT436" s="27"/>
      <c r="CV436" s="27"/>
      <c r="CW436" s="16"/>
      <c r="CX436" s="27"/>
      <c r="CZ436" s="27"/>
      <c r="DA436" s="16"/>
      <c r="DB436" s="27"/>
      <c r="DD436" s="16"/>
    </row>
    <row r="437" spans="1:108" s="14" customFormat="1" ht="21" x14ac:dyDescent="0.4">
      <c r="A437" s="27"/>
      <c r="B437" s="27"/>
      <c r="D437" s="16"/>
      <c r="E437" s="27"/>
      <c r="F437" s="27"/>
      <c r="H437" s="27"/>
      <c r="I437" s="16"/>
      <c r="J437" s="27"/>
      <c r="L437" s="27"/>
      <c r="M437" s="16"/>
      <c r="N437" s="27"/>
      <c r="P437" s="27"/>
      <c r="Q437" s="16"/>
      <c r="R437" s="27"/>
      <c r="T437" s="27"/>
      <c r="U437" s="16"/>
      <c r="V437" s="27"/>
      <c r="X437" s="27"/>
      <c r="Y437" s="16"/>
      <c r="Z437" s="27"/>
      <c r="AB437" s="27"/>
      <c r="AC437" s="16"/>
      <c r="AD437" s="27"/>
      <c r="AF437" s="27"/>
      <c r="AG437" s="16"/>
      <c r="AH437" s="27"/>
      <c r="AJ437" s="27"/>
      <c r="AK437" s="16"/>
      <c r="AL437" s="27"/>
      <c r="AN437" s="27"/>
      <c r="AO437" s="16"/>
      <c r="AP437" s="27"/>
      <c r="AR437" s="27"/>
      <c r="AS437" s="16"/>
      <c r="AT437" s="27"/>
      <c r="AV437" s="27"/>
      <c r="AW437" s="16"/>
      <c r="AX437" s="27"/>
      <c r="AZ437" s="27"/>
      <c r="BA437" s="16"/>
      <c r="BB437" s="27"/>
      <c r="BD437" s="27"/>
      <c r="BE437" s="16"/>
      <c r="BF437" s="27"/>
      <c r="BH437" s="27"/>
      <c r="BI437" s="16"/>
      <c r="BJ437" s="27"/>
      <c r="BL437" s="27"/>
      <c r="BM437" s="16"/>
      <c r="BN437" s="27"/>
      <c r="BP437" s="27"/>
      <c r="BQ437" s="16"/>
      <c r="BR437" s="27"/>
      <c r="BT437" s="27"/>
      <c r="BU437" s="16"/>
      <c r="BV437" s="27"/>
      <c r="BX437" s="27"/>
      <c r="BY437" s="16"/>
      <c r="BZ437" s="27"/>
      <c r="CB437" s="27"/>
      <c r="CC437" s="16"/>
      <c r="CD437" s="27"/>
      <c r="CF437" s="27"/>
      <c r="CG437" s="16"/>
      <c r="CH437" s="27"/>
      <c r="CJ437" s="27"/>
      <c r="CK437" s="16"/>
      <c r="CL437" s="27"/>
      <c r="CN437" s="27"/>
      <c r="CO437" s="16"/>
      <c r="CP437" s="27"/>
      <c r="CR437" s="27"/>
      <c r="CS437" s="16"/>
      <c r="CT437" s="27"/>
      <c r="CV437" s="27"/>
      <c r="CW437" s="16"/>
      <c r="CX437" s="27"/>
      <c r="CZ437" s="27"/>
      <c r="DA437" s="16"/>
      <c r="DB437" s="27"/>
      <c r="DD437" s="16"/>
    </row>
    <row r="438" spans="1:108" s="14" customFormat="1" ht="21" x14ac:dyDescent="0.4">
      <c r="A438" s="27"/>
      <c r="B438" s="27"/>
      <c r="D438" s="16"/>
      <c r="E438" s="27"/>
      <c r="F438" s="27"/>
      <c r="H438" s="27"/>
      <c r="I438" s="16"/>
      <c r="J438" s="27"/>
      <c r="L438" s="27"/>
      <c r="M438" s="16"/>
      <c r="N438" s="27"/>
      <c r="P438" s="27"/>
      <c r="Q438" s="16"/>
      <c r="R438" s="27"/>
      <c r="T438" s="27"/>
      <c r="U438" s="16"/>
      <c r="V438" s="27"/>
      <c r="X438" s="27"/>
      <c r="Y438" s="16"/>
      <c r="Z438" s="27"/>
      <c r="AB438" s="27"/>
      <c r="AC438" s="16"/>
      <c r="AD438" s="27"/>
      <c r="AF438" s="27"/>
      <c r="AG438" s="16"/>
      <c r="AH438" s="27"/>
      <c r="AJ438" s="27"/>
      <c r="AK438" s="16"/>
      <c r="AL438" s="27"/>
      <c r="AN438" s="27"/>
      <c r="AO438" s="16"/>
      <c r="AP438" s="27"/>
      <c r="AR438" s="27"/>
      <c r="AS438" s="16"/>
      <c r="AT438" s="27"/>
      <c r="AV438" s="27"/>
      <c r="AW438" s="16"/>
      <c r="AX438" s="27"/>
      <c r="AZ438" s="27"/>
      <c r="BA438" s="16"/>
      <c r="BB438" s="27"/>
      <c r="BD438" s="27"/>
      <c r="BE438" s="16"/>
      <c r="BF438" s="27"/>
      <c r="BH438" s="27"/>
      <c r="BI438" s="16"/>
      <c r="BJ438" s="27"/>
      <c r="BL438" s="27"/>
      <c r="BM438" s="16"/>
      <c r="BN438" s="27"/>
      <c r="BP438" s="27"/>
      <c r="BQ438" s="16"/>
      <c r="BR438" s="27"/>
      <c r="BT438" s="27"/>
      <c r="BU438" s="16"/>
      <c r="BV438" s="27"/>
      <c r="BX438" s="27"/>
      <c r="BY438" s="16"/>
      <c r="BZ438" s="27"/>
      <c r="CB438" s="27"/>
      <c r="CC438" s="16"/>
      <c r="CD438" s="27"/>
      <c r="CF438" s="27"/>
      <c r="CG438" s="16"/>
      <c r="CH438" s="27"/>
      <c r="CJ438" s="27"/>
      <c r="CK438" s="16"/>
      <c r="CL438" s="27"/>
      <c r="CN438" s="27"/>
      <c r="CO438" s="16"/>
      <c r="CP438" s="27"/>
      <c r="CR438" s="27"/>
      <c r="CS438" s="16"/>
      <c r="CT438" s="27"/>
      <c r="CV438" s="27"/>
      <c r="CW438" s="16"/>
      <c r="CX438" s="27"/>
      <c r="CZ438" s="27"/>
      <c r="DA438" s="16"/>
      <c r="DB438" s="27"/>
      <c r="DD438" s="16"/>
    </row>
    <row r="439" spans="1:108" s="14" customFormat="1" ht="21" x14ac:dyDescent="0.4">
      <c r="A439" s="27"/>
      <c r="B439" s="27"/>
      <c r="D439" s="16"/>
      <c r="E439" s="27"/>
      <c r="F439" s="27"/>
      <c r="H439" s="27"/>
      <c r="I439" s="16"/>
      <c r="J439" s="27"/>
      <c r="L439" s="27"/>
      <c r="M439" s="16"/>
      <c r="N439" s="27"/>
      <c r="P439" s="27"/>
      <c r="Q439" s="16"/>
      <c r="R439" s="27"/>
      <c r="T439" s="27"/>
      <c r="U439" s="16"/>
      <c r="V439" s="27"/>
      <c r="X439" s="27"/>
      <c r="Y439" s="16"/>
      <c r="Z439" s="27"/>
      <c r="AB439" s="27"/>
      <c r="AC439" s="16"/>
      <c r="AD439" s="27"/>
      <c r="AF439" s="27"/>
      <c r="AG439" s="16"/>
      <c r="AH439" s="27"/>
      <c r="AJ439" s="27"/>
      <c r="AK439" s="16"/>
      <c r="AL439" s="27"/>
      <c r="AN439" s="27"/>
      <c r="AO439" s="16"/>
      <c r="AP439" s="27"/>
      <c r="AR439" s="27"/>
      <c r="AS439" s="16"/>
      <c r="AT439" s="27"/>
      <c r="AV439" s="27"/>
      <c r="AW439" s="16"/>
      <c r="AX439" s="27"/>
      <c r="AZ439" s="27"/>
      <c r="BA439" s="16"/>
      <c r="BB439" s="27"/>
      <c r="BD439" s="27"/>
      <c r="BE439" s="16"/>
      <c r="BF439" s="27"/>
      <c r="BH439" s="27"/>
      <c r="BI439" s="16"/>
      <c r="BJ439" s="27"/>
      <c r="BL439" s="27"/>
      <c r="BM439" s="16"/>
      <c r="BN439" s="27"/>
      <c r="BP439" s="27"/>
      <c r="BQ439" s="16"/>
      <c r="BR439" s="27"/>
      <c r="BT439" s="27"/>
      <c r="BU439" s="16"/>
      <c r="BV439" s="27"/>
      <c r="BX439" s="27"/>
      <c r="BY439" s="16"/>
      <c r="BZ439" s="27"/>
      <c r="CB439" s="27"/>
      <c r="CC439" s="16"/>
      <c r="CD439" s="27"/>
      <c r="CF439" s="27"/>
      <c r="CG439" s="16"/>
      <c r="CH439" s="27"/>
      <c r="CJ439" s="27"/>
      <c r="CK439" s="16"/>
      <c r="CL439" s="27"/>
      <c r="CN439" s="27"/>
      <c r="CO439" s="16"/>
      <c r="CP439" s="27"/>
      <c r="CR439" s="27"/>
      <c r="CS439" s="16"/>
      <c r="CT439" s="27"/>
      <c r="CV439" s="27"/>
      <c r="CW439" s="16"/>
      <c r="CX439" s="27"/>
      <c r="CZ439" s="27"/>
      <c r="DA439" s="16"/>
      <c r="DB439" s="27"/>
      <c r="DD439" s="16"/>
    </row>
    <row r="440" spans="1:108" s="14" customFormat="1" ht="21" x14ac:dyDescent="0.4">
      <c r="A440" s="27"/>
      <c r="B440" s="27"/>
      <c r="D440" s="16"/>
      <c r="E440" s="27"/>
      <c r="F440" s="27"/>
      <c r="H440" s="27"/>
      <c r="I440" s="16"/>
      <c r="J440" s="27"/>
      <c r="L440" s="27"/>
      <c r="M440" s="16"/>
      <c r="N440" s="27"/>
      <c r="P440" s="27"/>
      <c r="Q440" s="16"/>
      <c r="R440" s="27"/>
      <c r="T440" s="27"/>
      <c r="U440" s="16"/>
      <c r="V440" s="27"/>
      <c r="X440" s="27"/>
      <c r="Y440" s="16"/>
      <c r="Z440" s="27"/>
      <c r="AB440" s="27"/>
      <c r="AC440" s="16"/>
      <c r="AD440" s="27"/>
      <c r="AF440" s="27"/>
      <c r="AG440" s="16"/>
      <c r="AH440" s="27"/>
      <c r="AJ440" s="27"/>
      <c r="AK440" s="16"/>
      <c r="AL440" s="27"/>
      <c r="AN440" s="27"/>
      <c r="AO440" s="16"/>
      <c r="AP440" s="27"/>
      <c r="AR440" s="27"/>
      <c r="AS440" s="16"/>
      <c r="AT440" s="27"/>
      <c r="AV440" s="27"/>
      <c r="AW440" s="16"/>
      <c r="AX440" s="27"/>
      <c r="AZ440" s="27"/>
      <c r="BA440" s="16"/>
      <c r="BB440" s="27"/>
      <c r="BD440" s="27"/>
      <c r="BE440" s="16"/>
      <c r="BF440" s="27"/>
      <c r="BH440" s="27"/>
      <c r="BI440" s="16"/>
      <c r="BJ440" s="27"/>
      <c r="BL440" s="27"/>
      <c r="BM440" s="16"/>
      <c r="BN440" s="27"/>
      <c r="BP440" s="27"/>
      <c r="BQ440" s="16"/>
      <c r="BR440" s="27"/>
      <c r="BT440" s="27"/>
      <c r="BU440" s="16"/>
      <c r="BV440" s="27"/>
      <c r="BX440" s="27"/>
      <c r="BY440" s="16"/>
      <c r="BZ440" s="27"/>
      <c r="CB440" s="27"/>
      <c r="CC440" s="16"/>
      <c r="CD440" s="27"/>
      <c r="CF440" s="27"/>
      <c r="CG440" s="16"/>
      <c r="CH440" s="27"/>
      <c r="CJ440" s="27"/>
      <c r="CK440" s="16"/>
      <c r="CL440" s="27"/>
      <c r="CN440" s="27"/>
      <c r="CO440" s="16"/>
      <c r="CP440" s="27"/>
      <c r="CR440" s="27"/>
      <c r="CS440" s="16"/>
      <c r="CT440" s="27"/>
      <c r="CV440" s="27"/>
      <c r="CW440" s="16"/>
      <c r="CX440" s="27"/>
      <c r="CZ440" s="27"/>
      <c r="DA440" s="16"/>
      <c r="DB440" s="27"/>
      <c r="DD440" s="16"/>
    </row>
    <row r="441" spans="1:108" s="14" customFormat="1" ht="21" x14ac:dyDescent="0.4">
      <c r="A441" s="27"/>
      <c r="B441" s="27"/>
      <c r="D441" s="16"/>
      <c r="E441" s="27"/>
      <c r="F441" s="27"/>
      <c r="H441" s="27"/>
      <c r="I441" s="16"/>
      <c r="J441" s="27"/>
      <c r="L441" s="27"/>
      <c r="M441" s="16"/>
      <c r="N441" s="27"/>
      <c r="P441" s="27"/>
      <c r="Q441" s="16"/>
      <c r="R441" s="27"/>
      <c r="T441" s="27"/>
      <c r="U441" s="16"/>
      <c r="V441" s="27"/>
      <c r="X441" s="27"/>
      <c r="Y441" s="16"/>
      <c r="Z441" s="27"/>
      <c r="AB441" s="27"/>
      <c r="AC441" s="16"/>
      <c r="AD441" s="27"/>
      <c r="AF441" s="27"/>
      <c r="AG441" s="16"/>
      <c r="AH441" s="27"/>
      <c r="AJ441" s="27"/>
      <c r="AK441" s="16"/>
      <c r="AL441" s="27"/>
      <c r="AN441" s="27"/>
      <c r="AO441" s="16"/>
      <c r="AP441" s="27"/>
      <c r="AR441" s="27"/>
      <c r="AS441" s="16"/>
      <c r="AT441" s="27"/>
      <c r="AV441" s="27"/>
      <c r="AW441" s="16"/>
      <c r="AX441" s="27"/>
      <c r="AZ441" s="27"/>
      <c r="BA441" s="16"/>
      <c r="BB441" s="27"/>
      <c r="BD441" s="27"/>
      <c r="BE441" s="16"/>
      <c r="BF441" s="27"/>
      <c r="BH441" s="27"/>
      <c r="BI441" s="16"/>
      <c r="BJ441" s="27"/>
      <c r="BL441" s="27"/>
      <c r="BM441" s="16"/>
      <c r="BN441" s="27"/>
      <c r="BP441" s="27"/>
      <c r="BQ441" s="16"/>
      <c r="BR441" s="27"/>
      <c r="BT441" s="27"/>
      <c r="BU441" s="16"/>
      <c r="BV441" s="27"/>
      <c r="BX441" s="27"/>
      <c r="BY441" s="16"/>
      <c r="BZ441" s="27"/>
      <c r="CB441" s="27"/>
      <c r="CC441" s="16"/>
      <c r="CD441" s="27"/>
      <c r="CF441" s="27"/>
      <c r="CG441" s="16"/>
      <c r="CH441" s="27"/>
      <c r="CJ441" s="27"/>
      <c r="CK441" s="16"/>
      <c r="CL441" s="27"/>
      <c r="CN441" s="27"/>
      <c r="CO441" s="16"/>
      <c r="CP441" s="27"/>
      <c r="CR441" s="27"/>
      <c r="CS441" s="16"/>
      <c r="CT441" s="27"/>
      <c r="CV441" s="27"/>
      <c r="CW441" s="16"/>
      <c r="CX441" s="27"/>
      <c r="CZ441" s="27"/>
      <c r="DA441" s="16"/>
      <c r="DB441" s="27"/>
      <c r="DD441" s="16"/>
    </row>
    <row r="442" spans="1:108" s="14" customFormat="1" ht="21" x14ac:dyDescent="0.4">
      <c r="A442" s="27"/>
      <c r="B442" s="27"/>
      <c r="D442" s="16"/>
      <c r="E442" s="27"/>
      <c r="F442" s="27"/>
      <c r="H442" s="27"/>
      <c r="I442" s="16"/>
      <c r="J442" s="27"/>
      <c r="L442" s="27"/>
      <c r="M442" s="16"/>
      <c r="N442" s="27"/>
      <c r="P442" s="27"/>
      <c r="Q442" s="16"/>
      <c r="R442" s="27"/>
      <c r="T442" s="27"/>
      <c r="U442" s="16"/>
      <c r="V442" s="27"/>
      <c r="X442" s="27"/>
      <c r="Y442" s="16"/>
      <c r="Z442" s="27"/>
      <c r="AB442" s="27"/>
      <c r="AC442" s="16"/>
      <c r="AD442" s="27"/>
      <c r="AF442" s="27"/>
      <c r="AG442" s="16"/>
      <c r="AH442" s="27"/>
      <c r="AJ442" s="27"/>
      <c r="AK442" s="16"/>
      <c r="AL442" s="27"/>
      <c r="AN442" s="27"/>
      <c r="AO442" s="16"/>
      <c r="AP442" s="27"/>
      <c r="AR442" s="27"/>
      <c r="AS442" s="16"/>
      <c r="AT442" s="27"/>
      <c r="AV442" s="27"/>
      <c r="AW442" s="16"/>
      <c r="AX442" s="27"/>
      <c r="AZ442" s="27"/>
      <c r="BA442" s="16"/>
      <c r="BB442" s="27"/>
      <c r="BD442" s="27"/>
      <c r="BE442" s="16"/>
      <c r="BF442" s="27"/>
      <c r="BH442" s="27"/>
      <c r="BI442" s="16"/>
      <c r="BJ442" s="27"/>
      <c r="BL442" s="27"/>
      <c r="BM442" s="16"/>
      <c r="BN442" s="27"/>
      <c r="BP442" s="27"/>
      <c r="BQ442" s="16"/>
      <c r="BR442" s="27"/>
      <c r="BT442" s="27"/>
      <c r="BU442" s="16"/>
      <c r="BV442" s="27"/>
      <c r="BX442" s="27"/>
      <c r="BY442" s="16"/>
      <c r="BZ442" s="27"/>
      <c r="CB442" s="27"/>
      <c r="CC442" s="16"/>
      <c r="CD442" s="27"/>
      <c r="CF442" s="27"/>
      <c r="CG442" s="16"/>
      <c r="CH442" s="27"/>
      <c r="CJ442" s="27"/>
      <c r="CK442" s="16"/>
      <c r="CL442" s="27"/>
      <c r="CN442" s="27"/>
      <c r="CO442" s="16"/>
      <c r="CP442" s="27"/>
      <c r="CR442" s="27"/>
      <c r="CS442" s="16"/>
      <c r="CT442" s="27"/>
      <c r="CV442" s="27"/>
      <c r="CW442" s="16"/>
      <c r="CX442" s="27"/>
      <c r="CZ442" s="27"/>
      <c r="DA442" s="16"/>
      <c r="DB442" s="27"/>
      <c r="DD442" s="16"/>
    </row>
    <row r="443" spans="1:108" s="14" customFormat="1" ht="21" x14ac:dyDescent="0.4">
      <c r="A443" s="27"/>
      <c r="B443" s="27"/>
      <c r="D443" s="16"/>
      <c r="E443" s="27"/>
      <c r="F443" s="27"/>
      <c r="H443" s="27"/>
      <c r="I443" s="16"/>
      <c r="J443" s="27"/>
      <c r="L443" s="27"/>
      <c r="M443" s="16"/>
      <c r="N443" s="27"/>
      <c r="P443" s="27"/>
      <c r="Q443" s="16"/>
      <c r="R443" s="27"/>
      <c r="T443" s="27"/>
      <c r="U443" s="16"/>
      <c r="V443" s="27"/>
      <c r="X443" s="27"/>
      <c r="Y443" s="16"/>
      <c r="Z443" s="27"/>
      <c r="AB443" s="27"/>
      <c r="AC443" s="16"/>
      <c r="AD443" s="27"/>
      <c r="AF443" s="27"/>
      <c r="AG443" s="16"/>
      <c r="AH443" s="27"/>
      <c r="AJ443" s="27"/>
      <c r="AK443" s="16"/>
      <c r="AL443" s="27"/>
      <c r="AN443" s="27"/>
      <c r="AO443" s="16"/>
      <c r="AP443" s="27"/>
      <c r="AR443" s="27"/>
      <c r="AS443" s="16"/>
      <c r="AT443" s="27"/>
      <c r="AV443" s="27"/>
      <c r="AW443" s="16"/>
      <c r="AX443" s="27"/>
      <c r="AZ443" s="27"/>
      <c r="BA443" s="16"/>
      <c r="BB443" s="27"/>
      <c r="BD443" s="27"/>
      <c r="BE443" s="16"/>
      <c r="BF443" s="27"/>
      <c r="BH443" s="27"/>
      <c r="BI443" s="16"/>
      <c r="BJ443" s="27"/>
      <c r="BL443" s="27"/>
      <c r="BM443" s="16"/>
      <c r="BN443" s="27"/>
      <c r="BP443" s="27"/>
      <c r="BQ443" s="16"/>
      <c r="BR443" s="27"/>
      <c r="BT443" s="27"/>
      <c r="BU443" s="16"/>
      <c r="BV443" s="27"/>
      <c r="BX443" s="27"/>
      <c r="BY443" s="16"/>
      <c r="BZ443" s="27"/>
      <c r="CB443" s="27"/>
      <c r="CC443" s="16"/>
      <c r="CD443" s="27"/>
      <c r="CF443" s="27"/>
      <c r="CG443" s="16"/>
      <c r="CH443" s="27"/>
      <c r="CJ443" s="27"/>
      <c r="CK443" s="16"/>
      <c r="CL443" s="27"/>
      <c r="CN443" s="27"/>
      <c r="CO443" s="16"/>
      <c r="CP443" s="27"/>
      <c r="CR443" s="27"/>
      <c r="CS443" s="16"/>
      <c r="CT443" s="27"/>
      <c r="CV443" s="27"/>
      <c r="CW443" s="16"/>
      <c r="CX443" s="27"/>
      <c r="CZ443" s="27"/>
      <c r="DA443" s="16"/>
      <c r="DB443" s="27"/>
      <c r="DD443" s="16"/>
    </row>
    <row r="444" spans="1:108" s="14" customFormat="1" ht="21" x14ac:dyDescent="0.4">
      <c r="A444" s="27"/>
      <c r="B444" s="27"/>
      <c r="D444" s="16"/>
      <c r="E444" s="27"/>
      <c r="F444" s="27"/>
      <c r="H444" s="27"/>
      <c r="I444" s="16"/>
      <c r="J444" s="27"/>
      <c r="L444" s="27"/>
      <c r="M444" s="16"/>
      <c r="N444" s="27"/>
      <c r="P444" s="27"/>
      <c r="Q444" s="16"/>
      <c r="R444" s="27"/>
      <c r="T444" s="27"/>
      <c r="U444" s="16"/>
      <c r="V444" s="27"/>
      <c r="X444" s="27"/>
      <c r="Y444" s="16"/>
      <c r="Z444" s="27"/>
      <c r="AB444" s="27"/>
      <c r="AC444" s="16"/>
      <c r="AD444" s="27"/>
      <c r="AF444" s="27"/>
      <c r="AG444" s="16"/>
      <c r="AH444" s="27"/>
      <c r="AJ444" s="27"/>
      <c r="AK444" s="16"/>
      <c r="AL444" s="27"/>
      <c r="AN444" s="27"/>
      <c r="AO444" s="16"/>
      <c r="AP444" s="27"/>
      <c r="AR444" s="27"/>
      <c r="AS444" s="16"/>
      <c r="AT444" s="27"/>
      <c r="AV444" s="27"/>
      <c r="AW444" s="16"/>
      <c r="AX444" s="27"/>
      <c r="AZ444" s="27"/>
      <c r="BA444" s="16"/>
      <c r="BB444" s="27"/>
      <c r="BD444" s="27"/>
      <c r="BE444" s="16"/>
      <c r="BF444" s="27"/>
      <c r="BH444" s="27"/>
      <c r="BI444" s="16"/>
      <c r="BJ444" s="27"/>
      <c r="BL444" s="27"/>
      <c r="BM444" s="16"/>
      <c r="BN444" s="27"/>
      <c r="BP444" s="27"/>
      <c r="BQ444" s="16"/>
      <c r="BR444" s="27"/>
      <c r="BT444" s="27"/>
      <c r="BU444" s="16"/>
      <c r="BV444" s="27"/>
      <c r="BX444" s="27"/>
      <c r="BY444" s="16"/>
      <c r="BZ444" s="27"/>
      <c r="CB444" s="27"/>
      <c r="CC444" s="16"/>
      <c r="CD444" s="27"/>
      <c r="CF444" s="27"/>
      <c r="CG444" s="16"/>
      <c r="CH444" s="27"/>
      <c r="CJ444" s="27"/>
      <c r="CK444" s="16"/>
      <c r="CL444" s="27"/>
      <c r="CN444" s="27"/>
      <c r="CO444" s="16"/>
      <c r="CP444" s="27"/>
      <c r="CR444" s="27"/>
      <c r="CS444" s="16"/>
      <c r="CT444" s="27"/>
      <c r="CV444" s="27"/>
      <c r="CW444" s="16"/>
      <c r="CX444" s="27"/>
      <c r="CZ444" s="27"/>
      <c r="DA444" s="16"/>
      <c r="DB444" s="27"/>
      <c r="DD444" s="16"/>
    </row>
    <row r="445" spans="1:108" s="14" customFormat="1" ht="21" x14ac:dyDescent="0.4">
      <c r="A445" s="27"/>
      <c r="B445" s="27"/>
      <c r="D445" s="16"/>
      <c r="E445" s="27"/>
      <c r="F445" s="27"/>
      <c r="H445" s="27"/>
      <c r="I445" s="16"/>
      <c r="J445" s="27"/>
      <c r="L445" s="27"/>
      <c r="M445" s="16"/>
      <c r="N445" s="27"/>
      <c r="P445" s="27"/>
      <c r="Q445" s="16"/>
      <c r="R445" s="27"/>
      <c r="T445" s="27"/>
      <c r="U445" s="16"/>
      <c r="V445" s="27"/>
      <c r="X445" s="27"/>
      <c r="Y445" s="16"/>
      <c r="Z445" s="27"/>
      <c r="AB445" s="27"/>
      <c r="AC445" s="16"/>
      <c r="AD445" s="27"/>
      <c r="AF445" s="27"/>
      <c r="AG445" s="16"/>
      <c r="AH445" s="27"/>
      <c r="AJ445" s="27"/>
      <c r="AK445" s="16"/>
      <c r="AL445" s="27"/>
      <c r="AN445" s="27"/>
      <c r="AO445" s="16"/>
      <c r="AP445" s="27"/>
      <c r="AR445" s="27"/>
      <c r="AS445" s="16"/>
      <c r="AT445" s="27"/>
      <c r="AV445" s="27"/>
      <c r="AW445" s="16"/>
      <c r="AX445" s="27"/>
      <c r="AZ445" s="27"/>
      <c r="BA445" s="16"/>
      <c r="BB445" s="27"/>
      <c r="BD445" s="27"/>
      <c r="BE445" s="16"/>
      <c r="BF445" s="27"/>
      <c r="BH445" s="27"/>
      <c r="BI445" s="16"/>
      <c r="BJ445" s="27"/>
      <c r="BL445" s="27"/>
      <c r="BM445" s="16"/>
      <c r="BN445" s="27"/>
      <c r="BP445" s="27"/>
      <c r="BQ445" s="16"/>
      <c r="BR445" s="27"/>
      <c r="BT445" s="27"/>
      <c r="BU445" s="16"/>
      <c r="BV445" s="27"/>
      <c r="BX445" s="27"/>
      <c r="BY445" s="16"/>
      <c r="BZ445" s="27"/>
      <c r="CB445" s="27"/>
      <c r="CC445" s="16"/>
      <c r="CD445" s="27"/>
      <c r="CF445" s="27"/>
      <c r="CG445" s="16"/>
      <c r="CH445" s="27"/>
      <c r="CJ445" s="27"/>
      <c r="CK445" s="16"/>
      <c r="CL445" s="27"/>
      <c r="CN445" s="27"/>
      <c r="CO445" s="16"/>
      <c r="CP445" s="27"/>
      <c r="CR445" s="27"/>
      <c r="CS445" s="16"/>
      <c r="CT445" s="27"/>
      <c r="CV445" s="27"/>
      <c r="CW445" s="16"/>
      <c r="CX445" s="27"/>
      <c r="CZ445" s="27"/>
      <c r="DA445" s="16"/>
      <c r="DB445" s="27"/>
      <c r="DD445" s="16"/>
    </row>
    <row r="446" spans="1:108" s="14" customFormat="1" ht="21" x14ac:dyDescent="0.4">
      <c r="A446" s="27"/>
      <c r="B446" s="27"/>
      <c r="D446" s="16"/>
      <c r="E446" s="27"/>
      <c r="F446" s="27"/>
      <c r="H446" s="27"/>
      <c r="I446" s="16"/>
      <c r="J446" s="27"/>
      <c r="L446" s="27"/>
      <c r="M446" s="16"/>
      <c r="N446" s="27"/>
      <c r="P446" s="27"/>
      <c r="Q446" s="16"/>
      <c r="R446" s="27"/>
      <c r="T446" s="27"/>
      <c r="U446" s="16"/>
      <c r="V446" s="27"/>
      <c r="X446" s="27"/>
      <c r="Y446" s="16"/>
      <c r="Z446" s="27"/>
      <c r="AB446" s="27"/>
      <c r="AC446" s="16"/>
      <c r="AD446" s="27"/>
      <c r="AF446" s="27"/>
      <c r="AG446" s="16"/>
      <c r="AH446" s="27"/>
      <c r="AJ446" s="27"/>
      <c r="AK446" s="16"/>
      <c r="AL446" s="27"/>
      <c r="AN446" s="27"/>
      <c r="AO446" s="16"/>
      <c r="AP446" s="27"/>
      <c r="AR446" s="27"/>
      <c r="AS446" s="16"/>
      <c r="AT446" s="27"/>
      <c r="AV446" s="27"/>
      <c r="AW446" s="16"/>
      <c r="AX446" s="27"/>
      <c r="AZ446" s="27"/>
      <c r="BA446" s="16"/>
      <c r="BB446" s="27"/>
      <c r="BD446" s="27"/>
      <c r="BE446" s="16"/>
      <c r="BF446" s="27"/>
      <c r="BH446" s="27"/>
      <c r="BI446" s="16"/>
      <c r="BJ446" s="27"/>
      <c r="BL446" s="27"/>
      <c r="BM446" s="16"/>
      <c r="BN446" s="27"/>
      <c r="BP446" s="27"/>
      <c r="BQ446" s="16"/>
      <c r="BR446" s="27"/>
      <c r="BT446" s="27"/>
      <c r="BU446" s="16"/>
      <c r="BV446" s="27"/>
      <c r="BX446" s="27"/>
      <c r="BY446" s="16"/>
      <c r="BZ446" s="27"/>
      <c r="CB446" s="27"/>
      <c r="CC446" s="16"/>
      <c r="CD446" s="27"/>
      <c r="CF446" s="27"/>
      <c r="CG446" s="16"/>
      <c r="CH446" s="27"/>
      <c r="CJ446" s="27"/>
      <c r="CK446" s="16"/>
      <c r="CL446" s="27"/>
      <c r="CN446" s="27"/>
      <c r="CO446" s="16"/>
      <c r="CP446" s="27"/>
      <c r="CR446" s="27"/>
      <c r="CS446" s="16"/>
      <c r="CT446" s="27"/>
      <c r="CV446" s="27"/>
      <c r="CW446" s="16"/>
      <c r="CX446" s="27"/>
      <c r="CZ446" s="27"/>
      <c r="DA446" s="16"/>
      <c r="DB446" s="27"/>
      <c r="DD446" s="16"/>
    </row>
    <row r="447" spans="1:108" s="14" customFormat="1" ht="21" x14ac:dyDescent="0.4">
      <c r="A447" s="27"/>
      <c r="B447" s="27"/>
      <c r="D447" s="16"/>
      <c r="E447" s="27"/>
      <c r="F447" s="27"/>
      <c r="H447" s="27"/>
      <c r="I447" s="16"/>
      <c r="J447" s="27"/>
      <c r="L447" s="27"/>
      <c r="M447" s="16"/>
      <c r="N447" s="27"/>
      <c r="P447" s="27"/>
      <c r="Q447" s="16"/>
      <c r="R447" s="27"/>
      <c r="T447" s="27"/>
      <c r="U447" s="16"/>
      <c r="V447" s="27"/>
      <c r="X447" s="27"/>
      <c r="Y447" s="16"/>
      <c r="Z447" s="27"/>
      <c r="AB447" s="27"/>
      <c r="AC447" s="16"/>
      <c r="AD447" s="27"/>
      <c r="AF447" s="27"/>
      <c r="AG447" s="16"/>
      <c r="AH447" s="27"/>
      <c r="AJ447" s="27"/>
      <c r="AK447" s="16"/>
      <c r="AL447" s="27"/>
      <c r="AN447" s="27"/>
      <c r="AO447" s="16"/>
      <c r="AP447" s="27"/>
      <c r="AR447" s="27"/>
      <c r="AS447" s="16"/>
      <c r="AT447" s="27"/>
      <c r="AV447" s="27"/>
      <c r="AW447" s="16"/>
      <c r="AX447" s="27"/>
      <c r="AZ447" s="27"/>
      <c r="BA447" s="16"/>
      <c r="BB447" s="27"/>
      <c r="BD447" s="27"/>
      <c r="BE447" s="16"/>
      <c r="BF447" s="27"/>
      <c r="BH447" s="27"/>
      <c r="BI447" s="16"/>
      <c r="BJ447" s="27"/>
      <c r="BL447" s="27"/>
      <c r="BM447" s="16"/>
      <c r="BN447" s="27"/>
      <c r="BP447" s="27"/>
      <c r="BQ447" s="16"/>
      <c r="BR447" s="27"/>
      <c r="BT447" s="27"/>
      <c r="BU447" s="16"/>
      <c r="BV447" s="27"/>
      <c r="BX447" s="27"/>
      <c r="BY447" s="16"/>
      <c r="BZ447" s="27"/>
      <c r="CB447" s="27"/>
      <c r="CC447" s="16"/>
      <c r="CD447" s="27"/>
      <c r="CF447" s="27"/>
      <c r="CG447" s="16"/>
      <c r="CH447" s="27"/>
      <c r="CJ447" s="27"/>
      <c r="CK447" s="16"/>
      <c r="CL447" s="27"/>
      <c r="CN447" s="27"/>
      <c r="CO447" s="16"/>
      <c r="CP447" s="27"/>
      <c r="CR447" s="27"/>
      <c r="CS447" s="16"/>
      <c r="CT447" s="27"/>
      <c r="CV447" s="27"/>
      <c r="CW447" s="16"/>
      <c r="CX447" s="27"/>
      <c r="CZ447" s="27"/>
      <c r="DA447" s="16"/>
      <c r="DB447" s="27"/>
      <c r="DD447" s="16"/>
    </row>
    <row r="448" spans="1:108" s="14" customFormat="1" ht="21" x14ac:dyDescent="0.4">
      <c r="A448" s="27"/>
      <c r="B448" s="27"/>
      <c r="D448" s="16"/>
      <c r="E448" s="27"/>
      <c r="F448" s="27"/>
      <c r="H448" s="27"/>
      <c r="I448" s="16"/>
      <c r="J448" s="27"/>
      <c r="L448" s="27"/>
      <c r="M448" s="16"/>
      <c r="N448" s="27"/>
      <c r="P448" s="27"/>
      <c r="Q448" s="16"/>
      <c r="R448" s="27"/>
      <c r="T448" s="27"/>
      <c r="U448" s="16"/>
      <c r="V448" s="27"/>
      <c r="X448" s="27"/>
      <c r="Y448" s="16"/>
      <c r="Z448" s="27"/>
      <c r="AB448" s="27"/>
      <c r="AC448" s="16"/>
      <c r="AD448" s="27"/>
      <c r="AF448" s="27"/>
      <c r="AG448" s="16"/>
      <c r="AH448" s="27"/>
      <c r="AJ448" s="27"/>
      <c r="AK448" s="16"/>
      <c r="AL448" s="27"/>
      <c r="AN448" s="27"/>
      <c r="AO448" s="16"/>
      <c r="AP448" s="27"/>
      <c r="AR448" s="27"/>
      <c r="AS448" s="16"/>
      <c r="AT448" s="27"/>
      <c r="AV448" s="27"/>
      <c r="AW448" s="16"/>
      <c r="AX448" s="27"/>
      <c r="AZ448" s="27"/>
      <c r="BA448" s="16"/>
      <c r="BB448" s="27"/>
      <c r="BD448" s="27"/>
      <c r="BE448" s="16"/>
      <c r="BF448" s="27"/>
      <c r="BH448" s="27"/>
      <c r="BI448" s="16"/>
      <c r="BJ448" s="27"/>
      <c r="BL448" s="27"/>
      <c r="BM448" s="16"/>
      <c r="BN448" s="27"/>
      <c r="BP448" s="27"/>
      <c r="BQ448" s="16"/>
      <c r="BR448" s="27"/>
      <c r="BT448" s="27"/>
      <c r="BU448" s="16"/>
      <c r="BV448" s="27"/>
      <c r="BX448" s="27"/>
      <c r="BY448" s="16"/>
      <c r="BZ448" s="27"/>
      <c r="CB448" s="27"/>
      <c r="CC448" s="16"/>
      <c r="CD448" s="27"/>
      <c r="CF448" s="27"/>
      <c r="CG448" s="16"/>
      <c r="CH448" s="27"/>
      <c r="CJ448" s="27"/>
      <c r="CK448" s="16"/>
      <c r="CL448" s="27"/>
      <c r="CN448" s="27"/>
      <c r="CO448" s="16"/>
      <c r="CP448" s="27"/>
      <c r="CR448" s="27"/>
      <c r="CS448" s="16"/>
      <c r="CT448" s="27"/>
      <c r="CV448" s="27"/>
      <c r="CW448" s="16"/>
      <c r="CX448" s="27"/>
      <c r="CZ448" s="27"/>
      <c r="DA448" s="16"/>
      <c r="DB448" s="27"/>
      <c r="DD448" s="16"/>
    </row>
    <row r="449" spans="1:108" s="14" customFormat="1" ht="21" x14ac:dyDescent="0.4">
      <c r="A449" s="27"/>
      <c r="B449" s="27"/>
      <c r="D449" s="16"/>
      <c r="E449" s="27"/>
      <c r="F449" s="27"/>
      <c r="H449" s="27"/>
      <c r="I449" s="16"/>
      <c r="J449" s="27"/>
      <c r="L449" s="27"/>
      <c r="M449" s="16"/>
      <c r="N449" s="27"/>
      <c r="P449" s="27"/>
      <c r="Q449" s="16"/>
      <c r="R449" s="27"/>
      <c r="T449" s="27"/>
      <c r="U449" s="16"/>
      <c r="V449" s="27"/>
      <c r="X449" s="27"/>
      <c r="Y449" s="16"/>
      <c r="Z449" s="27"/>
      <c r="AB449" s="27"/>
      <c r="AC449" s="16"/>
      <c r="AD449" s="27"/>
      <c r="AF449" s="27"/>
      <c r="AG449" s="16"/>
      <c r="AH449" s="27"/>
      <c r="AJ449" s="27"/>
      <c r="AK449" s="16"/>
      <c r="AL449" s="27"/>
      <c r="AN449" s="27"/>
      <c r="AO449" s="16"/>
      <c r="AP449" s="27"/>
      <c r="AR449" s="27"/>
      <c r="AS449" s="16"/>
      <c r="AT449" s="27"/>
      <c r="AV449" s="27"/>
      <c r="AW449" s="16"/>
      <c r="AX449" s="27"/>
      <c r="AZ449" s="27"/>
      <c r="BA449" s="16"/>
      <c r="BB449" s="27"/>
      <c r="BD449" s="27"/>
      <c r="BE449" s="16"/>
      <c r="BF449" s="27"/>
      <c r="BH449" s="27"/>
      <c r="BI449" s="16"/>
      <c r="BJ449" s="27"/>
      <c r="BL449" s="27"/>
      <c r="BM449" s="16"/>
      <c r="BN449" s="27"/>
      <c r="BP449" s="27"/>
      <c r="BQ449" s="16"/>
      <c r="BR449" s="27"/>
      <c r="BT449" s="27"/>
      <c r="BU449" s="16"/>
      <c r="BV449" s="27"/>
      <c r="BX449" s="27"/>
      <c r="BY449" s="16"/>
      <c r="BZ449" s="27"/>
      <c r="CB449" s="27"/>
      <c r="CC449" s="16"/>
      <c r="CD449" s="27"/>
      <c r="CF449" s="27"/>
      <c r="CG449" s="16"/>
      <c r="CH449" s="27"/>
      <c r="CJ449" s="27"/>
      <c r="CK449" s="16"/>
      <c r="CL449" s="27"/>
      <c r="CN449" s="27"/>
      <c r="CO449" s="16"/>
      <c r="CP449" s="27"/>
      <c r="CR449" s="27"/>
      <c r="CS449" s="16"/>
      <c r="CT449" s="27"/>
      <c r="CV449" s="27"/>
      <c r="CW449" s="16"/>
      <c r="CX449" s="27"/>
      <c r="CZ449" s="27"/>
      <c r="DA449" s="16"/>
      <c r="DB449" s="27"/>
      <c r="DD449" s="16"/>
    </row>
    <row r="450" spans="1:108" s="14" customFormat="1" ht="21" x14ac:dyDescent="0.4">
      <c r="A450" s="27"/>
      <c r="B450" s="27"/>
      <c r="D450" s="16"/>
      <c r="E450" s="27"/>
      <c r="F450" s="27"/>
      <c r="H450" s="27"/>
      <c r="I450" s="16"/>
      <c r="J450" s="27"/>
      <c r="L450" s="27"/>
      <c r="M450" s="16"/>
      <c r="N450" s="27"/>
      <c r="P450" s="27"/>
      <c r="Q450" s="16"/>
      <c r="R450" s="27"/>
      <c r="T450" s="27"/>
      <c r="U450" s="16"/>
      <c r="V450" s="27"/>
      <c r="X450" s="27"/>
      <c r="Y450" s="16"/>
      <c r="Z450" s="27"/>
      <c r="AB450" s="27"/>
      <c r="AC450" s="16"/>
      <c r="AD450" s="27"/>
      <c r="AF450" s="27"/>
      <c r="AG450" s="16"/>
      <c r="AH450" s="27"/>
      <c r="AJ450" s="27"/>
      <c r="AK450" s="16"/>
      <c r="AL450" s="27"/>
      <c r="AN450" s="27"/>
      <c r="AO450" s="16"/>
      <c r="AP450" s="27"/>
      <c r="AR450" s="27"/>
      <c r="AS450" s="16"/>
      <c r="AT450" s="27"/>
      <c r="AV450" s="27"/>
      <c r="AW450" s="16"/>
      <c r="AX450" s="27"/>
      <c r="AZ450" s="27"/>
      <c r="BA450" s="16"/>
      <c r="BB450" s="27"/>
      <c r="BD450" s="27"/>
      <c r="BE450" s="16"/>
      <c r="BF450" s="27"/>
      <c r="BH450" s="27"/>
      <c r="BI450" s="16"/>
      <c r="BJ450" s="27"/>
      <c r="BL450" s="27"/>
      <c r="BM450" s="16"/>
      <c r="BN450" s="27"/>
      <c r="BP450" s="27"/>
      <c r="BQ450" s="16"/>
      <c r="BR450" s="27"/>
      <c r="BT450" s="27"/>
      <c r="BU450" s="16"/>
      <c r="BV450" s="27"/>
      <c r="BX450" s="27"/>
      <c r="BY450" s="16"/>
      <c r="BZ450" s="27"/>
      <c r="CB450" s="27"/>
      <c r="CC450" s="16"/>
      <c r="CD450" s="27"/>
      <c r="CF450" s="27"/>
      <c r="CG450" s="16"/>
      <c r="CH450" s="27"/>
      <c r="CJ450" s="27"/>
      <c r="CK450" s="16"/>
      <c r="CL450" s="27"/>
      <c r="CN450" s="27"/>
      <c r="CO450" s="16"/>
      <c r="CP450" s="27"/>
      <c r="CR450" s="27"/>
      <c r="CS450" s="16"/>
      <c r="CT450" s="27"/>
      <c r="CV450" s="27"/>
      <c r="CW450" s="16"/>
      <c r="CX450" s="27"/>
      <c r="CZ450" s="27"/>
      <c r="DA450" s="16"/>
      <c r="DB450" s="27"/>
      <c r="DD450" s="16"/>
    </row>
    <row r="451" spans="1:108" s="14" customFormat="1" ht="21" x14ac:dyDescent="0.4">
      <c r="A451" s="27"/>
      <c r="B451" s="27"/>
      <c r="D451" s="16"/>
      <c r="E451" s="27"/>
      <c r="F451" s="27"/>
      <c r="H451" s="27"/>
      <c r="I451" s="16"/>
      <c r="J451" s="27"/>
      <c r="L451" s="27"/>
      <c r="M451" s="16"/>
      <c r="N451" s="27"/>
      <c r="P451" s="27"/>
      <c r="Q451" s="16"/>
      <c r="R451" s="27"/>
      <c r="T451" s="27"/>
      <c r="U451" s="16"/>
      <c r="V451" s="27"/>
      <c r="X451" s="27"/>
      <c r="Y451" s="16"/>
      <c r="Z451" s="27"/>
      <c r="AB451" s="27"/>
      <c r="AC451" s="16"/>
      <c r="AD451" s="27"/>
      <c r="AF451" s="27"/>
      <c r="AG451" s="16"/>
      <c r="AH451" s="27"/>
      <c r="AJ451" s="27"/>
      <c r="AK451" s="16"/>
      <c r="AL451" s="27"/>
      <c r="AN451" s="27"/>
      <c r="AO451" s="16"/>
      <c r="AP451" s="27"/>
      <c r="AR451" s="27"/>
      <c r="AS451" s="16"/>
      <c r="AT451" s="27"/>
      <c r="AV451" s="27"/>
      <c r="AW451" s="16"/>
      <c r="AX451" s="27"/>
      <c r="AZ451" s="27"/>
      <c r="BA451" s="16"/>
      <c r="BB451" s="27"/>
      <c r="BD451" s="27"/>
      <c r="BE451" s="16"/>
      <c r="BF451" s="27"/>
      <c r="BH451" s="27"/>
      <c r="BI451" s="16"/>
      <c r="BJ451" s="27"/>
      <c r="BL451" s="27"/>
      <c r="BM451" s="16"/>
      <c r="BN451" s="27"/>
      <c r="BP451" s="27"/>
      <c r="BQ451" s="16"/>
      <c r="BR451" s="27"/>
      <c r="BT451" s="27"/>
      <c r="BU451" s="16"/>
      <c r="BV451" s="27"/>
      <c r="BX451" s="27"/>
      <c r="BY451" s="16"/>
      <c r="BZ451" s="27"/>
      <c r="CB451" s="27"/>
      <c r="CC451" s="16"/>
      <c r="CD451" s="27"/>
      <c r="CF451" s="27"/>
      <c r="CG451" s="16"/>
      <c r="CH451" s="27"/>
      <c r="CJ451" s="27"/>
      <c r="CK451" s="16"/>
      <c r="CL451" s="27"/>
      <c r="CN451" s="27"/>
      <c r="CO451" s="16"/>
      <c r="CP451" s="27"/>
      <c r="CR451" s="27"/>
      <c r="CS451" s="16"/>
      <c r="CT451" s="27"/>
      <c r="CV451" s="27"/>
      <c r="CW451" s="16"/>
      <c r="CX451" s="27"/>
      <c r="CZ451" s="27"/>
      <c r="DA451" s="16"/>
      <c r="DB451" s="27"/>
      <c r="DD451" s="16"/>
    </row>
    <row r="452" spans="1:108" s="14" customFormat="1" ht="21" x14ac:dyDescent="0.4">
      <c r="A452" s="27"/>
      <c r="B452" s="27"/>
      <c r="D452" s="16"/>
      <c r="E452" s="27"/>
      <c r="F452" s="27"/>
      <c r="H452" s="27"/>
      <c r="I452" s="16"/>
      <c r="J452" s="27"/>
      <c r="L452" s="27"/>
      <c r="M452" s="16"/>
      <c r="N452" s="27"/>
      <c r="P452" s="27"/>
      <c r="Q452" s="16"/>
      <c r="R452" s="27"/>
      <c r="T452" s="27"/>
      <c r="U452" s="16"/>
      <c r="V452" s="27"/>
      <c r="X452" s="27"/>
      <c r="Y452" s="16"/>
      <c r="Z452" s="27"/>
      <c r="AB452" s="27"/>
      <c r="AC452" s="16"/>
      <c r="AD452" s="27"/>
      <c r="AF452" s="27"/>
      <c r="AG452" s="16"/>
      <c r="AH452" s="27"/>
      <c r="AJ452" s="27"/>
      <c r="AK452" s="16"/>
      <c r="AL452" s="27"/>
      <c r="AN452" s="27"/>
      <c r="AO452" s="16"/>
      <c r="AP452" s="27"/>
      <c r="AR452" s="27"/>
      <c r="AS452" s="16"/>
      <c r="AT452" s="27"/>
      <c r="AV452" s="27"/>
      <c r="AW452" s="16"/>
      <c r="AX452" s="27"/>
      <c r="AZ452" s="27"/>
      <c r="BA452" s="16"/>
      <c r="BB452" s="27"/>
      <c r="BD452" s="27"/>
      <c r="BE452" s="16"/>
      <c r="BF452" s="27"/>
      <c r="BH452" s="27"/>
      <c r="BI452" s="16"/>
      <c r="BJ452" s="27"/>
      <c r="BL452" s="27"/>
      <c r="BM452" s="16"/>
      <c r="BN452" s="27"/>
      <c r="BP452" s="27"/>
      <c r="BQ452" s="16"/>
      <c r="BR452" s="27"/>
      <c r="BT452" s="27"/>
      <c r="BU452" s="16"/>
      <c r="BV452" s="27"/>
      <c r="BX452" s="27"/>
      <c r="BY452" s="16"/>
      <c r="BZ452" s="27"/>
      <c r="CB452" s="27"/>
      <c r="CC452" s="16"/>
      <c r="CD452" s="27"/>
      <c r="CF452" s="27"/>
      <c r="CG452" s="16"/>
      <c r="CH452" s="27"/>
      <c r="CJ452" s="27"/>
      <c r="CK452" s="16"/>
      <c r="CL452" s="27"/>
      <c r="CN452" s="27"/>
      <c r="CO452" s="16"/>
      <c r="CP452" s="27"/>
      <c r="CR452" s="27"/>
      <c r="CS452" s="16"/>
      <c r="CT452" s="27"/>
      <c r="CV452" s="27"/>
      <c r="CW452" s="16"/>
      <c r="CX452" s="27"/>
      <c r="CZ452" s="27"/>
      <c r="DA452" s="16"/>
      <c r="DB452" s="27"/>
      <c r="DD452" s="16"/>
    </row>
    <row r="453" spans="1:108" s="14" customFormat="1" ht="21" x14ac:dyDescent="0.4">
      <c r="A453" s="27"/>
      <c r="B453" s="27"/>
      <c r="D453" s="16"/>
      <c r="E453" s="27"/>
      <c r="F453" s="27"/>
      <c r="H453" s="27"/>
      <c r="I453" s="16"/>
      <c r="J453" s="27"/>
      <c r="L453" s="27"/>
      <c r="M453" s="16"/>
      <c r="N453" s="27"/>
      <c r="P453" s="27"/>
      <c r="Q453" s="16"/>
      <c r="R453" s="27"/>
      <c r="T453" s="27"/>
      <c r="U453" s="16"/>
      <c r="V453" s="27"/>
      <c r="X453" s="27"/>
      <c r="Y453" s="16"/>
      <c r="Z453" s="27"/>
      <c r="AB453" s="27"/>
      <c r="AC453" s="16"/>
      <c r="AD453" s="27"/>
      <c r="AF453" s="27"/>
      <c r="AG453" s="16"/>
      <c r="AH453" s="27"/>
      <c r="AJ453" s="27"/>
      <c r="AK453" s="16"/>
      <c r="AL453" s="27"/>
      <c r="AN453" s="27"/>
      <c r="AO453" s="16"/>
      <c r="AP453" s="27"/>
      <c r="AR453" s="27"/>
      <c r="AS453" s="16"/>
      <c r="AT453" s="27"/>
      <c r="AV453" s="27"/>
      <c r="AW453" s="16"/>
      <c r="AX453" s="27"/>
      <c r="AZ453" s="27"/>
      <c r="BA453" s="16"/>
      <c r="BB453" s="27"/>
      <c r="BD453" s="27"/>
      <c r="BE453" s="16"/>
      <c r="BF453" s="27"/>
      <c r="BH453" s="27"/>
      <c r="BI453" s="16"/>
      <c r="BJ453" s="27"/>
      <c r="BL453" s="27"/>
      <c r="BM453" s="16"/>
      <c r="BN453" s="27"/>
      <c r="BP453" s="27"/>
      <c r="BQ453" s="16"/>
      <c r="BR453" s="27"/>
      <c r="BT453" s="27"/>
      <c r="BU453" s="16"/>
      <c r="BV453" s="27"/>
      <c r="BX453" s="27"/>
      <c r="BY453" s="16"/>
      <c r="BZ453" s="27"/>
      <c r="CB453" s="27"/>
      <c r="CC453" s="16"/>
      <c r="CD453" s="27"/>
      <c r="CF453" s="27"/>
      <c r="CG453" s="16"/>
      <c r="CH453" s="27"/>
      <c r="CJ453" s="27"/>
      <c r="CK453" s="16"/>
      <c r="CL453" s="27"/>
      <c r="CN453" s="27"/>
      <c r="CO453" s="16"/>
      <c r="CP453" s="27"/>
      <c r="CR453" s="27"/>
      <c r="CS453" s="16"/>
      <c r="CT453" s="27"/>
      <c r="CV453" s="27"/>
      <c r="CW453" s="16"/>
      <c r="CX453" s="27"/>
      <c r="CZ453" s="27"/>
      <c r="DA453" s="16"/>
      <c r="DB453" s="27"/>
      <c r="DD453" s="16"/>
    </row>
    <row r="454" spans="1:108" s="14" customFormat="1" ht="21" x14ac:dyDescent="0.4">
      <c r="A454" s="27"/>
      <c r="B454" s="27"/>
      <c r="D454" s="16"/>
      <c r="E454" s="27"/>
      <c r="F454" s="27"/>
      <c r="H454" s="27"/>
      <c r="I454" s="16"/>
      <c r="J454" s="27"/>
      <c r="L454" s="27"/>
      <c r="M454" s="16"/>
      <c r="N454" s="27"/>
      <c r="P454" s="27"/>
      <c r="Q454" s="16"/>
      <c r="R454" s="27"/>
      <c r="T454" s="27"/>
      <c r="U454" s="16"/>
      <c r="V454" s="27"/>
      <c r="X454" s="27"/>
      <c r="Y454" s="16"/>
      <c r="Z454" s="27"/>
      <c r="AB454" s="27"/>
      <c r="AC454" s="16"/>
      <c r="AD454" s="27"/>
      <c r="AF454" s="27"/>
      <c r="AG454" s="16"/>
      <c r="AH454" s="27"/>
      <c r="AJ454" s="27"/>
      <c r="AK454" s="16"/>
      <c r="AL454" s="27"/>
      <c r="AN454" s="27"/>
      <c r="AO454" s="16"/>
      <c r="AP454" s="27"/>
      <c r="AR454" s="27"/>
      <c r="AS454" s="16"/>
      <c r="AT454" s="27"/>
      <c r="AV454" s="27"/>
      <c r="AW454" s="16"/>
      <c r="AX454" s="27"/>
      <c r="AZ454" s="27"/>
      <c r="BA454" s="16"/>
      <c r="BB454" s="27"/>
      <c r="BD454" s="27"/>
      <c r="BE454" s="16"/>
      <c r="BF454" s="27"/>
      <c r="BH454" s="27"/>
      <c r="BI454" s="16"/>
      <c r="BJ454" s="27"/>
      <c r="BL454" s="27"/>
      <c r="BM454" s="16"/>
      <c r="BN454" s="27"/>
      <c r="BP454" s="27"/>
      <c r="BQ454" s="16"/>
      <c r="BR454" s="27"/>
      <c r="BT454" s="27"/>
      <c r="BU454" s="16"/>
      <c r="BV454" s="27"/>
      <c r="BX454" s="27"/>
      <c r="BY454" s="16"/>
      <c r="BZ454" s="27"/>
      <c r="CB454" s="27"/>
      <c r="CC454" s="16"/>
      <c r="CD454" s="27"/>
      <c r="CF454" s="27"/>
      <c r="CG454" s="16"/>
      <c r="CH454" s="27"/>
      <c r="CJ454" s="27"/>
      <c r="CK454" s="16"/>
      <c r="CL454" s="27"/>
      <c r="CN454" s="27"/>
      <c r="CO454" s="16"/>
      <c r="CP454" s="27"/>
      <c r="CR454" s="27"/>
      <c r="CS454" s="16"/>
      <c r="CT454" s="27"/>
      <c r="CV454" s="27"/>
      <c r="CW454" s="16"/>
      <c r="CX454" s="27"/>
      <c r="CZ454" s="27"/>
      <c r="DA454" s="16"/>
      <c r="DB454" s="27"/>
      <c r="DD454" s="16"/>
    </row>
    <row r="455" spans="1:108" s="14" customFormat="1" ht="21" x14ac:dyDescent="0.4">
      <c r="A455" s="27"/>
      <c r="B455" s="27"/>
      <c r="D455" s="16"/>
      <c r="E455" s="27"/>
      <c r="F455" s="27"/>
      <c r="H455" s="27"/>
      <c r="I455" s="16"/>
      <c r="J455" s="27"/>
      <c r="L455" s="27"/>
      <c r="M455" s="16"/>
      <c r="N455" s="27"/>
      <c r="P455" s="27"/>
      <c r="Q455" s="16"/>
      <c r="R455" s="27"/>
      <c r="T455" s="27"/>
      <c r="U455" s="16"/>
      <c r="V455" s="27"/>
      <c r="X455" s="27"/>
      <c r="Y455" s="16"/>
      <c r="Z455" s="27"/>
      <c r="AB455" s="27"/>
      <c r="AC455" s="16"/>
      <c r="AD455" s="27"/>
      <c r="AF455" s="27"/>
      <c r="AG455" s="16"/>
      <c r="AH455" s="27"/>
      <c r="AJ455" s="27"/>
      <c r="AK455" s="16"/>
      <c r="AL455" s="27"/>
      <c r="AN455" s="27"/>
      <c r="AO455" s="16"/>
      <c r="AP455" s="27"/>
      <c r="AR455" s="27"/>
      <c r="AS455" s="16"/>
      <c r="AT455" s="27"/>
      <c r="AV455" s="27"/>
      <c r="AW455" s="16"/>
      <c r="AX455" s="27"/>
      <c r="AZ455" s="27"/>
      <c r="BA455" s="16"/>
      <c r="BB455" s="27"/>
      <c r="BD455" s="27"/>
      <c r="BE455" s="16"/>
      <c r="BF455" s="27"/>
      <c r="BH455" s="27"/>
      <c r="BI455" s="16"/>
      <c r="BJ455" s="27"/>
      <c r="BL455" s="27"/>
      <c r="BM455" s="16"/>
      <c r="BN455" s="27"/>
      <c r="BP455" s="27"/>
      <c r="BQ455" s="16"/>
      <c r="BR455" s="27"/>
      <c r="BT455" s="27"/>
      <c r="BU455" s="16"/>
      <c r="BV455" s="27"/>
      <c r="BX455" s="27"/>
      <c r="BY455" s="16"/>
      <c r="BZ455" s="27"/>
      <c r="CB455" s="27"/>
      <c r="CC455" s="16"/>
      <c r="CD455" s="27"/>
      <c r="CF455" s="27"/>
      <c r="CG455" s="16"/>
      <c r="CH455" s="27"/>
      <c r="CJ455" s="27"/>
      <c r="CK455" s="16"/>
      <c r="CL455" s="27"/>
      <c r="CN455" s="27"/>
      <c r="CO455" s="16"/>
      <c r="CP455" s="27"/>
      <c r="CR455" s="27"/>
      <c r="CS455" s="16"/>
      <c r="CT455" s="27"/>
      <c r="CV455" s="27"/>
      <c r="CW455" s="16"/>
      <c r="CX455" s="27"/>
      <c r="CZ455" s="27"/>
      <c r="DA455" s="16"/>
      <c r="DB455" s="27"/>
      <c r="DD455" s="16"/>
    </row>
    <row r="456" spans="1:108" s="14" customFormat="1" ht="21" x14ac:dyDescent="0.4">
      <c r="A456" s="27"/>
      <c r="B456" s="27"/>
      <c r="D456" s="16"/>
      <c r="E456" s="27"/>
      <c r="F456" s="27"/>
      <c r="H456" s="27"/>
      <c r="I456" s="16"/>
      <c r="J456" s="27"/>
      <c r="L456" s="27"/>
      <c r="M456" s="16"/>
      <c r="N456" s="27"/>
      <c r="P456" s="27"/>
      <c r="Q456" s="16"/>
      <c r="R456" s="27"/>
      <c r="T456" s="27"/>
      <c r="U456" s="16"/>
      <c r="V456" s="27"/>
      <c r="X456" s="27"/>
      <c r="Y456" s="16"/>
      <c r="Z456" s="27"/>
      <c r="AB456" s="27"/>
      <c r="AC456" s="16"/>
      <c r="AD456" s="27"/>
      <c r="AF456" s="27"/>
      <c r="AG456" s="16"/>
      <c r="AH456" s="27"/>
      <c r="AJ456" s="27"/>
      <c r="AK456" s="16"/>
      <c r="AL456" s="27"/>
      <c r="AN456" s="27"/>
      <c r="AO456" s="16"/>
      <c r="AP456" s="27"/>
      <c r="AR456" s="27"/>
      <c r="AS456" s="16"/>
      <c r="AT456" s="27"/>
      <c r="AV456" s="27"/>
      <c r="AW456" s="16"/>
      <c r="AX456" s="27"/>
      <c r="AZ456" s="27"/>
      <c r="BA456" s="16"/>
      <c r="BB456" s="27"/>
      <c r="BD456" s="27"/>
      <c r="BE456" s="16"/>
      <c r="BF456" s="27"/>
      <c r="BH456" s="27"/>
      <c r="BI456" s="16"/>
      <c r="BJ456" s="27"/>
      <c r="BL456" s="27"/>
      <c r="BM456" s="16"/>
      <c r="BN456" s="27"/>
      <c r="BP456" s="27"/>
      <c r="BQ456" s="16"/>
      <c r="BR456" s="27"/>
      <c r="BT456" s="27"/>
      <c r="BU456" s="16"/>
      <c r="BV456" s="27"/>
      <c r="BX456" s="27"/>
      <c r="BY456" s="16"/>
      <c r="BZ456" s="27"/>
      <c r="CB456" s="27"/>
      <c r="CC456" s="16"/>
      <c r="CD456" s="27"/>
      <c r="CF456" s="27"/>
      <c r="CG456" s="16"/>
      <c r="CH456" s="27"/>
      <c r="CJ456" s="27"/>
      <c r="CK456" s="16"/>
      <c r="CL456" s="27"/>
      <c r="CN456" s="27"/>
      <c r="CO456" s="16"/>
      <c r="CP456" s="27"/>
      <c r="CR456" s="27"/>
      <c r="CS456" s="16"/>
      <c r="CT456" s="27"/>
      <c r="CV456" s="27"/>
      <c r="CW456" s="16"/>
      <c r="CX456" s="27"/>
      <c r="CZ456" s="27"/>
      <c r="DA456" s="16"/>
      <c r="DB456" s="27"/>
      <c r="DD456" s="16"/>
    </row>
    <row r="457" spans="1:108" s="14" customFormat="1" ht="21" x14ac:dyDescent="0.4">
      <c r="A457" s="27"/>
      <c r="B457" s="27"/>
      <c r="D457" s="16"/>
      <c r="E457" s="27"/>
      <c r="F457" s="27"/>
      <c r="H457" s="27"/>
      <c r="I457" s="16"/>
      <c r="J457" s="27"/>
      <c r="L457" s="27"/>
      <c r="M457" s="16"/>
      <c r="N457" s="27"/>
      <c r="P457" s="27"/>
      <c r="Q457" s="16"/>
      <c r="R457" s="27"/>
      <c r="T457" s="27"/>
      <c r="U457" s="16"/>
      <c r="V457" s="27"/>
      <c r="X457" s="27"/>
      <c r="Y457" s="16"/>
      <c r="Z457" s="27"/>
      <c r="AB457" s="27"/>
      <c r="AC457" s="16"/>
      <c r="AD457" s="27"/>
      <c r="AF457" s="27"/>
      <c r="AG457" s="16"/>
      <c r="AH457" s="27"/>
      <c r="AJ457" s="27"/>
      <c r="AK457" s="16"/>
      <c r="AL457" s="27"/>
      <c r="AN457" s="27"/>
      <c r="AO457" s="16"/>
      <c r="AP457" s="27"/>
      <c r="AR457" s="27"/>
      <c r="AS457" s="16"/>
      <c r="AT457" s="27"/>
      <c r="AV457" s="27"/>
      <c r="AW457" s="16"/>
      <c r="AX457" s="27"/>
      <c r="AZ457" s="27"/>
      <c r="BA457" s="16"/>
      <c r="BB457" s="27"/>
      <c r="BD457" s="27"/>
      <c r="BE457" s="16"/>
      <c r="BF457" s="27"/>
      <c r="BH457" s="27"/>
      <c r="BI457" s="16"/>
      <c r="BJ457" s="27"/>
      <c r="BL457" s="27"/>
      <c r="BM457" s="16"/>
      <c r="BN457" s="27"/>
      <c r="BP457" s="27"/>
      <c r="BQ457" s="16"/>
      <c r="BR457" s="27"/>
      <c r="BT457" s="27"/>
      <c r="BU457" s="16"/>
      <c r="BV457" s="27"/>
      <c r="BX457" s="27"/>
      <c r="BY457" s="16"/>
      <c r="BZ457" s="27"/>
      <c r="CB457" s="27"/>
      <c r="CC457" s="16"/>
      <c r="CD457" s="27"/>
      <c r="CF457" s="27"/>
      <c r="CG457" s="16"/>
      <c r="CH457" s="27"/>
      <c r="CJ457" s="27"/>
      <c r="CK457" s="16"/>
      <c r="CL457" s="27"/>
      <c r="CN457" s="27"/>
      <c r="CO457" s="16"/>
      <c r="CP457" s="27"/>
      <c r="CR457" s="27"/>
      <c r="CS457" s="16"/>
      <c r="CT457" s="27"/>
      <c r="CV457" s="27"/>
      <c r="CW457" s="16"/>
      <c r="CX457" s="27"/>
      <c r="CZ457" s="27"/>
      <c r="DA457" s="16"/>
      <c r="DB457" s="27"/>
      <c r="DD457" s="16"/>
    </row>
    <row r="458" spans="1:108" s="14" customFormat="1" ht="21" x14ac:dyDescent="0.4">
      <c r="A458" s="27"/>
      <c r="B458" s="27"/>
      <c r="D458" s="16"/>
      <c r="E458" s="27"/>
      <c r="F458" s="27"/>
      <c r="H458" s="27"/>
      <c r="I458" s="16"/>
      <c r="J458" s="27"/>
      <c r="L458" s="27"/>
      <c r="M458" s="16"/>
      <c r="N458" s="27"/>
      <c r="P458" s="27"/>
      <c r="Q458" s="16"/>
      <c r="R458" s="27"/>
      <c r="T458" s="27"/>
      <c r="U458" s="16"/>
      <c r="V458" s="27"/>
      <c r="X458" s="27"/>
      <c r="Y458" s="16"/>
      <c r="Z458" s="27"/>
      <c r="AB458" s="27"/>
      <c r="AC458" s="16"/>
      <c r="AD458" s="27"/>
      <c r="AF458" s="27"/>
      <c r="AG458" s="16"/>
      <c r="AH458" s="27"/>
      <c r="AJ458" s="27"/>
      <c r="AK458" s="16"/>
      <c r="AL458" s="27"/>
      <c r="AN458" s="27"/>
      <c r="AO458" s="16"/>
      <c r="AP458" s="27"/>
      <c r="AR458" s="27"/>
      <c r="AS458" s="16"/>
      <c r="AT458" s="27"/>
      <c r="AV458" s="27"/>
      <c r="AW458" s="16"/>
      <c r="AX458" s="27"/>
      <c r="AZ458" s="27"/>
      <c r="BA458" s="16"/>
      <c r="BB458" s="27"/>
      <c r="BD458" s="27"/>
      <c r="BE458" s="16"/>
      <c r="BF458" s="27"/>
      <c r="BH458" s="27"/>
      <c r="BI458" s="16"/>
      <c r="BJ458" s="27"/>
      <c r="BL458" s="27"/>
      <c r="BM458" s="16"/>
      <c r="BN458" s="27"/>
      <c r="BP458" s="27"/>
      <c r="BQ458" s="16"/>
      <c r="BR458" s="27"/>
      <c r="BT458" s="27"/>
      <c r="BU458" s="16"/>
      <c r="BV458" s="27"/>
      <c r="BX458" s="27"/>
      <c r="BY458" s="16"/>
      <c r="BZ458" s="27"/>
      <c r="CB458" s="27"/>
      <c r="CC458" s="16"/>
      <c r="CD458" s="27"/>
      <c r="CF458" s="27"/>
      <c r="CG458" s="16"/>
      <c r="CH458" s="27"/>
      <c r="CJ458" s="27"/>
      <c r="CK458" s="16"/>
      <c r="CL458" s="27"/>
      <c r="CN458" s="27"/>
      <c r="CO458" s="16"/>
      <c r="CP458" s="27"/>
      <c r="CR458" s="27"/>
      <c r="CS458" s="16"/>
      <c r="CT458" s="27"/>
      <c r="CV458" s="27"/>
      <c r="CW458" s="16"/>
      <c r="CX458" s="27"/>
      <c r="CZ458" s="27"/>
      <c r="DA458" s="16"/>
      <c r="DB458" s="27"/>
      <c r="DD458" s="16"/>
    </row>
    <row r="459" spans="1:108" s="14" customFormat="1" ht="21" x14ac:dyDescent="0.4">
      <c r="A459" s="27"/>
      <c r="B459" s="27"/>
      <c r="D459" s="16"/>
      <c r="E459" s="27"/>
      <c r="F459" s="27"/>
      <c r="H459" s="27"/>
      <c r="I459" s="16"/>
      <c r="J459" s="27"/>
      <c r="L459" s="27"/>
      <c r="M459" s="16"/>
      <c r="N459" s="27"/>
      <c r="P459" s="27"/>
      <c r="Q459" s="16"/>
      <c r="R459" s="27"/>
      <c r="T459" s="27"/>
      <c r="U459" s="16"/>
      <c r="V459" s="27"/>
      <c r="X459" s="27"/>
      <c r="Y459" s="16"/>
      <c r="Z459" s="27"/>
      <c r="AB459" s="27"/>
      <c r="AC459" s="16"/>
      <c r="AD459" s="27"/>
      <c r="AF459" s="27"/>
      <c r="AG459" s="16"/>
      <c r="AH459" s="27"/>
      <c r="AJ459" s="27"/>
      <c r="AK459" s="16"/>
      <c r="AL459" s="27"/>
      <c r="AN459" s="27"/>
      <c r="AO459" s="16"/>
      <c r="AP459" s="27"/>
      <c r="AR459" s="27"/>
      <c r="AS459" s="16"/>
      <c r="AT459" s="27"/>
      <c r="AV459" s="27"/>
      <c r="AW459" s="16"/>
      <c r="AX459" s="27"/>
      <c r="AZ459" s="27"/>
      <c r="BA459" s="16"/>
      <c r="BB459" s="27"/>
      <c r="BD459" s="27"/>
      <c r="BE459" s="16"/>
      <c r="BF459" s="27"/>
      <c r="BH459" s="27"/>
      <c r="BI459" s="16"/>
      <c r="BJ459" s="27"/>
      <c r="BL459" s="27"/>
      <c r="BM459" s="16"/>
      <c r="BN459" s="27"/>
      <c r="BP459" s="27"/>
      <c r="BQ459" s="16"/>
      <c r="BR459" s="27"/>
      <c r="BT459" s="27"/>
      <c r="BU459" s="16"/>
      <c r="BV459" s="27"/>
      <c r="BX459" s="27"/>
      <c r="BY459" s="16"/>
      <c r="BZ459" s="27"/>
      <c r="CB459" s="27"/>
      <c r="CC459" s="16"/>
      <c r="CD459" s="27"/>
      <c r="CF459" s="27"/>
      <c r="CG459" s="16"/>
      <c r="CH459" s="27"/>
      <c r="CJ459" s="27"/>
      <c r="CK459" s="16"/>
      <c r="CL459" s="27"/>
      <c r="CN459" s="27"/>
      <c r="CO459" s="16"/>
      <c r="CP459" s="27"/>
      <c r="CR459" s="27"/>
      <c r="CS459" s="16"/>
      <c r="CT459" s="27"/>
      <c r="CV459" s="27"/>
      <c r="CW459" s="16"/>
      <c r="CX459" s="27"/>
      <c r="CZ459" s="27"/>
      <c r="DA459" s="16"/>
      <c r="DB459" s="27"/>
      <c r="DD459" s="16"/>
    </row>
    <row r="460" spans="1:108" s="14" customFormat="1" ht="21" x14ac:dyDescent="0.4">
      <c r="A460" s="27"/>
      <c r="B460" s="27"/>
      <c r="D460" s="16"/>
      <c r="E460" s="27"/>
      <c r="F460" s="27"/>
      <c r="H460" s="27"/>
      <c r="I460" s="16"/>
      <c r="J460" s="27"/>
      <c r="L460" s="27"/>
      <c r="M460" s="16"/>
      <c r="N460" s="27"/>
      <c r="P460" s="27"/>
      <c r="Q460" s="16"/>
      <c r="R460" s="27"/>
      <c r="T460" s="27"/>
      <c r="U460" s="16"/>
      <c r="V460" s="27"/>
      <c r="X460" s="27"/>
      <c r="Y460" s="16"/>
      <c r="Z460" s="27"/>
      <c r="AB460" s="27"/>
      <c r="AC460" s="16"/>
      <c r="AD460" s="27"/>
      <c r="AF460" s="27"/>
      <c r="AG460" s="16"/>
      <c r="AH460" s="27"/>
      <c r="AJ460" s="27"/>
      <c r="AK460" s="16"/>
      <c r="AL460" s="27"/>
      <c r="AN460" s="27"/>
      <c r="AO460" s="16"/>
      <c r="AP460" s="27"/>
      <c r="AR460" s="27"/>
      <c r="AS460" s="16"/>
      <c r="AT460" s="27"/>
      <c r="AV460" s="27"/>
      <c r="AW460" s="16"/>
      <c r="AX460" s="27"/>
      <c r="AZ460" s="27"/>
      <c r="BA460" s="16"/>
      <c r="BB460" s="27"/>
      <c r="BD460" s="27"/>
      <c r="BE460" s="16"/>
      <c r="BF460" s="27"/>
      <c r="BH460" s="27"/>
      <c r="BI460" s="16"/>
      <c r="BJ460" s="27"/>
      <c r="BL460" s="27"/>
      <c r="BM460" s="16"/>
      <c r="BN460" s="27"/>
      <c r="BP460" s="27"/>
      <c r="BQ460" s="16"/>
      <c r="BR460" s="27"/>
      <c r="BT460" s="27"/>
      <c r="BU460" s="16"/>
      <c r="BV460" s="27"/>
      <c r="BX460" s="27"/>
      <c r="BY460" s="16"/>
      <c r="BZ460" s="27"/>
      <c r="CB460" s="27"/>
      <c r="CC460" s="16"/>
      <c r="CD460" s="27"/>
      <c r="CF460" s="27"/>
      <c r="CG460" s="16"/>
      <c r="CH460" s="27"/>
      <c r="CJ460" s="27"/>
      <c r="CK460" s="16"/>
      <c r="CL460" s="27"/>
      <c r="CN460" s="27"/>
      <c r="CO460" s="16"/>
      <c r="CP460" s="27"/>
      <c r="CR460" s="27"/>
      <c r="CS460" s="16"/>
      <c r="CT460" s="27"/>
      <c r="CV460" s="27"/>
      <c r="CW460" s="16"/>
      <c r="CX460" s="27"/>
      <c r="CZ460" s="27"/>
      <c r="DA460" s="16"/>
      <c r="DB460" s="27"/>
      <c r="DD460" s="16"/>
    </row>
    <row r="461" spans="1:108" s="14" customFormat="1" ht="21" x14ac:dyDescent="0.4">
      <c r="A461" s="27"/>
      <c r="B461" s="27"/>
      <c r="D461" s="16"/>
      <c r="E461" s="27"/>
      <c r="F461" s="27"/>
      <c r="H461" s="27"/>
      <c r="I461" s="16"/>
      <c r="J461" s="27"/>
      <c r="L461" s="27"/>
      <c r="M461" s="16"/>
      <c r="N461" s="27"/>
      <c r="P461" s="27"/>
      <c r="Q461" s="16"/>
      <c r="R461" s="27"/>
      <c r="T461" s="27"/>
      <c r="U461" s="16"/>
      <c r="V461" s="27"/>
      <c r="X461" s="27"/>
      <c r="Y461" s="16"/>
      <c r="Z461" s="27"/>
      <c r="AB461" s="27"/>
      <c r="AC461" s="16"/>
      <c r="AD461" s="27"/>
      <c r="AF461" s="27"/>
      <c r="AG461" s="16"/>
      <c r="AH461" s="27"/>
      <c r="AJ461" s="27"/>
      <c r="AK461" s="16"/>
      <c r="AL461" s="27"/>
      <c r="AN461" s="27"/>
      <c r="AO461" s="16"/>
      <c r="AP461" s="27"/>
      <c r="AR461" s="27"/>
      <c r="AS461" s="16"/>
      <c r="AT461" s="27"/>
      <c r="AV461" s="27"/>
      <c r="AW461" s="16"/>
      <c r="AX461" s="27"/>
      <c r="AZ461" s="27"/>
      <c r="BA461" s="16"/>
      <c r="BB461" s="27"/>
      <c r="BD461" s="27"/>
      <c r="BE461" s="16"/>
      <c r="BF461" s="27"/>
      <c r="BH461" s="27"/>
      <c r="BI461" s="16"/>
      <c r="BJ461" s="27"/>
      <c r="BL461" s="27"/>
      <c r="BM461" s="16"/>
      <c r="BN461" s="27"/>
      <c r="BP461" s="27"/>
      <c r="BQ461" s="16"/>
      <c r="BR461" s="27"/>
      <c r="BT461" s="27"/>
      <c r="BU461" s="16"/>
      <c r="BV461" s="27"/>
      <c r="BX461" s="27"/>
      <c r="BY461" s="16"/>
      <c r="BZ461" s="27"/>
      <c r="CB461" s="27"/>
      <c r="CC461" s="16"/>
      <c r="CD461" s="27"/>
      <c r="CF461" s="27"/>
      <c r="CG461" s="16"/>
      <c r="CH461" s="27"/>
      <c r="CJ461" s="27"/>
      <c r="CK461" s="16"/>
      <c r="CL461" s="27"/>
      <c r="CN461" s="27"/>
      <c r="CO461" s="16"/>
      <c r="CP461" s="27"/>
      <c r="CR461" s="27"/>
      <c r="CS461" s="16"/>
      <c r="CT461" s="27"/>
      <c r="CV461" s="27"/>
      <c r="CW461" s="16"/>
      <c r="CX461" s="27"/>
      <c r="CZ461" s="27"/>
      <c r="DA461" s="16"/>
      <c r="DB461" s="27"/>
      <c r="DD461" s="16"/>
    </row>
    <row r="462" spans="1:108" s="14" customFormat="1" ht="21" x14ac:dyDescent="0.4">
      <c r="A462" s="27"/>
      <c r="B462" s="27"/>
      <c r="D462" s="16"/>
      <c r="E462" s="27"/>
      <c r="F462" s="27"/>
      <c r="H462" s="27"/>
      <c r="I462" s="16"/>
      <c r="J462" s="27"/>
      <c r="L462" s="27"/>
      <c r="M462" s="16"/>
      <c r="N462" s="27"/>
      <c r="P462" s="27"/>
      <c r="Q462" s="16"/>
      <c r="R462" s="27"/>
      <c r="T462" s="27"/>
      <c r="U462" s="16"/>
      <c r="V462" s="27"/>
      <c r="X462" s="27"/>
      <c r="Y462" s="16"/>
      <c r="Z462" s="27"/>
      <c r="AB462" s="27"/>
      <c r="AC462" s="16"/>
      <c r="AD462" s="27"/>
      <c r="AF462" s="27"/>
      <c r="AG462" s="16"/>
      <c r="AH462" s="27"/>
      <c r="AJ462" s="27"/>
      <c r="AK462" s="16"/>
      <c r="AL462" s="27"/>
      <c r="AN462" s="27"/>
      <c r="AO462" s="16"/>
      <c r="AP462" s="27"/>
      <c r="AR462" s="27"/>
      <c r="AS462" s="16"/>
      <c r="AT462" s="27"/>
      <c r="AV462" s="27"/>
      <c r="AW462" s="16"/>
      <c r="AX462" s="27"/>
      <c r="AZ462" s="27"/>
      <c r="BA462" s="16"/>
      <c r="BB462" s="27"/>
      <c r="BD462" s="27"/>
      <c r="BE462" s="16"/>
      <c r="BF462" s="27"/>
      <c r="BH462" s="27"/>
      <c r="BI462" s="16"/>
      <c r="BJ462" s="27"/>
      <c r="BL462" s="27"/>
      <c r="BM462" s="16"/>
      <c r="BN462" s="27"/>
      <c r="BP462" s="27"/>
      <c r="BQ462" s="16"/>
      <c r="BR462" s="27"/>
      <c r="BT462" s="27"/>
      <c r="BU462" s="16"/>
      <c r="BV462" s="27"/>
      <c r="BX462" s="27"/>
      <c r="BY462" s="16"/>
      <c r="BZ462" s="27"/>
      <c r="CB462" s="27"/>
      <c r="CC462" s="16"/>
      <c r="CD462" s="27"/>
      <c r="CF462" s="27"/>
      <c r="CG462" s="16"/>
      <c r="CH462" s="27"/>
      <c r="CJ462" s="27"/>
      <c r="CK462" s="16"/>
      <c r="CL462" s="27"/>
      <c r="CN462" s="27"/>
      <c r="CO462" s="16"/>
      <c r="CP462" s="27"/>
      <c r="CR462" s="27"/>
      <c r="CS462" s="16"/>
      <c r="CT462" s="27"/>
      <c r="CV462" s="27"/>
      <c r="CW462" s="16"/>
      <c r="CX462" s="27"/>
      <c r="CZ462" s="27"/>
      <c r="DA462" s="16"/>
      <c r="DB462" s="27"/>
      <c r="DD462" s="16"/>
    </row>
    <row r="463" spans="1:108" s="14" customFormat="1" ht="21" x14ac:dyDescent="0.4">
      <c r="A463" s="27"/>
      <c r="B463" s="27"/>
      <c r="D463" s="16"/>
      <c r="E463" s="27"/>
      <c r="F463" s="27"/>
      <c r="H463" s="27"/>
      <c r="I463" s="16"/>
      <c r="J463" s="27"/>
      <c r="L463" s="27"/>
      <c r="M463" s="16"/>
      <c r="N463" s="27"/>
      <c r="P463" s="27"/>
      <c r="Q463" s="16"/>
      <c r="R463" s="27"/>
      <c r="T463" s="27"/>
      <c r="U463" s="16"/>
      <c r="V463" s="27"/>
      <c r="X463" s="27"/>
      <c r="Y463" s="16"/>
      <c r="Z463" s="27"/>
      <c r="AB463" s="27"/>
      <c r="AC463" s="16"/>
      <c r="AD463" s="27"/>
      <c r="AF463" s="27"/>
      <c r="AG463" s="16"/>
      <c r="AH463" s="27"/>
      <c r="AJ463" s="27"/>
      <c r="AK463" s="16"/>
      <c r="AL463" s="27"/>
      <c r="AN463" s="27"/>
      <c r="AO463" s="16"/>
      <c r="AP463" s="27"/>
      <c r="AR463" s="27"/>
      <c r="AS463" s="16"/>
      <c r="AT463" s="27"/>
      <c r="AV463" s="27"/>
      <c r="AW463" s="16"/>
      <c r="AX463" s="27"/>
      <c r="AZ463" s="27"/>
      <c r="BA463" s="16"/>
      <c r="BB463" s="27"/>
      <c r="BD463" s="27"/>
      <c r="BE463" s="16"/>
      <c r="BF463" s="27"/>
      <c r="BH463" s="27"/>
      <c r="BI463" s="16"/>
      <c r="BJ463" s="27"/>
      <c r="BL463" s="27"/>
      <c r="BM463" s="16"/>
      <c r="BN463" s="27"/>
      <c r="BP463" s="27"/>
      <c r="BQ463" s="16"/>
      <c r="BR463" s="27"/>
      <c r="BT463" s="27"/>
      <c r="BU463" s="16"/>
      <c r="BV463" s="27"/>
      <c r="BX463" s="27"/>
      <c r="BY463" s="16"/>
      <c r="BZ463" s="27"/>
      <c r="CB463" s="27"/>
      <c r="CC463" s="16"/>
      <c r="CD463" s="27"/>
      <c r="CF463" s="27"/>
      <c r="CG463" s="16"/>
      <c r="CH463" s="27"/>
      <c r="CJ463" s="27"/>
      <c r="CK463" s="16"/>
      <c r="CL463" s="27"/>
      <c r="CN463" s="27"/>
      <c r="CO463" s="16"/>
      <c r="CP463" s="27"/>
      <c r="CR463" s="27"/>
      <c r="CS463" s="16"/>
      <c r="CT463" s="27"/>
      <c r="CV463" s="27"/>
      <c r="CW463" s="16"/>
      <c r="CX463" s="27"/>
      <c r="CZ463" s="27"/>
      <c r="DA463" s="16"/>
      <c r="DB463" s="27"/>
      <c r="DD463" s="16"/>
    </row>
    <row r="464" spans="1:108" s="14" customFormat="1" ht="21" x14ac:dyDescent="0.4">
      <c r="A464" s="27"/>
      <c r="B464" s="27"/>
      <c r="D464" s="16"/>
      <c r="E464" s="27"/>
      <c r="F464" s="27"/>
      <c r="H464" s="27"/>
      <c r="I464" s="16"/>
      <c r="J464" s="27"/>
      <c r="L464" s="27"/>
      <c r="M464" s="16"/>
      <c r="N464" s="27"/>
      <c r="P464" s="27"/>
      <c r="Q464" s="16"/>
      <c r="R464" s="27"/>
      <c r="T464" s="27"/>
      <c r="U464" s="16"/>
      <c r="V464" s="27"/>
      <c r="X464" s="27"/>
      <c r="Y464" s="16"/>
      <c r="Z464" s="27"/>
      <c r="AB464" s="27"/>
      <c r="AC464" s="16"/>
      <c r="AD464" s="27"/>
      <c r="AF464" s="27"/>
      <c r="AG464" s="16"/>
      <c r="AH464" s="27"/>
      <c r="AJ464" s="27"/>
      <c r="AK464" s="16"/>
      <c r="AL464" s="27"/>
      <c r="AN464" s="27"/>
      <c r="AO464" s="16"/>
      <c r="AP464" s="27"/>
      <c r="AR464" s="27"/>
      <c r="AS464" s="16"/>
      <c r="AT464" s="27"/>
      <c r="AV464" s="27"/>
      <c r="AW464" s="16"/>
      <c r="AX464" s="27"/>
      <c r="AZ464" s="27"/>
      <c r="BA464" s="16"/>
      <c r="BB464" s="27"/>
      <c r="BD464" s="27"/>
      <c r="BE464" s="16"/>
      <c r="BF464" s="27"/>
      <c r="BH464" s="27"/>
      <c r="BI464" s="16"/>
      <c r="BJ464" s="27"/>
      <c r="BL464" s="27"/>
      <c r="BM464" s="16"/>
      <c r="BN464" s="27"/>
      <c r="BP464" s="27"/>
      <c r="BQ464" s="16"/>
      <c r="BR464" s="27"/>
      <c r="BT464" s="27"/>
      <c r="BU464" s="16"/>
      <c r="BV464" s="27"/>
      <c r="BX464" s="27"/>
      <c r="BY464" s="16"/>
      <c r="BZ464" s="27"/>
      <c r="CB464" s="27"/>
      <c r="CC464" s="16"/>
      <c r="CD464" s="27"/>
      <c r="CF464" s="27"/>
      <c r="CG464" s="16"/>
      <c r="CH464" s="27"/>
      <c r="CJ464" s="27"/>
      <c r="CK464" s="16"/>
      <c r="CL464" s="27"/>
      <c r="CN464" s="27"/>
      <c r="CO464" s="16"/>
      <c r="CP464" s="27"/>
      <c r="CR464" s="27"/>
      <c r="CS464" s="16"/>
      <c r="CT464" s="27"/>
      <c r="CV464" s="27"/>
      <c r="CW464" s="16"/>
      <c r="CX464" s="27"/>
      <c r="CZ464" s="27"/>
      <c r="DA464" s="16"/>
      <c r="DB464" s="27"/>
      <c r="DD464" s="16"/>
    </row>
    <row r="465" spans="1:108" s="14" customFormat="1" ht="21" x14ac:dyDescent="0.4">
      <c r="A465" s="27"/>
      <c r="B465" s="27"/>
      <c r="D465" s="16"/>
      <c r="E465" s="27"/>
      <c r="F465" s="27"/>
      <c r="H465" s="27"/>
      <c r="I465" s="16"/>
      <c r="J465" s="27"/>
      <c r="L465" s="27"/>
      <c r="M465" s="16"/>
      <c r="N465" s="27"/>
      <c r="P465" s="27"/>
      <c r="Q465" s="16"/>
      <c r="R465" s="27"/>
      <c r="T465" s="27"/>
      <c r="U465" s="16"/>
      <c r="V465" s="27"/>
      <c r="X465" s="27"/>
      <c r="Y465" s="16"/>
      <c r="Z465" s="27"/>
      <c r="AB465" s="27"/>
      <c r="AC465" s="16"/>
      <c r="AD465" s="27"/>
      <c r="AF465" s="27"/>
      <c r="AG465" s="16"/>
      <c r="AH465" s="27"/>
      <c r="AJ465" s="27"/>
      <c r="AK465" s="16"/>
      <c r="AL465" s="27"/>
      <c r="AN465" s="27"/>
      <c r="AO465" s="16"/>
      <c r="AP465" s="27"/>
      <c r="AR465" s="27"/>
      <c r="AS465" s="16"/>
      <c r="AT465" s="27"/>
      <c r="AV465" s="27"/>
      <c r="AW465" s="16"/>
      <c r="AX465" s="27"/>
      <c r="AZ465" s="27"/>
      <c r="BA465" s="16"/>
      <c r="BB465" s="27"/>
      <c r="BD465" s="27"/>
      <c r="BE465" s="16"/>
      <c r="BF465" s="27"/>
      <c r="BH465" s="27"/>
      <c r="BI465" s="16"/>
      <c r="BJ465" s="27"/>
      <c r="BL465" s="27"/>
      <c r="BM465" s="16"/>
      <c r="BN465" s="27"/>
      <c r="BP465" s="27"/>
      <c r="BQ465" s="16"/>
      <c r="BR465" s="27"/>
      <c r="BT465" s="27"/>
      <c r="BU465" s="16"/>
      <c r="BV465" s="27"/>
      <c r="BX465" s="27"/>
      <c r="BY465" s="16"/>
      <c r="BZ465" s="27"/>
      <c r="CB465" s="27"/>
      <c r="CC465" s="16"/>
      <c r="CD465" s="27"/>
      <c r="CF465" s="27"/>
      <c r="CG465" s="16"/>
      <c r="CH465" s="27"/>
      <c r="CJ465" s="27"/>
      <c r="CK465" s="16"/>
      <c r="CL465" s="27"/>
      <c r="CN465" s="27"/>
      <c r="CO465" s="16"/>
      <c r="CP465" s="27"/>
      <c r="CR465" s="27"/>
      <c r="CS465" s="16"/>
      <c r="CT465" s="27"/>
      <c r="CV465" s="27"/>
      <c r="CW465" s="16"/>
      <c r="CX465" s="27"/>
      <c r="CZ465" s="27"/>
      <c r="DA465" s="16"/>
      <c r="DB465" s="27"/>
      <c r="DD465" s="16"/>
    </row>
    <row r="466" spans="1:108" s="14" customFormat="1" ht="21" x14ac:dyDescent="0.4">
      <c r="A466" s="27"/>
      <c r="B466" s="27"/>
      <c r="D466" s="16"/>
      <c r="E466" s="27"/>
      <c r="F466" s="27"/>
      <c r="H466" s="27"/>
      <c r="I466" s="16"/>
      <c r="J466" s="27"/>
      <c r="L466" s="27"/>
      <c r="M466" s="16"/>
      <c r="N466" s="27"/>
      <c r="P466" s="27"/>
      <c r="Q466" s="16"/>
      <c r="R466" s="27"/>
      <c r="T466" s="27"/>
      <c r="U466" s="16"/>
      <c r="V466" s="27"/>
      <c r="X466" s="27"/>
      <c r="Y466" s="16"/>
      <c r="Z466" s="27"/>
      <c r="AB466" s="27"/>
      <c r="AC466" s="16"/>
      <c r="AD466" s="27"/>
      <c r="AF466" s="27"/>
      <c r="AG466" s="16"/>
      <c r="AH466" s="27"/>
      <c r="AJ466" s="27"/>
      <c r="AK466" s="16"/>
      <c r="AL466" s="27"/>
      <c r="AN466" s="27"/>
      <c r="AO466" s="16"/>
      <c r="AP466" s="27"/>
      <c r="AR466" s="27"/>
      <c r="AS466" s="16"/>
      <c r="AT466" s="27"/>
      <c r="AV466" s="27"/>
      <c r="AW466" s="16"/>
      <c r="AX466" s="27"/>
      <c r="AZ466" s="27"/>
      <c r="BA466" s="16"/>
      <c r="BB466" s="27"/>
      <c r="BD466" s="27"/>
      <c r="BE466" s="16"/>
      <c r="BF466" s="27"/>
      <c r="BH466" s="27"/>
      <c r="BI466" s="16"/>
      <c r="BJ466" s="27"/>
      <c r="BL466" s="27"/>
      <c r="BM466" s="16"/>
      <c r="BN466" s="27"/>
      <c r="BP466" s="27"/>
      <c r="BQ466" s="16"/>
      <c r="BR466" s="27"/>
      <c r="BT466" s="27"/>
      <c r="BU466" s="16"/>
      <c r="BV466" s="27"/>
      <c r="BX466" s="27"/>
      <c r="BY466" s="16"/>
      <c r="BZ466" s="27"/>
      <c r="CB466" s="27"/>
      <c r="CC466" s="16"/>
      <c r="CD466" s="27"/>
      <c r="CF466" s="27"/>
      <c r="CG466" s="16"/>
      <c r="CH466" s="27"/>
      <c r="CJ466" s="27"/>
      <c r="CK466" s="16"/>
      <c r="CL466" s="27"/>
      <c r="CN466" s="27"/>
      <c r="CO466" s="16"/>
      <c r="CP466" s="27"/>
      <c r="CR466" s="27"/>
      <c r="CS466" s="16"/>
      <c r="CT466" s="27"/>
      <c r="CV466" s="27"/>
      <c r="CW466" s="16"/>
      <c r="CX466" s="27"/>
      <c r="CZ466" s="27"/>
      <c r="DA466" s="16"/>
      <c r="DB466" s="27"/>
      <c r="DD466" s="16"/>
    </row>
    <row r="467" spans="1:108" s="14" customFormat="1" ht="21" x14ac:dyDescent="0.4">
      <c r="A467" s="27"/>
      <c r="B467" s="27"/>
      <c r="D467" s="16"/>
      <c r="E467" s="27"/>
      <c r="F467" s="27"/>
      <c r="H467" s="27"/>
      <c r="I467" s="16"/>
      <c r="J467" s="27"/>
      <c r="L467" s="27"/>
      <c r="M467" s="16"/>
      <c r="N467" s="27"/>
      <c r="P467" s="27"/>
      <c r="Q467" s="16"/>
      <c r="R467" s="27"/>
      <c r="T467" s="27"/>
      <c r="U467" s="16"/>
      <c r="V467" s="27"/>
      <c r="X467" s="27"/>
      <c r="Y467" s="16"/>
      <c r="Z467" s="27"/>
      <c r="AB467" s="27"/>
      <c r="AC467" s="16"/>
      <c r="AD467" s="27"/>
      <c r="AF467" s="27"/>
      <c r="AG467" s="16"/>
      <c r="AH467" s="27"/>
      <c r="AJ467" s="27"/>
      <c r="AK467" s="16"/>
      <c r="AL467" s="27"/>
      <c r="AN467" s="27"/>
      <c r="AO467" s="16"/>
      <c r="AP467" s="27"/>
      <c r="AR467" s="27"/>
      <c r="AS467" s="16"/>
      <c r="AT467" s="27"/>
      <c r="AV467" s="27"/>
      <c r="AW467" s="16"/>
      <c r="AX467" s="27"/>
      <c r="AZ467" s="27"/>
      <c r="BA467" s="16"/>
      <c r="BB467" s="27"/>
      <c r="BD467" s="27"/>
      <c r="BE467" s="16"/>
      <c r="BF467" s="27"/>
      <c r="BH467" s="27"/>
      <c r="BI467" s="16"/>
      <c r="BJ467" s="27"/>
      <c r="BL467" s="27"/>
      <c r="BM467" s="16"/>
      <c r="BN467" s="27"/>
      <c r="BP467" s="27"/>
      <c r="BQ467" s="16"/>
      <c r="BR467" s="27"/>
      <c r="BT467" s="27"/>
      <c r="BU467" s="16"/>
      <c r="BV467" s="27"/>
      <c r="BX467" s="27"/>
      <c r="BY467" s="16"/>
      <c r="BZ467" s="27"/>
      <c r="CB467" s="27"/>
      <c r="CC467" s="16"/>
      <c r="CD467" s="27"/>
      <c r="CF467" s="27"/>
      <c r="CG467" s="16"/>
      <c r="CH467" s="27"/>
      <c r="CJ467" s="27"/>
      <c r="CK467" s="16"/>
      <c r="CL467" s="27"/>
      <c r="CN467" s="27"/>
      <c r="CO467" s="16"/>
      <c r="CP467" s="27"/>
      <c r="CR467" s="27"/>
      <c r="CS467" s="16"/>
      <c r="CT467" s="27"/>
      <c r="CV467" s="27"/>
      <c r="CW467" s="16"/>
      <c r="CX467" s="27"/>
      <c r="CZ467" s="27"/>
      <c r="DA467" s="16"/>
      <c r="DB467" s="27"/>
      <c r="DD467" s="16"/>
    </row>
    <row r="468" spans="1:108" s="14" customFormat="1" ht="21" x14ac:dyDescent="0.4">
      <c r="A468" s="27"/>
      <c r="B468" s="27"/>
      <c r="D468" s="16"/>
      <c r="E468" s="27"/>
      <c r="F468" s="27"/>
      <c r="H468" s="27"/>
      <c r="I468" s="16"/>
      <c r="J468" s="27"/>
      <c r="L468" s="27"/>
      <c r="M468" s="16"/>
      <c r="N468" s="27"/>
      <c r="P468" s="27"/>
      <c r="Q468" s="16"/>
      <c r="R468" s="27"/>
      <c r="T468" s="27"/>
      <c r="U468" s="16"/>
      <c r="V468" s="27"/>
      <c r="X468" s="27"/>
      <c r="Y468" s="16"/>
      <c r="Z468" s="27"/>
      <c r="AB468" s="27"/>
      <c r="AC468" s="16"/>
      <c r="AD468" s="27"/>
      <c r="AF468" s="27"/>
      <c r="AG468" s="16"/>
      <c r="AH468" s="27"/>
      <c r="AJ468" s="27"/>
      <c r="AK468" s="16"/>
      <c r="AL468" s="27"/>
      <c r="AN468" s="27"/>
      <c r="AO468" s="16"/>
      <c r="AP468" s="27"/>
      <c r="AR468" s="27"/>
      <c r="AS468" s="16"/>
      <c r="AT468" s="27"/>
      <c r="AV468" s="27"/>
      <c r="AW468" s="16"/>
      <c r="AX468" s="27"/>
      <c r="AZ468" s="27"/>
      <c r="BA468" s="16"/>
      <c r="BB468" s="27"/>
      <c r="BD468" s="27"/>
      <c r="BE468" s="16"/>
      <c r="BF468" s="27"/>
      <c r="BH468" s="27"/>
      <c r="BI468" s="16"/>
      <c r="BJ468" s="27"/>
      <c r="BL468" s="27"/>
      <c r="BM468" s="16"/>
      <c r="BN468" s="27"/>
      <c r="BP468" s="27"/>
      <c r="BQ468" s="16"/>
      <c r="BR468" s="27"/>
      <c r="BT468" s="27"/>
      <c r="BU468" s="16"/>
      <c r="BV468" s="27"/>
      <c r="BX468" s="27"/>
      <c r="BY468" s="16"/>
      <c r="BZ468" s="27"/>
      <c r="CB468" s="27"/>
      <c r="CC468" s="16"/>
      <c r="CD468" s="27"/>
      <c r="CF468" s="27"/>
      <c r="CG468" s="16"/>
      <c r="CH468" s="27"/>
      <c r="CJ468" s="27"/>
      <c r="CK468" s="16"/>
      <c r="CL468" s="27"/>
      <c r="CN468" s="27"/>
      <c r="CO468" s="16"/>
      <c r="CP468" s="27"/>
      <c r="CR468" s="27"/>
      <c r="CS468" s="16"/>
      <c r="CT468" s="27"/>
      <c r="CV468" s="27"/>
      <c r="CW468" s="16"/>
      <c r="CX468" s="27"/>
      <c r="CZ468" s="27"/>
      <c r="DA468" s="16"/>
      <c r="DB468" s="27"/>
      <c r="DD468" s="16"/>
    </row>
    <row r="469" spans="1:108" s="14" customFormat="1" ht="21" x14ac:dyDescent="0.4">
      <c r="A469" s="27"/>
      <c r="B469" s="27"/>
      <c r="D469" s="16"/>
      <c r="E469" s="27"/>
      <c r="F469" s="27"/>
      <c r="H469" s="27"/>
      <c r="I469" s="16"/>
      <c r="J469" s="27"/>
      <c r="L469" s="27"/>
      <c r="M469" s="16"/>
      <c r="N469" s="27"/>
      <c r="P469" s="27"/>
      <c r="Q469" s="16"/>
      <c r="R469" s="27"/>
      <c r="T469" s="27"/>
      <c r="U469" s="16"/>
      <c r="V469" s="27"/>
      <c r="X469" s="27"/>
      <c r="Y469" s="16"/>
      <c r="Z469" s="27"/>
      <c r="AB469" s="27"/>
      <c r="AC469" s="16"/>
      <c r="AD469" s="27"/>
      <c r="AF469" s="27"/>
      <c r="AG469" s="16"/>
      <c r="AH469" s="27"/>
      <c r="AJ469" s="27"/>
      <c r="AK469" s="16"/>
      <c r="AL469" s="27"/>
      <c r="AN469" s="27"/>
      <c r="AO469" s="16"/>
      <c r="AP469" s="27"/>
      <c r="AR469" s="27"/>
      <c r="AS469" s="16"/>
      <c r="AT469" s="27"/>
      <c r="AV469" s="27"/>
      <c r="AW469" s="16"/>
      <c r="AX469" s="27"/>
      <c r="AZ469" s="27"/>
      <c r="BA469" s="16"/>
      <c r="BB469" s="27"/>
      <c r="BD469" s="27"/>
      <c r="BE469" s="16"/>
      <c r="BF469" s="27"/>
      <c r="BH469" s="27"/>
      <c r="BI469" s="16"/>
      <c r="BJ469" s="27"/>
      <c r="BL469" s="27"/>
      <c r="BM469" s="16"/>
      <c r="BN469" s="27"/>
      <c r="BP469" s="27"/>
      <c r="BQ469" s="16"/>
      <c r="BR469" s="27"/>
      <c r="BT469" s="27"/>
      <c r="BU469" s="16"/>
      <c r="BV469" s="27"/>
      <c r="BX469" s="27"/>
      <c r="BY469" s="16"/>
      <c r="BZ469" s="27"/>
      <c r="CB469" s="27"/>
      <c r="CC469" s="16"/>
      <c r="CD469" s="27"/>
      <c r="CF469" s="27"/>
      <c r="CG469" s="16"/>
      <c r="CH469" s="27"/>
      <c r="CJ469" s="27"/>
      <c r="CK469" s="16"/>
      <c r="CL469" s="27"/>
      <c r="CN469" s="27"/>
      <c r="CO469" s="16"/>
      <c r="CP469" s="27"/>
      <c r="CR469" s="27"/>
      <c r="CS469" s="16"/>
      <c r="CT469" s="27"/>
      <c r="CV469" s="27"/>
      <c r="CW469" s="16"/>
      <c r="CX469" s="27"/>
      <c r="CZ469" s="27"/>
      <c r="DA469" s="16"/>
      <c r="DB469" s="27"/>
      <c r="DD469" s="16"/>
    </row>
    <row r="470" spans="1:108" s="14" customFormat="1" ht="21" x14ac:dyDescent="0.4">
      <c r="A470" s="27"/>
      <c r="B470" s="27"/>
      <c r="D470" s="16"/>
      <c r="E470" s="27"/>
      <c r="F470" s="27"/>
      <c r="H470" s="27"/>
      <c r="I470" s="16"/>
      <c r="J470" s="27"/>
      <c r="L470" s="27"/>
      <c r="M470" s="16"/>
      <c r="N470" s="27"/>
      <c r="P470" s="27"/>
      <c r="Q470" s="16"/>
      <c r="R470" s="27"/>
      <c r="T470" s="27"/>
      <c r="U470" s="16"/>
      <c r="V470" s="27"/>
      <c r="X470" s="27"/>
      <c r="Y470" s="16"/>
      <c r="Z470" s="27"/>
      <c r="AB470" s="27"/>
      <c r="AC470" s="16"/>
      <c r="AD470" s="27"/>
      <c r="AF470" s="27"/>
      <c r="AG470" s="16"/>
      <c r="AH470" s="27"/>
      <c r="AJ470" s="27"/>
      <c r="AK470" s="16"/>
      <c r="AL470" s="27"/>
      <c r="AN470" s="27"/>
      <c r="AO470" s="16"/>
      <c r="AP470" s="27"/>
      <c r="AR470" s="27"/>
      <c r="AS470" s="16"/>
      <c r="AT470" s="27"/>
      <c r="AV470" s="27"/>
      <c r="AW470" s="16"/>
      <c r="AX470" s="27"/>
      <c r="AZ470" s="27"/>
      <c r="BA470" s="16"/>
      <c r="BB470" s="27"/>
      <c r="BD470" s="27"/>
      <c r="BE470" s="16"/>
      <c r="BF470" s="27"/>
      <c r="BH470" s="27"/>
      <c r="BI470" s="16"/>
      <c r="BJ470" s="27"/>
      <c r="BL470" s="27"/>
      <c r="BM470" s="16"/>
      <c r="BN470" s="27"/>
      <c r="BP470" s="27"/>
      <c r="BQ470" s="16"/>
      <c r="BR470" s="27"/>
      <c r="BT470" s="27"/>
      <c r="BU470" s="16"/>
      <c r="BV470" s="27"/>
      <c r="BX470" s="27"/>
      <c r="BY470" s="16"/>
      <c r="BZ470" s="27"/>
      <c r="CB470" s="27"/>
      <c r="CC470" s="16"/>
      <c r="CD470" s="27"/>
      <c r="CF470" s="27"/>
      <c r="CG470" s="16"/>
      <c r="CH470" s="27"/>
      <c r="CJ470" s="27"/>
      <c r="CK470" s="16"/>
      <c r="CL470" s="27"/>
      <c r="CN470" s="27"/>
      <c r="CO470" s="16"/>
      <c r="CP470" s="27"/>
      <c r="CR470" s="27"/>
      <c r="CS470" s="16"/>
      <c r="CT470" s="27"/>
      <c r="CV470" s="27"/>
      <c r="CW470" s="16"/>
      <c r="CX470" s="27"/>
      <c r="CZ470" s="27"/>
      <c r="DA470" s="16"/>
      <c r="DB470" s="27"/>
      <c r="DD470" s="16"/>
    </row>
    <row r="471" spans="1:108" s="14" customFormat="1" ht="21" x14ac:dyDescent="0.4">
      <c r="A471" s="27"/>
      <c r="B471" s="27"/>
      <c r="D471" s="16"/>
      <c r="E471" s="27"/>
      <c r="F471" s="27"/>
      <c r="H471" s="27"/>
      <c r="I471" s="16"/>
      <c r="J471" s="27"/>
      <c r="L471" s="27"/>
      <c r="M471" s="16"/>
      <c r="N471" s="27"/>
      <c r="P471" s="27"/>
      <c r="Q471" s="16"/>
      <c r="R471" s="27"/>
      <c r="T471" s="27"/>
      <c r="U471" s="16"/>
      <c r="V471" s="27"/>
      <c r="X471" s="27"/>
      <c r="Y471" s="16"/>
      <c r="Z471" s="27"/>
      <c r="AB471" s="27"/>
      <c r="AC471" s="16"/>
      <c r="AD471" s="27"/>
      <c r="AF471" s="27"/>
      <c r="AG471" s="16"/>
      <c r="AH471" s="27"/>
      <c r="AJ471" s="27"/>
      <c r="AK471" s="16"/>
      <c r="AL471" s="27"/>
      <c r="AN471" s="27"/>
      <c r="AO471" s="16"/>
      <c r="AP471" s="27"/>
      <c r="AR471" s="27"/>
      <c r="AS471" s="16"/>
      <c r="AT471" s="27"/>
      <c r="AV471" s="27"/>
      <c r="AW471" s="16"/>
      <c r="AX471" s="27"/>
      <c r="AZ471" s="27"/>
      <c r="BA471" s="16"/>
      <c r="BB471" s="27"/>
      <c r="BD471" s="27"/>
      <c r="BE471" s="16"/>
      <c r="BF471" s="27"/>
      <c r="BH471" s="27"/>
      <c r="BI471" s="16"/>
      <c r="BJ471" s="27"/>
      <c r="BL471" s="27"/>
      <c r="BM471" s="16"/>
      <c r="BN471" s="27"/>
      <c r="BP471" s="27"/>
      <c r="BQ471" s="16"/>
      <c r="BR471" s="27"/>
      <c r="BT471" s="27"/>
      <c r="BU471" s="16"/>
      <c r="BV471" s="27"/>
      <c r="BX471" s="27"/>
      <c r="BY471" s="16"/>
      <c r="BZ471" s="27"/>
      <c r="CB471" s="27"/>
      <c r="CC471" s="16"/>
      <c r="CD471" s="27"/>
      <c r="CF471" s="27"/>
      <c r="CG471" s="16"/>
      <c r="CH471" s="27"/>
      <c r="CJ471" s="27"/>
      <c r="CK471" s="16"/>
      <c r="CL471" s="27"/>
      <c r="CN471" s="27"/>
      <c r="CO471" s="16"/>
      <c r="CP471" s="27"/>
      <c r="CR471" s="27"/>
      <c r="CS471" s="16"/>
      <c r="CT471" s="27"/>
      <c r="CV471" s="27"/>
      <c r="CW471" s="16"/>
      <c r="CX471" s="27"/>
      <c r="CZ471" s="27"/>
      <c r="DA471" s="16"/>
      <c r="DB471" s="27"/>
      <c r="DD471" s="16"/>
    </row>
    <row r="472" spans="1:108" s="14" customFormat="1" ht="21" x14ac:dyDescent="0.4">
      <c r="A472" s="27"/>
      <c r="B472" s="27"/>
      <c r="D472" s="16"/>
      <c r="E472" s="27"/>
      <c r="F472" s="27"/>
      <c r="H472" s="27"/>
      <c r="I472" s="16"/>
      <c r="J472" s="27"/>
      <c r="L472" s="27"/>
      <c r="M472" s="16"/>
      <c r="N472" s="27"/>
      <c r="P472" s="27"/>
      <c r="Q472" s="16"/>
      <c r="R472" s="27"/>
      <c r="T472" s="27"/>
      <c r="U472" s="16"/>
      <c r="V472" s="27"/>
      <c r="X472" s="27"/>
      <c r="Y472" s="16"/>
      <c r="Z472" s="27"/>
      <c r="AB472" s="27"/>
      <c r="AC472" s="16"/>
      <c r="AD472" s="27"/>
      <c r="AF472" s="27"/>
      <c r="AG472" s="16"/>
      <c r="AH472" s="27"/>
      <c r="AJ472" s="27"/>
      <c r="AK472" s="16"/>
      <c r="AL472" s="27"/>
      <c r="AN472" s="27"/>
      <c r="AO472" s="16"/>
      <c r="AP472" s="27"/>
      <c r="AR472" s="27"/>
      <c r="AS472" s="16"/>
      <c r="AT472" s="27"/>
      <c r="AV472" s="27"/>
      <c r="AW472" s="16"/>
      <c r="AX472" s="27"/>
      <c r="AZ472" s="27"/>
      <c r="BA472" s="16"/>
      <c r="BB472" s="27"/>
      <c r="BD472" s="27"/>
      <c r="BE472" s="16"/>
      <c r="BF472" s="27"/>
      <c r="BH472" s="27"/>
      <c r="BI472" s="16"/>
      <c r="BJ472" s="27"/>
      <c r="BL472" s="27"/>
      <c r="BM472" s="16"/>
      <c r="BN472" s="27"/>
      <c r="BP472" s="27"/>
      <c r="BQ472" s="16"/>
      <c r="BR472" s="27"/>
      <c r="BT472" s="27"/>
      <c r="BU472" s="16"/>
      <c r="BV472" s="27"/>
      <c r="BX472" s="27"/>
      <c r="BY472" s="16"/>
      <c r="BZ472" s="27"/>
      <c r="CB472" s="27"/>
      <c r="CC472" s="16"/>
      <c r="CD472" s="27"/>
      <c r="CF472" s="27"/>
      <c r="CG472" s="16"/>
      <c r="CH472" s="27"/>
      <c r="CJ472" s="27"/>
      <c r="CK472" s="16"/>
      <c r="CL472" s="27"/>
      <c r="CN472" s="27"/>
      <c r="CO472" s="16"/>
      <c r="CP472" s="27"/>
      <c r="CR472" s="27"/>
      <c r="CS472" s="16"/>
      <c r="CT472" s="27"/>
      <c r="CV472" s="27"/>
      <c r="CW472" s="16"/>
      <c r="CX472" s="27"/>
      <c r="CZ472" s="27"/>
      <c r="DA472" s="16"/>
      <c r="DB472" s="27"/>
      <c r="DD472" s="16"/>
    </row>
    <row r="473" spans="1:108" s="14" customFormat="1" ht="21" x14ac:dyDescent="0.4">
      <c r="A473" s="27"/>
      <c r="B473" s="27"/>
      <c r="D473" s="16"/>
      <c r="E473" s="27"/>
      <c r="F473" s="27"/>
      <c r="H473" s="27"/>
      <c r="I473" s="16"/>
      <c r="J473" s="27"/>
      <c r="L473" s="27"/>
      <c r="M473" s="16"/>
      <c r="N473" s="27"/>
      <c r="P473" s="27"/>
      <c r="Q473" s="16"/>
      <c r="R473" s="27"/>
      <c r="T473" s="27"/>
      <c r="U473" s="16"/>
      <c r="V473" s="27"/>
      <c r="X473" s="27"/>
      <c r="Y473" s="16"/>
      <c r="Z473" s="27"/>
      <c r="AB473" s="27"/>
      <c r="AC473" s="16"/>
      <c r="AD473" s="27"/>
      <c r="AF473" s="27"/>
      <c r="AG473" s="16"/>
      <c r="AH473" s="27"/>
      <c r="AJ473" s="27"/>
      <c r="AK473" s="16"/>
      <c r="AL473" s="27"/>
      <c r="AN473" s="27"/>
      <c r="AO473" s="16"/>
      <c r="AP473" s="27"/>
      <c r="AR473" s="27"/>
      <c r="AS473" s="16"/>
      <c r="AT473" s="27"/>
      <c r="AV473" s="27"/>
      <c r="AW473" s="16"/>
      <c r="AX473" s="27"/>
      <c r="AZ473" s="27"/>
      <c r="BA473" s="16"/>
      <c r="BB473" s="27"/>
      <c r="BD473" s="27"/>
      <c r="BE473" s="16"/>
      <c r="BF473" s="27"/>
      <c r="BH473" s="27"/>
      <c r="BI473" s="16"/>
      <c r="BJ473" s="27"/>
      <c r="BL473" s="27"/>
      <c r="BM473" s="16"/>
      <c r="BN473" s="27"/>
      <c r="BP473" s="27"/>
      <c r="BQ473" s="16"/>
      <c r="BR473" s="27"/>
      <c r="BT473" s="27"/>
      <c r="BU473" s="16"/>
      <c r="BV473" s="27"/>
      <c r="BX473" s="27"/>
      <c r="BY473" s="16"/>
      <c r="BZ473" s="27"/>
      <c r="CB473" s="27"/>
      <c r="CC473" s="16"/>
      <c r="CD473" s="27"/>
      <c r="CF473" s="27"/>
      <c r="CG473" s="16"/>
      <c r="CH473" s="27"/>
      <c r="CJ473" s="27"/>
      <c r="CK473" s="16"/>
      <c r="CL473" s="27"/>
      <c r="CN473" s="27"/>
      <c r="CO473" s="16"/>
      <c r="CP473" s="27"/>
      <c r="CR473" s="27"/>
      <c r="CS473" s="16"/>
      <c r="CT473" s="27"/>
      <c r="CV473" s="27"/>
      <c r="CW473" s="16"/>
      <c r="CX473" s="27"/>
      <c r="CZ473" s="27"/>
      <c r="DA473" s="16"/>
      <c r="DB473" s="27"/>
      <c r="DD473" s="16"/>
    </row>
    <row r="474" spans="1:108" s="14" customFormat="1" ht="21" x14ac:dyDescent="0.4">
      <c r="A474" s="27"/>
      <c r="B474" s="27"/>
      <c r="D474" s="16"/>
      <c r="E474" s="27"/>
      <c r="F474" s="27"/>
      <c r="H474" s="27"/>
      <c r="I474" s="16"/>
      <c r="J474" s="27"/>
      <c r="L474" s="27"/>
      <c r="M474" s="16"/>
      <c r="N474" s="27"/>
      <c r="P474" s="27"/>
      <c r="Q474" s="16"/>
      <c r="R474" s="27"/>
      <c r="T474" s="27"/>
      <c r="U474" s="16"/>
      <c r="V474" s="27"/>
      <c r="X474" s="27"/>
      <c r="Y474" s="16"/>
      <c r="Z474" s="27"/>
      <c r="AB474" s="27"/>
      <c r="AC474" s="16"/>
      <c r="AD474" s="27"/>
      <c r="AF474" s="27"/>
      <c r="AG474" s="16"/>
      <c r="AH474" s="27"/>
      <c r="AJ474" s="27"/>
      <c r="AK474" s="16"/>
      <c r="AL474" s="27"/>
      <c r="AN474" s="27"/>
      <c r="AO474" s="16"/>
      <c r="AP474" s="27"/>
      <c r="AR474" s="27"/>
      <c r="AS474" s="16"/>
      <c r="AT474" s="27"/>
      <c r="AV474" s="27"/>
      <c r="AW474" s="16"/>
      <c r="AX474" s="27"/>
      <c r="AZ474" s="27"/>
      <c r="BA474" s="16"/>
      <c r="BB474" s="27"/>
      <c r="BD474" s="27"/>
      <c r="BE474" s="16"/>
      <c r="BF474" s="27"/>
      <c r="BH474" s="27"/>
      <c r="BI474" s="16"/>
      <c r="BJ474" s="27"/>
      <c r="BL474" s="27"/>
      <c r="BM474" s="16"/>
      <c r="BN474" s="27"/>
      <c r="BP474" s="27"/>
      <c r="BQ474" s="16"/>
      <c r="BR474" s="27"/>
      <c r="BT474" s="27"/>
      <c r="BU474" s="16"/>
      <c r="BV474" s="27"/>
      <c r="BX474" s="27"/>
      <c r="BY474" s="16"/>
      <c r="BZ474" s="27"/>
      <c r="CB474" s="27"/>
      <c r="CC474" s="16"/>
      <c r="CD474" s="27"/>
      <c r="CF474" s="27"/>
      <c r="CG474" s="16"/>
      <c r="CH474" s="27"/>
      <c r="CJ474" s="27"/>
      <c r="CK474" s="16"/>
      <c r="CL474" s="27"/>
      <c r="CN474" s="27"/>
      <c r="CO474" s="16"/>
      <c r="CP474" s="27"/>
      <c r="CR474" s="27"/>
      <c r="CS474" s="16"/>
      <c r="CT474" s="27"/>
      <c r="CV474" s="27"/>
      <c r="CW474" s="16"/>
      <c r="CX474" s="27"/>
      <c r="CZ474" s="27"/>
      <c r="DA474" s="16"/>
      <c r="DB474" s="27"/>
      <c r="DD474" s="16"/>
    </row>
    <row r="475" spans="1:108" s="14" customFormat="1" ht="21" x14ac:dyDescent="0.4">
      <c r="A475" s="27"/>
      <c r="B475" s="27"/>
      <c r="D475" s="16"/>
      <c r="E475" s="27"/>
      <c r="F475" s="27"/>
      <c r="H475" s="27"/>
      <c r="I475" s="16"/>
      <c r="J475" s="27"/>
      <c r="L475" s="27"/>
      <c r="M475" s="16"/>
      <c r="N475" s="27"/>
      <c r="P475" s="27"/>
      <c r="Q475" s="16"/>
      <c r="R475" s="27"/>
      <c r="T475" s="27"/>
      <c r="U475" s="16"/>
      <c r="V475" s="27"/>
      <c r="X475" s="27"/>
      <c r="Y475" s="16"/>
      <c r="Z475" s="27"/>
      <c r="AB475" s="27"/>
      <c r="AC475" s="16"/>
      <c r="AD475" s="27"/>
      <c r="AF475" s="27"/>
      <c r="AG475" s="16"/>
      <c r="AH475" s="27"/>
      <c r="AJ475" s="27"/>
      <c r="AK475" s="16"/>
      <c r="AL475" s="27"/>
      <c r="AN475" s="27"/>
      <c r="AO475" s="16"/>
      <c r="AP475" s="27"/>
      <c r="AR475" s="27"/>
      <c r="AS475" s="16"/>
      <c r="AT475" s="27"/>
      <c r="AV475" s="27"/>
      <c r="AW475" s="16"/>
      <c r="AX475" s="27"/>
      <c r="AZ475" s="27"/>
      <c r="BA475" s="16"/>
      <c r="BB475" s="27"/>
      <c r="BD475" s="27"/>
      <c r="BE475" s="16"/>
      <c r="BF475" s="27"/>
      <c r="BH475" s="27"/>
      <c r="BI475" s="16"/>
      <c r="BJ475" s="27"/>
      <c r="BL475" s="27"/>
      <c r="BM475" s="16"/>
      <c r="BN475" s="27"/>
      <c r="BP475" s="27"/>
      <c r="BQ475" s="16"/>
      <c r="BR475" s="27"/>
      <c r="BT475" s="27"/>
      <c r="BU475" s="16"/>
      <c r="BV475" s="27"/>
      <c r="BX475" s="27"/>
      <c r="BY475" s="16"/>
      <c r="BZ475" s="27"/>
      <c r="CB475" s="27"/>
      <c r="CC475" s="16"/>
      <c r="CD475" s="27"/>
      <c r="CF475" s="27"/>
      <c r="CG475" s="16"/>
      <c r="CH475" s="27"/>
      <c r="CJ475" s="27"/>
      <c r="CK475" s="16"/>
      <c r="CL475" s="27"/>
      <c r="CN475" s="27"/>
      <c r="CO475" s="16"/>
      <c r="CP475" s="27"/>
      <c r="CR475" s="27"/>
      <c r="CS475" s="16"/>
      <c r="CT475" s="27"/>
      <c r="CV475" s="27"/>
      <c r="CW475" s="16"/>
      <c r="CX475" s="27"/>
      <c r="CZ475" s="27"/>
      <c r="DA475" s="16"/>
      <c r="DB475" s="27"/>
      <c r="DD475" s="16"/>
    </row>
    <row r="476" spans="1:108" s="14" customFormat="1" ht="21" x14ac:dyDescent="0.4">
      <c r="A476" s="27"/>
      <c r="B476" s="27"/>
      <c r="D476" s="16"/>
      <c r="E476" s="27"/>
      <c r="F476" s="27"/>
      <c r="H476" s="27"/>
      <c r="I476" s="16"/>
      <c r="J476" s="27"/>
      <c r="L476" s="27"/>
      <c r="M476" s="16"/>
      <c r="N476" s="27"/>
      <c r="P476" s="27"/>
      <c r="Q476" s="16"/>
      <c r="R476" s="27"/>
      <c r="T476" s="27"/>
      <c r="U476" s="16"/>
      <c r="V476" s="27"/>
      <c r="X476" s="27"/>
      <c r="Y476" s="16"/>
      <c r="Z476" s="27"/>
      <c r="AB476" s="27"/>
      <c r="AC476" s="16"/>
      <c r="AD476" s="27"/>
      <c r="AF476" s="27"/>
      <c r="AG476" s="16"/>
      <c r="AH476" s="27"/>
      <c r="AJ476" s="27"/>
      <c r="AK476" s="16"/>
      <c r="AL476" s="27"/>
      <c r="AN476" s="27"/>
      <c r="AO476" s="16"/>
      <c r="AP476" s="27"/>
      <c r="AR476" s="27"/>
      <c r="AS476" s="16"/>
      <c r="AT476" s="27"/>
      <c r="AV476" s="27"/>
      <c r="AW476" s="16"/>
      <c r="AX476" s="27"/>
      <c r="AZ476" s="27"/>
      <c r="BA476" s="16"/>
      <c r="BB476" s="27"/>
      <c r="BD476" s="27"/>
      <c r="BE476" s="16"/>
      <c r="BF476" s="27"/>
      <c r="BH476" s="27"/>
      <c r="BI476" s="16"/>
      <c r="BJ476" s="27"/>
      <c r="BL476" s="27"/>
      <c r="BM476" s="16"/>
      <c r="BN476" s="27"/>
      <c r="BP476" s="27"/>
      <c r="BQ476" s="16"/>
      <c r="BR476" s="27"/>
      <c r="BT476" s="27"/>
      <c r="BU476" s="16"/>
      <c r="BV476" s="27"/>
      <c r="BX476" s="27"/>
      <c r="BY476" s="16"/>
      <c r="BZ476" s="27"/>
      <c r="CB476" s="27"/>
      <c r="CC476" s="16"/>
      <c r="CD476" s="27"/>
      <c r="CF476" s="27"/>
      <c r="CG476" s="16"/>
      <c r="CH476" s="27"/>
      <c r="CJ476" s="27"/>
      <c r="CK476" s="16"/>
      <c r="CL476" s="27"/>
      <c r="CN476" s="27"/>
      <c r="CO476" s="16"/>
      <c r="CP476" s="27"/>
      <c r="CR476" s="27"/>
      <c r="CS476" s="16"/>
      <c r="CT476" s="27"/>
      <c r="CV476" s="27"/>
      <c r="CW476" s="16"/>
      <c r="CX476" s="27"/>
      <c r="CZ476" s="27"/>
      <c r="DA476" s="16"/>
      <c r="DB476" s="27"/>
      <c r="DD476" s="16"/>
    </row>
    <row r="477" spans="1:108" s="14" customFormat="1" ht="21" x14ac:dyDescent="0.4">
      <c r="A477" s="27"/>
      <c r="B477" s="27"/>
      <c r="D477" s="16"/>
      <c r="E477" s="27"/>
      <c r="F477" s="27"/>
      <c r="H477" s="27"/>
      <c r="I477" s="16"/>
      <c r="J477" s="27"/>
      <c r="L477" s="27"/>
      <c r="M477" s="16"/>
      <c r="N477" s="27"/>
      <c r="P477" s="27"/>
      <c r="Q477" s="16"/>
      <c r="R477" s="27"/>
      <c r="T477" s="27"/>
      <c r="U477" s="16"/>
      <c r="V477" s="27"/>
      <c r="X477" s="27"/>
      <c r="Y477" s="16"/>
      <c r="Z477" s="27"/>
      <c r="AB477" s="27"/>
      <c r="AC477" s="16"/>
      <c r="AD477" s="27"/>
      <c r="AF477" s="27"/>
      <c r="AG477" s="16"/>
      <c r="AH477" s="27"/>
      <c r="AJ477" s="27"/>
      <c r="AK477" s="16"/>
      <c r="AL477" s="27"/>
      <c r="AN477" s="27"/>
      <c r="AO477" s="16"/>
      <c r="AP477" s="27"/>
      <c r="AR477" s="27"/>
      <c r="AS477" s="16"/>
      <c r="AT477" s="27"/>
      <c r="AV477" s="27"/>
      <c r="AW477" s="16"/>
      <c r="AX477" s="27"/>
      <c r="AZ477" s="27"/>
      <c r="BA477" s="16"/>
      <c r="BB477" s="27"/>
      <c r="BD477" s="27"/>
      <c r="BE477" s="16"/>
      <c r="BF477" s="27"/>
      <c r="BH477" s="27"/>
      <c r="BI477" s="16"/>
      <c r="BJ477" s="27"/>
      <c r="BL477" s="27"/>
      <c r="BM477" s="16"/>
      <c r="BN477" s="27"/>
      <c r="BP477" s="27"/>
      <c r="BQ477" s="16"/>
      <c r="BR477" s="27"/>
      <c r="BT477" s="27"/>
      <c r="BU477" s="16"/>
      <c r="BV477" s="27"/>
      <c r="BX477" s="27"/>
      <c r="BY477" s="16"/>
      <c r="BZ477" s="27"/>
      <c r="CB477" s="27"/>
      <c r="CC477" s="16"/>
      <c r="CD477" s="27"/>
      <c r="CF477" s="27"/>
      <c r="CG477" s="16"/>
      <c r="CH477" s="27"/>
      <c r="CJ477" s="27"/>
      <c r="CK477" s="16"/>
      <c r="CL477" s="27"/>
      <c r="CN477" s="27"/>
      <c r="CO477" s="16"/>
      <c r="CP477" s="27"/>
      <c r="CR477" s="27"/>
      <c r="CS477" s="16"/>
      <c r="CT477" s="27"/>
      <c r="CV477" s="27"/>
      <c r="CW477" s="16"/>
      <c r="CX477" s="27"/>
      <c r="CZ477" s="27"/>
      <c r="DA477" s="16"/>
      <c r="DB477" s="27"/>
      <c r="DD477" s="16"/>
    </row>
    <row r="478" spans="1:108" s="14" customFormat="1" ht="21" x14ac:dyDescent="0.4">
      <c r="A478" s="27"/>
      <c r="B478" s="27"/>
      <c r="D478" s="16"/>
      <c r="E478" s="27"/>
      <c r="F478" s="27"/>
      <c r="H478" s="27"/>
      <c r="I478" s="16"/>
      <c r="J478" s="27"/>
      <c r="L478" s="27"/>
      <c r="M478" s="16"/>
      <c r="N478" s="27"/>
      <c r="P478" s="27"/>
      <c r="Q478" s="16"/>
      <c r="R478" s="27"/>
      <c r="T478" s="27"/>
      <c r="U478" s="16"/>
      <c r="V478" s="27"/>
      <c r="X478" s="27"/>
      <c r="Y478" s="16"/>
      <c r="Z478" s="27"/>
      <c r="AB478" s="27"/>
      <c r="AC478" s="16"/>
      <c r="AD478" s="27"/>
      <c r="AF478" s="27"/>
      <c r="AG478" s="16"/>
      <c r="AH478" s="27"/>
      <c r="AJ478" s="27"/>
      <c r="AK478" s="16"/>
      <c r="AL478" s="27"/>
      <c r="AN478" s="27"/>
      <c r="AO478" s="16"/>
      <c r="AP478" s="27"/>
      <c r="AR478" s="27"/>
      <c r="AS478" s="16"/>
      <c r="AT478" s="27"/>
      <c r="AV478" s="27"/>
      <c r="AW478" s="16"/>
      <c r="AX478" s="27"/>
      <c r="AZ478" s="27"/>
      <c r="BA478" s="16"/>
      <c r="BB478" s="27"/>
      <c r="BD478" s="27"/>
      <c r="BE478" s="16"/>
      <c r="BF478" s="27"/>
      <c r="BH478" s="27"/>
      <c r="BI478" s="16"/>
      <c r="BJ478" s="27"/>
      <c r="BL478" s="27"/>
      <c r="BM478" s="16"/>
      <c r="BN478" s="27"/>
      <c r="BP478" s="27"/>
      <c r="BQ478" s="16"/>
      <c r="BR478" s="27"/>
      <c r="BT478" s="27"/>
      <c r="BU478" s="16"/>
      <c r="BV478" s="27"/>
      <c r="BX478" s="27"/>
      <c r="BY478" s="16"/>
      <c r="BZ478" s="27"/>
      <c r="CB478" s="27"/>
      <c r="CC478" s="16"/>
      <c r="CD478" s="27"/>
      <c r="CF478" s="27"/>
      <c r="CG478" s="16"/>
      <c r="CH478" s="27"/>
      <c r="CJ478" s="27"/>
      <c r="CK478" s="16"/>
      <c r="CL478" s="27"/>
      <c r="CN478" s="27"/>
      <c r="CO478" s="16"/>
      <c r="CP478" s="27"/>
      <c r="CR478" s="27"/>
      <c r="CS478" s="16"/>
      <c r="CT478" s="27"/>
      <c r="CV478" s="27"/>
      <c r="CW478" s="16"/>
      <c r="CX478" s="27"/>
      <c r="CZ478" s="27"/>
      <c r="DA478" s="16"/>
      <c r="DB478" s="27"/>
      <c r="DD478" s="16"/>
    </row>
    <row r="479" spans="1:108" s="14" customFormat="1" ht="21" x14ac:dyDescent="0.4">
      <c r="A479" s="27"/>
      <c r="B479" s="27"/>
      <c r="D479" s="16"/>
      <c r="E479" s="27"/>
      <c r="F479" s="27"/>
      <c r="H479" s="27"/>
      <c r="I479" s="16"/>
      <c r="J479" s="27"/>
      <c r="L479" s="27"/>
      <c r="M479" s="16"/>
      <c r="N479" s="27"/>
      <c r="P479" s="27"/>
      <c r="Q479" s="16"/>
      <c r="R479" s="27"/>
      <c r="T479" s="27"/>
      <c r="U479" s="16"/>
      <c r="V479" s="27"/>
      <c r="X479" s="27"/>
      <c r="Y479" s="16"/>
      <c r="Z479" s="27"/>
      <c r="AB479" s="27"/>
      <c r="AC479" s="16"/>
      <c r="AD479" s="27"/>
      <c r="AF479" s="27"/>
      <c r="AG479" s="16"/>
      <c r="AH479" s="27"/>
      <c r="AJ479" s="27"/>
      <c r="AK479" s="16"/>
      <c r="AL479" s="27"/>
      <c r="AN479" s="27"/>
      <c r="AO479" s="16"/>
      <c r="AP479" s="27"/>
      <c r="AR479" s="27"/>
      <c r="AS479" s="16"/>
      <c r="AT479" s="27"/>
      <c r="AV479" s="27"/>
      <c r="AW479" s="16"/>
      <c r="AX479" s="27"/>
      <c r="AZ479" s="27"/>
      <c r="BA479" s="16"/>
      <c r="BB479" s="27"/>
      <c r="BD479" s="27"/>
      <c r="BE479" s="16"/>
      <c r="BF479" s="27"/>
      <c r="BH479" s="27"/>
      <c r="BI479" s="16"/>
      <c r="BJ479" s="27"/>
      <c r="BL479" s="27"/>
      <c r="BM479" s="16"/>
      <c r="BN479" s="27"/>
      <c r="BP479" s="27"/>
      <c r="BQ479" s="16"/>
      <c r="BR479" s="27"/>
      <c r="BT479" s="27"/>
      <c r="BU479" s="16"/>
      <c r="BV479" s="27"/>
      <c r="BX479" s="27"/>
      <c r="BY479" s="16"/>
      <c r="BZ479" s="27"/>
      <c r="CB479" s="27"/>
      <c r="CC479" s="16"/>
      <c r="CD479" s="27"/>
      <c r="CF479" s="27"/>
      <c r="CG479" s="16"/>
      <c r="CH479" s="27"/>
      <c r="CJ479" s="27"/>
      <c r="CK479" s="16"/>
      <c r="CL479" s="27"/>
      <c r="CN479" s="27"/>
      <c r="CO479" s="16"/>
      <c r="CP479" s="27"/>
      <c r="CR479" s="27"/>
      <c r="CS479" s="16"/>
      <c r="CT479" s="27"/>
      <c r="CV479" s="27"/>
      <c r="CW479" s="16"/>
      <c r="CX479" s="27"/>
      <c r="CZ479" s="27"/>
      <c r="DA479" s="16"/>
      <c r="DB479" s="27"/>
      <c r="DD479" s="16"/>
    </row>
    <row r="480" spans="1:108" s="14" customFormat="1" ht="21" x14ac:dyDescent="0.4">
      <c r="A480" s="27"/>
      <c r="B480" s="27"/>
      <c r="D480" s="16"/>
      <c r="E480" s="27"/>
      <c r="F480" s="27"/>
      <c r="H480" s="27"/>
      <c r="I480" s="16"/>
      <c r="J480" s="27"/>
      <c r="L480" s="27"/>
      <c r="M480" s="16"/>
      <c r="N480" s="27"/>
      <c r="P480" s="27"/>
      <c r="Q480" s="16"/>
      <c r="R480" s="27"/>
      <c r="T480" s="27"/>
      <c r="U480" s="16"/>
      <c r="V480" s="27"/>
      <c r="X480" s="27"/>
      <c r="Y480" s="16"/>
      <c r="Z480" s="27"/>
      <c r="AB480" s="27"/>
      <c r="AC480" s="16"/>
      <c r="AD480" s="27"/>
      <c r="AF480" s="27"/>
      <c r="AG480" s="16"/>
      <c r="AH480" s="27"/>
      <c r="AJ480" s="27"/>
      <c r="AK480" s="16"/>
      <c r="AL480" s="27"/>
      <c r="AN480" s="27"/>
      <c r="AO480" s="16"/>
      <c r="AP480" s="27"/>
      <c r="AR480" s="27"/>
      <c r="AS480" s="16"/>
      <c r="AT480" s="27"/>
      <c r="AV480" s="27"/>
      <c r="AW480" s="16"/>
      <c r="AX480" s="27"/>
      <c r="AZ480" s="27"/>
      <c r="BA480" s="16"/>
      <c r="BB480" s="27"/>
      <c r="BD480" s="27"/>
      <c r="BE480" s="16"/>
      <c r="BF480" s="27"/>
      <c r="BH480" s="27"/>
      <c r="BI480" s="16"/>
      <c r="BJ480" s="27"/>
      <c r="BL480" s="27"/>
      <c r="BM480" s="16"/>
      <c r="BN480" s="27"/>
      <c r="BP480" s="27"/>
      <c r="BQ480" s="16"/>
      <c r="BR480" s="27"/>
      <c r="BT480" s="27"/>
      <c r="BU480" s="16"/>
      <c r="BV480" s="27"/>
      <c r="BX480" s="27"/>
      <c r="BY480" s="16"/>
      <c r="BZ480" s="27"/>
      <c r="CB480" s="27"/>
      <c r="CC480" s="16"/>
      <c r="CD480" s="27"/>
      <c r="CF480" s="27"/>
      <c r="CG480" s="16"/>
      <c r="CH480" s="27"/>
      <c r="CJ480" s="27"/>
      <c r="CK480" s="16"/>
      <c r="CL480" s="27"/>
      <c r="CN480" s="27"/>
      <c r="CO480" s="16"/>
      <c r="CP480" s="27"/>
      <c r="CR480" s="27"/>
      <c r="CS480" s="16"/>
      <c r="CT480" s="27"/>
      <c r="CV480" s="27"/>
      <c r="CW480" s="16"/>
      <c r="CX480" s="27"/>
      <c r="CZ480" s="27"/>
      <c r="DA480" s="16"/>
      <c r="DB480" s="27"/>
      <c r="DD480" s="16"/>
    </row>
    <row r="481" spans="1:108" s="14" customFormat="1" ht="21" x14ac:dyDescent="0.4">
      <c r="A481" s="27"/>
      <c r="B481" s="27"/>
      <c r="D481" s="16"/>
      <c r="E481" s="27"/>
      <c r="F481" s="27"/>
      <c r="H481" s="27"/>
      <c r="I481" s="16"/>
      <c r="J481" s="27"/>
      <c r="L481" s="27"/>
      <c r="M481" s="16"/>
      <c r="N481" s="27"/>
      <c r="P481" s="27"/>
      <c r="Q481" s="16"/>
      <c r="R481" s="27"/>
      <c r="T481" s="27"/>
      <c r="U481" s="16"/>
      <c r="V481" s="27"/>
      <c r="X481" s="27"/>
      <c r="Y481" s="16"/>
      <c r="Z481" s="27"/>
      <c r="AB481" s="27"/>
      <c r="AC481" s="16"/>
      <c r="AD481" s="27"/>
      <c r="AF481" s="27"/>
      <c r="AG481" s="16"/>
      <c r="AH481" s="27"/>
      <c r="AJ481" s="27"/>
      <c r="AK481" s="16"/>
      <c r="AL481" s="27"/>
      <c r="AN481" s="27"/>
      <c r="AO481" s="16"/>
      <c r="AP481" s="27"/>
      <c r="AR481" s="27"/>
      <c r="AS481" s="16"/>
      <c r="AT481" s="27"/>
      <c r="AV481" s="27"/>
      <c r="AW481" s="16"/>
      <c r="AX481" s="27"/>
      <c r="AZ481" s="27"/>
      <c r="BA481" s="16"/>
      <c r="BB481" s="27"/>
      <c r="BD481" s="27"/>
      <c r="BE481" s="16"/>
      <c r="BF481" s="27"/>
      <c r="BH481" s="27"/>
      <c r="BI481" s="16"/>
      <c r="BJ481" s="27"/>
      <c r="BL481" s="27"/>
      <c r="BM481" s="16"/>
      <c r="BN481" s="27"/>
      <c r="BP481" s="27"/>
      <c r="BQ481" s="16"/>
      <c r="BR481" s="27"/>
      <c r="BT481" s="27"/>
      <c r="BU481" s="16"/>
      <c r="BV481" s="27"/>
      <c r="BX481" s="27"/>
      <c r="BY481" s="16"/>
      <c r="BZ481" s="27"/>
      <c r="CB481" s="27"/>
      <c r="CC481" s="16"/>
      <c r="CD481" s="27"/>
      <c r="CF481" s="27"/>
      <c r="CG481" s="16"/>
      <c r="CH481" s="27"/>
      <c r="CJ481" s="27"/>
      <c r="CK481" s="16"/>
      <c r="CL481" s="27"/>
      <c r="CN481" s="27"/>
      <c r="CO481" s="16"/>
      <c r="CP481" s="27"/>
      <c r="CR481" s="27"/>
      <c r="CS481" s="16"/>
      <c r="CT481" s="27"/>
      <c r="CV481" s="27"/>
      <c r="CW481" s="16"/>
      <c r="CX481" s="27"/>
      <c r="CZ481" s="27"/>
      <c r="DA481" s="16"/>
      <c r="DB481" s="27"/>
      <c r="DD481" s="16"/>
    </row>
    <row r="482" spans="1:108" s="14" customFormat="1" ht="21" x14ac:dyDescent="0.4">
      <c r="A482" s="27"/>
      <c r="B482" s="27"/>
      <c r="D482" s="16"/>
      <c r="E482" s="27"/>
      <c r="F482" s="27"/>
      <c r="H482" s="27"/>
      <c r="I482" s="16"/>
      <c r="J482" s="27"/>
      <c r="L482" s="27"/>
      <c r="M482" s="16"/>
      <c r="N482" s="27"/>
      <c r="P482" s="27"/>
      <c r="Q482" s="16"/>
      <c r="R482" s="27"/>
      <c r="T482" s="27"/>
      <c r="U482" s="16"/>
      <c r="V482" s="27"/>
      <c r="X482" s="27"/>
      <c r="Y482" s="16"/>
      <c r="Z482" s="27"/>
      <c r="AB482" s="27"/>
      <c r="AC482" s="16"/>
      <c r="AD482" s="27"/>
      <c r="AF482" s="27"/>
      <c r="AG482" s="16"/>
      <c r="AH482" s="27"/>
      <c r="AJ482" s="27"/>
      <c r="AK482" s="16"/>
      <c r="AL482" s="27"/>
      <c r="AN482" s="27"/>
      <c r="AO482" s="16"/>
      <c r="AP482" s="27"/>
      <c r="AR482" s="27"/>
      <c r="AS482" s="16"/>
      <c r="AT482" s="27"/>
      <c r="AV482" s="27"/>
      <c r="AW482" s="16"/>
      <c r="AX482" s="27"/>
      <c r="AZ482" s="27"/>
      <c r="BA482" s="16"/>
      <c r="BB482" s="27"/>
      <c r="BD482" s="27"/>
      <c r="BE482" s="16"/>
      <c r="BF482" s="27"/>
      <c r="BH482" s="27"/>
      <c r="BI482" s="16"/>
      <c r="BJ482" s="27"/>
      <c r="BL482" s="27"/>
      <c r="BM482" s="16"/>
      <c r="BN482" s="27"/>
      <c r="BP482" s="27"/>
      <c r="BQ482" s="16"/>
      <c r="BR482" s="27"/>
      <c r="BT482" s="27"/>
      <c r="BU482" s="16"/>
      <c r="BV482" s="27"/>
      <c r="BX482" s="27"/>
      <c r="BY482" s="16"/>
      <c r="BZ482" s="27"/>
      <c r="CB482" s="27"/>
      <c r="CC482" s="16"/>
      <c r="CD482" s="27"/>
      <c r="CF482" s="27"/>
      <c r="CG482" s="16"/>
      <c r="CH482" s="27"/>
      <c r="CJ482" s="27"/>
      <c r="CK482" s="16"/>
      <c r="CL482" s="27"/>
      <c r="CN482" s="27"/>
      <c r="CO482" s="16"/>
      <c r="CP482" s="27"/>
      <c r="CR482" s="27"/>
      <c r="CS482" s="16"/>
      <c r="CT482" s="27"/>
      <c r="CV482" s="27"/>
      <c r="CW482" s="16"/>
      <c r="CX482" s="27"/>
      <c r="CZ482" s="27"/>
      <c r="DA482" s="16"/>
      <c r="DB482" s="27"/>
      <c r="DD482" s="16"/>
    </row>
    <row r="483" spans="1:108" s="14" customFormat="1" ht="21" x14ac:dyDescent="0.4">
      <c r="A483" s="27"/>
      <c r="B483" s="27"/>
      <c r="D483" s="16"/>
      <c r="E483" s="27"/>
      <c r="F483" s="27"/>
      <c r="H483" s="27"/>
      <c r="I483" s="16"/>
      <c r="J483" s="27"/>
      <c r="L483" s="27"/>
      <c r="M483" s="16"/>
      <c r="N483" s="27"/>
      <c r="P483" s="27"/>
      <c r="Q483" s="16"/>
      <c r="R483" s="27"/>
      <c r="T483" s="27"/>
      <c r="U483" s="16"/>
      <c r="V483" s="27"/>
      <c r="X483" s="27"/>
      <c r="Y483" s="16"/>
      <c r="Z483" s="27"/>
      <c r="AB483" s="27"/>
      <c r="AC483" s="16"/>
      <c r="AD483" s="27"/>
      <c r="AF483" s="27"/>
      <c r="AG483" s="16"/>
      <c r="AH483" s="27"/>
      <c r="AJ483" s="27"/>
      <c r="AK483" s="16"/>
      <c r="AL483" s="27"/>
      <c r="AN483" s="27"/>
      <c r="AO483" s="16"/>
      <c r="AP483" s="27"/>
      <c r="AR483" s="27"/>
      <c r="AS483" s="16"/>
      <c r="AT483" s="27"/>
      <c r="AV483" s="27"/>
      <c r="AW483" s="16"/>
      <c r="AX483" s="27"/>
      <c r="AZ483" s="27"/>
      <c r="BA483" s="16"/>
      <c r="BB483" s="27"/>
      <c r="BD483" s="27"/>
      <c r="BE483" s="16"/>
      <c r="BF483" s="27"/>
      <c r="BH483" s="27"/>
      <c r="BI483" s="16"/>
      <c r="BJ483" s="27"/>
      <c r="BL483" s="27"/>
      <c r="BM483" s="16"/>
      <c r="BN483" s="27"/>
      <c r="BP483" s="27"/>
      <c r="BQ483" s="16"/>
      <c r="BR483" s="27"/>
      <c r="BT483" s="27"/>
      <c r="BU483" s="16"/>
      <c r="BV483" s="27"/>
      <c r="BX483" s="27"/>
      <c r="BY483" s="16"/>
      <c r="BZ483" s="27"/>
      <c r="CB483" s="27"/>
      <c r="CC483" s="16"/>
      <c r="CD483" s="27"/>
      <c r="CF483" s="27"/>
      <c r="CG483" s="16"/>
      <c r="CH483" s="27"/>
      <c r="CJ483" s="27"/>
      <c r="CK483" s="16"/>
      <c r="CL483" s="27"/>
      <c r="CN483" s="27"/>
      <c r="CO483" s="16"/>
      <c r="CP483" s="27"/>
      <c r="CR483" s="27"/>
      <c r="CS483" s="16"/>
      <c r="CT483" s="27"/>
      <c r="CV483" s="27"/>
      <c r="CW483" s="16"/>
      <c r="CX483" s="27"/>
      <c r="CZ483" s="27"/>
      <c r="DA483" s="16"/>
      <c r="DB483" s="27"/>
      <c r="DD483" s="16"/>
    </row>
  </sheetData>
  <sheetProtection algorithmName="SHA-512" hashValue="AFPcm23mUgp6jcsJ/RDfnr0AZKIhaLU7yNkcUYuCrcP1iPaY+xT1v9zo2vbpnoqOCkM5GildIBqvmaWWR4oNSg==" saltValue="1x6Q3Qq0IOM4FMula0LEpg==" spinCount="100000" sheet="1" objects="1" scenarios="1"/>
  <mergeCells count="81">
    <mergeCell ref="CV3:CV4"/>
    <mergeCell ref="CN3:CN4"/>
    <mergeCell ref="CP3:CP4"/>
    <mergeCell ref="CQ3:CQ4"/>
    <mergeCell ref="CR3:CR4"/>
    <mergeCell ref="CT3:CT4"/>
    <mergeCell ref="CU3:CU4"/>
    <mergeCell ref="CM3:CM4"/>
    <mergeCell ref="BX3:BX4"/>
    <mergeCell ref="BZ3:BZ4"/>
    <mergeCell ref="CA3:CA4"/>
    <mergeCell ref="CB3:CB4"/>
    <mergeCell ref="CD3:CD4"/>
    <mergeCell ref="CE3:CE4"/>
    <mergeCell ref="CF3:CF4"/>
    <mergeCell ref="CH3:CH4"/>
    <mergeCell ref="CI3:CI4"/>
    <mergeCell ref="CJ3:CJ4"/>
    <mergeCell ref="CL3:CL4"/>
    <mergeCell ref="BW3:BW4"/>
    <mergeCell ref="BH3:BH4"/>
    <mergeCell ref="BJ3:BJ4"/>
    <mergeCell ref="BK3:BK4"/>
    <mergeCell ref="BL3:BL4"/>
    <mergeCell ref="BN3:BN4"/>
    <mergeCell ref="BO3:BO4"/>
    <mergeCell ref="BP3:BP4"/>
    <mergeCell ref="BR3:BR4"/>
    <mergeCell ref="BS3:BS4"/>
    <mergeCell ref="BT3:BT4"/>
    <mergeCell ref="BV3:BV4"/>
    <mergeCell ref="AP3:AP4"/>
    <mergeCell ref="BG3:BG4"/>
    <mergeCell ref="AR3:AR4"/>
    <mergeCell ref="AT3:AT4"/>
    <mergeCell ref="AU3:AU4"/>
    <mergeCell ref="AV3:AV4"/>
    <mergeCell ref="AX3:AX4"/>
    <mergeCell ref="AY3:AY4"/>
    <mergeCell ref="AZ3:AZ4"/>
    <mergeCell ref="BB3:BB4"/>
    <mergeCell ref="BC3:BC4"/>
    <mergeCell ref="BD3:BD4"/>
    <mergeCell ref="BF3:BF4"/>
    <mergeCell ref="F3:F4"/>
    <mergeCell ref="G3:G4"/>
    <mergeCell ref="H3:H4"/>
    <mergeCell ref="J3:J4"/>
    <mergeCell ref="AA3:AA4"/>
    <mergeCell ref="L3:L4"/>
    <mergeCell ref="N3:N4"/>
    <mergeCell ref="O3:O4"/>
    <mergeCell ref="P3:P4"/>
    <mergeCell ref="R3:R4"/>
    <mergeCell ref="S3:S4"/>
    <mergeCell ref="T3:T4"/>
    <mergeCell ref="V3:V4"/>
    <mergeCell ref="W3:W4"/>
    <mergeCell ref="X3:X4"/>
    <mergeCell ref="Z3:Z4"/>
    <mergeCell ref="A3:A4"/>
    <mergeCell ref="B3:B4"/>
    <mergeCell ref="C3:C4"/>
    <mergeCell ref="D3:D4"/>
    <mergeCell ref="E3:E4"/>
    <mergeCell ref="CX3:CX4"/>
    <mergeCell ref="CY3:CY4"/>
    <mergeCell ref="CZ3:CZ4"/>
    <mergeCell ref="DC3:DC4"/>
    <mergeCell ref="K3:K4"/>
    <mergeCell ref="AQ3:AQ4"/>
    <mergeCell ref="AB3:AB4"/>
    <mergeCell ref="AD3:AD4"/>
    <mergeCell ref="AE3:AE4"/>
    <mergeCell ref="AF3:AF4"/>
    <mergeCell ref="AH3:AH4"/>
    <mergeCell ref="AI3:AI4"/>
    <mergeCell ref="AJ3:AJ4"/>
    <mergeCell ref="AL3:AL4"/>
    <mergeCell ref="AM3:AM4"/>
    <mergeCell ref="AN3:AN4"/>
  </mergeCells>
  <conditionalFormatting sqref="M5">
    <cfRule type="expression" priority="5" stopIfTrue="1">
      <formula>IF(T5="มส","มส",IF(T5="ย้าย","ย้าย",IF(T5="ร","ร","")))</formula>
    </cfRule>
  </conditionalFormatting>
  <conditionalFormatting sqref="M5:M32">
    <cfRule type="expression" dxfId="4" priority="3" stopIfTrue="1">
      <formula>M5&lt;$D$7/2</formula>
    </cfRule>
  </conditionalFormatting>
  <conditionalFormatting sqref="AC5">
    <cfRule type="expression" priority="14" stopIfTrue="1">
      <formula>IF(AJ5="มส","มส",IF(AJ5="ย้าย","ย้าย",IF(AJ5="ร","ร","")))</formula>
    </cfRule>
  </conditionalFormatting>
  <conditionalFormatting sqref="AC5:AC28">
    <cfRule type="expression" dxfId="3" priority="12" stopIfTrue="1">
      <formula>AC5&lt;$D$7/2</formula>
    </cfRule>
  </conditionalFormatting>
  <conditionalFormatting sqref="AG5">
    <cfRule type="expression" priority="17" stopIfTrue="1">
      <formula>IF(AN5="มส","มส",IF(AN5="ย้าย","ย้าย",IF(AN5="ร","ร","")))</formula>
    </cfRule>
  </conditionalFormatting>
  <conditionalFormatting sqref="AG5:AG28">
    <cfRule type="expression" dxfId="2" priority="15" stopIfTrue="1">
      <formula>AG5&lt;$D$7/2</formula>
    </cfRule>
  </conditionalFormatting>
  <conditionalFormatting sqref="AK5">
    <cfRule type="expression" priority="8" stopIfTrue="1">
      <formula>IF(AR5="มส","มส",IF(AR5="ย้าย","ย้าย",IF(AR5="ร","ร","")))</formula>
    </cfRule>
  </conditionalFormatting>
  <conditionalFormatting sqref="AK5:AK32">
    <cfRule type="expression" dxfId="1" priority="6" stopIfTrue="1">
      <formula>AK5&lt;$D$7/2</formula>
    </cfRule>
  </conditionalFormatting>
  <conditionalFormatting sqref="BU30">
    <cfRule type="expression" dxfId="0" priority="1" stopIfTrue="1">
      <formula>BU30&lt;$D$7/2</formula>
    </cfRule>
    <cfRule type="expression" priority="2" stopIfTrue="1">
      <formula>IF(CB30="มส","มส",IF(CB30="ย้าย","ย้าย",IF(CB30="ร","ร","")))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</sheetPr>
  <dimension ref="A1:AP63"/>
  <sheetViews>
    <sheetView view="pageBreakPreview" topLeftCell="A4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AG4" sqref="AG4:AG6"/>
    </sheetView>
  </sheetViews>
  <sheetFormatPr defaultColWidth="9.33203125" defaultRowHeight="21" x14ac:dyDescent="0.4"/>
  <cols>
    <col min="1" max="1" width="3.44140625" style="14" customWidth="1"/>
    <col min="2" max="2" width="11.33203125" style="14" hidden="1" customWidth="1"/>
    <col min="3" max="4" width="14.33203125" style="14" customWidth="1"/>
    <col min="5" max="16" width="5.33203125" style="14" customWidth="1"/>
    <col min="17" max="17" width="3.44140625" style="14" customWidth="1"/>
    <col min="18" max="19" width="12.6640625" style="14" customWidth="1"/>
    <col min="20" max="33" width="5.33203125" style="14" customWidth="1"/>
    <col min="34" max="34" width="5.33203125" style="14" hidden="1" customWidth="1"/>
    <col min="35" max="35" width="9.33203125" style="14" customWidth="1"/>
    <col min="36" max="36" width="18.33203125" style="14" customWidth="1"/>
    <col min="37" max="37" width="25.33203125" style="14" customWidth="1"/>
    <col min="38" max="42" width="4.33203125" style="212" hidden="1" customWidth="1"/>
    <col min="43" max="16384" width="9.33203125" style="14"/>
  </cols>
  <sheetData>
    <row r="1" spans="1:42" s="13" customFormat="1" ht="24.75" customHeight="1" x14ac:dyDescent="0.35">
      <c r="A1" s="645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 t="str">
        <f>IF(C8="","ประกาศผลสอบกลางภาคเรียนที่............../....................",CONCATENATE("ประกาศผลสอบกลางภาคเรียนที่ ",Semester,"/",Year))</f>
        <v>ประกาศผลสอบกลางภาคเรียนที่............../....................</v>
      </c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</row>
    <row r="2" spans="1:42" s="13" customFormat="1" ht="24.75" customHeight="1" x14ac:dyDescent="0.35">
      <c r="A2" s="645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 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 t="str">
        <f>IF(C8="","ชั้นมัธยมศึกษาปีที่...................... โรงเรียนสาธิตเทศบาลเมืองราชบุรี",CONCATENATE("ชั้นมัธยมศึกษาปีที่ ",Class,"โรงเรียนสาธิตเทศบาลเมืองราชบุรี"))</f>
        <v>ชั้นมัธยมศึกษาปีที่...................... โรงเรียนสาธิตเทศบาลเมืองราชบุรี</v>
      </c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4" t="s">
        <v>123</v>
      </c>
      <c r="AJ2" s="644"/>
      <c r="AK2" s="644"/>
    </row>
    <row r="3" spans="1:42" ht="12.75" customHeight="1" thickBot="1" x14ac:dyDescent="0.45">
      <c r="F3" s="15"/>
      <c r="AI3" s="644"/>
      <c r="AJ3" s="644"/>
      <c r="AK3" s="644"/>
      <c r="AL3" s="212">
        <f>COLUMN(AL1)</f>
        <v>38</v>
      </c>
      <c r="AM3" s="212">
        <f t="shared" ref="AM3:AP3" si="0">COLUMN(AM1)</f>
        <v>39</v>
      </c>
      <c r="AN3" s="212">
        <f t="shared" si="0"/>
        <v>40</v>
      </c>
      <c r="AO3" s="212">
        <f t="shared" si="0"/>
        <v>41</v>
      </c>
      <c r="AP3" s="212">
        <f t="shared" si="0"/>
        <v>42</v>
      </c>
    </row>
    <row r="4" spans="1:42" s="16" customFormat="1" ht="30" customHeight="1" x14ac:dyDescent="0.4">
      <c r="A4" s="651" t="s">
        <v>0</v>
      </c>
      <c r="B4" s="646" t="s">
        <v>24</v>
      </c>
      <c r="C4" s="654" t="s">
        <v>1</v>
      </c>
      <c r="D4" s="655"/>
      <c r="E4" s="660" t="s">
        <v>2</v>
      </c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2"/>
      <c r="Q4" s="651" t="s">
        <v>0</v>
      </c>
      <c r="R4" s="654" t="s">
        <v>1</v>
      </c>
      <c r="S4" s="655"/>
      <c r="T4" s="660" t="s">
        <v>3</v>
      </c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2"/>
      <c r="AG4" s="674" t="s">
        <v>4</v>
      </c>
      <c r="AH4" s="671" t="s">
        <v>5</v>
      </c>
      <c r="AI4" s="644"/>
      <c r="AJ4" s="644"/>
      <c r="AK4" s="644"/>
      <c r="AL4" s="640" t="s">
        <v>3</v>
      </c>
      <c r="AM4" s="641"/>
      <c r="AN4" s="641"/>
      <c r="AO4" s="642"/>
      <c r="AP4" s="643"/>
    </row>
    <row r="5" spans="1:42" ht="23.25" hidden="1" customHeight="1" x14ac:dyDescent="0.4">
      <c r="A5" s="652"/>
      <c r="B5" s="647"/>
      <c r="C5" s="656"/>
      <c r="D5" s="657"/>
      <c r="E5" s="17"/>
      <c r="F5" s="18"/>
      <c r="G5" s="18"/>
      <c r="H5" s="18"/>
      <c r="I5" s="19"/>
      <c r="J5" s="19"/>
      <c r="K5" s="20"/>
      <c r="L5" s="20"/>
      <c r="M5" s="20"/>
      <c r="N5" s="21"/>
      <c r="O5" s="311"/>
      <c r="P5" s="141"/>
      <c r="Q5" s="652"/>
      <c r="R5" s="656"/>
      <c r="S5" s="657"/>
      <c r="T5" s="17"/>
      <c r="U5" s="18"/>
      <c r="V5" s="18"/>
      <c r="W5" s="383"/>
      <c r="X5" s="383"/>
      <c r="Y5" s="17"/>
      <c r="Z5" s="18"/>
      <c r="AA5" s="18"/>
      <c r="AB5" s="18"/>
      <c r="AC5" s="18"/>
      <c r="AD5" s="383"/>
      <c r="AE5" s="383"/>
      <c r="AF5" s="481"/>
      <c r="AG5" s="675"/>
      <c r="AH5" s="672"/>
      <c r="AL5" s="312"/>
      <c r="AM5" s="313"/>
      <c r="AN5" s="313"/>
      <c r="AO5" s="314"/>
      <c r="AP5" s="315"/>
    </row>
    <row r="6" spans="1:42" ht="74.25" customHeight="1" x14ac:dyDescent="0.4">
      <c r="A6" s="652"/>
      <c r="B6" s="647"/>
      <c r="C6" s="656"/>
      <c r="D6" s="657"/>
      <c r="E6" s="38" t="str">
        <f>IF(SubGen1="","",SubGen1)</f>
        <v/>
      </c>
      <c r="F6" s="22" t="str">
        <f>IF(SubGen2="","",SubGen2)</f>
        <v/>
      </c>
      <c r="G6" s="22" t="str">
        <f>IF(SubGen3="","",SubGen3)</f>
        <v/>
      </c>
      <c r="H6" s="22" t="str">
        <f>IF(SubGen4="","",SubGen4)</f>
        <v/>
      </c>
      <c r="I6" s="22" t="str">
        <f>IF(SubGen5="","",SubGen5)</f>
        <v/>
      </c>
      <c r="J6" s="22" t="str">
        <f>IF(SubGen6="","",SubGen6)</f>
        <v/>
      </c>
      <c r="K6" s="22" t="str">
        <f>IF(SubGen7="","",SubGen7)</f>
        <v/>
      </c>
      <c r="L6" s="22" t="str">
        <f>IF(SubGen8="","",SubGen8)</f>
        <v/>
      </c>
      <c r="M6" s="22" t="str">
        <f>IF(SubGen9="","",SubGen9)</f>
        <v/>
      </c>
      <c r="N6" s="22" t="str">
        <f>IF(SubGen10="","",SubGen10)</f>
        <v/>
      </c>
      <c r="O6" s="150" t="str">
        <f>IF(SubGen11="","",SubGen11)</f>
        <v/>
      </c>
      <c r="P6" s="316" t="str">
        <f>IF(SubGen12="","",SubGen12)</f>
        <v/>
      </c>
      <c r="Q6" s="652"/>
      <c r="R6" s="656"/>
      <c r="S6" s="657"/>
      <c r="T6" s="38" t="str">
        <f>IF(SubEle1="","",SubEle1)</f>
        <v/>
      </c>
      <c r="U6" s="150" t="str">
        <f>IF(SubEle2="","",SubEle2)</f>
        <v/>
      </c>
      <c r="V6" s="150" t="str">
        <f>IF(SubEle3="","",SubEle3)</f>
        <v/>
      </c>
      <c r="W6" s="150" t="str">
        <f>IF(SubEle4="","",SubEle4)</f>
        <v/>
      </c>
      <c r="X6" s="150" t="str">
        <f>IF(SubEle5="","",SubEle5)</f>
        <v/>
      </c>
      <c r="Y6" s="150" t="str">
        <f>IF(SubEle6="","",SubEle6)</f>
        <v/>
      </c>
      <c r="Z6" s="150" t="str">
        <f>IF(SubEle7="","",SubEle7)</f>
        <v/>
      </c>
      <c r="AA6" s="22" t="str">
        <f>IF(SubEle8="","",SubEle8)</f>
        <v/>
      </c>
      <c r="AB6" s="22" t="str">
        <f>IF(SubEle9="","",SubEle9)</f>
        <v/>
      </c>
      <c r="AC6" s="22" t="str">
        <f>IF(SubEle10="","",SubEle10)</f>
        <v/>
      </c>
      <c r="AD6" s="22" t="str">
        <f>IF(SubEle11="","",SubEle11)</f>
        <v/>
      </c>
      <c r="AE6" s="150" t="str">
        <f>IF(SubEle12="","",SubEle12)</f>
        <v/>
      </c>
      <c r="AF6" s="482" t="str">
        <f>IF('1.ข้อมูลเบื้องต้น'!$C$32="","",'1.ข้อมูลเบื้องต้น'!$C$32)</f>
        <v/>
      </c>
      <c r="AG6" s="675"/>
      <c r="AH6" s="672"/>
      <c r="AI6" s="317" t="s">
        <v>110</v>
      </c>
      <c r="AJ6" s="649" t="s">
        <v>111</v>
      </c>
      <c r="AK6" s="650"/>
      <c r="AL6" s="318" t="str">
        <f>IF(SubEle1="","",IF('1.ข้อมูลเบื้องต้น'!F20="SBMLD","SBMLD",SubEle1))</f>
        <v/>
      </c>
      <c r="AM6" s="319" t="str">
        <f>IF(SubEle2="","",IF(AL6="SBMLD","",IF('1.ข้อมูลเบื้องต้น'!F21="SBMLD","SBMLD",SubEle2)))</f>
        <v/>
      </c>
      <c r="AN6" s="319" t="str">
        <f>IF(SubEle3="","",IF(AM6="SBMLD","",IF('1.ข้อมูลเบื้องต้น'!F22="SBMLD","SBMLD",SubEle3)))</f>
        <v/>
      </c>
      <c r="AO6" s="319" t="str">
        <f>IF(SubEle4="","",IF(AN6="SBMLD","",IF('1.ข้อมูลเบื้องต้น'!F23="SBMLD","SBMLD",SubEle4)))</f>
        <v/>
      </c>
      <c r="AP6" s="320" t="str">
        <f>IF(SubEle5="","",IF(AO6="SBMLD","",IF(AO6="","",IF('1.ข้อมูลเบื้องต้น'!F24="SBMLD","SBMLD",SubEle5))))</f>
        <v/>
      </c>
    </row>
    <row r="7" spans="1:42" s="27" customFormat="1" ht="16.5" customHeight="1" thickBot="1" x14ac:dyDescent="0.3">
      <c r="A7" s="653"/>
      <c r="B7" s="648"/>
      <c r="C7" s="658"/>
      <c r="D7" s="659"/>
      <c r="E7" s="23" t="str">
        <f>IF(E6="","",20)</f>
        <v/>
      </c>
      <c r="F7" s="24" t="str">
        <f t="shared" ref="F7:P7" si="1">IF(F6="","",20)</f>
        <v/>
      </c>
      <c r="G7" s="24" t="str">
        <f t="shared" si="1"/>
        <v/>
      </c>
      <c r="H7" s="24" t="str">
        <f t="shared" si="1"/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16" t="str">
        <f t="shared" si="1"/>
        <v/>
      </c>
      <c r="Q7" s="653"/>
      <c r="R7" s="658"/>
      <c r="S7" s="659"/>
      <c r="T7" s="217" t="str">
        <f t="shared" ref="T7" si="2">IF(T6="","",20)</f>
        <v/>
      </c>
      <c r="U7" s="218" t="str">
        <f t="shared" ref="U7" si="3">IF(U6="","",20)</f>
        <v/>
      </c>
      <c r="V7" s="218" t="str">
        <f t="shared" ref="V7" si="4">IF(V6="","",20)</f>
        <v/>
      </c>
      <c r="W7" s="218" t="str">
        <f t="shared" ref="W7" si="5">IF(W6="","",20)</f>
        <v/>
      </c>
      <c r="X7" s="218" t="str">
        <f t="shared" ref="X7" si="6">IF(X6="","",20)</f>
        <v/>
      </c>
      <c r="Y7" s="218" t="str">
        <f t="shared" ref="Y7" si="7">IF(Y6="","",20)</f>
        <v/>
      </c>
      <c r="Z7" s="218" t="str">
        <f t="shared" ref="Z7" si="8">IF(Z6="","",20)</f>
        <v/>
      </c>
      <c r="AA7" s="218" t="str">
        <f t="shared" ref="AA7" si="9">IF(AA6="","",20)</f>
        <v/>
      </c>
      <c r="AB7" s="218" t="str">
        <f t="shared" ref="AB7" si="10">IF(AB6="","",20)</f>
        <v/>
      </c>
      <c r="AC7" s="218" t="str">
        <f t="shared" ref="AC7" si="11">IF(AC6="","",20)</f>
        <v/>
      </c>
      <c r="AD7" s="219" t="str">
        <f t="shared" ref="AD7" si="12">IF(AD6="","",20)</f>
        <v/>
      </c>
      <c r="AE7" s="218" t="str">
        <f>IF(AE6="","",20)</f>
        <v/>
      </c>
      <c r="AF7" s="483" t="str">
        <f>IF(AF6="","",20)</f>
        <v/>
      </c>
      <c r="AG7" s="538" t="str">
        <f>IF(AI7="","",AI7*20)</f>
        <v/>
      </c>
      <c r="AH7" s="673"/>
      <c r="AI7" s="27" t="str">
        <f>IF(COUNT(AI8:AI52)=0,"",MODE(AI8:AI52))</f>
        <v/>
      </c>
      <c r="AJ7" s="321"/>
      <c r="AK7" s="321"/>
      <c r="AL7" s="322" t="str">
        <f t="shared" ref="AL7:AP7" si="13">IF(AL6="","",20)</f>
        <v/>
      </c>
      <c r="AM7" s="323" t="str">
        <f t="shared" si="13"/>
        <v/>
      </c>
      <c r="AN7" s="323" t="str">
        <f t="shared" si="13"/>
        <v/>
      </c>
      <c r="AO7" s="324" t="str">
        <f t="shared" si="13"/>
        <v/>
      </c>
      <c r="AP7" s="325" t="str">
        <f t="shared" si="13"/>
        <v/>
      </c>
    </row>
    <row r="8" spans="1:42" s="29" customFormat="1" ht="16.5" customHeight="1" x14ac:dyDescent="0.25">
      <c r="A8" s="28">
        <v>1</v>
      </c>
      <c r="B8" s="132" t="str">
        <f>IF(IDstu1="","",IDstu1)</f>
        <v/>
      </c>
      <c r="C8" s="502" t="str">
        <f>IF(Name1="","",Name1)</f>
        <v/>
      </c>
      <c r="D8" s="503" t="str">
        <f>IF(Surname1="","",Surname1)</f>
        <v/>
      </c>
      <c r="E8" s="326" t="str">
        <f>IF($B8="","",IF(VLOOKUP($B8,'4.คีย์กลางภาค'!$B$5:$DA$49,8,FALSE)="","",VLOOKUP($B8,'4.คีย์กลางภาค'!$B$5:$DA$49,8,FALSE)))</f>
        <v/>
      </c>
      <c r="F8" s="327" t="str">
        <f>IF($B8="","",IF(VLOOKUP($B8,'4.คีย์กลางภาค'!$B$5:$DA$49,12,FALSE)="","",VLOOKUP($B8,'4.คีย์กลางภาค'!$B$5:$DA$49,12,FALSE)))</f>
        <v/>
      </c>
      <c r="G8" s="307" t="str">
        <f>IF($B8="","",IF(VLOOKUP($B8,'4.คีย์กลางภาค'!$B$5:$DA$49,16,FALSE)="","",VLOOKUP($B8,'4.คีย์กลางภาค'!$B$5:$DA$49,16,FALSE)))</f>
        <v/>
      </c>
      <c r="H8" s="327" t="str">
        <f>IF($B8="","",IF(VLOOKUP($B8,'4.คีย์กลางภาค'!$B$5:$DA$49,20,FALSE)="","",VLOOKUP($B8,'4.คีย์กลางภาค'!$B$5:$DA$49,20,FALSE)))</f>
        <v/>
      </c>
      <c r="I8" s="327" t="str">
        <f>IF($B8="","",IF(VLOOKUP($B8,'4.คีย์กลางภาค'!$B$5:$DA$49,24,FALSE)="","",VLOOKUP($B8,'4.คีย์กลางภาค'!$B$5:$DA$49,24,FALSE)))</f>
        <v/>
      </c>
      <c r="J8" s="327" t="str">
        <f>IF($B8="","",IF(VLOOKUP($B8,'4.คีย์กลางภาค'!$B$5:$DA$49,28,FALSE)="","",VLOOKUP($B8,'4.คีย์กลางภาค'!$B$5:$DA$49,28,FALSE)))</f>
        <v/>
      </c>
      <c r="K8" s="307" t="str">
        <f>IF($B8="","",IF(VLOOKUP($B8,'4.คีย์กลางภาค'!$B$5:$DA$49,32,FALSE)="","",VLOOKUP($B8,'4.คีย์กลางภาค'!$B$5:$DA$49,32,FALSE)))</f>
        <v/>
      </c>
      <c r="L8" s="307" t="str">
        <f>IF($B8="","",IF(VLOOKUP($B8,'4.คีย์กลางภาค'!$B$5:$DA$49,36,FALSE)="","",VLOOKUP($B8,'4.คีย์กลางภาค'!$B$5:$DA$49,36,FALSE)))</f>
        <v/>
      </c>
      <c r="M8" s="327" t="str">
        <f>IF($B8="","",IF(VLOOKUP($B8,'4.คีย์กลางภาค'!$B$5:$DA$49,40,FALSE)="","",VLOOKUP($B8,'4.คีย์กลางภาค'!$B$5:$DA$49,40,FALSE)))</f>
        <v/>
      </c>
      <c r="N8" s="327" t="str">
        <f>IF($B8="","",IF(VLOOKUP($B8,'4.คีย์กลางภาค'!$B$5:$DA$49,44,FALSE)="","",VLOOKUP($B8,'4.คีย์กลางภาค'!$B$5:$DA$49,44,FALSE)))</f>
        <v/>
      </c>
      <c r="O8" s="327" t="str">
        <f>IF($B8="","",IF(VLOOKUP($B8,'4.คีย์กลางภาค'!$B$5:$DA$49,48,FALSE)="","",VLOOKUP($B8,'4.คีย์กลางภาค'!$B$5:$DA$49,48,FALSE)))</f>
        <v/>
      </c>
      <c r="P8" s="328" t="str">
        <f>IF($B8="","",IF(VLOOKUP($B8,'4.คีย์กลางภาค'!$B$5:$DA$49,52,FALSE)="","",VLOOKUP($B8,'4.คีย์กลางภาค'!$B$5:$DA$49,52,FALSE)))</f>
        <v/>
      </c>
      <c r="Q8" s="28">
        <v>1</v>
      </c>
      <c r="R8" s="502" t="str">
        <f>IF(Name1="","",Name1)</f>
        <v/>
      </c>
      <c r="S8" s="503" t="str">
        <f>IF(Surname1="","",Surname1)</f>
        <v/>
      </c>
      <c r="T8" s="326" t="str">
        <f>IF($B8="","",IF(VLOOKUP($B8,'4.คีย์กลางภาค'!$B$5:$DA$49,56,FALSE)="","",VLOOKUP($B8,'4.คีย์กลางภาค'!$B$5:$DA$49,56,FALSE)))</f>
        <v/>
      </c>
      <c r="U8" s="327" t="str">
        <f>IF($B8="","",IF(VLOOKUP($B8,'4.คีย์กลางภาค'!$B$5:$DA$49,60,FALSE)="","",VLOOKUP($B8,'4.คีย์กลางภาค'!$B$5:$DA$49,60,FALSE)))</f>
        <v/>
      </c>
      <c r="V8" s="327" t="str">
        <f>IF($B8="","",IF(VLOOKUP($B8,'4.คีย์กลางภาค'!$B$5:$DA$49,64,FALSE)="","",VLOOKUP($B8,'4.คีย์กลางภาค'!$B$5:$DA$49,64,FALSE)))</f>
        <v/>
      </c>
      <c r="W8" s="327" t="str">
        <f>IF($B8="","",IF(VLOOKUP($B8,'4.คีย์กลางภาค'!$B$5:$DA$49,68,FALSE)="","",VLOOKUP($B8,'4.คีย์กลางภาค'!$B$5:$DA$49,68,FALSE)))</f>
        <v/>
      </c>
      <c r="X8" s="327" t="str">
        <f>IF($B8="","",IF(VLOOKUP($B8,'4.คีย์กลางภาค'!$B$5:$DA$49,72,FALSE)="","",VLOOKUP($B8,'4.คีย์กลางภาค'!$B$5:$DA$49,72,FALSE)))</f>
        <v/>
      </c>
      <c r="Y8" s="327" t="str">
        <f>IF($B8="","",IF(VLOOKUP($B8,'4.คีย์กลางภาค'!$B$5:$DA$49,76,FALSE)="","",VLOOKUP($B8,'4.คีย์กลางภาค'!$B$5:$DA$49,76,FALSE)))</f>
        <v/>
      </c>
      <c r="Z8" s="327" t="str">
        <f>IF($B8="","",IF(VLOOKUP($B8,'4.คีย์กลางภาค'!$B$5:$DA$49,80,FALSE)="","",VLOOKUP($B8,'4.คีย์กลางภาค'!$B$5:$DA$49,80,FALSE)))</f>
        <v/>
      </c>
      <c r="AA8" s="327" t="str">
        <f>IF($B8="","",IF(VLOOKUP($B8,'4.คีย์กลางภาค'!$B$5:$DA$49,84,FALSE)="","",VLOOKUP($B8,'4.คีย์กลางภาค'!$B$5:$DA$49,84,FALSE)))</f>
        <v/>
      </c>
      <c r="AB8" s="307" t="str">
        <f>IF($B8="","",IF(VLOOKUP($B8,'4.คีย์กลางภาค'!$B$5:$DA$49,88,FALSE)="","",VLOOKUP($B8,'4.คีย์กลางภาค'!$B$5:$DA$49,88,FALSE)))</f>
        <v/>
      </c>
      <c r="AC8" s="307" t="str">
        <f>IF($B8="","",IF(VLOOKUP($B8,'4.คีย์กลางภาค'!$B$5:$DA$49,92,FALSE)="","",VLOOKUP($B8,'4.คีย์กลางภาค'!$B$5:$DA$49,92,FALSE)))</f>
        <v/>
      </c>
      <c r="AD8" s="329" t="str">
        <f>IF($B8="","",IF(VLOOKUP($B8,'4.คีย์กลางภาค'!$B$5:$DA$49,96,FALSE)="","",VLOOKUP($B8,'4.คีย์กลางภาค'!$B$5:$DA$49,96,FALSE)))</f>
        <v/>
      </c>
      <c r="AE8" s="327" t="str">
        <f>IF($B8="","",IF(VLOOKUP($B8,'4.คีย์กลางภาค'!$B$5:$DA$49,100,FALSE)="","",VLOOKUP($B8,'4.คีย์กลางภาค'!$B$5:$DA$49,100,FALSE)))</f>
        <v/>
      </c>
      <c r="AF8" s="484" t="str">
        <f>IF($B8="","",IF(VLOOKUP($B8,'4.คีย์กลางภาค'!$B$5:$DA$49,104,FALSE)="","",VLOOKUP($B8,'4.คีย์กลางภาค'!$B$5:$DA$49,104,FALSE)))</f>
        <v/>
      </c>
      <c r="AG8" s="539" t="str">
        <f>IF($B8="","",IF(VLOOKUP($B8,'4.คีย์กลางภาค'!$B$5:$DD$49,105,FALSE)="","",VLOOKUP($B8,'4.คีย์กลางภาค'!$B$5:$DD$49,105,FALSE)))</f>
        <v/>
      </c>
      <c r="AH8" s="535" t="str">
        <f>IF($B8="","",IF(VLOOKUP($B8,'4.คีย์กลางภาค'!$B$5:$DD$49,106,FALSE)="","",VLOOKUP($B8,'4.คีย์กลางภาค'!$B$5:$DD$49,106,FALSE)))</f>
        <v/>
      </c>
      <c r="AI8" s="27" t="str">
        <f>IF(COUNT(E8:P8,T8:AF8)=0,"",COUNT(E8:P8,T8:AF8))</f>
        <v/>
      </c>
      <c r="AJ8" s="330"/>
      <c r="AK8" s="321"/>
      <c r="AL8" s="331" t="str">
        <f>IF(T8="ขส","ขส",IF(AG8="","",IF($AL$6="","",IF($AL$6="SBMLD",SUM(T8:AF8),T8))))</f>
        <v/>
      </c>
      <c r="AM8" s="332" t="str">
        <f>IF(U8="ขส","ขส",IF(AG8="","",IF($AM$6="","",IF($AM$6="SBMLD",SUM(U8:AF8),U8))))</f>
        <v/>
      </c>
      <c r="AN8" s="332" t="str">
        <f>IF(V8="ขส","ขส",IF(AG8="","",IF($AN$6="","",IF($AN$6="SBMLD",SUM(V8:AF8),V8))))</f>
        <v/>
      </c>
      <c r="AO8" s="333" t="str">
        <f>IF(W8="ขส","ขส",IF(AG8="","",IF($AO$6="","",IF($AO$6="SBMLD",SUM(W8:AF8),W8))))</f>
        <v/>
      </c>
      <c r="AP8" s="334" t="str">
        <f>IF(X8="ขส","ขส",IF(AG8="","",IF($AP$6="","",IF($AP$6="SBMLD",SUM(X8:AF8),X8))))</f>
        <v/>
      </c>
    </row>
    <row r="9" spans="1:42" s="29" customFormat="1" ht="16.5" customHeight="1" x14ac:dyDescent="0.25">
      <c r="A9" s="335">
        <v>2</v>
      </c>
      <c r="B9" s="20" t="str">
        <f>IF(IDstu2="","",IDstu2)</f>
        <v/>
      </c>
      <c r="C9" s="504" t="str">
        <f>IF(Name2="","",Name2)</f>
        <v/>
      </c>
      <c r="D9" s="505" t="str">
        <f>IF(Surname2="","",Surname2)</f>
        <v/>
      </c>
      <c r="E9" s="336" t="str">
        <f>IF($B9="","",IF(VLOOKUP($B9,'4.คีย์กลางภาค'!$B$5:$DA$49,8,FALSE)="","",VLOOKUP($B9,'4.คีย์กลางภาค'!$B$5:$DA$49,8,FALSE)))</f>
        <v/>
      </c>
      <c r="F9" s="337" t="str">
        <f>IF($B9="","",IF(VLOOKUP($B9,'4.คีย์กลางภาค'!$B$5:$DA$49,12,FALSE)="","",VLOOKUP($B9,'4.คีย์กลางภาค'!$B$5:$DA$49,12,FALSE)))</f>
        <v/>
      </c>
      <c r="G9" s="337" t="str">
        <f>IF($B9="","",IF(VLOOKUP($B9,'4.คีย์กลางภาค'!$B$5:$DA$49,16,FALSE)="","",VLOOKUP($B9,'4.คีย์กลางภาค'!$B$5:$DA$49,16,FALSE)))</f>
        <v/>
      </c>
      <c r="H9" s="338" t="str">
        <f>IF($B9="","",IF(VLOOKUP($B9,'4.คีย์กลางภาค'!$B$5:$DA$49,20,FALSE)="","",VLOOKUP($B9,'4.คีย์กลางภาค'!$B$5:$DA$49,20,FALSE)))</f>
        <v/>
      </c>
      <c r="I9" s="337" t="str">
        <f>IF($B9="","",IF(VLOOKUP($B9,'4.คีย์กลางภาค'!$B$5:$DA$49,24,FALSE)="","",VLOOKUP($B9,'4.คีย์กลางภาค'!$B$5:$DA$49,24,FALSE)))</f>
        <v/>
      </c>
      <c r="J9" s="337" t="str">
        <f>IF($B9="","",IF(VLOOKUP($B9,'4.คีย์กลางภาค'!$B$5:$DA$49,28,FALSE)="","",VLOOKUP($B9,'4.คีย์กลางภาค'!$B$5:$DA$49,28,FALSE)))</f>
        <v/>
      </c>
      <c r="K9" s="337" t="str">
        <f>IF($B9="","",IF(VLOOKUP($B9,'4.คีย์กลางภาค'!$B$5:$DA$49,32,FALSE)="","",VLOOKUP($B9,'4.คีย์กลางภาค'!$B$5:$DA$49,32,FALSE)))</f>
        <v/>
      </c>
      <c r="L9" s="337" t="str">
        <f>IF($B9="","",IF(VLOOKUP($B9,'4.คีย์กลางภาค'!$B$5:$DA$49,36,FALSE)="","",VLOOKUP($B9,'4.คีย์กลางภาค'!$B$5:$DA$49,36,FALSE)))</f>
        <v/>
      </c>
      <c r="M9" s="338" t="str">
        <f>IF($B9="","",IF(VLOOKUP($B9,'4.คีย์กลางภาค'!$B$5:$DA$49,40,FALSE)="","",VLOOKUP($B9,'4.คีย์กลางภาค'!$B$5:$DA$49,40,FALSE)))</f>
        <v/>
      </c>
      <c r="N9" s="338" t="str">
        <f>IF($B9="","",IF(VLOOKUP($B9,'4.คีย์กลางภาค'!$B$5:$DA$49,44,FALSE)="","",VLOOKUP($B9,'4.คีย์กลางภาค'!$B$5:$DA$49,44,FALSE)))</f>
        <v/>
      </c>
      <c r="O9" s="338" t="str">
        <f>IF($B9="","",IF(VLOOKUP($B9,'4.คีย์กลางภาค'!$B$5:$DA$49,48,FALSE)="","",VLOOKUP($B9,'4.คีย์กลางภาค'!$B$5:$DA$49,48,FALSE)))</f>
        <v/>
      </c>
      <c r="P9" s="339" t="str">
        <f>IF($B9="","",IF(VLOOKUP($B9,'4.คีย์กลางภาค'!$B$5:$DA$49,52,FALSE)="","",VLOOKUP($B9,'4.คีย์กลางภาค'!$B$5:$DA$49,52,FALSE)))</f>
        <v/>
      </c>
      <c r="Q9" s="335">
        <v>2</v>
      </c>
      <c r="R9" s="504" t="str">
        <f>IF(Name2="","",Name2)</f>
        <v/>
      </c>
      <c r="S9" s="505" t="str">
        <f>IF(Surname2="","",Surname2)</f>
        <v/>
      </c>
      <c r="T9" s="336" t="str">
        <f>IF($B9="","",IF(VLOOKUP($B9,'4.คีย์กลางภาค'!$B$5:$DA$49,56,FALSE)="","",VLOOKUP($B9,'4.คีย์กลางภาค'!$B$5:$DA$49,56,FALSE)))</f>
        <v/>
      </c>
      <c r="U9" s="337" t="str">
        <f>IF($B9="","",IF(VLOOKUP($B9,'4.คีย์กลางภาค'!$B$5:$DA$49,60,FALSE)="","",VLOOKUP($B9,'4.คีย์กลางภาค'!$B$5:$DA$49,60,FALSE)))</f>
        <v/>
      </c>
      <c r="V9" s="337" t="str">
        <f>IF($B9="","",IF(VLOOKUP($B9,'4.คีย์กลางภาค'!$B$5:$DA$49,64,FALSE)="","",VLOOKUP($B9,'4.คีย์กลางภาค'!$B$5:$DA$49,64,FALSE)))</f>
        <v/>
      </c>
      <c r="W9" s="337" t="str">
        <f>IF($B9="","",IF(VLOOKUP($B9,'4.คีย์กลางภาค'!$B$5:$DA$49,68,FALSE)="","",VLOOKUP($B9,'4.คีย์กลางภาค'!$B$5:$DA$49,68,FALSE)))</f>
        <v/>
      </c>
      <c r="X9" s="338" t="str">
        <f>IF($B9="","",IF(VLOOKUP($B9,'4.คีย์กลางภาค'!$B$5:$DA$49,72,FALSE)="","",VLOOKUP($B9,'4.คีย์กลางภาค'!$B$5:$DA$49,72,FALSE)))</f>
        <v/>
      </c>
      <c r="Y9" s="338" t="str">
        <f>IF($B9="","",IF(VLOOKUP($B9,'4.คีย์กลางภาค'!$B$5:$DA$49,76,FALSE)="","",VLOOKUP($B9,'4.คีย์กลางภาค'!$B$5:$DA$49,76,FALSE)))</f>
        <v/>
      </c>
      <c r="Z9" s="337" t="str">
        <f>IF($B9="","",IF(VLOOKUP($B9,'4.คีย์กลางภาค'!$B$5:$DA$49,80,FALSE)="","",VLOOKUP($B9,'4.คีย์กลางภาค'!$B$5:$DA$49,80,FALSE)))</f>
        <v/>
      </c>
      <c r="AA9" s="337" t="str">
        <f>IF($B9="","",IF(VLOOKUP($B9,'4.คีย์กลางภาค'!$B$5:$DA$49,84,FALSE)="","",VLOOKUP($B9,'4.คีย์กลางภาค'!$B$5:$DA$49,84,FALSE)))</f>
        <v/>
      </c>
      <c r="AB9" s="337" t="str">
        <f>IF($B9="","",IF(VLOOKUP($B9,'4.คีย์กลางภาค'!$B$5:$DA$49,88,FALSE)="","",VLOOKUP($B9,'4.คีย์กลางภาค'!$B$5:$DA$49,88,FALSE)))</f>
        <v/>
      </c>
      <c r="AC9" s="337" t="str">
        <f>IF($B9="","",IF(VLOOKUP($B9,'4.คีย์กลางภาค'!$B$5:$DA$49,92,FALSE)="","",VLOOKUP($B9,'4.คีย์กลางภาค'!$B$5:$DA$49,92,FALSE)))</f>
        <v/>
      </c>
      <c r="AD9" s="340" t="str">
        <f>IF($B9="","",IF(VLOOKUP($B9,'4.คีย์กลางภาค'!$B$5:$DA$49,96,FALSE)="","",VLOOKUP($B9,'4.คีย์กลางภาค'!$B$5:$DA$49,96,FALSE)))</f>
        <v/>
      </c>
      <c r="AE9" s="338" t="str">
        <f>IF($B9="","",IF(VLOOKUP($B9,'4.คีย์กลางภาค'!$B$5:$DA$49,100,FALSE)="","",VLOOKUP($B9,'4.คีย์กลางภาค'!$B$5:$DA$49,100,FALSE)))</f>
        <v/>
      </c>
      <c r="AF9" s="485" t="str">
        <f>IF($B9="","",IF(VLOOKUP($B9,'4.คีย์กลางภาค'!$B$5:$DA$49,104,FALSE)="","",VLOOKUP($B9,'4.คีย์กลางภาค'!$B$5:$DA$49,104,FALSE)))</f>
        <v/>
      </c>
      <c r="AG9" s="540" t="str">
        <f>IF($B9="","",IF(VLOOKUP($B9,'4.คีย์กลางภาค'!$B$5:$DD$49,105,FALSE)="","",VLOOKUP($B9,'4.คีย์กลางภาค'!$B$5:$DD$49,105,FALSE)))</f>
        <v/>
      </c>
      <c r="AH9" s="536" t="str">
        <f>IF($B9="","",IF(VLOOKUP($B9,'4.คีย์กลางภาค'!$B$5:$DD$49,106,FALSE)="","",VLOOKUP($B9,'4.คีย์กลางภาค'!$B$5:$DD$49,106,FALSE)))</f>
        <v/>
      </c>
      <c r="AI9" s="27" t="str">
        <f t="shared" ref="AI9:AI52" si="14">IF(COUNT(E9:P9,T9:AF9)=0,"",COUNT(E9:P9,T9:AF9))</f>
        <v/>
      </c>
      <c r="AJ9" s="330"/>
      <c r="AL9" s="342" t="str">
        <f t="shared" ref="AL9:AL52" si="15">IF(T9="ขส","ขส",IF(AG9="","",IF($AL$6="","",IF($AL$6="SBMLD",SUM(T9:AF9),T9))))</f>
        <v/>
      </c>
      <c r="AM9" s="343" t="str">
        <f t="shared" ref="AM9:AM52" si="16">IF(U9="ขส","ขส",IF(AG9="","",IF($AM$6="","",IF($AM$6="SBMLD",SUM(U9:AF9),U9))))</f>
        <v/>
      </c>
      <c r="AN9" s="343" t="str">
        <f t="shared" ref="AN9:AN52" si="17">IF(V9="ขส","ขส",IF(AG9="","",IF($AN$6="","",IF($AN$6="SBMLD",SUM(V9:AF9),V9))))</f>
        <v/>
      </c>
      <c r="AO9" s="344" t="str">
        <f t="shared" ref="AO9:AO52" si="18">IF(W9="ขส","ขส",IF(AG9="","",IF($AO$6="","",IF($AO$6="SBMLD",SUM(W9:AF9),W9))))</f>
        <v/>
      </c>
      <c r="AP9" s="345" t="str">
        <f t="shared" ref="AP9:AP52" si="19">IF(X9="ขส","ขส",IF(AG9="","",IF($AP$6="","",IF($AP$6="SBMLD",SUM(X9:AF9),X9))))</f>
        <v/>
      </c>
    </row>
    <row r="10" spans="1:42" s="29" customFormat="1" ht="16.5" customHeight="1" x14ac:dyDescent="0.25">
      <c r="A10" s="335">
        <v>3</v>
      </c>
      <c r="B10" s="20" t="str">
        <f>IF(IDstu3="","",IDstu3)</f>
        <v/>
      </c>
      <c r="C10" s="504" t="str">
        <f>IF(Name3="","",Name3)</f>
        <v/>
      </c>
      <c r="D10" s="505" t="str">
        <f>IF(Surname3="","",Surname3)</f>
        <v/>
      </c>
      <c r="E10" s="336" t="str">
        <f>IF($B10="","",IF(VLOOKUP($B10,'4.คีย์กลางภาค'!$B$5:$DA$49,8,FALSE)="","",VLOOKUP($B10,'4.คีย์กลางภาค'!$B$5:$DA$49,8,FALSE)))</f>
        <v/>
      </c>
      <c r="F10" s="337" t="str">
        <f>IF($B10="","",IF(VLOOKUP($B10,'4.คีย์กลางภาค'!$B$5:$DA$49,12,FALSE)="","",VLOOKUP($B10,'4.คีย์กลางภาค'!$B$5:$DA$49,12,FALSE)))</f>
        <v/>
      </c>
      <c r="G10" s="337" t="str">
        <f>IF($B10="","",IF(VLOOKUP($B10,'4.คีย์กลางภาค'!$B$5:$DA$49,16,FALSE)="","",VLOOKUP($B10,'4.คีย์กลางภาค'!$B$5:$DA$49,16,FALSE)))</f>
        <v/>
      </c>
      <c r="H10" s="338" t="str">
        <f>IF($B10="","",IF(VLOOKUP($B10,'4.คีย์กลางภาค'!$B$5:$DA$49,20,FALSE)="","",VLOOKUP($B10,'4.คีย์กลางภาค'!$B$5:$DA$49,20,FALSE)))</f>
        <v/>
      </c>
      <c r="I10" s="337" t="str">
        <f>IF($B10="","",IF(VLOOKUP($B10,'4.คีย์กลางภาค'!$B$5:$DA$49,24,FALSE)="","",VLOOKUP($B10,'4.คีย์กลางภาค'!$B$5:$DA$49,24,FALSE)))</f>
        <v/>
      </c>
      <c r="J10" s="337" t="str">
        <f>IF($B10="","",IF(VLOOKUP($B10,'4.คีย์กลางภาค'!$B$5:$DA$49,28,FALSE)="","",VLOOKUP($B10,'4.คีย์กลางภาค'!$B$5:$DA$49,28,FALSE)))</f>
        <v/>
      </c>
      <c r="K10" s="337" t="str">
        <f>IF($B10="","",IF(VLOOKUP($B10,'4.คีย์กลางภาค'!$B$5:$DA$49,32,FALSE)="","",VLOOKUP($B10,'4.คีย์กลางภาค'!$B$5:$DA$49,32,FALSE)))</f>
        <v/>
      </c>
      <c r="L10" s="337" t="str">
        <f>IF($B10="","",IF(VLOOKUP($B10,'4.คีย์กลางภาค'!$B$5:$DA$49,36,FALSE)="","",VLOOKUP($B10,'4.คีย์กลางภาค'!$B$5:$DA$49,36,FALSE)))</f>
        <v/>
      </c>
      <c r="M10" s="338" t="str">
        <f>IF($B10="","",IF(VLOOKUP($B10,'4.คีย์กลางภาค'!$B$5:$DA$49,40,FALSE)="","",VLOOKUP($B10,'4.คีย์กลางภาค'!$B$5:$DA$49,40,FALSE)))</f>
        <v/>
      </c>
      <c r="N10" s="338" t="str">
        <f>IF($B10="","",IF(VLOOKUP($B10,'4.คีย์กลางภาค'!$B$5:$DA$49,44,FALSE)="","",VLOOKUP($B10,'4.คีย์กลางภาค'!$B$5:$DA$49,44,FALSE)))</f>
        <v/>
      </c>
      <c r="O10" s="338" t="str">
        <f>IF($B10="","",IF(VLOOKUP($B10,'4.คีย์กลางภาค'!$B$5:$DA$49,48,FALSE)="","",VLOOKUP($B10,'4.คีย์กลางภาค'!$B$5:$DA$49,48,FALSE)))</f>
        <v/>
      </c>
      <c r="P10" s="339" t="str">
        <f>IF($B10="","",IF(VLOOKUP($B10,'4.คีย์กลางภาค'!$B$5:$DA$49,52,FALSE)="","",VLOOKUP($B10,'4.คีย์กลางภาค'!$B$5:$DA$49,52,FALSE)))</f>
        <v/>
      </c>
      <c r="Q10" s="335">
        <v>3</v>
      </c>
      <c r="R10" s="504" t="str">
        <f>IF(Name3="","",Name3)</f>
        <v/>
      </c>
      <c r="S10" s="505" t="str">
        <f>IF(Surname3="","",Surname3)</f>
        <v/>
      </c>
      <c r="T10" s="336" t="str">
        <f>IF($B10="","",IF(VLOOKUP($B10,'4.คีย์กลางภาค'!$B$5:$DA$49,56,FALSE)="","",VLOOKUP($B10,'4.คีย์กลางภาค'!$B$5:$DA$49,56,FALSE)))</f>
        <v/>
      </c>
      <c r="U10" s="337" t="str">
        <f>IF($B10="","",IF(VLOOKUP($B10,'4.คีย์กลางภาค'!$B$5:$DA$49,60,FALSE)="","",VLOOKUP($B10,'4.คีย์กลางภาค'!$B$5:$DA$49,60,FALSE)))</f>
        <v/>
      </c>
      <c r="V10" s="337" t="str">
        <f>IF($B10="","",IF(VLOOKUP($B10,'4.คีย์กลางภาค'!$B$5:$DA$49,64,FALSE)="","",VLOOKUP($B10,'4.คีย์กลางภาค'!$B$5:$DA$49,64,FALSE)))</f>
        <v/>
      </c>
      <c r="W10" s="337" t="str">
        <f>IF($B10="","",IF(VLOOKUP($B10,'4.คีย์กลางภาค'!$B$5:$DA$49,68,FALSE)="","",VLOOKUP($B10,'4.คีย์กลางภาค'!$B$5:$DA$49,68,FALSE)))</f>
        <v/>
      </c>
      <c r="X10" s="337" t="str">
        <f>IF($B10="","",IF(VLOOKUP($B10,'4.คีย์กลางภาค'!$B$5:$DA$49,72,FALSE)="","",VLOOKUP($B10,'4.คีย์กลางภาค'!$B$5:$DA$49,72,FALSE)))</f>
        <v/>
      </c>
      <c r="Y10" s="338" t="str">
        <f>IF($B10="","",IF(VLOOKUP($B10,'4.คีย์กลางภาค'!$B$5:$DA$49,76,FALSE)="","",VLOOKUP($B10,'4.คีย์กลางภาค'!$B$5:$DA$49,76,FALSE)))</f>
        <v/>
      </c>
      <c r="Z10" s="337" t="str">
        <f>IF($B10="","",IF(VLOOKUP($B10,'4.คีย์กลางภาค'!$B$5:$DA$49,80,FALSE)="","",VLOOKUP($B10,'4.คีย์กลางภาค'!$B$5:$DA$49,80,FALSE)))</f>
        <v/>
      </c>
      <c r="AA10" s="337" t="str">
        <f>IF($B10="","",IF(VLOOKUP($B10,'4.คีย์กลางภาค'!$B$5:$DA$49,84,FALSE)="","",VLOOKUP($B10,'4.คีย์กลางภาค'!$B$5:$DA$49,84,FALSE)))</f>
        <v/>
      </c>
      <c r="AB10" s="337" t="str">
        <f>IF($B10="","",IF(VLOOKUP($B10,'4.คีย์กลางภาค'!$B$5:$DA$49,88,FALSE)="","",VLOOKUP($B10,'4.คีย์กลางภาค'!$B$5:$DA$49,88,FALSE)))</f>
        <v/>
      </c>
      <c r="AC10" s="337" t="str">
        <f>IF($B10="","",IF(VLOOKUP($B10,'4.คีย์กลางภาค'!$B$5:$DA$49,92,FALSE)="","",VLOOKUP($B10,'4.คีย์กลางภาค'!$B$5:$DA$49,92,FALSE)))</f>
        <v/>
      </c>
      <c r="AD10" s="340" t="str">
        <f>IF($B10="","",IF(VLOOKUP($B10,'4.คีย์กลางภาค'!$B$5:$DA$49,96,FALSE)="","",VLOOKUP($B10,'4.คีย์กลางภาค'!$B$5:$DA$49,96,FALSE)))</f>
        <v/>
      </c>
      <c r="AE10" s="338" t="str">
        <f>IF($B10="","",IF(VLOOKUP($B10,'4.คีย์กลางภาค'!$B$5:$DA$49,100,FALSE)="","",VLOOKUP($B10,'4.คีย์กลางภาค'!$B$5:$DA$49,100,FALSE)))</f>
        <v/>
      </c>
      <c r="AF10" s="485" t="str">
        <f>IF($B10="","",IF(VLOOKUP($B10,'4.คีย์กลางภาค'!$B$5:$DA$49,104,FALSE)="","",VLOOKUP($B10,'4.คีย์กลางภาค'!$B$5:$DA$49,104,FALSE)))</f>
        <v/>
      </c>
      <c r="AG10" s="540" t="str">
        <f>IF($B10="","",IF(VLOOKUP($B10,'4.คีย์กลางภาค'!$B$5:$DD$49,105,FALSE)="","",VLOOKUP($B10,'4.คีย์กลางภาค'!$B$5:$DD$49,105,FALSE)))</f>
        <v/>
      </c>
      <c r="AH10" s="536" t="str">
        <f>IF($B10="","",IF(VLOOKUP($B10,'4.คีย์กลางภาค'!$B$5:$DD$49,106,FALSE)="","",VLOOKUP($B10,'4.คีย์กลางภาค'!$B$5:$DD$49,106,FALSE)))</f>
        <v/>
      </c>
      <c r="AI10" s="27" t="str">
        <f t="shared" si="14"/>
        <v/>
      </c>
      <c r="AJ10" s="330"/>
      <c r="AL10" s="342" t="str">
        <f t="shared" si="15"/>
        <v/>
      </c>
      <c r="AM10" s="343" t="str">
        <f t="shared" si="16"/>
        <v/>
      </c>
      <c r="AN10" s="343" t="str">
        <f t="shared" si="17"/>
        <v/>
      </c>
      <c r="AO10" s="344" t="str">
        <f t="shared" si="18"/>
        <v/>
      </c>
      <c r="AP10" s="345" t="str">
        <f>IF(X10="ขส","ขส",IF(AG10="","",IF($AP$6="","",IF($AP$6="SBMLD",SUM(X10:AF10),X10))))</f>
        <v/>
      </c>
    </row>
    <row r="11" spans="1:42" s="29" customFormat="1" ht="16.5" customHeight="1" x14ac:dyDescent="0.25">
      <c r="A11" s="335">
        <v>4</v>
      </c>
      <c r="B11" s="20" t="str">
        <f>IF(IDstu4="","",IDstu4)</f>
        <v/>
      </c>
      <c r="C11" s="504" t="str">
        <f>IF(Name4="","",Name4)</f>
        <v/>
      </c>
      <c r="D11" s="505" t="str">
        <f>IF(Surname4="","",Surname4)</f>
        <v/>
      </c>
      <c r="E11" s="336" t="str">
        <f>IF($B11="","",IF(VLOOKUP($B11,'4.คีย์กลางภาค'!$B$5:$DA$49,8,FALSE)="","",VLOOKUP($B11,'4.คีย์กลางภาค'!$B$5:$DA$49,8,FALSE)))</f>
        <v/>
      </c>
      <c r="F11" s="337" t="str">
        <f>IF($B11="","",IF(VLOOKUP($B11,'4.คีย์กลางภาค'!$B$5:$DA$49,12,FALSE)="","",VLOOKUP($B11,'4.คีย์กลางภาค'!$B$5:$DA$49,12,FALSE)))</f>
        <v/>
      </c>
      <c r="G11" s="337" t="str">
        <f>IF($B11="","",IF(VLOOKUP($B11,'4.คีย์กลางภาค'!$B$5:$DA$49,16,FALSE)="","",VLOOKUP($B11,'4.คีย์กลางภาค'!$B$5:$DA$49,16,FALSE)))</f>
        <v/>
      </c>
      <c r="H11" s="338" t="str">
        <f>IF($B11="","",IF(VLOOKUP($B11,'4.คีย์กลางภาค'!$B$5:$DA$49,20,FALSE)="","",VLOOKUP($B11,'4.คีย์กลางภาค'!$B$5:$DA$49,20,FALSE)))</f>
        <v/>
      </c>
      <c r="I11" s="337" t="str">
        <f>IF($B11="","",IF(VLOOKUP($B11,'4.คีย์กลางภาค'!$B$5:$DA$49,24,FALSE)="","",VLOOKUP($B11,'4.คีย์กลางภาค'!$B$5:$DA$49,24,FALSE)))</f>
        <v/>
      </c>
      <c r="J11" s="337" t="str">
        <f>IF($B11="","",IF(VLOOKUP($B11,'4.คีย์กลางภาค'!$B$5:$DA$49,28,FALSE)="","",VLOOKUP($B11,'4.คีย์กลางภาค'!$B$5:$DA$49,28,FALSE)))</f>
        <v/>
      </c>
      <c r="K11" s="337" t="str">
        <f>IF($B11="","",IF(VLOOKUP($B11,'4.คีย์กลางภาค'!$B$5:$DA$49,32,FALSE)="","",VLOOKUP($B11,'4.คีย์กลางภาค'!$B$5:$DA$49,32,FALSE)))</f>
        <v/>
      </c>
      <c r="L11" s="337" t="str">
        <f>IF($B11="","",IF(VLOOKUP($B11,'4.คีย์กลางภาค'!$B$5:$DA$49,36,FALSE)="","",VLOOKUP($B11,'4.คีย์กลางภาค'!$B$5:$DA$49,36,FALSE)))</f>
        <v/>
      </c>
      <c r="M11" s="338" t="str">
        <f>IF($B11="","",IF(VLOOKUP($B11,'4.คีย์กลางภาค'!$B$5:$DA$49,40,FALSE)="","",VLOOKUP($B11,'4.คีย์กลางภาค'!$B$5:$DA$49,40,FALSE)))</f>
        <v/>
      </c>
      <c r="N11" s="338" t="str">
        <f>IF($B11="","",IF(VLOOKUP($B11,'4.คีย์กลางภาค'!$B$5:$DA$49,44,FALSE)="","",VLOOKUP($B11,'4.คีย์กลางภาค'!$B$5:$DA$49,44,FALSE)))</f>
        <v/>
      </c>
      <c r="O11" s="338" t="str">
        <f>IF($B11="","",IF(VLOOKUP($B11,'4.คีย์กลางภาค'!$B$5:$DA$49,48,FALSE)="","",VLOOKUP($B11,'4.คีย์กลางภาค'!$B$5:$DA$49,48,FALSE)))</f>
        <v/>
      </c>
      <c r="P11" s="339" t="str">
        <f>IF($B11="","",IF(VLOOKUP($B11,'4.คีย์กลางภาค'!$B$5:$DA$49,52,FALSE)="","",VLOOKUP($B11,'4.คีย์กลางภาค'!$B$5:$DA$49,52,FALSE)))</f>
        <v/>
      </c>
      <c r="Q11" s="335">
        <v>4</v>
      </c>
      <c r="R11" s="504" t="str">
        <f>IF(Name4="","",Name4)</f>
        <v/>
      </c>
      <c r="S11" s="505" t="str">
        <f>IF(Surname4="","",Surname4)</f>
        <v/>
      </c>
      <c r="T11" s="336" t="str">
        <f>IF($B11="","",IF(VLOOKUP($B11,'4.คีย์กลางภาค'!$B$5:$DA$49,56,FALSE)="","",VLOOKUP($B11,'4.คีย์กลางภาค'!$B$5:$DA$49,56,FALSE)))</f>
        <v/>
      </c>
      <c r="U11" s="337" t="str">
        <f>IF($B11="","",IF(VLOOKUP($B11,'4.คีย์กลางภาค'!$B$5:$DA$49,60,FALSE)="","",VLOOKUP($B11,'4.คีย์กลางภาค'!$B$5:$DA$49,60,FALSE)))</f>
        <v/>
      </c>
      <c r="V11" s="337" t="str">
        <f>IF($B11="","",IF(VLOOKUP($B11,'4.คีย์กลางภาค'!$B$5:$DA$49,64,FALSE)="","",VLOOKUP($B11,'4.คีย์กลางภาค'!$B$5:$DA$49,64,FALSE)))</f>
        <v/>
      </c>
      <c r="W11" s="337" t="str">
        <f>IF($B11="","",IF(VLOOKUP($B11,'4.คีย์กลางภาค'!$B$5:$DA$49,68,FALSE)="","",VLOOKUP($B11,'4.คีย์กลางภาค'!$B$5:$DA$49,68,FALSE)))</f>
        <v/>
      </c>
      <c r="X11" s="337" t="str">
        <f>IF($B11="","",IF(VLOOKUP($B11,'4.คีย์กลางภาค'!$B$5:$DA$49,72,FALSE)="","",VLOOKUP($B11,'4.คีย์กลางภาค'!$B$5:$DA$49,72,FALSE)))</f>
        <v/>
      </c>
      <c r="Y11" s="338" t="str">
        <f>IF($B11="","",IF(VLOOKUP($B11,'4.คีย์กลางภาค'!$B$5:$DA$49,76,FALSE)="","",VLOOKUP($B11,'4.คีย์กลางภาค'!$B$5:$DA$49,76,FALSE)))</f>
        <v/>
      </c>
      <c r="Z11" s="337" t="str">
        <f>IF($B11="","",IF(VLOOKUP($B11,'4.คีย์กลางภาค'!$B$5:$DA$49,80,FALSE)="","",VLOOKUP($B11,'4.คีย์กลางภาค'!$B$5:$DA$49,80,FALSE)))</f>
        <v/>
      </c>
      <c r="AA11" s="337" t="str">
        <f>IF($B11="","",IF(VLOOKUP($B11,'4.คีย์กลางภาค'!$B$5:$DA$49,84,FALSE)="","",VLOOKUP($B11,'4.คีย์กลางภาค'!$B$5:$DA$49,84,FALSE)))</f>
        <v/>
      </c>
      <c r="AB11" s="337" t="str">
        <f>IF($B11="","",IF(VLOOKUP($B11,'4.คีย์กลางภาค'!$B$5:$DA$49,88,FALSE)="","",VLOOKUP($B11,'4.คีย์กลางภาค'!$B$5:$DA$49,88,FALSE)))</f>
        <v/>
      </c>
      <c r="AC11" s="337" t="str">
        <f>IF($B11="","",IF(VLOOKUP($B11,'4.คีย์กลางภาค'!$B$5:$DA$49,92,FALSE)="","",VLOOKUP($B11,'4.คีย์กลางภาค'!$B$5:$DA$49,92,FALSE)))</f>
        <v/>
      </c>
      <c r="AD11" s="340" t="str">
        <f>IF($B11="","",IF(VLOOKUP($B11,'4.คีย์กลางภาค'!$B$5:$DA$49,96,FALSE)="","",VLOOKUP($B11,'4.คีย์กลางภาค'!$B$5:$DA$49,96,FALSE)))</f>
        <v/>
      </c>
      <c r="AE11" s="338" t="str">
        <f>IF($B11="","",IF(VLOOKUP($B11,'4.คีย์กลางภาค'!$B$5:$DA$49,100,FALSE)="","",VLOOKUP($B11,'4.คีย์กลางภาค'!$B$5:$DA$49,100,FALSE)))</f>
        <v/>
      </c>
      <c r="AF11" s="485" t="str">
        <f>IF($B11="","",IF(VLOOKUP($B11,'4.คีย์กลางภาค'!$B$5:$DA$49,104,FALSE)="","",VLOOKUP($B11,'4.คีย์กลางภาค'!$B$5:$DA$49,104,FALSE)))</f>
        <v/>
      </c>
      <c r="AG11" s="540" t="str">
        <f>IF($B11="","",IF(VLOOKUP($B11,'4.คีย์กลางภาค'!$B$5:$DD$49,105,FALSE)="","",VLOOKUP($B11,'4.คีย์กลางภาค'!$B$5:$DD$49,105,FALSE)))</f>
        <v/>
      </c>
      <c r="AH11" s="536" t="str">
        <f>IF($B11="","",IF(VLOOKUP($B11,'4.คีย์กลางภาค'!$B$5:$DD$49,106,FALSE)="","",VLOOKUP($B11,'4.คีย์กลางภาค'!$B$5:$DD$49,106,FALSE)))</f>
        <v/>
      </c>
      <c r="AI11" s="27" t="str">
        <f t="shared" si="14"/>
        <v/>
      </c>
      <c r="AJ11" s="330"/>
      <c r="AL11" s="342" t="str">
        <f t="shared" si="15"/>
        <v/>
      </c>
      <c r="AM11" s="343" t="str">
        <f t="shared" si="16"/>
        <v/>
      </c>
      <c r="AN11" s="343" t="str">
        <f t="shared" si="17"/>
        <v/>
      </c>
      <c r="AO11" s="344" t="str">
        <f t="shared" si="18"/>
        <v/>
      </c>
      <c r="AP11" s="345" t="str">
        <f t="shared" si="19"/>
        <v/>
      </c>
    </row>
    <row r="12" spans="1:42" s="29" customFormat="1" ht="16.5" customHeight="1" x14ac:dyDescent="0.25">
      <c r="A12" s="335">
        <v>5</v>
      </c>
      <c r="B12" s="20" t="str">
        <f>IF(IDstu5="","",IDstu5)</f>
        <v/>
      </c>
      <c r="C12" s="504" t="str">
        <f>IF(Name5="","",Name5)</f>
        <v/>
      </c>
      <c r="D12" s="505" t="str">
        <f>IF(Surname5="","",Surname5)</f>
        <v/>
      </c>
      <c r="E12" s="336" t="str">
        <f>IF($B12="","",IF(VLOOKUP($B12,'4.คีย์กลางภาค'!$B$5:$DA$49,8,FALSE)="","",VLOOKUP($B12,'4.คีย์กลางภาค'!$B$5:$DA$49,8,FALSE)))</f>
        <v/>
      </c>
      <c r="F12" s="337" t="str">
        <f>IF($B12="","",IF(VLOOKUP($B12,'4.คีย์กลางภาค'!$B$5:$DA$49,12,FALSE)="","",VLOOKUP($B12,'4.คีย์กลางภาค'!$B$5:$DA$49,12,FALSE)))</f>
        <v/>
      </c>
      <c r="G12" s="337" t="str">
        <f>IF($B12="","",IF(VLOOKUP($B12,'4.คีย์กลางภาค'!$B$5:$DA$49,16,FALSE)="","",VLOOKUP($B12,'4.คีย์กลางภาค'!$B$5:$DA$49,16,FALSE)))</f>
        <v/>
      </c>
      <c r="H12" s="338" t="str">
        <f>IF($B12="","",IF(VLOOKUP($B12,'4.คีย์กลางภาค'!$B$5:$DA$49,20,FALSE)="","",VLOOKUP($B12,'4.คีย์กลางภาค'!$B$5:$DA$49,20,FALSE)))</f>
        <v/>
      </c>
      <c r="I12" s="337" t="str">
        <f>IF($B12="","",IF(VLOOKUP($B12,'4.คีย์กลางภาค'!$B$5:$DA$49,24,FALSE)="","",VLOOKUP($B12,'4.คีย์กลางภาค'!$B$5:$DA$49,24,FALSE)))</f>
        <v/>
      </c>
      <c r="J12" s="337" t="str">
        <f>IF($B12="","",IF(VLOOKUP($B12,'4.คีย์กลางภาค'!$B$5:$DA$49,28,FALSE)="","",VLOOKUP($B12,'4.คีย์กลางภาค'!$B$5:$DA$49,28,FALSE)))</f>
        <v/>
      </c>
      <c r="K12" s="337" t="str">
        <f>IF($B12="","",IF(VLOOKUP($B12,'4.คีย์กลางภาค'!$B$5:$DA$49,32,FALSE)="","",VLOOKUP($B12,'4.คีย์กลางภาค'!$B$5:$DA$49,32,FALSE)))</f>
        <v/>
      </c>
      <c r="L12" s="337" t="str">
        <f>IF($B12="","",IF(VLOOKUP($B12,'4.คีย์กลางภาค'!$B$5:$DA$49,36,FALSE)="","",VLOOKUP($B12,'4.คีย์กลางภาค'!$B$5:$DA$49,36,FALSE)))</f>
        <v/>
      </c>
      <c r="M12" s="338" t="str">
        <f>IF($B12="","",IF(VLOOKUP($B12,'4.คีย์กลางภาค'!$B$5:$DA$49,40,FALSE)="","",VLOOKUP($B12,'4.คีย์กลางภาค'!$B$5:$DA$49,40,FALSE)))</f>
        <v/>
      </c>
      <c r="N12" s="338" t="str">
        <f>IF($B12="","",IF(VLOOKUP($B12,'4.คีย์กลางภาค'!$B$5:$DA$49,44,FALSE)="","",VLOOKUP($B12,'4.คีย์กลางภาค'!$B$5:$DA$49,44,FALSE)))</f>
        <v/>
      </c>
      <c r="O12" s="338" t="str">
        <f>IF($B12="","",IF(VLOOKUP($B12,'4.คีย์กลางภาค'!$B$5:$DA$49,48,FALSE)="","",VLOOKUP($B12,'4.คีย์กลางภาค'!$B$5:$DA$49,48,FALSE)))</f>
        <v/>
      </c>
      <c r="P12" s="339" t="str">
        <f>IF($B12="","",IF(VLOOKUP($B12,'4.คีย์กลางภาค'!$B$5:$DA$49,52,FALSE)="","",VLOOKUP($B12,'4.คีย์กลางภาค'!$B$5:$DA$49,52,FALSE)))</f>
        <v/>
      </c>
      <c r="Q12" s="335">
        <v>5</v>
      </c>
      <c r="R12" s="504" t="str">
        <f>IF(Name5="","",Name5)</f>
        <v/>
      </c>
      <c r="S12" s="505" t="str">
        <f>IF(Surname5="","",Surname5)</f>
        <v/>
      </c>
      <c r="T12" s="336" t="str">
        <f>IF($B12="","",IF(VLOOKUP($B12,'4.คีย์กลางภาค'!$B$5:$DA$49,56,FALSE)="","",VLOOKUP($B12,'4.คีย์กลางภาค'!$B$5:$DA$49,56,FALSE)))</f>
        <v/>
      </c>
      <c r="U12" s="337" t="str">
        <f>IF($B12="","",IF(VLOOKUP($B12,'4.คีย์กลางภาค'!$B$5:$DA$49,60,FALSE)="","",VLOOKUP($B12,'4.คีย์กลางภาค'!$B$5:$DA$49,60,FALSE)))</f>
        <v/>
      </c>
      <c r="V12" s="337" t="str">
        <f>IF($B12="","",IF(VLOOKUP($B12,'4.คีย์กลางภาค'!$B$5:$DA$49,64,FALSE)="","",VLOOKUP($B12,'4.คีย์กลางภาค'!$B$5:$DA$49,64,FALSE)))</f>
        <v/>
      </c>
      <c r="W12" s="337" t="str">
        <f>IF($B12="","",IF(VLOOKUP($B12,'4.คีย์กลางภาค'!$B$5:$DA$49,68,FALSE)="","",VLOOKUP($B12,'4.คีย์กลางภาค'!$B$5:$DA$49,68,FALSE)))</f>
        <v/>
      </c>
      <c r="X12" s="338" t="str">
        <f>IF($B12="","",IF(VLOOKUP($B12,'4.คีย์กลางภาค'!$B$5:$DA$49,72,FALSE)="","",VLOOKUP($B12,'4.คีย์กลางภาค'!$B$5:$DA$49,72,FALSE)))</f>
        <v/>
      </c>
      <c r="Y12" s="337" t="str">
        <f>IF($B12="","",IF(VLOOKUP($B12,'4.คีย์กลางภาค'!$B$5:$DA$49,76,FALSE)="","",VLOOKUP($B12,'4.คีย์กลางภาค'!$B$5:$DA$49,76,FALSE)))</f>
        <v/>
      </c>
      <c r="Z12" s="337" t="str">
        <f>IF($B12="","",IF(VLOOKUP($B12,'4.คีย์กลางภาค'!$B$5:$DA$49,80,FALSE)="","",VLOOKUP($B12,'4.คีย์กลางภาค'!$B$5:$DA$49,80,FALSE)))</f>
        <v/>
      </c>
      <c r="AA12" s="337" t="str">
        <f>IF($B12="","",IF(VLOOKUP($B12,'4.คีย์กลางภาค'!$B$5:$DA$49,84,FALSE)="","",VLOOKUP($B12,'4.คีย์กลางภาค'!$B$5:$DA$49,84,FALSE)))</f>
        <v/>
      </c>
      <c r="AB12" s="337" t="str">
        <f>IF($B12="","",IF(VLOOKUP($B12,'4.คีย์กลางภาค'!$B$5:$DA$49,88,FALSE)="","",VLOOKUP($B12,'4.คีย์กลางภาค'!$B$5:$DA$49,88,FALSE)))</f>
        <v/>
      </c>
      <c r="AC12" s="337" t="str">
        <f>IF($B12="","",IF(VLOOKUP($B12,'4.คีย์กลางภาค'!$B$5:$DA$49,92,FALSE)="","",VLOOKUP($B12,'4.คีย์กลางภาค'!$B$5:$DA$49,92,FALSE)))</f>
        <v/>
      </c>
      <c r="AD12" s="340" t="str">
        <f>IF($B12="","",IF(VLOOKUP($B12,'4.คีย์กลางภาค'!$B$5:$DA$49,96,FALSE)="","",VLOOKUP($B12,'4.คีย์กลางภาค'!$B$5:$DA$49,96,FALSE)))</f>
        <v/>
      </c>
      <c r="AE12" s="338" t="str">
        <f>IF($B12="","",IF(VLOOKUP($B12,'4.คีย์กลางภาค'!$B$5:$DA$49,100,FALSE)="","",VLOOKUP($B12,'4.คีย์กลางภาค'!$B$5:$DA$49,100,FALSE)))</f>
        <v/>
      </c>
      <c r="AF12" s="485" t="str">
        <f>IF($B12="","",IF(VLOOKUP($B12,'4.คีย์กลางภาค'!$B$5:$DA$49,104,FALSE)="","",VLOOKUP($B12,'4.คีย์กลางภาค'!$B$5:$DA$49,104,FALSE)))</f>
        <v/>
      </c>
      <c r="AG12" s="540" t="str">
        <f>IF($B12="","",IF(VLOOKUP($B12,'4.คีย์กลางภาค'!$B$5:$DD$49,105,FALSE)="","",VLOOKUP($B12,'4.คีย์กลางภาค'!$B$5:$DD$49,105,FALSE)))</f>
        <v/>
      </c>
      <c r="AH12" s="536" t="str">
        <f>IF($B12="","",IF(VLOOKUP($B12,'4.คีย์กลางภาค'!$B$5:$DD$49,106,FALSE)="","",VLOOKUP($B12,'4.คีย์กลางภาค'!$B$5:$DD$49,106,FALSE)))</f>
        <v/>
      </c>
      <c r="AI12" s="27" t="str">
        <f t="shared" si="14"/>
        <v/>
      </c>
      <c r="AJ12" s="330"/>
      <c r="AL12" s="342" t="str">
        <f t="shared" si="15"/>
        <v/>
      </c>
      <c r="AM12" s="343" t="str">
        <f t="shared" si="16"/>
        <v/>
      </c>
      <c r="AN12" s="343" t="str">
        <f t="shared" si="17"/>
        <v/>
      </c>
      <c r="AO12" s="344" t="str">
        <f t="shared" si="18"/>
        <v/>
      </c>
      <c r="AP12" s="345" t="str">
        <f t="shared" si="19"/>
        <v/>
      </c>
    </row>
    <row r="13" spans="1:42" s="29" customFormat="1" ht="16.5" customHeight="1" x14ac:dyDescent="0.25">
      <c r="A13" s="335">
        <v>6</v>
      </c>
      <c r="B13" s="20" t="str">
        <f>IF(IDstu6="","",IDstu6)</f>
        <v/>
      </c>
      <c r="C13" s="504" t="str">
        <f>IF(Name6="","",Name6)</f>
        <v/>
      </c>
      <c r="D13" s="505" t="str">
        <f>IF(Surname6="","",Surname6)</f>
        <v/>
      </c>
      <c r="E13" s="336" t="str">
        <f>IF($B13="","",IF(VLOOKUP($B13,'4.คีย์กลางภาค'!$B$5:$DA$49,8,FALSE)="","",VLOOKUP($B13,'4.คีย์กลางภาค'!$B$5:$DA$49,8,FALSE)))</f>
        <v/>
      </c>
      <c r="F13" s="337" t="str">
        <f>IF($B13="","",IF(VLOOKUP($B13,'4.คีย์กลางภาค'!$B$5:$DA$49,12,FALSE)="","",VLOOKUP($B13,'4.คีย์กลางภาค'!$B$5:$DA$49,12,FALSE)))</f>
        <v/>
      </c>
      <c r="G13" s="337" t="str">
        <f>IF($B13="","",IF(VLOOKUP($B13,'4.คีย์กลางภาค'!$B$5:$DA$49,16,FALSE)="","",VLOOKUP($B13,'4.คีย์กลางภาค'!$B$5:$DA$49,16,FALSE)))</f>
        <v/>
      </c>
      <c r="H13" s="338" t="str">
        <f>IF($B13="","",IF(VLOOKUP($B13,'4.คีย์กลางภาค'!$B$5:$DA$49,20,FALSE)="","",VLOOKUP($B13,'4.คีย์กลางภาค'!$B$5:$DA$49,20,FALSE)))</f>
        <v/>
      </c>
      <c r="I13" s="337" t="str">
        <f>IF($B13="","",IF(VLOOKUP($B13,'4.คีย์กลางภาค'!$B$5:$DA$49,24,FALSE)="","",VLOOKUP($B13,'4.คีย์กลางภาค'!$B$5:$DA$49,24,FALSE)))</f>
        <v/>
      </c>
      <c r="J13" s="337" t="str">
        <f>IF($B13="","",IF(VLOOKUP($B13,'4.คีย์กลางภาค'!$B$5:$DA$49,28,FALSE)="","",VLOOKUP($B13,'4.คีย์กลางภาค'!$B$5:$DA$49,28,FALSE)))</f>
        <v/>
      </c>
      <c r="K13" s="337" t="str">
        <f>IF($B13="","",IF(VLOOKUP($B13,'4.คีย์กลางภาค'!$B$5:$DA$49,32,FALSE)="","",VLOOKUP($B13,'4.คีย์กลางภาค'!$B$5:$DA$49,32,FALSE)))</f>
        <v/>
      </c>
      <c r="L13" s="337" t="str">
        <f>IF($B13="","",IF(VLOOKUP($B13,'4.คีย์กลางภาค'!$B$5:$DA$49,36,FALSE)="","",VLOOKUP($B13,'4.คีย์กลางภาค'!$B$5:$DA$49,36,FALSE)))</f>
        <v/>
      </c>
      <c r="M13" s="338" t="str">
        <f>IF($B13="","",IF(VLOOKUP($B13,'4.คีย์กลางภาค'!$B$5:$DA$49,40,FALSE)="","",VLOOKUP($B13,'4.คีย์กลางภาค'!$B$5:$DA$49,40,FALSE)))</f>
        <v/>
      </c>
      <c r="N13" s="338" t="str">
        <f>IF($B13="","",IF(VLOOKUP($B13,'4.คีย์กลางภาค'!$B$5:$DA$49,44,FALSE)="","",VLOOKUP($B13,'4.คีย์กลางภาค'!$B$5:$DA$49,44,FALSE)))</f>
        <v/>
      </c>
      <c r="O13" s="338" t="str">
        <f>IF($B13="","",IF(VLOOKUP($B13,'4.คีย์กลางภาค'!$B$5:$DA$49,48,FALSE)="","",VLOOKUP($B13,'4.คีย์กลางภาค'!$B$5:$DA$49,48,FALSE)))</f>
        <v/>
      </c>
      <c r="P13" s="339" t="str">
        <f>IF($B13="","",IF(VLOOKUP($B13,'4.คีย์กลางภาค'!$B$5:$DA$49,52,FALSE)="","",VLOOKUP($B13,'4.คีย์กลางภาค'!$B$5:$DA$49,52,FALSE)))</f>
        <v/>
      </c>
      <c r="Q13" s="335">
        <v>6</v>
      </c>
      <c r="R13" s="504" t="str">
        <f>IF(Name6="","",Name6)</f>
        <v/>
      </c>
      <c r="S13" s="505" t="str">
        <f>IF(Surname6="","",Surname6)</f>
        <v/>
      </c>
      <c r="T13" s="336" t="str">
        <f>IF($B13="","",IF(VLOOKUP($B13,'4.คีย์กลางภาค'!$B$5:$DA$49,56,FALSE)="","",VLOOKUP($B13,'4.คีย์กลางภาค'!$B$5:$DA$49,56,FALSE)))</f>
        <v/>
      </c>
      <c r="U13" s="337" t="str">
        <f>IF($B13="","",IF(VLOOKUP($B13,'4.คีย์กลางภาค'!$B$5:$DA$49,60,FALSE)="","",VLOOKUP($B13,'4.คีย์กลางภาค'!$B$5:$DA$49,60,FALSE)))</f>
        <v/>
      </c>
      <c r="V13" s="337" t="str">
        <f>IF($B13="","",IF(VLOOKUP($B13,'4.คีย์กลางภาค'!$B$5:$DA$49,64,FALSE)="","",VLOOKUP($B13,'4.คีย์กลางภาค'!$B$5:$DA$49,64,FALSE)))</f>
        <v/>
      </c>
      <c r="W13" s="337" t="str">
        <f>IF($B13="","",IF(VLOOKUP($B13,'4.คีย์กลางภาค'!$B$5:$DA$49,68,FALSE)="","",VLOOKUP($B13,'4.คีย์กลางภาค'!$B$5:$DA$49,68,FALSE)))</f>
        <v/>
      </c>
      <c r="X13" s="337" t="str">
        <f>IF($B13="","",IF(VLOOKUP($B13,'4.คีย์กลางภาค'!$B$5:$DA$49,72,FALSE)="","",VLOOKUP($B13,'4.คีย์กลางภาค'!$B$5:$DA$49,72,FALSE)))</f>
        <v/>
      </c>
      <c r="Y13" s="338" t="str">
        <f>IF($B13="","",IF(VLOOKUP($B13,'4.คีย์กลางภาค'!$B$5:$DA$49,76,FALSE)="","",VLOOKUP($B13,'4.คีย์กลางภาค'!$B$5:$DA$49,76,FALSE)))</f>
        <v/>
      </c>
      <c r="Z13" s="337" t="str">
        <f>IF($B13="","",IF(VLOOKUP($B13,'4.คีย์กลางภาค'!$B$5:$DA$49,80,FALSE)="","",VLOOKUP($B13,'4.คีย์กลางภาค'!$B$5:$DA$49,80,FALSE)))</f>
        <v/>
      </c>
      <c r="AA13" s="337" t="str">
        <f>IF($B13="","",IF(VLOOKUP($B13,'4.คีย์กลางภาค'!$B$5:$DA$49,84,FALSE)="","",VLOOKUP($B13,'4.คีย์กลางภาค'!$B$5:$DA$49,84,FALSE)))</f>
        <v/>
      </c>
      <c r="AB13" s="337" t="str">
        <f>IF($B13="","",IF(VLOOKUP($B13,'4.คีย์กลางภาค'!$B$5:$DA$49,88,FALSE)="","",VLOOKUP($B13,'4.คีย์กลางภาค'!$B$5:$DA$49,88,FALSE)))</f>
        <v/>
      </c>
      <c r="AC13" s="337" t="str">
        <f>IF($B13="","",IF(VLOOKUP($B13,'4.คีย์กลางภาค'!$B$5:$DA$49,92,FALSE)="","",VLOOKUP($B13,'4.คีย์กลางภาค'!$B$5:$DA$49,92,FALSE)))</f>
        <v/>
      </c>
      <c r="AD13" s="340" t="str">
        <f>IF($B13="","",IF(VLOOKUP($B13,'4.คีย์กลางภาค'!$B$5:$DA$49,96,FALSE)="","",VLOOKUP($B13,'4.คีย์กลางภาค'!$B$5:$DA$49,96,FALSE)))</f>
        <v/>
      </c>
      <c r="AE13" s="338" t="str">
        <f>IF($B13="","",IF(VLOOKUP($B13,'4.คีย์กลางภาค'!$B$5:$DA$49,100,FALSE)="","",VLOOKUP($B13,'4.คีย์กลางภาค'!$B$5:$DA$49,100,FALSE)))</f>
        <v/>
      </c>
      <c r="AF13" s="485" t="str">
        <f>IF($B13="","",IF(VLOOKUP($B13,'4.คีย์กลางภาค'!$B$5:$DA$49,104,FALSE)="","",VLOOKUP($B13,'4.คีย์กลางภาค'!$B$5:$DA$49,104,FALSE)))</f>
        <v/>
      </c>
      <c r="AG13" s="540" t="str">
        <f>IF($B13="","",IF(VLOOKUP($B13,'4.คีย์กลางภาค'!$B$5:$DD$49,105,FALSE)="","",VLOOKUP($B13,'4.คีย์กลางภาค'!$B$5:$DD$49,105,FALSE)))</f>
        <v/>
      </c>
      <c r="AH13" s="536" t="str">
        <f>IF($B13="","",IF(VLOOKUP($B13,'4.คีย์กลางภาค'!$B$5:$DD$49,106,FALSE)="","",VLOOKUP($B13,'4.คีย์กลางภาค'!$B$5:$DD$49,106,FALSE)))</f>
        <v/>
      </c>
      <c r="AI13" s="27" t="str">
        <f t="shared" si="14"/>
        <v/>
      </c>
      <c r="AJ13" s="330"/>
      <c r="AL13" s="342" t="str">
        <f t="shared" si="15"/>
        <v/>
      </c>
      <c r="AM13" s="343" t="str">
        <f t="shared" si="16"/>
        <v/>
      </c>
      <c r="AN13" s="343" t="str">
        <f t="shared" si="17"/>
        <v/>
      </c>
      <c r="AO13" s="344" t="str">
        <f t="shared" si="18"/>
        <v/>
      </c>
      <c r="AP13" s="345" t="str">
        <f t="shared" si="19"/>
        <v/>
      </c>
    </row>
    <row r="14" spans="1:42" s="29" customFormat="1" ht="16.5" customHeight="1" x14ac:dyDescent="0.25">
      <c r="A14" s="335">
        <v>7</v>
      </c>
      <c r="B14" s="20" t="str">
        <f>IF(IDstu7="","",IDstu7)</f>
        <v/>
      </c>
      <c r="C14" s="504" t="str">
        <f>IF(Name7="","",Name7)</f>
        <v/>
      </c>
      <c r="D14" s="505" t="str">
        <f>IF(Surname7="","",Surname7)</f>
        <v/>
      </c>
      <c r="E14" s="336" t="str">
        <f>IF($B14="","",IF(VLOOKUP($B14,'4.คีย์กลางภาค'!$B$5:$DA$49,8,FALSE)="","",VLOOKUP($B14,'4.คีย์กลางภาค'!$B$5:$DA$49,8,FALSE)))</f>
        <v/>
      </c>
      <c r="F14" s="337" t="str">
        <f>IF($B14="","",IF(VLOOKUP($B14,'4.คีย์กลางภาค'!$B$5:$DA$49,12,FALSE)="","",VLOOKUP($B14,'4.คีย์กลางภาค'!$B$5:$DA$49,12,FALSE)))</f>
        <v/>
      </c>
      <c r="G14" s="337" t="str">
        <f>IF($B14="","",IF(VLOOKUP($B14,'4.คีย์กลางภาค'!$B$5:$DA$49,16,FALSE)="","",VLOOKUP($B14,'4.คีย์กลางภาค'!$B$5:$DA$49,16,FALSE)))</f>
        <v/>
      </c>
      <c r="H14" s="338" t="str">
        <f>IF($B14="","",IF(VLOOKUP($B14,'4.คีย์กลางภาค'!$B$5:$DA$49,20,FALSE)="","",VLOOKUP($B14,'4.คีย์กลางภาค'!$B$5:$DA$49,20,FALSE)))</f>
        <v/>
      </c>
      <c r="I14" s="337" t="str">
        <f>IF($B14="","",IF(VLOOKUP($B14,'4.คีย์กลางภาค'!$B$5:$DA$49,24,FALSE)="","",VLOOKUP($B14,'4.คีย์กลางภาค'!$B$5:$DA$49,24,FALSE)))</f>
        <v/>
      </c>
      <c r="J14" s="337" t="str">
        <f>IF($B14="","",IF(VLOOKUP($B14,'4.คีย์กลางภาค'!$B$5:$DA$49,28,FALSE)="","",VLOOKUP($B14,'4.คีย์กลางภาค'!$B$5:$DA$49,28,FALSE)))</f>
        <v/>
      </c>
      <c r="K14" s="337" t="str">
        <f>IF($B14="","",IF(VLOOKUP($B14,'4.คีย์กลางภาค'!$B$5:$DA$49,32,FALSE)="","",VLOOKUP($B14,'4.คีย์กลางภาค'!$B$5:$DA$49,32,FALSE)))</f>
        <v/>
      </c>
      <c r="L14" s="337" t="str">
        <f>IF($B14="","",IF(VLOOKUP($B14,'4.คีย์กลางภาค'!$B$5:$DA$49,36,FALSE)="","",VLOOKUP($B14,'4.คีย์กลางภาค'!$B$5:$DA$49,36,FALSE)))</f>
        <v/>
      </c>
      <c r="M14" s="338" t="str">
        <f>IF($B14="","",IF(VLOOKUP($B14,'4.คีย์กลางภาค'!$B$5:$DA$49,40,FALSE)="","",VLOOKUP($B14,'4.คีย์กลางภาค'!$B$5:$DA$49,40,FALSE)))</f>
        <v/>
      </c>
      <c r="N14" s="338" t="str">
        <f>IF($B14="","",IF(VLOOKUP($B14,'4.คีย์กลางภาค'!$B$5:$DA$49,44,FALSE)="","",VLOOKUP($B14,'4.คีย์กลางภาค'!$B$5:$DA$49,44,FALSE)))</f>
        <v/>
      </c>
      <c r="O14" s="338" t="str">
        <f>IF($B14="","",IF(VLOOKUP($B14,'4.คีย์กลางภาค'!$B$5:$DA$49,48,FALSE)="","",VLOOKUP($B14,'4.คีย์กลางภาค'!$B$5:$DA$49,48,FALSE)))</f>
        <v/>
      </c>
      <c r="P14" s="339" t="str">
        <f>IF($B14="","",IF(VLOOKUP($B14,'4.คีย์กลางภาค'!$B$5:$DA$49,52,FALSE)="","",VLOOKUP($B14,'4.คีย์กลางภาค'!$B$5:$DA$49,52,FALSE)))</f>
        <v/>
      </c>
      <c r="Q14" s="335">
        <v>7</v>
      </c>
      <c r="R14" s="504" t="str">
        <f>IF(Name7="","",Name7)</f>
        <v/>
      </c>
      <c r="S14" s="505" t="str">
        <f>IF(Surname7="","",Surname7)</f>
        <v/>
      </c>
      <c r="T14" s="336" t="str">
        <f>IF($B14="","",IF(VLOOKUP($B14,'4.คีย์กลางภาค'!$B$5:$DA$49,56,FALSE)="","",VLOOKUP($B14,'4.คีย์กลางภาค'!$B$5:$DA$49,56,FALSE)))</f>
        <v/>
      </c>
      <c r="U14" s="337" t="str">
        <f>IF($B14="","",IF(VLOOKUP($B14,'4.คีย์กลางภาค'!$B$5:$DA$49,60,FALSE)="","",VLOOKUP($B14,'4.คีย์กลางภาค'!$B$5:$DA$49,60,FALSE)))</f>
        <v/>
      </c>
      <c r="V14" s="337" t="str">
        <f>IF($B14="","",IF(VLOOKUP($B14,'4.คีย์กลางภาค'!$B$5:$DA$49,64,FALSE)="","",VLOOKUP($B14,'4.คีย์กลางภาค'!$B$5:$DA$49,64,FALSE)))</f>
        <v/>
      </c>
      <c r="W14" s="337" t="str">
        <f>IF($B14="","",IF(VLOOKUP($B14,'4.คีย์กลางภาค'!$B$5:$DA$49,68,FALSE)="","",VLOOKUP($B14,'4.คีย์กลางภาค'!$B$5:$DA$49,68,FALSE)))</f>
        <v/>
      </c>
      <c r="X14" s="338" t="str">
        <f>IF($B14="","",IF(VLOOKUP($B14,'4.คีย์กลางภาค'!$B$5:$DA$49,72,FALSE)="","",VLOOKUP($B14,'4.คีย์กลางภาค'!$B$5:$DA$49,72,FALSE)))</f>
        <v/>
      </c>
      <c r="Y14" s="337" t="str">
        <f>IF($B14="","",IF(VLOOKUP($B14,'4.คีย์กลางภาค'!$B$5:$DA$49,76,FALSE)="","",VLOOKUP($B14,'4.คีย์กลางภาค'!$B$5:$DA$49,76,FALSE)))</f>
        <v/>
      </c>
      <c r="Z14" s="337" t="str">
        <f>IF($B14="","",IF(VLOOKUP($B14,'4.คีย์กลางภาค'!$B$5:$DA$49,80,FALSE)="","",VLOOKUP($B14,'4.คีย์กลางภาค'!$B$5:$DA$49,80,FALSE)))</f>
        <v/>
      </c>
      <c r="AA14" s="337" t="str">
        <f>IF($B14="","",IF(VLOOKUP($B14,'4.คีย์กลางภาค'!$B$5:$DA$49,84,FALSE)="","",VLOOKUP($B14,'4.คีย์กลางภาค'!$B$5:$DA$49,84,FALSE)))</f>
        <v/>
      </c>
      <c r="AB14" s="337" t="str">
        <f>IF($B14="","",IF(VLOOKUP($B14,'4.คีย์กลางภาค'!$B$5:$DA$49,88,FALSE)="","",VLOOKUP($B14,'4.คีย์กลางภาค'!$B$5:$DA$49,88,FALSE)))</f>
        <v/>
      </c>
      <c r="AC14" s="337" t="str">
        <f>IF($B14="","",IF(VLOOKUP($B14,'4.คีย์กลางภาค'!$B$5:$DA$49,92,FALSE)="","",VLOOKUP($B14,'4.คีย์กลางภาค'!$B$5:$DA$49,92,FALSE)))</f>
        <v/>
      </c>
      <c r="AD14" s="340" t="str">
        <f>IF($B14="","",IF(VLOOKUP($B14,'4.คีย์กลางภาค'!$B$5:$DA$49,96,FALSE)="","",VLOOKUP($B14,'4.คีย์กลางภาค'!$B$5:$DA$49,96,FALSE)))</f>
        <v/>
      </c>
      <c r="AE14" s="338" t="str">
        <f>IF($B14="","",IF(VLOOKUP($B14,'4.คีย์กลางภาค'!$B$5:$DA$49,100,FALSE)="","",VLOOKUP($B14,'4.คีย์กลางภาค'!$B$5:$DA$49,100,FALSE)))</f>
        <v/>
      </c>
      <c r="AF14" s="485" t="str">
        <f>IF($B14="","",IF(VLOOKUP($B14,'4.คีย์กลางภาค'!$B$5:$DA$49,104,FALSE)="","",VLOOKUP($B14,'4.คีย์กลางภาค'!$B$5:$DA$49,104,FALSE)))</f>
        <v/>
      </c>
      <c r="AG14" s="540" t="str">
        <f>IF($B14="","",IF(VLOOKUP($B14,'4.คีย์กลางภาค'!$B$5:$DD$49,105,FALSE)="","",VLOOKUP($B14,'4.คีย์กลางภาค'!$B$5:$DD$49,105,FALSE)))</f>
        <v/>
      </c>
      <c r="AH14" s="536" t="str">
        <f>IF($B14="","",IF(VLOOKUP($B14,'4.คีย์กลางภาค'!$B$5:$DD$49,106,FALSE)="","",VLOOKUP($B14,'4.คีย์กลางภาค'!$B$5:$DD$49,106,FALSE)))</f>
        <v/>
      </c>
      <c r="AI14" s="27" t="str">
        <f t="shared" si="14"/>
        <v/>
      </c>
      <c r="AJ14" s="330"/>
      <c r="AL14" s="342" t="str">
        <f>IF(T14="ขส","ขส",IF(AG14="","",IF($AL$6="","",IF($AL$6="SBMLD",SUM(T14:AF14),T14))))</f>
        <v/>
      </c>
      <c r="AM14" s="343" t="str">
        <f t="shared" si="16"/>
        <v/>
      </c>
      <c r="AN14" s="343" t="str">
        <f t="shared" si="17"/>
        <v/>
      </c>
      <c r="AO14" s="344" t="str">
        <f t="shared" si="18"/>
        <v/>
      </c>
      <c r="AP14" s="345" t="str">
        <f t="shared" si="19"/>
        <v/>
      </c>
    </row>
    <row r="15" spans="1:42" s="29" customFormat="1" ht="16.5" customHeight="1" x14ac:dyDescent="0.25">
      <c r="A15" s="335">
        <v>8</v>
      </c>
      <c r="B15" s="20" t="str">
        <f>IF(IDstu8="","",IDstu8)</f>
        <v/>
      </c>
      <c r="C15" s="504" t="str">
        <f>IF(Name8="","",Name8)</f>
        <v/>
      </c>
      <c r="D15" s="505" t="str">
        <f>IF(Surname8="","",Surname8)</f>
        <v/>
      </c>
      <c r="E15" s="336" t="str">
        <f>IF($B15="","",IF(VLOOKUP($B15,'4.คีย์กลางภาค'!$B$5:$DA$49,8,FALSE)="","",VLOOKUP($B15,'4.คีย์กลางภาค'!$B$5:$DA$49,8,FALSE)))</f>
        <v/>
      </c>
      <c r="F15" s="337" t="str">
        <f>IF($B15="","",IF(VLOOKUP($B15,'4.คีย์กลางภาค'!$B$5:$DA$49,12,FALSE)="","",VLOOKUP($B15,'4.คีย์กลางภาค'!$B$5:$DA$49,12,FALSE)))</f>
        <v/>
      </c>
      <c r="G15" s="337" t="str">
        <f>IF($B15="","",IF(VLOOKUP($B15,'4.คีย์กลางภาค'!$B$5:$DA$49,16,FALSE)="","",VLOOKUP($B15,'4.คีย์กลางภาค'!$B$5:$DA$49,16,FALSE)))</f>
        <v/>
      </c>
      <c r="H15" s="338" t="str">
        <f>IF($B15="","",IF(VLOOKUP($B15,'4.คีย์กลางภาค'!$B$5:$DA$49,20,FALSE)="","",VLOOKUP($B15,'4.คีย์กลางภาค'!$B$5:$DA$49,20,FALSE)))</f>
        <v/>
      </c>
      <c r="I15" s="337" t="str">
        <f>IF($B15="","",IF(VLOOKUP($B15,'4.คีย์กลางภาค'!$B$5:$DA$49,24,FALSE)="","",VLOOKUP($B15,'4.คีย์กลางภาค'!$B$5:$DA$49,24,FALSE)))</f>
        <v/>
      </c>
      <c r="J15" s="337" t="str">
        <f>IF($B15="","",IF(VLOOKUP($B15,'4.คีย์กลางภาค'!$B$5:$DA$49,28,FALSE)="","",VLOOKUP($B15,'4.คีย์กลางภาค'!$B$5:$DA$49,28,FALSE)))</f>
        <v/>
      </c>
      <c r="K15" s="337" t="str">
        <f>IF($B15="","",IF(VLOOKUP($B15,'4.คีย์กลางภาค'!$B$5:$DA$49,32,FALSE)="","",VLOOKUP($B15,'4.คีย์กลางภาค'!$B$5:$DA$49,32,FALSE)))</f>
        <v/>
      </c>
      <c r="L15" s="337" t="str">
        <f>IF($B15="","",IF(VLOOKUP($B15,'4.คีย์กลางภาค'!$B$5:$DA$49,36,FALSE)="","",VLOOKUP($B15,'4.คีย์กลางภาค'!$B$5:$DA$49,36,FALSE)))</f>
        <v/>
      </c>
      <c r="M15" s="338" t="str">
        <f>IF($B15="","",IF(VLOOKUP($B15,'4.คีย์กลางภาค'!$B$5:$DA$49,40,FALSE)="","",VLOOKUP($B15,'4.คีย์กลางภาค'!$B$5:$DA$49,40,FALSE)))</f>
        <v/>
      </c>
      <c r="N15" s="338" t="str">
        <f>IF($B15="","",IF(VLOOKUP($B15,'4.คีย์กลางภาค'!$B$5:$DA$49,44,FALSE)="","",VLOOKUP($B15,'4.คีย์กลางภาค'!$B$5:$DA$49,44,FALSE)))</f>
        <v/>
      </c>
      <c r="O15" s="338" t="str">
        <f>IF($B15="","",IF(VLOOKUP($B15,'4.คีย์กลางภาค'!$B$5:$DA$49,48,FALSE)="","",VLOOKUP($B15,'4.คีย์กลางภาค'!$B$5:$DA$49,48,FALSE)))</f>
        <v/>
      </c>
      <c r="P15" s="339" t="str">
        <f>IF($B15="","",IF(VLOOKUP($B15,'4.คีย์กลางภาค'!$B$5:$DA$49,52,FALSE)="","",VLOOKUP($B15,'4.คีย์กลางภาค'!$B$5:$DA$49,52,FALSE)))</f>
        <v/>
      </c>
      <c r="Q15" s="335">
        <v>8</v>
      </c>
      <c r="R15" s="504" t="str">
        <f>IF(Name8="","",Name8)</f>
        <v/>
      </c>
      <c r="S15" s="505" t="str">
        <f>IF(Surname8="","",Surname8)</f>
        <v/>
      </c>
      <c r="T15" s="336" t="str">
        <f>IF($B15="","",IF(VLOOKUP($B15,'4.คีย์กลางภาค'!$B$5:$DA$49,56,FALSE)="","",VLOOKUP($B15,'4.คีย์กลางภาค'!$B$5:$DA$49,56,FALSE)))</f>
        <v/>
      </c>
      <c r="U15" s="337" t="str">
        <f>IF($B15="","",IF(VLOOKUP($B15,'4.คีย์กลางภาค'!$B$5:$DA$49,60,FALSE)="","",VLOOKUP($B15,'4.คีย์กลางภาค'!$B$5:$DA$49,60,FALSE)))</f>
        <v/>
      </c>
      <c r="V15" s="337" t="str">
        <f>IF($B15="","",IF(VLOOKUP($B15,'4.คีย์กลางภาค'!$B$5:$DA$49,64,FALSE)="","",VLOOKUP($B15,'4.คีย์กลางภาค'!$B$5:$DA$49,64,FALSE)))</f>
        <v/>
      </c>
      <c r="W15" s="337" t="str">
        <f>IF($B15="","",IF(VLOOKUP($B15,'4.คีย์กลางภาค'!$B$5:$DA$49,68,FALSE)="","",VLOOKUP($B15,'4.คีย์กลางภาค'!$B$5:$DA$49,68,FALSE)))</f>
        <v/>
      </c>
      <c r="X15" s="337" t="str">
        <f>IF($B15="","",IF(VLOOKUP($B15,'4.คีย์กลางภาค'!$B$5:$DA$49,72,FALSE)="","",VLOOKUP($B15,'4.คีย์กลางภาค'!$B$5:$DA$49,72,FALSE)))</f>
        <v/>
      </c>
      <c r="Y15" s="338" t="str">
        <f>IF($B15="","",IF(VLOOKUP($B15,'4.คีย์กลางภาค'!$B$5:$DA$49,76,FALSE)="","",VLOOKUP($B15,'4.คีย์กลางภาค'!$B$5:$DA$49,76,FALSE)))</f>
        <v/>
      </c>
      <c r="Z15" s="337" t="str">
        <f>IF($B15="","",IF(VLOOKUP($B15,'4.คีย์กลางภาค'!$B$5:$DA$49,80,FALSE)="","",VLOOKUP($B15,'4.คีย์กลางภาค'!$B$5:$DA$49,80,FALSE)))</f>
        <v/>
      </c>
      <c r="AA15" s="337" t="str">
        <f>IF($B15="","",IF(VLOOKUP($B15,'4.คีย์กลางภาค'!$B$5:$DA$49,84,FALSE)="","",VLOOKUP($B15,'4.คีย์กลางภาค'!$B$5:$DA$49,84,FALSE)))</f>
        <v/>
      </c>
      <c r="AB15" s="337" t="str">
        <f>IF($B15="","",IF(VLOOKUP($B15,'4.คีย์กลางภาค'!$B$5:$DA$49,88,FALSE)="","",VLOOKUP($B15,'4.คีย์กลางภาค'!$B$5:$DA$49,88,FALSE)))</f>
        <v/>
      </c>
      <c r="AC15" s="337" t="str">
        <f>IF($B15="","",IF(VLOOKUP($B15,'4.คีย์กลางภาค'!$B$5:$DA$49,92,FALSE)="","",VLOOKUP($B15,'4.คีย์กลางภาค'!$B$5:$DA$49,92,FALSE)))</f>
        <v/>
      </c>
      <c r="AD15" s="340" t="str">
        <f>IF($B15="","",IF(VLOOKUP($B15,'4.คีย์กลางภาค'!$B$5:$DA$49,96,FALSE)="","",VLOOKUP($B15,'4.คีย์กลางภาค'!$B$5:$DA$49,96,FALSE)))</f>
        <v/>
      </c>
      <c r="AE15" s="338" t="str">
        <f>IF($B15="","",IF(VLOOKUP($B15,'4.คีย์กลางภาค'!$B$5:$DA$49,100,FALSE)="","",VLOOKUP($B15,'4.คีย์กลางภาค'!$B$5:$DA$49,100,FALSE)))</f>
        <v/>
      </c>
      <c r="AF15" s="485" t="str">
        <f>IF($B15="","",IF(VLOOKUP($B15,'4.คีย์กลางภาค'!$B$5:$DA$49,104,FALSE)="","",VLOOKUP($B15,'4.คีย์กลางภาค'!$B$5:$DA$49,104,FALSE)))</f>
        <v/>
      </c>
      <c r="AG15" s="540" t="str">
        <f>IF($B15="","",IF(VLOOKUP($B15,'4.คีย์กลางภาค'!$B$5:$DD$49,105,FALSE)="","",VLOOKUP($B15,'4.คีย์กลางภาค'!$B$5:$DD$49,105,FALSE)))</f>
        <v/>
      </c>
      <c r="AH15" s="536" t="str">
        <f>IF($B15="","",IF(VLOOKUP($B15,'4.คีย์กลางภาค'!$B$5:$DD$49,106,FALSE)="","",VLOOKUP($B15,'4.คีย์กลางภาค'!$B$5:$DD$49,106,FALSE)))</f>
        <v/>
      </c>
      <c r="AI15" s="27" t="str">
        <f t="shared" si="14"/>
        <v/>
      </c>
      <c r="AJ15" s="330"/>
      <c r="AL15" s="342" t="str">
        <f t="shared" si="15"/>
        <v/>
      </c>
      <c r="AM15" s="343" t="str">
        <f t="shared" si="16"/>
        <v/>
      </c>
      <c r="AN15" s="343" t="str">
        <f t="shared" si="17"/>
        <v/>
      </c>
      <c r="AO15" s="344" t="str">
        <f t="shared" si="18"/>
        <v/>
      </c>
      <c r="AP15" s="345" t="str">
        <f t="shared" si="19"/>
        <v/>
      </c>
    </row>
    <row r="16" spans="1:42" s="29" customFormat="1" ht="16.5" customHeight="1" x14ac:dyDescent="0.25">
      <c r="A16" s="335">
        <v>9</v>
      </c>
      <c r="B16" s="20" t="str">
        <f>IF(IDstu9="","",IDstu9)</f>
        <v/>
      </c>
      <c r="C16" s="504" t="str">
        <f>IF(Name9="","",Name9)</f>
        <v/>
      </c>
      <c r="D16" s="505" t="str">
        <f>IF(Surname9="","",Surname9)</f>
        <v/>
      </c>
      <c r="E16" s="336" t="str">
        <f>IF($B16="","",IF(VLOOKUP($B16,'4.คีย์กลางภาค'!$B$5:$DA$49,8,FALSE)="","",VLOOKUP($B16,'4.คีย์กลางภาค'!$B$5:$DA$49,8,FALSE)))</f>
        <v/>
      </c>
      <c r="F16" s="337" t="str">
        <f>IF($B16="","",IF(VLOOKUP($B16,'4.คีย์กลางภาค'!$B$5:$DA$49,12,FALSE)="","",VLOOKUP($B16,'4.คีย์กลางภาค'!$B$5:$DA$49,12,FALSE)))</f>
        <v/>
      </c>
      <c r="G16" s="337" t="str">
        <f>IF($B16="","",IF(VLOOKUP($B16,'4.คีย์กลางภาค'!$B$5:$DA$49,16,FALSE)="","",VLOOKUP($B16,'4.คีย์กลางภาค'!$B$5:$DA$49,16,FALSE)))</f>
        <v/>
      </c>
      <c r="H16" s="338" t="str">
        <f>IF($B16="","",IF(VLOOKUP($B16,'4.คีย์กลางภาค'!$B$5:$DA$49,20,FALSE)="","",VLOOKUP($B16,'4.คีย์กลางภาค'!$B$5:$DA$49,20,FALSE)))</f>
        <v/>
      </c>
      <c r="I16" s="337" t="str">
        <f>IF($B16="","",IF(VLOOKUP($B16,'4.คีย์กลางภาค'!$B$5:$DA$49,24,FALSE)="","",VLOOKUP($B16,'4.คีย์กลางภาค'!$B$5:$DA$49,24,FALSE)))</f>
        <v/>
      </c>
      <c r="J16" s="337" t="str">
        <f>IF($B16="","",IF(VLOOKUP($B16,'4.คีย์กลางภาค'!$B$5:$DA$49,28,FALSE)="","",VLOOKUP($B16,'4.คีย์กลางภาค'!$B$5:$DA$49,28,FALSE)))</f>
        <v/>
      </c>
      <c r="K16" s="337" t="str">
        <f>IF($B16="","",IF(VLOOKUP($B16,'4.คีย์กลางภาค'!$B$5:$DA$49,32,FALSE)="","",VLOOKUP($B16,'4.คีย์กลางภาค'!$B$5:$DA$49,32,FALSE)))</f>
        <v/>
      </c>
      <c r="L16" s="337" t="str">
        <f>IF($B16="","",IF(VLOOKUP($B16,'4.คีย์กลางภาค'!$B$5:$DA$49,36,FALSE)="","",VLOOKUP($B16,'4.คีย์กลางภาค'!$B$5:$DA$49,36,FALSE)))</f>
        <v/>
      </c>
      <c r="M16" s="338" t="str">
        <f>IF($B16="","",IF(VLOOKUP($B16,'4.คีย์กลางภาค'!$B$5:$DA$49,40,FALSE)="","",VLOOKUP($B16,'4.คีย์กลางภาค'!$B$5:$DA$49,40,FALSE)))</f>
        <v/>
      </c>
      <c r="N16" s="338" t="str">
        <f>IF($B16="","",IF(VLOOKUP($B16,'4.คีย์กลางภาค'!$B$5:$DA$49,44,FALSE)="","",VLOOKUP($B16,'4.คีย์กลางภาค'!$B$5:$DA$49,44,FALSE)))</f>
        <v/>
      </c>
      <c r="O16" s="338" t="str">
        <f>IF($B16="","",IF(VLOOKUP($B16,'4.คีย์กลางภาค'!$B$5:$DA$49,48,FALSE)="","",VLOOKUP($B16,'4.คีย์กลางภาค'!$B$5:$DA$49,48,FALSE)))</f>
        <v/>
      </c>
      <c r="P16" s="339" t="str">
        <f>IF($B16="","",IF(VLOOKUP($B16,'4.คีย์กลางภาค'!$B$5:$DA$49,52,FALSE)="","",VLOOKUP($B16,'4.คีย์กลางภาค'!$B$5:$DA$49,52,FALSE)))</f>
        <v/>
      </c>
      <c r="Q16" s="335">
        <v>9</v>
      </c>
      <c r="R16" s="504" t="str">
        <f>IF(Name9="","",Name9)</f>
        <v/>
      </c>
      <c r="S16" s="505" t="str">
        <f>IF(Surname9="","",Surname9)</f>
        <v/>
      </c>
      <c r="T16" s="336" t="str">
        <f>IF($B16="","",IF(VLOOKUP($B16,'4.คีย์กลางภาค'!$B$5:$DA$49,56,FALSE)="","",VLOOKUP($B16,'4.คีย์กลางภาค'!$B$5:$DA$49,56,FALSE)))</f>
        <v/>
      </c>
      <c r="U16" s="337" t="str">
        <f>IF($B16="","",IF(VLOOKUP($B16,'4.คีย์กลางภาค'!$B$5:$DA$49,60,FALSE)="","",VLOOKUP($B16,'4.คีย์กลางภาค'!$B$5:$DA$49,60,FALSE)))</f>
        <v/>
      </c>
      <c r="V16" s="337" t="str">
        <f>IF($B16="","",IF(VLOOKUP($B16,'4.คีย์กลางภาค'!$B$5:$DA$49,64,FALSE)="","",VLOOKUP($B16,'4.คีย์กลางภาค'!$B$5:$DA$49,64,FALSE)))</f>
        <v/>
      </c>
      <c r="W16" s="337" t="str">
        <f>IF($B16="","",IF(VLOOKUP($B16,'4.คีย์กลางภาค'!$B$5:$DA$49,68,FALSE)="","",VLOOKUP($B16,'4.คีย์กลางภาค'!$B$5:$DA$49,68,FALSE)))</f>
        <v/>
      </c>
      <c r="X16" s="337" t="str">
        <f>IF($B16="","",IF(VLOOKUP($B16,'4.คีย์กลางภาค'!$B$5:$DA$49,72,FALSE)="","",VLOOKUP($B16,'4.คีย์กลางภาค'!$B$5:$DA$49,72,FALSE)))</f>
        <v/>
      </c>
      <c r="Y16" s="338" t="str">
        <f>IF($B16="","",IF(VLOOKUP($B16,'4.คีย์กลางภาค'!$B$5:$DA$49,76,FALSE)="","",VLOOKUP($B16,'4.คีย์กลางภาค'!$B$5:$DA$49,76,FALSE)))</f>
        <v/>
      </c>
      <c r="Z16" s="337" t="str">
        <f>IF($B16="","",IF(VLOOKUP($B16,'4.คีย์กลางภาค'!$B$5:$DA$49,80,FALSE)="","",VLOOKUP($B16,'4.คีย์กลางภาค'!$B$5:$DA$49,80,FALSE)))</f>
        <v/>
      </c>
      <c r="AA16" s="337" t="str">
        <f>IF($B16="","",IF(VLOOKUP($B16,'4.คีย์กลางภาค'!$B$5:$DA$49,84,FALSE)="","",VLOOKUP($B16,'4.คีย์กลางภาค'!$B$5:$DA$49,84,FALSE)))</f>
        <v/>
      </c>
      <c r="AB16" s="337" t="str">
        <f>IF($B16="","",IF(VLOOKUP($B16,'4.คีย์กลางภาค'!$B$5:$DA$49,88,FALSE)="","",VLOOKUP($B16,'4.คีย์กลางภาค'!$B$5:$DA$49,88,FALSE)))</f>
        <v/>
      </c>
      <c r="AC16" s="337" t="str">
        <f>IF($B16="","",IF(VLOOKUP($B16,'4.คีย์กลางภาค'!$B$5:$DA$49,92,FALSE)="","",VLOOKUP($B16,'4.คีย์กลางภาค'!$B$5:$DA$49,92,FALSE)))</f>
        <v/>
      </c>
      <c r="AD16" s="340" t="str">
        <f>IF($B16="","",IF(VLOOKUP($B16,'4.คีย์กลางภาค'!$B$5:$DA$49,96,FALSE)="","",VLOOKUP($B16,'4.คีย์กลางภาค'!$B$5:$DA$49,96,FALSE)))</f>
        <v/>
      </c>
      <c r="AE16" s="338" t="str">
        <f>IF($B16="","",IF(VLOOKUP($B16,'4.คีย์กลางภาค'!$B$5:$DA$49,100,FALSE)="","",VLOOKUP($B16,'4.คีย์กลางภาค'!$B$5:$DA$49,100,FALSE)))</f>
        <v/>
      </c>
      <c r="AF16" s="485" t="str">
        <f>IF($B16="","",IF(VLOOKUP($B16,'4.คีย์กลางภาค'!$B$5:$DA$49,104,FALSE)="","",VLOOKUP($B16,'4.คีย์กลางภาค'!$B$5:$DA$49,104,FALSE)))</f>
        <v/>
      </c>
      <c r="AG16" s="540" t="str">
        <f>IF($B16="","",IF(VLOOKUP($B16,'4.คีย์กลางภาค'!$B$5:$DD$49,105,FALSE)="","",VLOOKUP($B16,'4.คีย์กลางภาค'!$B$5:$DD$49,105,FALSE)))</f>
        <v/>
      </c>
      <c r="AH16" s="536" t="str">
        <f>IF($B16="","",IF(VLOOKUP($B16,'4.คีย์กลางภาค'!$B$5:$DD$49,106,FALSE)="","",VLOOKUP($B16,'4.คีย์กลางภาค'!$B$5:$DD$49,106,FALSE)))</f>
        <v/>
      </c>
      <c r="AI16" s="27" t="str">
        <f t="shared" si="14"/>
        <v/>
      </c>
      <c r="AJ16" s="330"/>
      <c r="AL16" s="342" t="str">
        <f t="shared" si="15"/>
        <v/>
      </c>
      <c r="AM16" s="343" t="str">
        <f t="shared" si="16"/>
        <v/>
      </c>
      <c r="AN16" s="343" t="str">
        <f t="shared" si="17"/>
        <v/>
      </c>
      <c r="AO16" s="344" t="str">
        <f t="shared" si="18"/>
        <v/>
      </c>
      <c r="AP16" s="345" t="str">
        <f t="shared" si="19"/>
        <v/>
      </c>
    </row>
    <row r="17" spans="1:42" s="29" customFormat="1" ht="16.5" customHeight="1" x14ac:dyDescent="0.25">
      <c r="A17" s="335">
        <v>10</v>
      </c>
      <c r="B17" s="20" t="str">
        <f>IF(IDstu10="","",IDstu10)</f>
        <v/>
      </c>
      <c r="C17" s="504" t="str">
        <f>IF(Name10="","",Name10)</f>
        <v/>
      </c>
      <c r="D17" s="505" t="str">
        <f>IF(Surname10="","",Surname10)</f>
        <v/>
      </c>
      <c r="E17" s="336" t="str">
        <f>IF($B17="","",IF(VLOOKUP($B17,'4.คีย์กลางภาค'!$B$5:$DA$49,8,FALSE)="","",VLOOKUP($B17,'4.คีย์กลางภาค'!$B$5:$DA$49,8,FALSE)))</f>
        <v/>
      </c>
      <c r="F17" s="337" t="str">
        <f>IF($B17="","",IF(VLOOKUP($B17,'4.คีย์กลางภาค'!$B$5:$DA$49,12,FALSE)="","",VLOOKUP($B17,'4.คีย์กลางภาค'!$B$5:$DA$49,12,FALSE)))</f>
        <v/>
      </c>
      <c r="G17" s="337" t="str">
        <f>IF($B17="","",IF(VLOOKUP($B17,'4.คีย์กลางภาค'!$B$5:$DA$49,16,FALSE)="","",VLOOKUP($B17,'4.คีย์กลางภาค'!$B$5:$DA$49,16,FALSE)))</f>
        <v/>
      </c>
      <c r="H17" s="338" t="str">
        <f>IF($B17="","",IF(VLOOKUP($B17,'4.คีย์กลางภาค'!$B$5:$DA$49,20,FALSE)="","",VLOOKUP($B17,'4.คีย์กลางภาค'!$B$5:$DA$49,20,FALSE)))</f>
        <v/>
      </c>
      <c r="I17" s="337" t="str">
        <f>IF($B17="","",IF(VLOOKUP($B17,'4.คีย์กลางภาค'!$B$5:$DA$49,24,FALSE)="","",VLOOKUP($B17,'4.คีย์กลางภาค'!$B$5:$DA$49,24,FALSE)))</f>
        <v/>
      </c>
      <c r="J17" s="337" t="str">
        <f>IF($B17="","",IF(VLOOKUP($B17,'4.คีย์กลางภาค'!$B$5:$DA$49,28,FALSE)="","",VLOOKUP($B17,'4.คีย์กลางภาค'!$B$5:$DA$49,28,FALSE)))</f>
        <v/>
      </c>
      <c r="K17" s="337" t="str">
        <f>IF($B17="","",IF(VLOOKUP($B17,'4.คีย์กลางภาค'!$B$5:$DA$49,32,FALSE)="","",VLOOKUP($B17,'4.คีย์กลางภาค'!$B$5:$DA$49,32,FALSE)))</f>
        <v/>
      </c>
      <c r="L17" s="337" t="str">
        <f>IF($B17="","",IF(VLOOKUP($B17,'4.คีย์กลางภาค'!$B$5:$DA$49,36,FALSE)="","",VLOOKUP($B17,'4.คีย์กลางภาค'!$B$5:$DA$49,36,FALSE)))</f>
        <v/>
      </c>
      <c r="M17" s="338" t="str">
        <f>IF($B17="","",IF(VLOOKUP($B17,'4.คีย์กลางภาค'!$B$5:$DA$49,40,FALSE)="","",VLOOKUP($B17,'4.คีย์กลางภาค'!$B$5:$DA$49,40,FALSE)))</f>
        <v/>
      </c>
      <c r="N17" s="338" t="str">
        <f>IF($B17="","",IF(VLOOKUP($B17,'4.คีย์กลางภาค'!$B$5:$DA$49,44,FALSE)="","",VLOOKUP($B17,'4.คีย์กลางภาค'!$B$5:$DA$49,44,FALSE)))</f>
        <v/>
      </c>
      <c r="O17" s="338" t="str">
        <f>IF($B17="","",IF(VLOOKUP($B17,'4.คีย์กลางภาค'!$B$5:$DA$49,48,FALSE)="","",VLOOKUP($B17,'4.คีย์กลางภาค'!$B$5:$DA$49,48,FALSE)))</f>
        <v/>
      </c>
      <c r="P17" s="339" t="str">
        <f>IF($B17="","",IF(VLOOKUP($B17,'4.คีย์กลางภาค'!$B$5:$DA$49,52,FALSE)="","",VLOOKUP($B17,'4.คีย์กลางภาค'!$B$5:$DA$49,52,FALSE)))</f>
        <v/>
      </c>
      <c r="Q17" s="335">
        <v>10</v>
      </c>
      <c r="R17" s="504" t="str">
        <f>IF(Name10="","",Name10)</f>
        <v/>
      </c>
      <c r="S17" s="505" t="str">
        <f>IF(Surname10="","",Surname10)</f>
        <v/>
      </c>
      <c r="T17" s="336" t="str">
        <f>IF($B17="","",IF(VLOOKUP($B17,'4.คีย์กลางภาค'!$B$5:$DA$49,56,FALSE)="","",VLOOKUP($B17,'4.คีย์กลางภาค'!$B$5:$DA$49,56,FALSE)))</f>
        <v/>
      </c>
      <c r="U17" s="337" t="str">
        <f>IF($B17="","",IF(VLOOKUP($B17,'4.คีย์กลางภาค'!$B$5:$DA$49,60,FALSE)="","",VLOOKUP($B17,'4.คีย์กลางภาค'!$B$5:$DA$49,60,FALSE)))</f>
        <v/>
      </c>
      <c r="V17" s="337" t="str">
        <f>IF($B17="","",IF(VLOOKUP($B17,'4.คีย์กลางภาค'!$B$5:$DA$49,64,FALSE)="","",VLOOKUP($B17,'4.คีย์กลางภาค'!$B$5:$DA$49,64,FALSE)))</f>
        <v/>
      </c>
      <c r="W17" s="337" t="str">
        <f>IF($B17="","",IF(VLOOKUP($B17,'4.คีย์กลางภาค'!$B$5:$DA$49,68,FALSE)="","",VLOOKUP($B17,'4.คีย์กลางภาค'!$B$5:$DA$49,68,FALSE)))</f>
        <v/>
      </c>
      <c r="X17" s="338" t="str">
        <f>IF($B17="","",IF(VLOOKUP($B17,'4.คีย์กลางภาค'!$B$5:$DA$49,72,FALSE)="","",VLOOKUP($B17,'4.คีย์กลางภาค'!$B$5:$DA$49,72,FALSE)))</f>
        <v/>
      </c>
      <c r="Y17" s="338" t="str">
        <f>IF($B17="","",IF(VLOOKUP($B17,'4.คีย์กลางภาค'!$B$5:$DA$49,76,FALSE)="","",VLOOKUP($B17,'4.คีย์กลางภาค'!$B$5:$DA$49,76,FALSE)))</f>
        <v/>
      </c>
      <c r="Z17" s="337" t="str">
        <f>IF($B17="","",IF(VLOOKUP($B17,'4.คีย์กลางภาค'!$B$5:$DA$49,80,FALSE)="","",VLOOKUP($B17,'4.คีย์กลางภาค'!$B$5:$DA$49,80,FALSE)))</f>
        <v/>
      </c>
      <c r="AA17" s="337" t="str">
        <f>IF($B17="","",IF(VLOOKUP($B17,'4.คีย์กลางภาค'!$B$5:$DA$49,84,FALSE)="","",VLOOKUP($B17,'4.คีย์กลางภาค'!$B$5:$DA$49,84,FALSE)))</f>
        <v/>
      </c>
      <c r="AB17" s="337" t="str">
        <f>IF($B17="","",IF(VLOOKUP($B17,'4.คีย์กลางภาค'!$B$5:$DA$49,88,FALSE)="","",VLOOKUP($B17,'4.คีย์กลางภาค'!$B$5:$DA$49,88,FALSE)))</f>
        <v/>
      </c>
      <c r="AC17" s="337" t="str">
        <f>IF($B17="","",IF(VLOOKUP($B17,'4.คีย์กลางภาค'!$B$5:$DA$49,92,FALSE)="","",VLOOKUP($B17,'4.คีย์กลางภาค'!$B$5:$DA$49,92,FALSE)))</f>
        <v/>
      </c>
      <c r="AD17" s="340" t="str">
        <f>IF($B17="","",IF(VLOOKUP($B17,'4.คีย์กลางภาค'!$B$5:$DA$49,96,FALSE)="","",VLOOKUP($B17,'4.คีย์กลางภาค'!$B$5:$DA$49,96,FALSE)))</f>
        <v/>
      </c>
      <c r="AE17" s="338" t="str">
        <f>IF($B17="","",IF(VLOOKUP($B17,'4.คีย์กลางภาค'!$B$5:$DA$49,100,FALSE)="","",VLOOKUP($B17,'4.คีย์กลางภาค'!$B$5:$DA$49,100,FALSE)))</f>
        <v/>
      </c>
      <c r="AF17" s="485" t="str">
        <f>IF($B17="","",IF(VLOOKUP($B17,'4.คีย์กลางภาค'!$B$5:$DA$49,104,FALSE)="","",VLOOKUP($B17,'4.คีย์กลางภาค'!$B$5:$DA$49,104,FALSE)))</f>
        <v/>
      </c>
      <c r="AG17" s="540" t="str">
        <f>IF($B17="","",IF(VLOOKUP($B17,'4.คีย์กลางภาค'!$B$5:$DD$49,105,FALSE)="","",VLOOKUP($B17,'4.คีย์กลางภาค'!$B$5:$DD$49,105,FALSE)))</f>
        <v/>
      </c>
      <c r="AH17" s="536" t="str">
        <f>IF($B17="","",IF(VLOOKUP($B17,'4.คีย์กลางภาค'!$B$5:$DD$49,106,FALSE)="","",VLOOKUP($B17,'4.คีย์กลางภาค'!$B$5:$DD$49,106,FALSE)))</f>
        <v/>
      </c>
      <c r="AI17" s="27" t="str">
        <f t="shared" si="14"/>
        <v/>
      </c>
      <c r="AJ17" s="330"/>
      <c r="AL17" s="342" t="str">
        <f t="shared" si="15"/>
        <v/>
      </c>
      <c r="AM17" s="343" t="str">
        <f t="shared" si="16"/>
        <v/>
      </c>
      <c r="AN17" s="343" t="str">
        <f t="shared" si="17"/>
        <v/>
      </c>
      <c r="AO17" s="344" t="str">
        <f t="shared" si="18"/>
        <v/>
      </c>
      <c r="AP17" s="345" t="str">
        <f t="shared" si="19"/>
        <v/>
      </c>
    </row>
    <row r="18" spans="1:42" s="29" customFormat="1" ht="16.5" customHeight="1" x14ac:dyDescent="0.25">
      <c r="A18" s="335">
        <v>11</v>
      </c>
      <c r="B18" s="20" t="str">
        <f>IF(IDstu11="","",IDstu11)</f>
        <v/>
      </c>
      <c r="C18" s="504" t="str">
        <f>IF(Name11="","",Name11)</f>
        <v/>
      </c>
      <c r="D18" s="505" t="str">
        <f>IF(Surname11="","",Surname11)</f>
        <v/>
      </c>
      <c r="E18" s="336" t="str">
        <f>IF($B18="","",IF(VLOOKUP($B18,'4.คีย์กลางภาค'!$B$5:$DA$49,8,FALSE)="","",VLOOKUP($B18,'4.คีย์กลางภาค'!$B$5:$DA$49,8,FALSE)))</f>
        <v/>
      </c>
      <c r="F18" s="337" t="str">
        <f>IF($B18="","",IF(VLOOKUP($B18,'4.คีย์กลางภาค'!$B$5:$DA$49,12,FALSE)="","",VLOOKUP($B18,'4.คีย์กลางภาค'!$B$5:$DA$49,12,FALSE)))</f>
        <v/>
      </c>
      <c r="G18" s="337" t="str">
        <f>IF($B18="","",IF(VLOOKUP($B18,'4.คีย์กลางภาค'!$B$5:$DA$49,16,FALSE)="","",VLOOKUP($B18,'4.คีย์กลางภาค'!$B$5:$DA$49,16,FALSE)))</f>
        <v/>
      </c>
      <c r="H18" s="338" t="str">
        <f>IF($B18="","",IF(VLOOKUP($B18,'4.คีย์กลางภาค'!$B$5:$DA$49,20,FALSE)="","",VLOOKUP($B18,'4.คีย์กลางภาค'!$B$5:$DA$49,20,FALSE)))</f>
        <v/>
      </c>
      <c r="I18" s="337" t="str">
        <f>IF($B18="","",IF(VLOOKUP($B18,'4.คีย์กลางภาค'!$B$5:$DA$49,24,FALSE)="","",VLOOKUP($B18,'4.คีย์กลางภาค'!$B$5:$DA$49,24,FALSE)))</f>
        <v/>
      </c>
      <c r="J18" s="337" t="str">
        <f>IF($B18="","",IF(VLOOKUP($B18,'4.คีย์กลางภาค'!$B$5:$DA$49,28,FALSE)="","",VLOOKUP($B18,'4.คีย์กลางภาค'!$B$5:$DA$49,28,FALSE)))</f>
        <v/>
      </c>
      <c r="K18" s="337" t="str">
        <f>IF($B18="","",IF(VLOOKUP($B18,'4.คีย์กลางภาค'!$B$5:$DA$49,32,FALSE)="","",VLOOKUP($B18,'4.คีย์กลางภาค'!$B$5:$DA$49,32,FALSE)))</f>
        <v/>
      </c>
      <c r="L18" s="337" t="str">
        <f>IF($B18="","",IF(VLOOKUP($B18,'4.คีย์กลางภาค'!$B$5:$DA$49,36,FALSE)="","",VLOOKUP($B18,'4.คีย์กลางภาค'!$B$5:$DA$49,36,FALSE)))</f>
        <v/>
      </c>
      <c r="M18" s="338" t="str">
        <f>IF($B18="","",IF(VLOOKUP($B18,'4.คีย์กลางภาค'!$B$5:$DA$49,40,FALSE)="","",VLOOKUP($B18,'4.คีย์กลางภาค'!$B$5:$DA$49,40,FALSE)))</f>
        <v/>
      </c>
      <c r="N18" s="338" t="str">
        <f>IF($B18="","",IF(VLOOKUP($B18,'4.คีย์กลางภาค'!$B$5:$DA$49,44,FALSE)="","",VLOOKUP($B18,'4.คีย์กลางภาค'!$B$5:$DA$49,44,FALSE)))</f>
        <v/>
      </c>
      <c r="O18" s="338" t="str">
        <f>IF($B18="","",IF(VLOOKUP($B18,'4.คีย์กลางภาค'!$B$5:$DA$49,48,FALSE)="","",VLOOKUP($B18,'4.คีย์กลางภาค'!$B$5:$DA$49,48,FALSE)))</f>
        <v/>
      </c>
      <c r="P18" s="339" t="str">
        <f>IF($B18="","",IF(VLOOKUP($B18,'4.คีย์กลางภาค'!$B$5:$DA$49,52,FALSE)="","",VLOOKUP($B18,'4.คีย์กลางภาค'!$B$5:$DA$49,52,FALSE)))</f>
        <v/>
      </c>
      <c r="Q18" s="335">
        <v>11</v>
      </c>
      <c r="R18" s="504" t="str">
        <f>IF(Name11="","",Name11)</f>
        <v/>
      </c>
      <c r="S18" s="505" t="str">
        <f>IF(Surname11="","",Surname11)</f>
        <v/>
      </c>
      <c r="T18" s="336" t="str">
        <f>IF($B18="","",IF(VLOOKUP($B18,'4.คีย์กลางภาค'!$B$5:$DA$49,56,FALSE)="","",VLOOKUP($B18,'4.คีย์กลางภาค'!$B$5:$DA$49,56,FALSE)))</f>
        <v/>
      </c>
      <c r="U18" s="337" t="str">
        <f>IF($B18="","",IF(VLOOKUP($B18,'4.คีย์กลางภาค'!$B$5:$DA$49,60,FALSE)="","",VLOOKUP($B18,'4.คีย์กลางภาค'!$B$5:$DA$49,60,FALSE)))</f>
        <v/>
      </c>
      <c r="V18" s="337" t="str">
        <f>IF($B18="","",IF(VLOOKUP($B18,'4.คีย์กลางภาค'!$B$5:$DA$49,64,FALSE)="","",VLOOKUP($B18,'4.คีย์กลางภาค'!$B$5:$DA$49,64,FALSE)))</f>
        <v/>
      </c>
      <c r="W18" s="337" t="str">
        <f>IF($B18="","",IF(VLOOKUP($B18,'4.คีย์กลางภาค'!$B$5:$DA$49,68,FALSE)="","",VLOOKUP($B18,'4.คีย์กลางภาค'!$B$5:$DA$49,68,FALSE)))</f>
        <v/>
      </c>
      <c r="X18" s="338" t="str">
        <f>IF($B18="","",IF(VLOOKUP($B18,'4.คีย์กลางภาค'!$B$5:$DA$49,72,FALSE)="","",VLOOKUP($B18,'4.คีย์กลางภาค'!$B$5:$DA$49,72,FALSE)))</f>
        <v/>
      </c>
      <c r="Y18" s="337" t="str">
        <f>IF($B18="","",IF(VLOOKUP($B18,'4.คีย์กลางภาค'!$B$5:$DA$49,76,FALSE)="","",VLOOKUP($B18,'4.คีย์กลางภาค'!$B$5:$DA$49,76,FALSE)))</f>
        <v/>
      </c>
      <c r="Z18" s="337" t="str">
        <f>IF($B18="","",IF(VLOOKUP($B18,'4.คีย์กลางภาค'!$B$5:$DA$49,80,FALSE)="","",VLOOKUP($B18,'4.คีย์กลางภาค'!$B$5:$DA$49,80,FALSE)))</f>
        <v/>
      </c>
      <c r="AA18" s="337" t="str">
        <f>IF($B18="","",IF(VLOOKUP($B18,'4.คีย์กลางภาค'!$B$5:$DA$49,84,FALSE)="","",VLOOKUP($B18,'4.คีย์กลางภาค'!$B$5:$DA$49,84,FALSE)))</f>
        <v/>
      </c>
      <c r="AB18" s="337" t="str">
        <f>IF($B18="","",IF(VLOOKUP($B18,'4.คีย์กลางภาค'!$B$5:$DA$49,88,FALSE)="","",VLOOKUP($B18,'4.คีย์กลางภาค'!$B$5:$DA$49,88,FALSE)))</f>
        <v/>
      </c>
      <c r="AC18" s="337" t="str">
        <f>IF($B18="","",IF(VLOOKUP($B18,'4.คีย์กลางภาค'!$B$5:$DA$49,92,FALSE)="","",VLOOKUP($B18,'4.คีย์กลางภาค'!$B$5:$DA$49,92,FALSE)))</f>
        <v/>
      </c>
      <c r="AD18" s="340" t="str">
        <f>IF($B18="","",IF(VLOOKUP($B18,'4.คีย์กลางภาค'!$B$5:$DA$49,96,FALSE)="","",VLOOKUP($B18,'4.คีย์กลางภาค'!$B$5:$DA$49,96,FALSE)))</f>
        <v/>
      </c>
      <c r="AE18" s="338" t="str">
        <f>IF($B18="","",IF(VLOOKUP($B18,'4.คีย์กลางภาค'!$B$5:$DA$49,100,FALSE)="","",VLOOKUP($B18,'4.คีย์กลางภาค'!$B$5:$DA$49,100,FALSE)))</f>
        <v/>
      </c>
      <c r="AF18" s="485" t="str">
        <f>IF($B18="","",IF(VLOOKUP($B18,'4.คีย์กลางภาค'!$B$5:$DA$49,104,FALSE)="","",VLOOKUP($B18,'4.คีย์กลางภาค'!$B$5:$DA$49,104,FALSE)))</f>
        <v/>
      </c>
      <c r="AG18" s="540" t="str">
        <f>IF($B18="","",IF(VLOOKUP($B18,'4.คีย์กลางภาค'!$B$5:$DD$49,105,FALSE)="","",VLOOKUP($B18,'4.คีย์กลางภาค'!$B$5:$DD$49,105,FALSE)))</f>
        <v/>
      </c>
      <c r="AH18" s="536" t="str">
        <f>IF($B18="","",IF(VLOOKUP($B18,'4.คีย์กลางภาค'!$B$5:$DD$49,106,FALSE)="","",VLOOKUP($B18,'4.คีย์กลางภาค'!$B$5:$DD$49,106,FALSE)))</f>
        <v/>
      </c>
      <c r="AI18" s="27" t="str">
        <f t="shared" si="14"/>
        <v/>
      </c>
      <c r="AJ18" s="330"/>
      <c r="AL18" s="342" t="str">
        <f t="shared" si="15"/>
        <v/>
      </c>
      <c r="AM18" s="343" t="str">
        <f t="shared" si="16"/>
        <v/>
      </c>
      <c r="AN18" s="343" t="str">
        <f t="shared" si="17"/>
        <v/>
      </c>
      <c r="AO18" s="344" t="str">
        <f t="shared" si="18"/>
        <v/>
      </c>
      <c r="AP18" s="345" t="str">
        <f t="shared" si="19"/>
        <v/>
      </c>
    </row>
    <row r="19" spans="1:42" s="29" customFormat="1" ht="16.5" customHeight="1" x14ac:dyDescent="0.25">
      <c r="A19" s="335">
        <v>12</v>
      </c>
      <c r="B19" s="20" t="str">
        <f>IF(IDstu12="","",IDstu12)</f>
        <v/>
      </c>
      <c r="C19" s="504" t="str">
        <f>IF(Name12="","",Name12)</f>
        <v/>
      </c>
      <c r="D19" s="505" t="str">
        <f>IF(Surname12="","",Surname12)</f>
        <v/>
      </c>
      <c r="E19" s="336" t="str">
        <f>IF($B19="","",IF(VLOOKUP($B19,'4.คีย์กลางภาค'!$B$5:$DA$49,8,FALSE)="","",VLOOKUP($B19,'4.คีย์กลางภาค'!$B$5:$DA$49,8,FALSE)))</f>
        <v/>
      </c>
      <c r="F19" s="337" t="str">
        <f>IF($B19="","",IF(VLOOKUP($B19,'4.คีย์กลางภาค'!$B$5:$DA$49,12,FALSE)="","",VLOOKUP($B19,'4.คีย์กลางภาค'!$B$5:$DA$49,12,FALSE)))</f>
        <v/>
      </c>
      <c r="G19" s="337" t="str">
        <f>IF($B19="","",IF(VLOOKUP($B19,'4.คีย์กลางภาค'!$B$5:$DA$49,16,FALSE)="","",VLOOKUP($B19,'4.คีย์กลางภาค'!$B$5:$DA$49,16,FALSE)))</f>
        <v/>
      </c>
      <c r="H19" s="338" t="str">
        <f>IF($B19="","",IF(VLOOKUP($B19,'4.คีย์กลางภาค'!$B$5:$DA$49,20,FALSE)="","",VLOOKUP($B19,'4.คีย์กลางภาค'!$B$5:$DA$49,20,FALSE)))</f>
        <v/>
      </c>
      <c r="I19" s="337" t="str">
        <f>IF($B19="","",IF(VLOOKUP($B19,'4.คีย์กลางภาค'!$B$5:$DA$49,24,FALSE)="","",VLOOKUP($B19,'4.คีย์กลางภาค'!$B$5:$DA$49,24,FALSE)))</f>
        <v/>
      </c>
      <c r="J19" s="337" t="str">
        <f>IF($B19="","",IF(VLOOKUP($B19,'4.คีย์กลางภาค'!$B$5:$DA$49,28,FALSE)="","",VLOOKUP($B19,'4.คีย์กลางภาค'!$B$5:$DA$49,28,FALSE)))</f>
        <v/>
      </c>
      <c r="K19" s="337" t="str">
        <f>IF($B19="","",IF(VLOOKUP($B19,'4.คีย์กลางภาค'!$B$5:$DA$49,32,FALSE)="","",VLOOKUP($B19,'4.คีย์กลางภาค'!$B$5:$DA$49,32,FALSE)))</f>
        <v/>
      </c>
      <c r="L19" s="337" t="str">
        <f>IF($B19="","",IF(VLOOKUP($B19,'4.คีย์กลางภาค'!$B$5:$DA$49,36,FALSE)="","",VLOOKUP($B19,'4.คีย์กลางภาค'!$B$5:$DA$49,36,FALSE)))</f>
        <v/>
      </c>
      <c r="M19" s="338" t="str">
        <f>IF($B19="","",IF(VLOOKUP($B19,'4.คีย์กลางภาค'!$B$5:$DA$49,40,FALSE)="","",VLOOKUP($B19,'4.คีย์กลางภาค'!$B$5:$DA$49,40,FALSE)))</f>
        <v/>
      </c>
      <c r="N19" s="338" t="str">
        <f>IF($B19="","",IF(VLOOKUP($B19,'4.คีย์กลางภาค'!$B$5:$DA$49,44,FALSE)="","",VLOOKUP($B19,'4.คีย์กลางภาค'!$B$5:$DA$49,44,FALSE)))</f>
        <v/>
      </c>
      <c r="O19" s="338" t="str">
        <f>IF($B19="","",IF(VLOOKUP($B19,'4.คีย์กลางภาค'!$B$5:$DA$49,48,FALSE)="","",VLOOKUP($B19,'4.คีย์กลางภาค'!$B$5:$DA$49,48,FALSE)))</f>
        <v/>
      </c>
      <c r="P19" s="339" t="str">
        <f>IF($B19="","",IF(VLOOKUP($B19,'4.คีย์กลางภาค'!$B$5:$DA$49,52,FALSE)="","",VLOOKUP($B19,'4.คีย์กลางภาค'!$B$5:$DA$49,52,FALSE)))</f>
        <v/>
      </c>
      <c r="Q19" s="335">
        <v>12</v>
      </c>
      <c r="R19" s="504" t="str">
        <f>IF(Name12="","",Name12)</f>
        <v/>
      </c>
      <c r="S19" s="505" t="str">
        <f>IF(Surname12="","",Surname12)</f>
        <v/>
      </c>
      <c r="T19" s="336" t="str">
        <f>IF($B19="","",IF(VLOOKUP($B19,'4.คีย์กลางภาค'!$B$5:$DA$49,56,FALSE)="","",VLOOKUP($B19,'4.คีย์กลางภาค'!$B$5:$DA$49,56,FALSE)))</f>
        <v/>
      </c>
      <c r="U19" s="337" t="str">
        <f>IF($B19="","",IF(VLOOKUP($B19,'4.คีย์กลางภาค'!$B$5:$DA$49,60,FALSE)="","",VLOOKUP($B19,'4.คีย์กลางภาค'!$B$5:$DA$49,60,FALSE)))</f>
        <v/>
      </c>
      <c r="V19" s="337" t="str">
        <f>IF($B19="","",IF(VLOOKUP($B19,'4.คีย์กลางภาค'!$B$5:$DA$49,64,FALSE)="","",VLOOKUP($B19,'4.คีย์กลางภาค'!$B$5:$DA$49,64,FALSE)))</f>
        <v/>
      </c>
      <c r="W19" s="337" t="str">
        <f>IF($B19="","",IF(VLOOKUP($B19,'4.คีย์กลางภาค'!$B$5:$DA$49,68,FALSE)="","",VLOOKUP($B19,'4.คีย์กลางภาค'!$B$5:$DA$49,68,FALSE)))</f>
        <v/>
      </c>
      <c r="X19" s="338" t="str">
        <f>IF($B19="","",IF(VLOOKUP($B19,'4.คีย์กลางภาค'!$B$5:$DA$49,72,FALSE)="","",VLOOKUP($B19,'4.คีย์กลางภาค'!$B$5:$DA$49,72,FALSE)))</f>
        <v/>
      </c>
      <c r="Y19" s="337" t="str">
        <f>IF($B19="","",IF(VLOOKUP($B19,'4.คีย์กลางภาค'!$B$5:$DA$49,76,FALSE)="","",VLOOKUP($B19,'4.คีย์กลางภาค'!$B$5:$DA$49,76,FALSE)))</f>
        <v/>
      </c>
      <c r="Z19" s="337" t="str">
        <f>IF($B19="","",IF(VLOOKUP($B19,'4.คีย์กลางภาค'!$B$5:$DA$49,80,FALSE)="","",VLOOKUP($B19,'4.คีย์กลางภาค'!$B$5:$DA$49,80,FALSE)))</f>
        <v/>
      </c>
      <c r="AA19" s="337" t="str">
        <f>IF($B19="","",IF(VLOOKUP($B19,'4.คีย์กลางภาค'!$B$5:$DA$49,84,FALSE)="","",VLOOKUP($B19,'4.คีย์กลางภาค'!$B$5:$DA$49,84,FALSE)))</f>
        <v/>
      </c>
      <c r="AB19" s="337" t="str">
        <f>IF($B19="","",IF(VLOOKUP($B19,'4.คีย์กลางภาค'!$B$5:$DA$49,88,FALSE)="","",VLOOKUP($B19,'4.คีย์กลางภาค'!$B$5:$DA$49,88,FALSE)))</f>
        <v/>
      </c>
      <c r="AC19" s="337" t="str">
        <f>IF($B19="","",IF(VLOOKUP($B19,'4.คีย์กลางภาค'!$B$5:$DA$49,92,FALSE)="","",VLOOKUP($B19,'4.คีย์กลางภาค'!$B$5:$DA$49,92,FALSE)))</f>
        <v/>
      </c>
      <c r="AD19" s="340" t="str">
        <f>IF($B19="","",IF(VLOOKUP($B19,'4.คีย์กลางภาค'!$B$5:$DA$49,96,FALSE)="","",VLOOKUP($B19,'4.คีย์กลางภาค'!$B$5:$DA$49,96,FALSE)))</f>
        <v/>
      </c>
      <c r="AE19" s="338" t="str">
        <f>IF($B19="","",IF(VLOOKUP($B19,'4.คีย์กลางภาค'!$B$5:$DA$49,100,FALSE)="","",VLOOKUP($B19,'4.คีย์กลางภาค'!$B$5:$DA$49,100,FALSE)))</f>
        <v/>
      </c>
      <c r="AF19" s="485" t="str">
        <f>IF($B19="","",IF(VLOOKUP($B19,'4.คีย์กลางภาค'!$B$5:$DA$49,104,FALSE)="","",VLOOKUP($B19,'4.คีย์กลางภาค'!$B$5:$DA$49,104,FALSE)))</f>
        <v/>
      </c>
      <c r="AG19" s="540" t="str">
        <f>IF($B19="","",IF(VLOOKUP($B19,'4.คีย์กลางภาค'!$B$5:$DD$49,105,FALSE)="","",VLOOKUP($B19,'4.คีย์กลางภาค'!$B$5:$DD$49,105,FALSE)))</f>
        <v/>
      </c>
      <c r="AH19" s="536" t="str">
        <f>IF($B19="","",IF(VLOOKUP($B19,'4.คีย์กลางภาค'!$B$5:$DD$49,106,FALSE)="","",VLOOKUP($B19,'4.คีย์กลางภาค'!$B$5:$DD$49,106,FALSE)))</f>
        <v/>
      </c>
      <c r="AI19" s="27" t="str">
        <f t="shared" si="14"/>
        <v/>
      </c>
      <c r="AJ19" s="330"/>
      <c r="AL19" s="342" t="str">
        <f t="shared" si="15"/>
        <v/>
      </c>
      <c r="AM19" s="343" t="str">
        <f t="shared" si="16"/>
        <v/>
      </c>
      <c r="AN19" s="343" t="str">
        <f t="shared" si="17"/>
        <v/>
      </c>
      <c r="AO19" s="344" t="str">
        <f t="shared" si="18"/>
        <v/>
      </c>
      <c r="AP19" s="345" t="str">
        <f t="shared" si="19"/>
        <v/>
      </c>
    </row>
    <row r="20" spans="1:42" s="29" customFormat="1" ht="16.5" customHeight="1" x14ac:dyDescent="0.25">
      <c r="A20" s="335">
        <v>13</v>
      </c>
      <c r="B20" s="20" t="str">
        <f>IF(IDstu13="","",IDstu13)</f>
        <v/>
      </c>
      <c r="C20" s="504" t="str">
        <f>IF(Name13="","",Name13)</f>
        <v/>
      </c>
      <c r="D20" s="505" t="str">
        <f>IF(Surname13="","",Surname13)</f>
        <v/>
      </c>
      <c r="E20" s="336" t="str">
        <f>IF($B20="","",IF(VLOOKUP($B20,'4.คีย์กลางภาค'!$B$5:$DA$49,8,FALSE)="","",VLOOKUP($B20,'4.คีย์กลางภาค'!$B$5:$DA$49,8,FALSE)))</f>
        <v/>
      </c>
      <c r="F20" s="337" t="str">
        <f>IF($B20="","",IF(VLOOKUP($B20,'4.คีย์กลางภาค'!$B$5:$DA$49,12,FALSE)="","",VLOOKUP($B20,'4.คีย์กลางภาค'!$B$5:$DA$49,12,FALSE)))</f>
        <v/>
      </c>
      <c r="G20" s="337" t="str">
        <f>IF($B20="","",IF(VLOOKUP($B20,'4.คีย์กลางภาค'!$B$5:$DA$49,16,FALSE)="","",VLOOKUP($B20,'4.คีย์กลางภาค'!$B$5:$DA$49,16,FALSE)))</f>
        <v/>
      </c>
      <c r="H20" s="338" t="str">
        <f>IF($B20="","",IF(VLOOKUP($B20,'4.คีย์กลางภาค'!$B$5:$DA$49,20,FALSE)="","",VLOOKUP($B20,'4.คีย์กลางภาค'!$B$5:$DA$49,20,FALSE)))</f>
        <v/>
      </c>
      <c r="I20" s="337" t="str">
        <f>IF($B20="","",IF(VLOOKUP($B20,'4.คีย์กลางภาค'!$B$5:$DA$49,24,FALSE)="","",VLOOKUP($B20,'4.คีย์กลางภาค'!$B$5:$DA$49,24,FALSE)))</f>
        <v/>
      </c>
      <c r="J20" s="337" t="str">
        <f>IF($B20="","",IF(VLOOKUP($B20,'4.คีย์กลางภาค'!$B$5:$DA$49,28,FALSE)="","",VLOOKUP($B20,'4.คีย์กลางภาค'!$B$5:$DA$49,28,FALSE)))</f>
        <v/>
      </c>
      <c r="K20" s="337" t="str">
        <f>IF($B20="","",IF(VLOOKUP($B20,'4.คีย์กลางภาค'!$B$5:$DA$49,32,FALSE)="","",VLOOKUP($B20,'4.คีย์กลางภาค'!$B$5:$DA$49,32,FALSE)))</f>
        <v/>
      </c>
      <c r="L20" s="337" t="str">
        <f>IF($B20="","",IF(VLOOKUP($B20,'4.คีย์กลางภาค'!$B$5:$DA$49,36,FALSE)="","",VLOOKUP($B20,'4.คีย์กลางภาค'!$B$5:$DA$49,36,FALSE)))</f>
        <v/>
      </c>
      <c r="M20" s="338" t="str">
        <f>IF($B20="","",IF(VLOOKUP($B20,'4.คีย์กลางภาค'!$B$5:$DA$49,40,FALSE)="","",VLOOKUP($B20,'4.คีย์กลางภาค'!$B$5:$DA$49,40,FALSE)))</f>
        <v/>
      </c>
      <c r="N20" s="338" t="str">
        <f>IF($B20="","",IF(VLOOKUP($B20,'4.คีย์กลางภาค'!$B$5:$DA$49,44,FALSE)="","",VLOOKUP($B20,'4.คีย์กลางภาค'!$B$5:$DA$49,44,FALSE)))</f>
        <v/>
      </c>
      <c r="O20" s="338" t="str">
        <f>IF($B20="","",IF(VLOOKUP($B20,'4.คีย์กลางภาค'!$B$5:$DA$49,48,FALSE)="","",VLOOKUP($B20,'4.คีย์กลางภาค'!$B$5:$DA$49,48,FALSE)))</f>
        <v/>
      </c>
      <c r="P20" s="339" t="str">
        <f>IF($B20="","",IF(VLOOKUP($B20,'4.คีย์กลางภาค'!$B$5:$DA$49,52,FALSE)="","",VLOOKUP($B20,'4.คีย์กลางภาค'!$B$5:$DA$49,52,FALSE)))</f>
        <v/>
      </c>
      <c r="Q20" s="335">
        <v>13</v>
      </c>
      <c r="R20" s="504" t="str">
        <f>IF(Name13="","",Name13)</f>
        <v/>
      </c>
      <c r="S20" s="505" t="str">
        <f>IF(Surname13="","",Surname13)</f>
        <v/>
      </c>
      <c r="T20" s="336" t="str">
        <f>IF($B20="","",IF(VLOOKUP($B20,'4.คีย์กลางภาค'!$B$5:$DA$49,56,FALSE)="","",VLOOKUP($B20,'4.คีย์กลางภาค'!$B$5:$DA$49,56,FALSE)))</f>
        <v/>
      </c>
      <c r="U20" s="337" t="str">
        <f>IF($B20="","",IF(VLOOKUP($B20,'4.คีย์กลางภาค'!$B$5:$DA$49,60,FALSE)="","",VLOOKUP($B20,'4.คีย์กลางภาค'!$B$5:$DA$49,60,FALSE)))</f>
        <v/>
      </c>
      <c r="V20" s="337" t="str">
        <f>IF($B20="","",IF(VLOOKUP($B20,'4.คีย์กลางภาค'!$B$5:$DA$49,64,FALSE)="","",VLOOKUP($B20,'4.คีย์กลางภาค'!$B$5:$DA$49,64,FALSE)))</f>
        <v/>
      </c>
      <c r="W20" s="337" t="str">
        <f>IF($B20="","",IF(VLOOKUP($B20,'4.คีย์กลางภาค'!$B$5:$DA$49,68,FALSE)="","",VLOOKUP($B20,'4.คีย์กลางภาค'!$B$5:$DA$49,68,FALSE)))</f>
        <v/>
      </c>
      <c r="X20" s="337" t="str">
        <f>IF($B20="","",IF(VLOOKUP($B20,'4.คีย์กลางภาค'!$B$5:$DA$49,72,FALSE)="","",VLOOKUP($B20,'4.คีย์กลางภาค'!$B$5:$DA$49,72,FALSE)))</f>
        <v/>
      </c>
      <c r="Y20" s="338" t="str">
        <f>IF($B20="","",IF(VLOOKUP($B20,'4.คีย์กลางภาค'!$B$5:$DA$49,76,FALSE)="","",VLOOKUP($B20,'4.คีย์กลางภาค'!$B$5:$DA$49,76,FALSE)))</f>
        <v/>
      </c>
      <c r="Z20" s="337" t="str">
        <f>IF($B20="","",IF(VLOOKUP($B20,'4.คีย์กลางภาค'!$B$5:$DA$49,80,FALSE)="","",VLOOKUP($B20,'4.คีย์กลางภาค'!$B$5:$DA$49,80,FALSE)))</f>
        <v/>
      </c>
      <c r="AA20" s="337" t="str">
        <f>IF($B20="","",IF(VLOOKUP($B20,'4.คีย์กลางภาค'!$B$5:$DA$49,84,FALSE)="","",VLOOKUP($B20,'4.คีย์กลางภาค'!$B$5:$DA$49,84,FALSE)))</f>
        <v/>
      </c>
      <c r="AB20" s="337" t="str">
        <f>IF($B20="","",IF(VLOOKUP($B20,'4.คีย์กลางภาค'!$B$5:$DA$49,88,FALSE)="","",VLOOKUP($B20,'4.คีย์กลางภาค'!$B$5:$DA$49,88,FALSE)))</f>
        <v/>
      </c>
      <c r="AC20" s="337" t="str">
        <f>IF($B20="","",IF(VLOOKUP($B20,'4.คีย์กลางภาค'!$B$5:$DA$49,92,FALSE)="","",VLOOKUP($B20,'4.คีย์กลางภาค'!$B$5:$DA$49,92,FALSE)))</f>
        <v/>
      </c>
      <c r="AD20" s="340" t="str">
        <f>IF($B20="","",IF(VLOOKUP($B20,'4.คีย์กลางภาค'!$B$5:$DA$49,96,FALSE)="","",VLOOKUP($B20,'4.คีย์กลางภาค'!$B$5:$DA$49,96,FALSE)))</f>
        <v/>
      </c>
      <c r="AE20" s="338" t="str">
        <f>IF($B20="","",IF(VLOOKUP($B20,'4.คีย์กลางภาค'!$B$5:$DA$49,100,FALSE)="","",VLOOKUP($B20,'4.คีย์กลางภาค'!$B$5:$DA$49,100,FALSE)))</f>
        <v/>
      </c>
      <c r="AF20" s="485" t="str">
        <f>IF($B20="","",IF(VLOOKUP($B20,'4.คีย์กลางภาค'!$B$5:$DA$49,104,FALSE)="","",VLOOKUP($B20,'4.คีย์กลางภาค'!$B$5:$DA$49,104,FALSE)))</f>
        <v/>
      </c>
      <c r="AG20" s="540" t="str">
        <f>IF($B20="","",IF(VLOOKUP($B20,'4.คีย์กลางภาค'!$B$5:$DD$49,105,FALSE)="","",VLOOKUP($B20,'4.คีย์กลางภาค'!$B$5:$DD$49,105,FALSE)))</f>
        <v/>
      </c>
      <c r="AH20" s="536" t="str">
        <f>IF($B20="","",IF(VLOOKUP($B20,'4.คีย์กลางภาค'!$B$5:$DD$49,106,FALSE)="","",VLOOKUP($B20,'4.คีย์กลางภาค'!$B$5:$DD$49,106,FALSE)))</f>
        <v/>
      </c>
      <c r="AI20" s="27" t="str">
        <f t="shared" si="14"/>
        <v/>
      </c>
      <c r="AJ20" s="330"/>
      <c r="AL20" s="342" t="str">
        <f t="shared" si="15"/>
        <v/>
      </c>
      <c r="AM20" s="343" t="str">
        <f t="shared" si="16"/>
        <v/>
      </c>
      <c r="AN20" s="343" t="str">
        <f t="shared" si="17"/>
        <v/>
      </c>
      <c r="AO20" s="344" t="str">
        <f t="shared" si="18"/>
        <v/>
      </c>
      <c r="AP20" s="345" t="str">
        <f t="shared" si="19"/>
        <v/>
      </c>
    </row>
    <row r="21" spans="1:42" s="29" customFormat="1" ht="16.5" customHeight="1" x14ac:dyDescent="0.25">
      <c r="A21" s="335">
        <v>14</v>
      </c>
      <c r="B21" s="20" t="str">
        <f>IF(IDstu14="","",IDstu14)</f>
        <v/>
      </c>
      <c r="C21" s="504" t="str">
        <f>IF(Name14="","",Name14)</f>
        <v/>
      </c>
      <c r="D21" s="505" t="str">
        <f>IF(Surname14="","",Surname14)</f>
        <v/>
      </c>
      <c r="E21" s="336" t="str">
        <f>IF($B21="","",IF(VLOOKUP($B21,'4.คีย์กลางภาค'!$B$5:$DA$49,8,FALSE)="","",VLOOKUP($B21,'4.คีย์กลางภาค'!$B$5:$DA$49,8,FALSE)))</f>
        <v/>
      </c>
      <c r="F21" s="337" t="str">
        <f>IF($B21="","",IF(VLOOKUP($B21,'4.คีย์กลางภาค'!$B$5:$DA$49,12,FALSE)="","",VLOOKUP($B21,'4.คีย์กลางภาค'!$B$5:$DA$49,12,FALSE)))</f>
        <v/>
      </c>
      <c r="G21" s="337" t="str">
        <f>IF($B21="","",IF(VLOOKUP($B21,'4.คีย์กลางภาค'!$B$5:$DA$49,16,FALSE)="","",VLOOKUP($B21,'4.คีย์กลางภาค'!$B$5:$DA$49,16,FALSE)))</f>
        <v/>
      </c>
      <c r="H21" s="338" t="str">
        <f>IF($B21="","",IF(VLOOKUP($B21,'4.คีย์กลางภาค'!$B$5:$DA$49,20,FALSE)="","",VLOOKUP($B21,'4.คีย์กลางภาค'!$B$5:$DA$49,20,FALSE)))</f>
        <v/>
      </c>
      <c r="I21" s="337" t="str">
        <f>IF($B21="","",IF(VLOOKUP($B21,'4.คีย์กลางภาค'!$B$5:$DA$49,24,FALSE)="","",VLOOKUP($B21,'4.คีย์กลางภาค'!$B$5:$DA$49,24,FALSE)))</f>
        <v/>
      </c>
      <c r="J21" s="337" t="str">
        <f>IF($B21="","",IF(VLOOKUP($B21,'4.คีย์กลางภาค'!$B$5:$DA$49,28,FALSE)="","",VLOOKUP($B21,'4.คีย์กลางภาค'!$B$5:$DA$49,28,FALSE)))</f>
        <v/>
      </c>
      <c r="K21" s="337" t="str">
        <f>IF($B21="","",IF(VLOOKUP($B21,'4.คีย์กลางภาค'!$B$5:$DA$49,32,FALSE)="","",VLOOKUP($B21,'4.คีย์กลางภาค'!$B$5:$DA$49,32,FALSE)))</f>
        <v/>
      </c>
      <c r="L21" s="337" t="str">
        <f>IF($B21="","",IF(VLOOKUP($B21,'4.คีย์กลางภาค'!$B$5:$DA$49,36,FALSE)="","",VLOOKUP($B21,'4.คีย์กลางภาค'!$B$5:$DA$49,36,FALSE)))</f>
        <v/>
      </c>
      <c r="M21" s="338" t="str">
        <f>IF($B21="","",IF(VLOOKUP($B21,'4.คีย์กลางภาค'!$B$5:$DA$49,40,FALSE)="","",VLOOKUP($B21,'4.คีย์กลางภาค'!$B$5:$DA$49,40,FALSE)))</f>
        <v/>
      </c>
      <c r="N21" s="338" t="str">
        <f>IF($B21="","",IF(VLOOKUP($B21,'4.คีย์กลางภาค'!$B$5:$DA$49,44,FALSE)="","",VLOOKUP($B21,'4.คีย์กลางภาค'!$B$5:$DA$49,44,FALSE)))</f>
        <v/>
      </c>
      <c r="O21" s="338" t="str">
        <f>IF($B21="","",IF(VLOOKUP($B21,'4.คีย์กลางภาค'!$B$5:$DA$49,48,FALSE)="","",VLOOKUP($B21,'4.คีย์กลางภาค'!$B$5:$DA$49,48,FALSE)))</f>
        <v/>
      </c>
      <c r="P21" s="339" t="str">
        <f>IF($B21="","",IF(VLOOKUP($B21,'4.คีย์กลางภาค'!$B$5:$DA$49,52,FALSE)="","",VLOOKUP($B21,'4.คีย์กลางภาค'!$B$5:$DA$49,52,FALSE)))</f>
        <v/>
      </c>
      <c r="Q21" s="335">
        <v>14</v>
      </c>
      <c r="R21" s="504" t="str">
        <f>IF(Name14="","",Name14)</f>
        <v/>
      </c>
      <c r="S21" s="505" t="str">
        <f>IF(Surname14="","",Surname14)</f>
        <v/>
      </c>
      <c r="T21" s="336" t="str">
        <f>IF($B21="","",IF(VLOOKUP($B21,'4.คีย์กลางภาค'!$B$5:$DA$49,56,FALSE)="","",VLOOKUP($B21,'4.คีย์กลางภาค'!$B$5:$DA$49,56,FALSE)))</f>
        <v/>
      </c>
      <c r="U21" s="337" t="str">
        <f>IF($B21="","",IF(VLOOKUP($B21,'4.คีย์กลางภาค'!$B$5:$DA$49,60,FALSE)="","",VLOOKUP($B21,'4.คีย์กลางภาค'!$B$5:$DA$49,60,FALSE)))</f>
        <v/>
      </c>
      <c r="V21" s="337" t="str">
        <f>IF($B21="","",IF(VLOOKUP($B21,'4.คีย์กลางภาค'!$B$5:$DA$49,64,FALSE)="","",VLOOKUP($B21,'4.คีย์กลางภาค'!$B$5:$DA$49,64,FALSE)))</f>
        <v/>
      </c>
      <c r="W21" s="337" t="str">
        <f>IF($B21="","",IF(VLOOKUP($B21,'4.คีย์กลางภาค'!$B$5:$DA$49,68,FALSE)="","",VLOOKUP($B21,'4.คีย์กลางภาค'!$B$5:$DA$49,68,FALSE)))</f>
        <v/>
      </c>
      <c r="X21" s="338" t="str">
        <f>IF($B21="","",IF(VLOOKUP($B21,'4.คีย์กลางภาค'!$B$5:$DA$49,72,FALSE)="","",VLOOKUP($B21,'4.คีย์กลางภาค'!$B$5:$DA$49,72,FALSE)))</f>
        <v/>
      </c>
      <c r="Y21" s="337" t="str">
        <f>IF($B21="","",IF(VLOOKUP($B21,'4.คีย์กลางภาค'!$B$5:$DA$49,76,FALSE)="","",VLOOKUP($B21,'4.คีย์กลางภาค'!$B$5:$DA$49,76,FALSE)))</f>
        <v/>
      </c>
      <c r="Z21" s="337" t="str">
        <f>IF($B21="","",IF(VLOOKUP($B21,'4.คีย์กลางภาค'!$B$5:$DA$49,80,FALSE)="","",VLOOKUP($B21,'4.คีย์กลางภาค'!$B$5:$DA$49,80,FALSE)))</f>
        <v/>
      </c>
      <c r="AA21" s="337" t="str">
        <f>IF($B21="","",IF(VLOOKUP($B21,'4.คีย์กลางภาค'!$B$5:$DA$49,84,FALSE)="","",VLOOKUP($B21,'4.คีย์กลางภาค'!$B$5:$DA$49,84,FALSE)))</f>
        <v/>
      </c>
      <c r="AB21" s="337" t="str">
        <f>IF($B21="","",IF(VLOOKUP($B21,'4.คีย์กลางภาค'!$B$5:$DA$49,88,FALSE)="","",VLOOKUP($B21,'4.คีย์กลางภาค'!$B$5:$DA$49,88,FALSE)))</f>
        <v/>
      </c>
      <c r="AC21" s="337" t="str">
        <f>IF($B21="","",IF(VLOOKUP($B21,'4.คีย์กลางภาค'!$B$5:$DA$49,92,FALSE)="","",VLOOKUP($B21,'4.คีย์กลางภาค'!$B$5:$DA$49,92,FALSE)))</f>
        <v/>
      </c>
      <c r="AD21" s="340" t="str">
        <f>IF($B21="","",IF(VLOOKUP($B21,'4.คีย์กลางภาค'!$B$5:$DA$49,96,FALSE)="","",VLOOKUP($B21,'4.คีย์กลางภาค'!$B$5:$DA$49,96,FALSE)))</f>
        <v/>
      </c>
      <c r="AE21" s="338" t="str">
        <f>IF($B21="","",IF(VLOOKUP($B21,'4.คีย์กลางภาค'!$B$5:$DA$49,100,FALSE)="","",VLOOKUP($B21,'4.คีย์กลางภาค'!$B$5:$DA$49,100,FALSE)))</f>
        <v/>
      </c>
      <c r="AF21" s="485" t="str">
        <f>IF($B21="","",IF(VLOOKUP($B21,'4.คีย์กลางภาค'!$B$5:$DA$49,104,FALSE)="","",VLOOKUP($B21,'4.คีย์กลางภาค'!$B$5:$DA$49,104,FALSE)))</f>
        <v/>
      </c>
      <c r="AG21" s="540" t="str">
        <f>IF($B21="","",IF(VLOOKUP($B21,'4.คีย์กลางภาค'!$B$5:$DD$49,105,FALSE)="","",VLOOKUP($B21,'4.คีย์กลางภาค'!$B$5:$DD$49,105,FALSE)))</f>
        <v/>
      </c>
      <c r="AH21" s="536" t="str">
        <f>IF($B21="","",IF(VLOOKUP($B21,'4.คีย์กลางภาค'!$B$5:$DD$49,106,FALSE)="","",VLOOKUP($B21,'4.คีย์กลางภาค'!$B$5:$DD$49,106,FALSE)))</f>
        <v/>
      </c>
      <c r="AI21" s="27" t="str">
        <f t="shared" si="14"/>
        <v/>
      </c>
      <c r="AJ21" s="330"/>
      <c r="AL21" s="342" t="str">
        <f t="shared" si="15"/>
        <v/>
      </c>
      <c r="AM21" s="343" t="str">
        <f t="shared" si="16"/>
        <v/>
      </c>
      <c r="AN21" s="343" t="str">
        <f t="shared" si="17"/>
        <v/>
      </c>
      <c r="AO21" s="344" t="str">
        <f t="shared" si="18"/>
        <v/>
      </c>
      <c r="AP21" s="345" t="str">
        <f t="shared" si="19"/>
        <v/>
      </c>
    </row>
    <row r="22" spans="1:42" s="29" customFormat="1" ht="16.5" customHeight="1" x14ac:dyDescent="0.25">
      <c r="A22" s="335">
        <v>15</v>
      </c>
      <c r="B22" s="20" t="str">
        <f>IF(IDstu15="","",IDstu15)</f>
        <v/>
      </c>
      <c r="C22" s="504" t="str">
        <f>IF(Name15="","",Name15)</f>
        <v/>
      </c>
      <c r="D22" s="505" t="str">
        <f>IF(Surname15="","",Surname15)</f>
        <v/>
      </c>
      <c r="E22" s="336" t="str">
        <f>IF($B22="","",IF(VLOOKUP($B22,'4.คีย์กลางภาค'!$B$5:$DA$49,8,FALSE)="","",VLOOKUP($B22,'4.คีย์กลางภาค'!$B$5:$DA$49,8,FALSE)))</f>
        <v/>
      </c>
      <c r="F22" s="337" t="str">
        <f>IF($B22="","",IF(VLOOKUP($B22,'4.คีย์กลางภาค'!$B$5:$DA$49,12,FALSE)="","",VLOOKUP($B22,'4.คีย์กลางภาค'!$B$5:$DA$49,12,FALSE)))</f>
        <v/>
      </c>
      <c r="G22" s="337" t="str">
        <f>IF($B22="","",IF(VLOOKUP($B22,'4.คีย์กลางภาค'!$B$5:$DA$49,16,FALSE)="","",VLOOKUP($B22,'4.คีย์กลางภาค'!$B$5:$DA$49,16,FALSE)))</f>
        <v/>
      </c>
      <c r="H22" s="338" t="str">
        <f>IF($B22="","",IF(VLOOKUP($B22,'4.คีย์กลางภาค'!$B$5:$DA$49,20,FALSE)="","",VLOOKUP($B22,'4.คีย์กลางภาค'!$B$5:$DA$49,20,FALSE)))</f>
        <v/>
      </c>
      <c r="I22" s="337" t="str">
        <f>IF($B22="","",IF(VLOOKUP($B22,'4.คีย์กลางภาค'!$B$5:$DA$49,24,FALSE)="","",VLOOKUP($B22,'4.คีย์กลางภาค'!$B$5:$DA$49,24,FALSE)))</f>
        <v/>
      </c>
      <c r="J22" s="337" t="str">
        <f>IF($B22="","",IF(VLOOKUP($B22,'4.คีย์กลางภาค'!$B$5:$DA$49,28,FALSE)="","",VLOOKUP($B22,'4.คีย์กลางภาค'!$B$5:$DA$49,28,FALSE)))</f>
        <v/>
      </c>
      <c r="K22" s="337" t="str">
        <f>IF($B22="","",IF(VLOOKUP($B22,'4.คีย์กลางภาค'!$B$5:$DA$49,32,FALSE)="","",VLOOKUP($B22,'4.คีย์กลางภาค'!$B$5:$DA$49,32,FALSE)))</f>
        <v/>
      </c>
      <c r="L22" s="337" t="str">
        <f>IF($B22="","",IF(VLOOKUP($B22,'4.คีย์กลางภาค'!$B$5:$DA$49,36,FALSE)="","",VLOOKUP($B22,'4.คีย์กลางภาค'!$B$5:$DA$49,36,FALSE)))</f>
        <v/>
      </c>
      <c r="M22" s="338" t="str">
        <f>IF($B22="","",IF(VLOOKUP($B22,'4.คีย์กลางภาค'!$B$5:$DA$49,40,FALSE)="","",VLOOKUP($B22,'4.คีย์กลางภาค'!$B$5:$DA$49,40,FALSE)))</f>
        <v/>
      </c>
      <c r="N22" s="338" t="str">
        <f>IF($B22="","",IF(VLOOKUP($B22,'4.คีย์กลางภาค'!$B$5:$DA$49,44,FALSE)="","",VLOOKUP($B22,'4.คีย์กลางภาค'!$B$5:$DA$49,44,FALSE)))</f>
        <v/>
      </c>
      <c r="O22" s="338" t="str">
        <f>IF($B22="","",IF(VLOOKUP($B22,'4.คีย์กลางภาค'!$B$5:$DA$49,48,FALSE)="","",VLOOKUP($B22,'4.คีย์กลางภาค'!$B$5:$DA$49,48,FALSE)))</f>
        <v/>
      </c>
      <c r="P22" s="339" t="str">
        <f>IF($B22="","",IF(VLOOKUP($B22,'4.คีย์กลางภาค'!$B$5:$DA$49,52,FALSE)="","",VLOOKUP($B22,'4.คีย์กลางภาค'!$B$5:$DA$49,52,FALSE)))</f>
        <v/>
      </c>
      <c r="Q22" s="335">
        <v>15</v>
      </c>
      <c r="R22" s="504" t="str">
        <f>IF(Name15="","",Name15)</f>
        <v/>
      </c>
      <c r="S22" s="505" t="str">
        <f>IF(Surname15="","",Surname15)</f>
        <v/>
      </c>
      <c r="T22" s="336" t="str">
        <f>IF($B22="","",IF(VLOOKUP($B22,'4.คีย์กลางภาค'!$B$5:$DA$49,56,FALSE)="","",VLOOKUP($B22,'4.คีย์กลางภาค'!$B$5:$DA$49,56,FALSE)))</f>
        <v/>
      </c>
      <c r="U22" s="337" t="str">
        <f>IF($B22="","",IF(VLOOKUP($B22,'4.คีย์กลางภาค'!$B$5:$DA$49,60,FALSE)="","",VLOOKUP($B22,'4.คีย์กลางภาค'!$B$5:$DA$49,60,FALSE)))</f>
        <v/>
      </c>
      <c r="V22" s="337" t="str">
        <f>IF($B22="","",IF(VLOOKUP($B22,'4.คีย์กลางภาค'!$B$5:$DA$49,64,FALSE)="","",VLOOKUP($B22,'4.คีย์กลางภาค'!$B$5:$DA$49,64,FALSE)))</f>
        <v/>
      </c>
      <c r="W22" s="337" t="str">
        <f>IF($B22="","",IF(VLOOKUP($B22,'4.คีย์กลางภาค'!$B$5:$DA$49,68,FALSE)="","",VLOOKUP($B22,'4.คีย์กลางภาค'!$B$5:$DA$49,68,FALSE)))</f>
        <v/>
      </c>
      <c r="X22" s="338" t="str">
        <f>IF($B22="","",IF(VLOOKUP($B22,'4.คีย์กลางภาค'!$B$5:$DA$49,72,FALSE)="","",VLOOKUP($B22,'4.คีย์กลางภาค'!$B$5:$DA$49,72,FALSE)))</f>
        <v/>
      </c>
      <c r="Y22" s="337" t="str">
        <f>IF($B22="","",IF(VLOOKUP($B22,'4.คีย์กลางภาค'!$B$5:$DA$49,76,FALSE)="","",VLOOKUP($B22,'4.คีย์กลางภาค'!$B$5:$DA$49,76,FALSE)))</f>
        <v/>
      </c>
      <c r="Z22" s="337" t="str">
        <f>IF($B22="","",IF(VLOOKUP($B22,'4.คีย์กลางภาค'!$B$5:$DA$49,80,FALSE)="","",VLOOKUP($B22,'4.คีย์กลางภาค'!$B$5:$DA$49,80,FALSE)))</f>
        <v/>
      </c>
      <c r="AA22" s="337" t="str">
        <f>IF($B22="","",IF(VLOOKUP($B22,'4.คีย์กลางภาค'!$B$5:$DA$49,84,FALSE)="","",VLOOKUP($B22,'4.คีย์กลางภาค'!$B$5:$DA$49,84,FALSE)))</f>
        <v/>
      </c>
      <c r="AB22" s="337" t="str">
        <f>IF($B22="","",IF(VLOOKUP($B22,'4.คีย์กลางภาค'!$B$5:$DA$49,88,FALSE)="","",VLOOKUP($B22,'4.คีย์กลางภาค'!$B$5:$DA$49,88,FALSE)))</f>
        <v/>
      </c>
      <c r="AC22" s="337" t="str">
        <f>IF($B22="","",IF(VLOOKUP($B22,'4.คีย์กลางภาค'!$B$5:$DA$49,92,FALSE)="","",VLOOKUP($B22,'4.คีย์กลางภาค'!$B$5:$DA$49,92,FALSE)))</f>
        <v/>
      </c>
      <c r="AD22" s="340" t="str">
        <f>IF($B22="","",IF(VLOOKUP($B22,'4.คีย์กลางภาค'!$B$5:$DA$49,96,FALSE)="","",VLOOKUP($B22,'4.คีย์กลางภาค'!$B$5:$DA$49,96,FALSE)))</f>
        <v/>
      </c>
      <c r="AE22" s="338" t="str">
        <f>IF($B22="","",IF(VLOOKUP($B22,'4.คีย์กลางภาค'!$B$5:$DA$49,100,FALSE)="","",VLOOKUP($B22,'4.คีย์กลางภาค'!$B$5:$DA$49,100,FALSE)))</f>
        <v/>
      </c>
      <c r="AF22" s="485" t="str">
        <f>IF($B22="","",IF(VLOOKUP($B22,'4.คีย์กลางภาค'!$B$5:$DA$49,104,FALSE)="","",VLOOKUP($B22,'4.คีย์กลางภาค'!$B$5:$DA$49,104,FALSE)))</f>
        <v/>
      </c>
      <c r="AG22" s="540" t="str">
        <f>IF($B22="","",IF(VLOOKUP($B22,'4.คีย์กลางภาค'!$B$5:$DD$49,105,FALSE)="","",VLOOKUP($B22,'4.คีย์กลางภาค'!$B$5:$DD$49,105,FALSE)))</f>
        <v/>
      </c>
      <c r="AH22" s="536" t="str">
        <f>IF($B22="","",IF(VLOOKUP($B22,'4.คีย์กลางภาค'!$B$5:$DD$49,106,FALSE)="","",VLOOKUP($B22,'4.คีย์กลางภาค'!$B$5:$DD$49,106,FALSE)))</f>
        <v/>
      </c>
      <c r="AI22" s="27" t="str">
        <f t="shared" si="14"/>
        <v/>
      </c>
      <c r="AJ22" s="330"/>
      <c r="AL22" s="342" t="str">
        <f t="shared" si="15"/>
        <v/>
      </c>
      <c r="AM22" s="343" t="str">
        <f t="shared" si="16"/>
        <v/>
      </c>
      <c r="AN22" s="343" t="str">
        <f t="shared" si="17"/>
        <v/>
      </c>
      <c r="AO22" s="344" t="str">
        <f t="shared" si="18"/>
        <v/>
      </c>
      <c r="AP22" s="345" t="str">
        <f t="shared" si="19"/>
        <v/>
      </c>
    </row>
    <row r="23" spans="1:42" s="29" customFormat="1" ht="16.5" customHeight="1" x14ac:dyDescent="0.25">
      <c r="A23" s="335">
        <v>16</v>
      </c>
      <c r="B23" s="20" t="str">
        <f>IF(IDstu16="","",IDstu16)</f>
        <v/>
      </c>
      <c r="C23" s="504" t="str">
        <f>IF(Name16="","",Name16)</f>
        <v/>
      </c>
      <c r="D23" s="505" t="str">
        <f>IF(Surname16="","",Surname16)</f>
        <v/>
      </c>
      <c r="E23" s="336" t="str">
        <f>IF($B23="","",IF(VLOOKUP($B23,'4.คีย์กลางภาค'!$B$5:$DA$49,8,FALSE)="","",VLOOKUP($B23,'4.คีย์กลางภาค'!$B$5:$DA$49,8,FALSE)))</f>
        <v/>
      </c>
      <c r="F23" s="337" t="str">
        <f>IF($B23="","",IF(VLOOKUP($B23,'4.คีย์กลางภาค'!$B$5:$DA$49,12,FALSE)="","",VLOOKUP($B23,'4.คีย์กลางภาค'!$B$5:$DA$49,12,FALSE)))</f>
        <v/>
      </c>
      <c r="G23" s="337" t="str">
        <f>IF($B23="","",IF(VLOOKUP($B23,'4.คีย์กลางภาค'!$B$5:$DA$49,16,FALSE)="","",VLOOKUP($B23,'4.คีย์กลางภาค'!$B$5:$DA$49,16,FALSE)))</f>
        <v/>
      </c>
      <c r="H23" s="338" t="str">
        <f>IF($B23="","",IF(VLOOKUP($B23,'4.คีย์กลางภาค'!$B$5:$DA$49,20,FALSE)="","",VLOOKUP($B23,'4.คีย์กลางภาค'!$B$5:$DA$49,20,FALSE)))</f>
        <v/>
      </c>
      <c r="I23" s="337" t="str">
        <f>IF($B23="","",IF(VLOOKUP($B23,'4.คีย์กลางภาค'!$B$5:$DA$49,24,FALSE)="","",VLOOKUP($B23,'4.คีย์กลางภาค'!$B$5:$DA$49,24,FALSE)))</f>
        <v/>
      </c>
      <c r="J23" s="337" t="str">
        <f>IF($B23="","",IF(VLOOKUP($B23,'4.คีย์กลางภาค'!$B$5:$DA$49,28,FALSE)="","",VLOOKUP($B23,'4.คีย์กลางภาค'!$B$5:$DA$49,28,FALSE)))</f>
        <v/>
      </c>
      <c r="K23" s="337" t="str">
        <f>IF($B23="","",IF(VLOOKUP($B23,'4.คีย์กลางภาค'!$B$5:$DA$49,32,FALSE)="","",VLOOKUP($B23,'4.คีย์กลางภาค'!$B$5:$DA$49,32,FALSE)))</f>
        <v/>
      </c>
      <c r="L23" s="337" t="str">
        <f>IF($B23="","",IF(VLOOKUP($B23,'4.คีย์กลางภาค'!$B$5:$DA$49,36,FALSE)="","",VLOOKUP($B23,'4.คีย์กลางภาค'!$B$5:$DA$49,36,FALSE)))</f>
        <v/>
      </c>
      <c r="M23" s="338" t="str">
        <f>IF($B23="","",IF(VLOOKUP($B23,'4.คีย์กลางภาค'!$B$5:$DA$49,40,FALSE)="","",VLOOKUP($B23,'4.คีย์กลางภาค'!$B$5:$DA$49,40,FALSE)))</f>
        <v/>
      </c>
      <c r="N23" s="338" t="str">
        <f>IF($B23="","",IF(VLOOKUP($B23,'4.คีย์กลางภาค'!$B$5:$DA$49,44,FALSE)="","",VLOOKUP($B23,'4.คีย์กลางภาค'!$B$5:$DA$49,44,FALSE)))</f>
        <v/>
      </c>
      <c r="O23" s="338" t="str">
        <f>IF($B23="","",IF(VLOOKUP($B23,'4.คีย์กลางภาค'!$B$5:$DA$49,48,FALSE)="","",VLOOKUP($B23,'4.คีย์กลางภาค'!$B$5:$DA$49,48,FALSE)))</f>
        <v/>
      </c>
      <c r="P23" s="339" t="str">
        <f>IF($B23="","",IF(VLOOKUP($B23,'4.คีย์กลางภาค'!$B$5:$DA$49,52,FALSE)="","",VLOOKUP($B23,'4.คีย์กลางภาค'!$B$5:$DA$49,52,FALSE)))</f>
        <v/>
      </c>
      <c r="Q23" s="335">
        <v>16</v>
      </c>
      <c r="R23" s="504" t="str">
        <f>IF(Name16="","",Name16)</f>
        <v/>
      </c>
      <c r="S23" s="505" t="str">
        <f>IF(Surname16="","",Surname16)</f>
        <v/>
      </c>
      <c r="T23" s="336" t="str">
        <f>IF($B23="","",IF(VLOOKUP($B23,'4.คีย์กลางภาค'!$B$5:$DA$49,56,FALSE)="","",VLOOKUP($B23,'4.คีย์กลางภาค'!$B$5:$DA$49,56,FALSE)))</f>
        <v/>
      </c>
      <c r="U23" s="337" t="str">
        <f>IF($B23="","",IF(VLOOKUP($B23,'4.คีย์กลางภาค'!$B$5:$DA$49,60,FALSE)="","",VLOOKUP($B23,'4.คีย์กลางภาค'!$B$5:$DA$49,60,FALSE)))</f>
        <v/>
      </c>
      <c r="V23" s="337" t="str">
        <f>IF($B23="","",IF(VLOOKUP($B23,'4.คีย์กลางภาค'!$B$5:$DA$49,64,FALSE)="","",VLOOKUP($B23,'4.คีย์กลางภาค'!$B$5:$DA$49,64,FALSE)))</f>
        <v/>
      </c>
      <c r="W23" s="337" t="str">
        <f>IF($B23="","",IF(VLOOKUP($B23,'4.คีย์กลางภาค'!$B$5:$DA$49,68,FALSE)="","",VLOOKUP($B23,'4.คีย์กลางภาค'!$B$5:$DA$49,68,FALSE)))</f>
        <v/>
      </c>
      <c r="X23" s="338" t="str">
        <f>IF($B23="","",IF(VLOOKUP($B23,'4.คีย์กลางภาค'!$B$5:$DA$49,72,FALSE)="","",VLOOKUP($B23,'4.คีย์กลางภาค'!$B$5:$DA$49,72,FALSE)))</f>
        <v/>
      </c>
      <c r="Y23" s="337" t="str">
        <f>IF($B23="","",IF(VLOOKUP($B23,'4.คีย์กลางภาค'!$B$5:$DA$49,76,FALSE)="","",VLOOKUP($B23,'4.คีย์กลางภาค'!$B$5:$DA$49,76,FALSE)))</f>
        <v/>
      </c>
      <c r="Z23" s="337" t="str">
        <f>IF($B23="","",IF(VLOOKUP($B23,'4.คีย์กลางภาค'!$B$5:$DA$49,80,FALSE)="","",VLOOKUP($B23,'4.คีย์กลางภาค'!$B$5:$DA$49,80,FALSE)))</f>
        <v/>
      </c>
      <c r="AA23" s="337" t="str">
        <f>IF($B23="","",IF(VLOOKUP($B23,'4.คีย์กลางภาค'!$B$5:$DA$49,84,FALSE)="","",VLOOKUP($B23,'4.คีย์กลางภาค'!$B$5:$DA$49,84,FALSE)))</f>
        <v/>
      </c>
      <c r="AB23" s="337" t="str">
        <f>IF($B23="","",IF(VLOOKUP($B23,'4.คีย์กลางภาค'!$B$5:$DA$49,88,FALSE)="","",VLOOKUP($B23,'4.คีย์กลางภาค'!$B$5:$DA$49,88,FALSE)))</f>
        <v/>
      </c>
      <c r="AC23" s="337" t="str">
        <f>IF($B23="","",IF(VLOOKUP($B23,'4.คีย์กลางภาค'!$B$5:$DA$49,92,FALSE)="","",VLOOKUP($B23,'4.คีย์กลางภาค'!$B$5:$DA$49,92,FALSE)))</f>
        <v/>
      </c>
      <c r="AD23" s="340" t="str">
        <f>IF($B23="","",IF(VLOOKUP($B23,'4.คีย์กลางภาค'!$B$5:$DA$49,96,FALSE)="","",VLOOKUP($B23,'4.คีย์กลางภาค'!$B$5:$DA$49,96,FALSE)))</f>
        <v/>
      </c>
      <c r="AE23" s="338" t="str">
        <f>IF($B23="","",IF(VLOOKUP($B23,'4.คีย์กลางภาค'!$B$5:$DA$49,100,FALSE)="","",VLOOKUP($B23,'4.คีย์กลางภาค'!$B$5:$DA$49,100,FALSE)))</f>
        <v/>
      </c>
      <c r="AF23" s="485" t="str">
        <f>IF($B23="","",IF(VLOOKUP($B23,'4.คีย์กลางภาค'!$B$5:$DA$49,104,FALSE)="","",VLOOKUP($B23,'4.คีย์กลางภาค'!$B$5:$DA$49,104,FALSE)))</f>
        <v/>
      </c>
      <c r="AG23" s="540" t="str">
        <f>IF($B23="","",IF(VLOOKUP($B23,'4.คีย์กลางภาค'!$B$5:$DD$49,105,FALSE)="","",VLOOKUP($B23,'4.คีย์กลางภาค'!$B$5:$DD$49,105,FALSE)))</f>
        <v/>
      </c>
      <c r="AH23" s="536" t="str">
        <f>IF($B23="","",IF(VLOOKUP($B23,'4.คีย์กลางภาค'!$B$5:$DD$49,106,FALSE)="","",VLOOKUP($B23,'4.คีย์กลางภาค'!$B$5:$DD$49,106,FALSE)))</f>
        <v/>
      </c>
      <c r="AI23" s="27" t="str">
        <f t="shared" si="14"/>
        <v/>
      </c>
      <c r="AJ23" s="330"/>
      <c r="AL23" s="342" t="str">
        <f t="shared" si="15"/>
        <v/>
      </c>
      <c r="AM23" s="343" t="str">
        <f t="shared" si="16"/>
        <v/>
      </c>
      <c r="AN23" s="343" t="str">
        <f t="shared" si="17"/>
        <v/>
      </c>
      <c r="AO23" s="344" t="str">
        <f t="shared" si="18"/>
        <v/>
      </c>
      <c r="AP23" s="345" t="str">
        <f t="shared" si="19"/>
        <v/>
      </c>
    </row>
    <row r="24" spans="1:42" s="29" customFormat="1" ht="16.5" customHeight="1" x14ac:dyDescent="0.25">
      <c r="A24" s="335">
        <v>17</v>
      </c>
      <c r="B24" s="20" t="str">
        <f>IF(IDstu17="","",IDstu17)</f>
        <v/>
      </c>
      <c r="C24" s="504" t="str">
        <f>IF(Name17="","",Name17)</f>
        <v/>
      </c>
      <c r="D24" s="505" t="str">
        <f>IF(Surname17="","",Surname17)</f>
        <v/>
      </c>
      <c r="E24" s="337" t="str">
        <f>IF($B24="","",IF(VLOOKUP($B24,'4.คีย์กลางภาค'!$B$5:$DA$49,8,FALSE)="","",VLOOKUP($B24,'4.คีย์กลางภาค'!$B$5:$DA$49,8,FALSE)))</f>
        <v/>
      </c>
      <c r="F24" s="337" t="str">
        <f>IF($B24="","",IF(VLOOKUP($B24,'4.คีย์กลางภาค'!$B$5:$DA$49,12,FALSE)="","",VLOOKUP($B24,'4.คีย์กลางภาค'!$B$5:$DA$49,12,FALSE)))</f>
        <v/>
      </c>
      <c r="G24" s="337" t="str">
        <f>IF($B24="","",IF(VLOOKUP($B24,'4.คีย์กลางภาค'!$B$5:$DA$49,16,FALSE)="","",VLOOKUP($B24,'4.คีย์กลางภาค'!$B$5:$DA$49,16,FALSE)))</f>
        <v/>
      </c>
      <c r="H24" s="337" t="str">
        <f>IF($B24="","",IF(VLOOKUP($B24,'4.คีย์กลางภาค'!$B$5:$DA$49,20,FALSE)="","",VLOOKUP($B24,'4.คีย์กลางภาค'!$B$5:$DA$49,20,FALSE)))</f>
        <v/>
      </c>
      <c r="I24" s="337" t="str">
        <f>IF($B24="","",IF(VLOOKUP($B24,'4.คีย์กลางภาค'!$B$5:$DA$49,24,FALSE)="","",VLOOKUP($B24,'4.คีย์กลางภาค'!$B$5:$DA$49,24,FALSE)))</f>
        <v/>
      </c>
      <c r="J24" s="337" t="str">
        <f>IF($B24="","",IF(VLOOKUP($B24,'4.คีย์กลางภาค'!$B$5:$DA$49,28,FALSE)="","",VLOOKUP($B24,'4.คีย์กลางภาค'!$B$5:$DA$49,28,FALSE)))</f>
        <v/>
      </c>
      <c r="K24" s="337" t="str">
        <f>IF($B24="","",IF(VLOOKUP($B24,'4.คีย์กลางภาค'!$B$5:$DA$49,32,FALSE)="","",VLOOKUP($B24,'4.คีย์กลางภาค'!$B$5:$DA$49,32,FALSE)))</f>
        <v/>
      </c>
      <c r="L24" s="337" t="str">
        <f>IF($B24="","",IF(VLOOKUP($B24,'4.คีย์กลางภาค'!$B$5:$DA$49,36,FALSE)="","",VLOOKUP($B24,'4.คีย์กลางภาค'!$B$5:$DA$49,36,FALSE)))</f>
        <v/>
      </c>
      <c r="M24" s="338" t="str">
        <f>IF($B24="","",IF(VLOOKUP($B24,'4.คีย์กลางภาค'!$B$5:$DA$49,40,FALSE)="","",VLOOKUP($B24,'4.คีย์กลางภาค'!$B$5:$DA$49,40,FALSE)))</f>
        <v/>
      </c>
      <c r="N24" s="338" t="str">
        <f>IF($B24="","",IF(VLOOKUP($B24,'4.คีย์กลางภาค'!$B$5:$DA$49,44,FALSE)="","",VLOOKUP($B24,'4.คีย์กลางภาค'!$B$5:$DA$49,44,FALSE)))</f>
        <v/>
      </c>
      <c r="O24" s="338" t="str">
        <f>IF($B24="","",IF(VLOOKUP($B24,'4.คีย์กลางภาค'!$B$5:$DA$49,48,FALSE)="","",VLOOKUP($B24,'4.คีย์กลางภาค'!$B$5:$DA$49,48,FALSE)))</f>
        <v/>
      </c>
      <c r="P24" s="341" t="str">
        <f>IF($B24="","",IF(VLOOKUP($B24,'4.คีย์กลางภาค'!$B$5:$DA$49,52,FALSE)="","",VLOOKUP($B24,'4.คีย์กลางภาค'!$B$5:$DA$49,52,FALSE)))</f>
        <v/>
      </c>
      <c r="Q24" s="335">
        <v>17</v>
      </c>
      <c r="R24" s="504" t="str">
        <f>IF(Name17="","",Name17)</f>
        <v/>
      </c>
      <c r="S24" s="505" t="str">
        <f>IF(Surname17="","",Surname17)</f>
        <v/>
      </c>
      <c r="T24" s="346" t="str">
        <f>IF($B24="","",IF(VLOOKUP($B24,'4.คีย์กลางภาค'!$B$5:$DA$49,56,FALSE)="","",VLOOKUP($B24,'4.คีย์กลางภาค'!$B$5:$DA$49,56,FALSE)))</f>
        <v/>
      </c>
      <c r="U24" s="337" t="str">
        <f>IF($B24="","",IF(VLOOKUP($B24,'4.คีย์กลางภาค'!$B$5:$DA$49,60,FALSE)="","",VLOOKUP($B24,'4.คีย์กลางภาค'!$B$5:$DA$49,60,FALSE)))</f>
        <v/>
      </c>
      <c r="V24" s="337" t="str">
        <f>IF($B24="","",IF(VLOOKUP($B24,'4.คีย์กลางภาค'!$B$5:$DA$49,64,FALSE)="","",VLOOKUP($B24,'4.คีย์กลางภาค'!$B$5:$DA$49,64,FALSE)))</f>
        <v/>
      </c>
      <c r="W24" s="337" t="str">
        <f>IF($B24="","",IF(VLOOKUP($B24,'4.คีย์กลางภาค'!$B$5:$DA$49,68,FALSE)="","",VLOOKUP($B24,'4.คีย์กลางภาค'!$B$5:$DA$49,68,FALSE)))</f>
        <v/>
      </c>
      <c r="X24" s="338" t="str">
        <f>IF($B24="","",IF(VLOOKUP($B24,'4.คีย์กลางภาค'!$B$5:$DA$49,72,FALSE)="","",VLOOKUP($B24,'4.คีย์กลางภาค'!$B$5:$DA$49,72,FALSE)))</f>
        <v/>
      </c>
      <c r="Y24" s="337" t="str">
        <f>IF($B24="","",IF(VLOOKUP($B24,'4.คีย์กลางภาค'!$B$5:$DA$49,76,FALSE)="","",VLOOKUP($B24,'4.คีย์กลางภาค'!$B$5:$DA$49,76,FALSE)))</f>
        <v/>
      </c>
      <c r="Z24" s="337" t="str">
        <f>IF($B24="","",IF(VLOOKUP($B24,'4.คีย์กลางภาค'!$B$5:$DA$49,80,FALSE)="","",VLOOKUP($B24,'4.คีย์กลางภาค'!$B$5:$DA$49,80,FALSE)))</f>
        <v/>
      </c>
      <c r="AA24" s="337" t="str">
        <f>IF($B24="","",IF(VLOOKUP($B24,'4.คีย์กลางภาค'!$B$5:$DA$49,84,FALSE)="","",VLOOKUP($B24,'4.คีย์กลางภาค'!$B$5:$DA$49,84,FALSE)))</f>
        <v/>
      </c>
      <c r="AB24" s="337" t="str">
        <f>IF($B24="","",IF(VLOOKUP($B24,'4.คีย์กลางภาค'!$B$5:$DA$49,88,FALSE)="","",VLOOKUP($B24,'4.คีย์กลางภาค'!$B$5:$DA$49,88,FALSE)))</f>
        <v/>
      </c>
      <c r="AC24" s="337" t="str">
        <f>IF($B24="","",IF(VLOOKUP($B24,'4.คีย์กลางภาค'!$B$5:$DA$49,92,FALSE)="","",VLOOKUP($B24,'4.คีย์กลางภาค'!$B$5:$DA$49,92,FALSE)))</f>
        <v/>
      </c>
      <c r="AD24" s="337" t="str">
        <f>IF($B24="","",IF(VLOOKUP($B24,'4.คีย์กลางภาค'!$B$5:$DA$49,96,FALSE)="","",VLOOKUP($B24,'4.คีย์กลางภาค'!$B$5:$DA$49,96,FALSE)))</f>
        <v/>
      </c>
      <c r="AE24" s="338" t="str">
        <f>IF($B24="","",IF(VLOOKUP($B24,'4.คีย์กลางภาค'!$B$5:$DA$49,100,FALSE)="","",VLOOKUP($B24,'4.คีย์กลางภาค'!$B$5:$DA$49,100,FALSE)))</f>
        <v/>
      </c>
      <c r="AF24" s="485" t="str">
        <f>IF($B24="","",IF(VLOOKUP($B24,'4.คีย์กลางภาค'!$B$5:$DA$49,104,FALSE)="","",VLOOKUP($B24,'4.คีย์กลางภาค'!$B$5:$DA$49,104,FALSE)))</f>
        <v/>
      </c>
      <c r="AG24" s="540" t="str">
        <f>IF($B24="","",IF(VLOOKUP($B24,'4.คีย์กลางภาค'!$B$5:$DD$49,105,FALSE)="","",VLOOKUP($B24,'4.คีย์กลางภาค'!$B$5:$DD$49,105,FALSE)))</f>
        <v/>
      </c>
      <c r="AH24" s="536" t="str">
        <f>IF($B24="","",IF(VLOOKUP($B24,'4.คีย์กลางภาค'!$B$5:$DD$49,106,FALSE)="","",VLOOKUP($B24,'4.คีย์กลางภาค'!$B$5:$DD$49,106,FALSE)))</f>
        <v/>
      </c>
      <c r="AI24" s="27" t="str">
        <f t="shared" si="14"/>
        <v/>
      </c>
      <c r="AJ24" s="330"/>
      <c r="AL24" s="347" t="str">
        <f t="shared" si="15"/>
        <v/>
      </c>
      <c r="AM24" s="343" t="str">
        <f t="shared" si="16"/>
        <v/>
      </c>
      <c r="AN24" s="343" t="str">
        <f t="shared" si="17"/>
        <v/>
      </c>
      <c r="AO24" s="343" t="str">
        <f t="shared" si="18"/>
        <v/>
      </c>
      <c r="AP24" s="345" t="str">
        <f t="shared" si="19"/>
        <v/>
      </c>
    </row>
    <row r="25" spans="1:42" s="29" customFormat="1" ht="16.5" customHeight="1" x14ac:dyDescent="0.25">
      <c r="A25" s="335">
        <v>18</v>
      </c>
      <c r="B25" s="20" t="str">
        <f>IF(IDstu18="","",IDstu18)</f>
        <v/>
      </c>
      <c r="C25" s="504" t="str">
        <f>IF(Name18="","",Name18)</f>
        <v/>
      </c>
      <c r="D25" s="505" t="str">
        <f>IF(Surname18="","",Surname18)</f>
        <v/>
      </c>
      <c r="E25" s="336" t="str">
        <f>IF($B25="","",IF(VLOOKUP($B25,'4.คีย์กลางภาค'!$B$5:$DA$49,8,FALSE)="","",VLOOKUP($B25,'4.คีย์กลางภาค'!$B$5:$DA$49,8,FALSE)))</f>
        <v/>
      </c>
      <c r="F25" s="337" t="str">
        <f>IF($B25="","",IF(VLOOKUP($B25,'4.คีย์กลางภาค'!$B$5:$DA$49,12,FALSE)="","",VLOOKUP($B25,'4.คีย์กลางภาค'!$B$5:$DA$49,12,FALSE)))</f>
        <v/>
      </c>
      <c r="G25" s="337" t="str">
        <f>IF($B25="","",IF(VLOOKUP($B25,'4.คีย์กลางภาค'!$B$5:$DA$49,16,FALSE)="","",VLOOKUP($B25,'4.คีย์กลางภาค'!$B$5:$DA$49,16,FALSE)))</f>
        <v/>
      </c>
      <c r="H25" s="338" t="str">
        <f>IF($B25="","",IF(VLOOKUP($B25,'4.คีย์กลางภาค'!$B$5:$DA$49,20,FALSE)="","",VLOOKUP($B25,'4.คีย์กลางภาค'!$B$5:$DA$49,20,FALSE)))</f>
        <v/>
      </c>
      <c r="I25" s="337" t="str">
        <f>IF($B25="","",IF(VLOOKUP($B25,'4.คีย์กลางภาค'!$B$5:$DA$49,24,FALSE)="","",VLOOKUP($B25,'4.คีย์กลางภาค'!$B$5:$DA$49,24,FALSE)))</f>
        <v/>
      </c>
      <c r="J25" s="337" t="str">
        <f>IF($B25="","",IF(VLOOKUP($B25,'4.คีย์กลางภาค'!$B$5:$DA$49,28,FALSE)="","",VLOOKUP($B25,'4.คีย์กลางภาค'!$B$5:$DA$49,28,FALSE)))</f>
        <v/>
      </c>
      <c r="K25" s="337" t="str">
        <f>IF($B25="","",IF(VLOOKUP($B25,'4.คีย์กลางภาค'!$B$5:$DA$49,32,FALSE)="","",VLOOKUP($B25,'4.คีย์กลางภาค'!$B$5:$DA$49,32,FALSE)))</f>
        <v/>
      </c>
      <c r="L25" s="337" t="str">
        <f>IF($B25="","",IF(VLOOKUP($B25,'4.คีย์กลางภาค'!$B$5:$DA$49,36,FALSE)="","",VLOOKUP($B25,'4.คีย์กลางภาค'!$B$5:$DA$49,36,FALSE)))</f>
        <v/>
      </c>
      <c r="M25" s="338" t="str">
        <f>IF($B25="","",IF(VLOOKUP($B25,'4.คีย์กลางภาค'!$B$5:$DA$49,40,FALSE)="","",VLOOKUP($B25,'4.คีย์กลางภาค'!$B$5:$DA$49,40,FALSE)))</f>
        <v/>
      </c>
      <c r="N25" s="338" t="str">
        <f>IF($B25="","",IF(VLOOKUP($B25,'4.คีย์กลางภาค'!$B$5:$DA$49,44,FALSE)="","",VLOOKUP($B25,'4.คีย์กลางภาค'!$B$5:$DA$49,44,FALSE)))</f>
        <v/>
      </c>
      <c r="O25" s="338" t="str">
        <f>IF($B25="","",IF(VLOOKUP($B25,'4.คีย์กลางภาค'!$B$5:$DA$49,48,FALSE)="","",VLOOKUP($B25,'4.คีย์กลางภาค'!$B$5:$DA$49,48,FALSE)))</f>
        <v/>
      </c>
      <c r="P25" s="339" t="str">
        <f>IF($B25="","",IF(VLOOKUP($B25,'4.คีย์กลางภาค'!$B$5:$DA$49,52,FALSE)="","",VLOOKUP($B25,'4.คีย์กลางภาค'!$B$5:$DA$49,52,FALSE)))</f>
        <v/>
      </c>
      <c r="Q25" s="335">
        <v>18</v>
      </c>
      <c r="R25" s="504" t="str">
        <f>IF(Name18="","",Name18)</f>
        <v/>
      </c>
      <c r="S25" s="505" t="str">
        <f>IF(Surname18="","",Surname18)</f>
        <v/>
      </c>
      <c r="T25" s="336" t="str">
        <f>IF($B25="","",IF(VLOOKUP($B25,'4.คีย์กลางภาค'!$B$5:$DA$49,56,FALSE)="","",VLOOKUP($B25,'4.คีย์กลางภาค'!$B$5:$DA$49,56,FALSE)))</f>
        <v/>
      </c>
      <c r="U25" s="337" t="str">
        <f>IF($B25="","",IF(VLOOKUP($B25,'4.คีย์กลางภาค'!$B$5:$DA$49,60,FALSE)="","",VLOOKUP($B25,'4.คีย์กลางภาค'!$B$5:$DA$49,60,FALSE)))</f>
        <v/>
      </c>
      <c r="V25" s="337" t="str">
        <f>IF($B25="","",IF(VLOOKUP($B25,'4.คีย์กลางภาค'!$B$5:$DA$49,64,FALSE)="","",VLOOKUP($B25,'4.คีย์กลางภาค'!$B$5:$DA$49,64,FALSE)))</f>
        <v/>
      </c>
      <c r="W25" s="337" t="str">
        <f>IF($B25="","",IF(VLOOKUP($B25,'4.คีย์กลางภาค'!$B$5:$DA$49,68,FALSE)="","",VLOOKUP($B25,'4.คีย์กลางภาค'!$B$5:$DA$49,68,FALSE)))</f>
        <v/>
      </c>
      <c r="X25" s="338" t="str">
        <f>IF($B25="","",IF(VLOOKUP($B25,'4.คีย์กลางภาค'!$B$5:$DA$49,72,FALSE)="","",VLOOKUP($B25,'4.คีย์กลางภาค'!$B$5:$DA$49,72,FALSE)))</f>
        <v/>
      </c>
      <c r="Y25" s="337" t="str">
        <f>IF($B25="","",IF(VLOOKUP($B25,'4.คีย์กลางภาค'!$B$5:$DA$49,76,FALSE)="","",VLOOKUP($B25,'4.คีย์กลางภาค'!$B$5:$DA$49,76,FALSE)))</f>
        <v/>
      </c>
      <c r="Z25" s="337" t="str">
        <f>IF($B25="","",IF(VLOOKUP($B25,'4.คีย์กลางภาค'!$B$5:$DA$49,80,FALSE)="","",VLOOKUP($B25,'4.คีย์กลางภาค'!$B$5:$DA$49,80,FALSE)))</f>
        <v/>
      </c>
      <c r="AA25" s="337" t="str">
        <f>IF($B25="","",IF(VLOOKUP($B25,'4.คีย์กลางภาค'!$B$5:$DA$49,84,FALSE)="","",VLOOKUP($B25,'4.คีย์กลางภาค'!$B$5:$DA$49,84,FALSE)))</f>
        <v/>
      </c>
      <c r="AB25" s="337" t="str">
        <f>IF($B25="","",IF(VLOOKUP($B25,'4.คีย์กลางภาค'!$B$5:$DA$49,88,FALSE)="","",VLOOKUP($B25,'4.คีย์กลางภาค'!$B$5:$DA$49,88,FALSE)))</f>
        <v/>
      </c>
      <c r="AC25" s="337" t="str">
        <f>IF($B25="","",IF(VLOOKUP($B25,'4.คีย์กลางภาค'!$B$5:$DA$49,92,FALSE)="","",VLOOKUP($B25,'4.คีย์กลางภาค'!$B$5:$DA$49,92,FALSE)))</f>
        <v/>
      </c>
      <c r="AD25" s="340" t="str">
        <f>IF($B25="","",IF(VLOOKUP($B25,'4.คีย์กลางภาค'!$B$5:$DA$49,96,FALSE)="","",VLOOKUP($B25,'4.คีย์กลางภาค'!$B$5:$DA$49,96,FALSE)))</f>
        <v/>
      </c>
      <c r="AE25" s="338" t="str">
        <f>IF($B25="","",IF(VLOOKUP($B25,'4.คีย์กลางภาค'!$B$5:$DA$49,100,FALSE)="","",VLOOKUP($B25,'4.คีย์กลางภาค'!$B$5:$DA$49,100,FALSE)))</f>
        <v/>
      </c>
      <c r="AF25" s="485" t="str">
        <f>IF($B25="","",IF(VLOOKUP($B25,'4.คีย์กลางภาค'!$B$5:$DA$49,104,FALSE)="","",VLOOKUP($B25,'4.คีย์กลางภาค'!$B$5:$DA$49,104,FALSE)))</f>
        <v/>
      </c>
      <c r="AG25" s="540" t="str">
        <f>IF($B25="","",IF(VLOOKUP($B25,'4.คีย์กลางภาค'!$B$5:$DD$49,105,FALSE)="","",VLOOKUP($B25,'4.คีย์กลางภาค'!$B$5:$DD$49,105,FALSE)))</f>
        <v/>
      </c>
      <c r="AH25" s="536" t="str">
        <f>IF($B25="","",IF(VLOOKUP($B25,'4.คีย์กลางภาค'!$B$5:$DD$49,106,FALSE)="","",VLOOKUP($B25,'4.คีย์กลางภาค'!$B$5:$DD$49,106,FALSE)))</f>
        <v/>
      </c>
      <c r="AI25" s="27" t="str">
        <f t="shared" si="14"/>
        <v/>
      </c>
      <c r="AJ25" s="330"/>
      <c r="AL25" s="342" t="str">
        <f t="shared" si="15"/>
        <v/>
      </c>
      <c r="AM25" s="343" t="str">
        <f t="shared" si="16"/>
        <v/>
      </c>
      <c r="AN25" s="343" t="str">
        <f t="shared" si="17"/>
        <v/>
      </c>
      <c r="AO25" s="344" t="str">
        <f t="shared" si="18"/>
        <v/>
      </c>
      <c r="AP25" s="345" t="str">
        <f t="shared" si="19"/>
        <v/>
      </c>
    </row>
    <row r="26" spans="1:42" s="29" customFormat="1" ht="16.5" customHeight="1" x14ac:dyDescent="0.25">
      <c r="A26" s="335">
        <v>19</v>
      </c>
      <c r="B26" s="20" t="str">
        <f>IF(IDstu19="","",IDstu19)</f>
        <v/>
      </c>
      <c r="C26" s="504" t="str">
        <f>IF(Name19="","",Name19)</f>
        <v/>
      </c>
      <c r="D26" s="505" t="str">
        <f>IF(Surname19="","",Surname19)</f>
        <v/>
      </c>
      <c r="E26" s="336" t="str">
        <f>IF($B26="","",IF(VLOOKUP($B26,'4.คีย์กลางภาค'!$B$5:$DA$49,8,FALSE)="","",VLOOKUP($B26,'4.คีย์กลางภาค'!$B$5:$DA$49,8,FALSE)))</f>
        <v/>
      </c>
      <c r="F26" s="337" t="str">
        <f>IF($B26="","",IF(VLOOKUP($B26,'4.คีย์กลางภาค'!$B$5:$DA$49,12,FALSE)="","",VLOOKUP($B26,'4.คีย์กลางภาค'!$B$5:$DA$49,12,FALSE)))</f>
        <v/>
      </c>
      <c r="G26" s="337" t="str">
        <f>IF($B26="","",IF(VLOOKUP($B26,'4.คีย์กลางภาค'!$B$5:$DA$49,16,FALSE)="","",VLOOKUP($B26,'4.คีย์กลางภาค'!$B$5:$DA$49,16,FALSE)))</f>
        <v/>
      </c>
      <c r="H26" s="338" t="str">
        <f>IF($B26="","",IF(VLOOKUP($B26,'4.คีย์กลางภาค'!$B$5:$DA$49,20,FALSE)="","",VLOOKUP($B26,'4.คีย์กลางภาค'!$B$5:$DA$49,20,FALSE)))</f>
        <v/>
      </c>
      <c r="I26" s="337" t="str">
        <f>IF($B26="","",IF(VLOOKUP($B26,'4.คีย์กลางภาค'!$B$5:$DA$49,24,FALSE)="","",VLOOKUP($B26,'4.คีย์กลางภาค'!$B$5:$DA$49,24,FALSE)))</f>
        <v/>
      </c>
      <c r="J26" s="337" t="str">
        <f>IF($B26="","",IF(VLOOKUP($B26,'4.คีย์กลางภาค'!$B$5:$DA$49,28,FALSE)="","",VLOOKUP($B26,'4.คีย์กลางภาค'!$B$5:$DA$49,28,FALSE)))</f>
        <v/>
      </c>
      <c r="K26" s="337" t="str">
        <f>IF($B26="","",IF(VLOOKUP($B26,'4.คีย์กลางภาค'!$B$5:$DA$49,32,FALSE)="","",VLOOKUP($B26,'4.คีย์กลางภาค'!$B$5:$DA$49,32,FALSE)))</f>
        <v/>
      </c>
      <c r="L26" s="337" t="str">
        <f>IF($B26="","",IF(VLOOKUP($B26,'4.คีย์กลางภาค'!$B$5:$DA$49,36,FALSE)="","",VLOOKUP($B26,'4.คีย์กลางภาค'!$B$5:$DA$49,36,FALSE)))</f>
        <v/>
      </c>
      <c r="M26" s="338" t="str">
        <f>IF($B26="","",IF(VLOOKUP($B26,'4.คีย์กลางภาค'!$B$5:$DA$49,40,FALSE)="","",VLOOKUP($B26,'4.คีย์กลางภาค'!$B$5:$DA$49,40,FALSE)))</f>
        <v/>
      </c>
      <c r="N26" s="338" t="str">
        <f>IF($B26="","",IF(VLOOKUP($B26,'4.คีย์กลางภาค'!$B$5:$DA$49,44,FALSE)="","",VLOOKUP($B26,'4.คีย์กลางภาค'!$B$5:$DA$49,44,FALSE)))</f>
        <v/>
      </c>
      <c r="O26" s="338" t="str">
        <f>IF($B26="","",IF(VLOOKUP($B26,'4.คีย์กลางภาค'!$B$5:$DA$49,48,FALSE)="","",VLOOKUP($B26,'4.คีย์กลางภาค'!$B$5:$DA$49,48,FALSE)))</f>
        <v/>
      </c>
      <c r="P26" s="339" t="str">
        <f>IF($B26="","",IF(VLOOKUP($B26,'4.คีย์กลางภาค'!$B$5:$DA$49,52,FALSE)="","",VLOOKUP($B26,'4.คีย์กลางภาค'!$B$5:$DA$49,52,FALSE)))</f>
        <v/>
      </c>
      <c r="Q26" s="335">
        <v>19</v>
      </c>
      <c r="R26" s="504" t="str">
        <f>IF(Name19="","",Name19)</f>
        <v/>
      </c>
      <c r="S26" s="505" t="str">
        <f>IF(Surname19="","",Surname19)</f>
        <v/>
      </c>
      <c r="T26" s="336" t="str">
        <f>IF($B26="","",IF(VLOOKUP($B26,'4.คีย์กลางภาค'!$B$5:$DA$49,56,FALSE)="","",VLOOKUP($B26,'4.คีย์กลางภาค'!$B$5:$DA$49,56,FALSE)))</f>
        <v/>
      </c>
      <c r="U26" s="337" t="str">
        <f>IF($B26="","",IF(VLOOKUP($B26,'4.คีย์กลางภาค'!$B$5:$DA$49,60,FALSE)="","",VLOOKUP($B26,'4.คีย์กลางภาค'!$B$5:$DA$49,60,FALSE)))</f>
        <v/>
      </c>
      <c r="V26" s="337" t="str">
        <f>IF($B26="","",IF(VLOOKUP($B26,'4.คีย์กลางภาค'!$B$5:$DA$49,64,FALSE)="","",VLOOKUP($B26,'4.คีย์กลางภาค'!$B$5:$DA$49,64,FALSE)))</f>
        <v/>
      </c>
      <c r="W26" s="337" t="str">
        <f>IF($B26="","",IF(VLOOKUP($B26,'4.คีย์กลางภาค'!$B$5:$DA$49,68,FALSE)="","",VLOOKUP($B26,'4.คีย์กลางภาค'!$B$5:$DA$49,68,FALSE)))</f>
        <v/>
      </c>
      <c r="X26" s="337" t="str">
        <f>IF($B26="","",IF(VLOOKUP($B26,'4.คีย์กลางภาค'!$B$5:$DA$49,72,FALSE)="","",VLOOKUP($B26,'4.คีย์กลางภาค'!$B$5:$DA$49,72,FALSE)))</f>
        <v/>
      </c>
      <c r="Y26" s="338" t="str">
        <f>IF($B26="","",IF(VLOOKUP($B26,'4.คีย์กลางภาค'!$B$5:$DA$49,76,FALSE)="","",VLOOKUP($B26,'4.คีย์กลางภาค'!$B$5:$DA$49,76,FALSE)))</f>
        <v/>
      </c>
      <c r="Z26" s="337" t="str">
        <f>IF($B26="","",IF(VLOOKUP($B26,'4.คีย์กลางภาค'!$B$5:$DA$49,80,FALSE)="","",VLOOKUP($B26,'4.คีย์กลางภาค'!$B$5:$DA$49,80,FALSE)))</f>
        <v/>
      </c>
      <c r="AA26" s="337" t="str">
        <f>IF($B26="","",IF(VLOOKUP($B26,'4.คีย์กลางภาค'!$B$5:$DA$49,84,FALSE)="","",VLOOKUP($B26,'4.คีย์กลางภาค'!$B$5:$DA$49,84,FALSE)))</f>
        <v/>
      </c>
      <c r="AB26" s="337" t="str">
        <f>IF($B26="","",IF(VLOOKUP($B26,'4.คีย์กลางภาค'!$B$5:$DA$49,88,FALSE)="","",VLOOKUP($B26,'4.คีย์กลางภาค'!$B$5:$DA$49,88,FALSE)))</f>
        <v/>
      </c>
      <c r="AC26" s="337" t="str">
        <f>IF($B26="","",IF(VLOOKUP($B26,'4.คีย์กลางภาค'!$B$5:$DA$49,92,FALSE)="","",VLOOKUP($B26,'4.คีย์กลางภาค'!$B$5:$DA$49,92,FALSE)))</f>
        <v/>
      </c>
      <c r="AD26" s="340" t="str">
        <f>IF($B26="","",IF(VLOOKUP($B26,'4.คีย์กลางภาค'!$B$5:$DA$49,96,FALSE)="","",VLOOKUP($B26,'4.คีย์กลางภาค'!$B$5:$DA$49,96,FALSE)))</f>
        <v/>
      </c>
      <c r="AE26" s="338" t="str">
        <f>IF($B26="","",IF(VLOOKUP($B26,'4.คีย์กลางภาค'!$B$5:$DA$49,100,FALSE)="","",VLOOKUP($B26,'4.คีย์กลางภาค'!$B$5:$DA$49,100,FALSE)))</f>
        <v/>
      </c>
      <c r="AF26" s="485" t="str">
        <f>IF($B26="","",IF(VLOOKUP($B26,'4.คีย์กลางภาค'!$B$5:$DA$49,104,FALSE)="","",VLOOKUP($B26,'4.คีย์กลางภาค'!$B$5:$DA$49,104,FALSE)))</f>
        <v/>
      </c>
      <c r="AG26" s="540" t="str">
        <f>IF($B26="","",IF(VLOOKUP($B26,'4.คีย์กลางภาค'!$B$5:$DD$49,105,FALSE)="","",VLOOKUP($B26,'4.คีย์กลางภาค'!$B$5:$DD$49,105,FALSE)))</f>
        <v/>
      </c>
      <c r="AH26" s="536" t="str">
        <f>IF($B26="","",IF(VLOOKUP($B26,'4.คีย์กลางภาค'!$B$5:$DD$49,106,FALSE)="","",VLOOKUP($B26,'4.คีย์กลางภาค'!$B$5:$DD$49,106,FALSE)))</f>
        <v/>
      </c>
      <c r="AI26" s="27" t="str">
        <f t="shared" si="14"/>
        <v/>
      </c>
      <c r="AJ26" s="330"/>
      <c r="AL26" s="342" t="str">
        <f t="shared" si="15"/>
        <v/>
      </c>
      <c r="AM26" s="343" t="str">
        <f t="shared" si="16"/>
        <v/>
      </c>
      <c r="AN26" s="343" t="str">
        <f t="shared" si="17"/>
        <v/>
      </c>
      <c r="AO26" s="344" t="str">
        <f t="shared" si="18"/>
        <v/>
      </c>
      <c r="AP26" s="345" t="str">
        <f t="shared" si="19"/>
        <v/>
      </c>
    </row>
    <row r="27" spans="1:42" s="29" customFormat="1" ht="16.5" customHeight="1" x14ac:dyDescent="0.25">
      <c r="A27" s="335">
        <v>20</v>
      </c>
      <c r="B27" s="20" t="str">
        <f>IF(IDstu20="","",IDstu20)</f>
        <v/>
      </c>
      <c r="C27" s="504" t="str">
        <f>IF(Name20="","",Name20)</f>
        <v/>
      </c>
      <c r="D27" s="505" t="str">
        <f>IF(Surname20="","",Surname20)</f>
        <v/>
      </c>
      <c r="E27" s="336" t="str">
        <f>IF($B27="","",IF(VLOOKUP($B27,'4.คีย์กลางภาค'!$B$5:$DA$49,8,FALSE)="","",VLOOKUP($B27,'4.คีย์กลางภาค'!$B$5:$DA$49,8,FALSE)))</f>
        <v/>
      </c>
      <c r="F27" s="337" t="str">
        <f>IF($B27="","",IF(VLOOKUP($B27,'4.คีย์กลางภาค'!$B$5:$DA$49,12,FALSE)="","",VLOOKUP($B27,'4.คีย์กลางภาค'!$B$5:$DA$49,12,FALSE)))</f>
        <v/>
      </c>
      <c r="G27" s="337" t="str">
        <f>IF($B27="","",IF(VLOOKUP($B27,'4.คีย์กลางภาค'!$B$5:$DA$49,16,FALSE)="","",VLOOKUP($B27,'4.คีย์กลางภาค'!$B$5:$DA$49,16,FALSE)))</f>
        <v/>
      </c>
      <c r="H27" s="338" t="str">
        <f>IF($B27="","",IF(VLOOKUP($B27,'4.คีย์กลางภาค'!$B$5:$DA$49,20,FALSE)="","",VLOOKUP($B27,'4.คีย์กลางภาค'!$B$5:$DA$49,20,FALSE)))</f>
        <v/>
      </c>
      <c r="I27" s="337" t="str">
        <f>IF($B27="","",IF(VLOOKUP($B27,'4.คีย์กลางภาค'!$B$5:$DA$49,24,FALSE)="","",VLOOKUP($B27,'4.คีย์กลางภาค'!$B$5:$DA$49,24,FALSE)))</f>
        <v/>
      </c>
      <c r="J27" s="337" t="str">
        <f>IF($B27="","",IF(VLOOKUP($B27,'4.คีย์กลางภาค'!$B$5:$DA$49,28,FALSE)="","",VLOOKUP($B27,'4.คีย์กลางภาค'!$B$5:$DA$49,28,FALSE)))</f>
        <v/>
      </c>
      <c r="K27" s="337" t="str">
        <f>IF($B27="","",IF(VLOOKUP($B27,'4.คีย์กลางภาค'!$B$5:$DA$49,32,FALSE)="","",VLOOKUP($B27,'4.คีย์กลางภาค'!$B$5:$DA$49,32,FALSE)))</f>
        <v/>
      </c>
      <c r="L27" s="337" t="str">
        <f>IF($B27="","",IF(VLOOKUP($B27,'4.คีย์กลางภาค'!$B$5:$DA$49,36,FALSE)="","",VLOOKUP($B27,'4.คีย์กลางภาค'!$B$5:$DA$49,36,FALSE)))</f>
        <v/>
      </c>
      <c r="M27" s="338" t="str">
        <f>IF($B27="","",IF(VLOOKUP($B27,'4.คีย์กลางภาค'!$B$5:$DA$49,40,FALSE)="","",VLOOKUP($B27,'4.คีย์กลางภาค'!$B$5:$DA$49,40,FALSE)))</f>
        <v/>
      </c>
      <c r="N27" s="338" t="str">
        <f>IF($B27="","",IF(VLOOKUP($B27,'4.คีย์กลางภาค'!$B$5:$DA$49,44,FALSE)="","",VLOOKUP($B27,'4.คีย์กลางภาค'!$B$5:$DA$49,44,FALSE)))</f>
        <v/>
      </c>
      <c r="O27" s="338" t="str">
        <f>IF($B27="","",IF(VLOOKUP($B27,'4.คีย์กลางภาค'!$B$5:$DA$49,48,FALSE)="","",VLOOKUP($B27,'4.คีย์กลางภาค'!$B$5:$DA$49,48,FALSE)))</f>
        <v/>
      </c>
      <c r="P27" s="339" t="str">
        <f>IF($B27="","",IF(VLOOKUP($B27,'4.คีย์กลางภาค'!$B$5:$DA$49,52,FALSE)="","",VLOOKUP($B27,'4.คีย์กลางภาค'!$B$5:$DA$49,52,FALSE)))</f>
        <v/>
      </c>
      <c r="Q27" s="335">
        <v>20</v>
      </c>
      <c r="R27" s="504" t="str">
        <f>IF(Name20="","",Name20)</f>
        <v/>
      </c>
      <c r="S27" s="505" t="str">
        <f>IF(Surname20="","",Surname20)</f>
        <v/>
      </c>
      <c r="T27" s="336" t="str">
        <f>IF($B27="","",IF(VLOOKUP($B27,'4.คีย์กลางภาค'!$B$5:$DA$49,56,FALSE)="","",VLOOKUP($B27,'4.คีย์กลางภาค'!$B$5:$DA$49,56,FALSE)))</f>
        <v/>
      </c>
      <c r="U27" s="337" t="str">
        <f>IF($B27="","",IF(VLOOKUP($B27,'4.คีย์กลางภาค'!$B$5:$DA$49,60,FALSE)="","",VLOOKUP($B27,'4.คีย์กลางภาค'!$B$5:$DA$49,60,FALSE)))</f>
        <v/>
      </c>
      <c r="V27" s="337" t="str">
        <f>IF($B27="","",IF(VLOOKUP($B27,'4.คีย์กลางภาค'!$B$5:$DA$49,64,FALSE)="","",VLOOKUP($B27,'4.คีย์กลางภาค'!$B$5:$DA$49,64,FALSE)))</f>
        <v/>
      </c>
      <c r="W27" s="337" t="str">
        <f>IF($B27="","",IF(VLOOKUP($B27,'4.คีย์กลางภาค'!$B$5:$DA$49,68,FALSE)="","",VLOOKUP($B27,'4.คีย์กลางภาค'!$B$5:$DA$49,68,FALSE)))</f>
        <v/>
      </c>
      <c r="X27" s="338" t="str">
        <f>IF($B27="","",IF(VLOOKUP($B27,'4.คีย์กลางภาค'!$B$5:$DA$49,72,FALSE)="","",VLOOKUP($B27,'4.คีย์กลางภาค'!$B$5:$DA$49,72,FALSE)))</f>
        <v/>
      </c>
      <c r="Y27" s="338" t="str">
        <f>IF($B27="","",IF(VLOOKUP($B27,'4.คีย์กลางภาค'!$B$5:$DA$49,76,FALSE)="","",VLOOKUP($B27,'4.คีย์กลางภาค'!$B$5:$DA$49,76,FALSE)))</f>
        <v/>
      </c>
      <c r="Z27" s="337" t="str">
        <f>IF($B27="","",IF(VLOOKUP($B27,'4.คีย์กลางภาค'!$B$5:$DA$49,80,FALSE)="","",VLOOKUP($B27,'4.คีย์กลางภาค'!$B$5:$DA$49,80,FALSE)))</f>
        <v/>
      </c>
      <c r="AA27" s="337" t="str">
        <f>IF($B27="","",IF(VLOOKUP($B27,'4.คีย์กลางภาค'!$B$5:$DA$49,84,FALSE)="","",VLOOKUP($B27,'4.คีย์กลางภาค'!$B$5:$DA$49,84,FALSE)))</f>
        <v/>
      </c>
      <c r="AB27" s="337" t="str">
        <f>IF($B27="","",IF(VLOOKUP($B27,'4.คีย์กลางภาค'!$B$5:$DA$49,88,FALSE)="","",VLOOKUP($B27,'4.คีย์กลางภาค'!$B$5:$DA$49,88,FALSE)))</f>
        <v/>
      </c>
      <c r="AC27" s="337" t="str">
        <f>IF($B27="","",IF(VLOOKUP($B27,'4.คีย์กลางภาค'!$B$5:$DA$49,92,FALSE)="","",VLOOKUP($B27,'4.คีย์กลางภาค'!$B$5:$DA$49,92,FALSE)))</f>
        <v/>
      </c>
      <c r="AD27" s="340" t="str">
        <f>IF($B27="","",IF(VLOOKUP($B27,'4.คีย์กลางภาค'!$B$5:$DA$49,96,FALSE)="","",VLOOKUP($B27,'4.คีย์กลางภาค'!$B$5:$DA$49,96,FALSE)))</f>
        <v/>
      </c>
      <c r="AE27" s="338" t="str">
        <f>IF($B27="","",IF(VLOOKUP($B27,'4.คีย์กลางภาค'!$B$5:$DA$49,100,FALSE)="","",VLOOKUP($B27,'4.คีย์กลางภาค'!$B$5:$DA$49,100,FALSE)))</f>
        <v/>
      </c>
      <c r="AF27" s="485" t="str">
        <f>IF($B27="","",IF(VLOOKUP($B27,'4.คีย์กลางภาค'!$B$5:$DA$49,104,FALSE)="","",VLOOKUP($B27,'4.คีย์กลางภาค'!$B$5:$DA$49,104,FALSE)))</f>
        <v/>
      </c>
      <c r="AG27" s="540" t="str">
        <f>IF($B27="","",IF(VLOOKUP($B27,'4.คีย์กลางภาค'!$B$5:$DD$49,105,FALSE)="","",VLOOKUP($B27,'4.คีย์กลางภาค'!$B$5:$DD$49,105,FALSE)))</f>
        <v/>
      </c>
      <c r="AH27" s="536" t="str">
        <f>IF($B27="","",IF(VLOOKUP($B27,'4.คีย์กลางภาค'!$B$5:$DD$49,106,FALSE)="","",VLOOKUP($B27,'4.คีย์กลางภาค'!$B$5:$DD$49,106,FALSE)))</f>
        <v/>
      </c>
      <c r="AI27" s="27" t="str">
        <f t="shared" si="14"/>
        <v/>
      </c>
      <c r="AJ27" s="330"/>
      <c r="AL27" s="342" t="str">
        <f t="shared" si="15"/>
        <v/>
      </c>
      <c r="AM27" s="343" t="str">
        <f t="shared" si="16"/>
        <v/>
      </c>
      <c r="AN27" s="343" t="str">
        <f t="shared" si="17"/>
        <v/>
      </c>
      <c r="AO27" s="344" t="str">
        <f t="shared" si="18"/>
        <v/>
      </c>
      <c r="AP27" s="345" t="str">
        <f t="shared" si="19"/>
        <v/>
      </c>
    </row>
    <row r="28" spans="1:42" s="29" customFormat="1" ht="16.5" customHeight="1" x14ac:dyDescent="0.25">
      <c r="A28" s="335">
        <v>21</v>
      </c>
      <c r="B28" s="20" t="str">
        <f>IF(IDstu21="","",IDstu21)</f>
        <v/>
      </c>
      <c r="C28" s="504" t="str">
        <f>IF(Name21="","",Name21)</f>
        <v/>
      </c>
      <c r="D28" s="505" t="str">
        <f>IF(Surname21="","",Surname21)</f>
        <v/>
      </c>
      <c r="E28" s="336" t="str">
        <f>IF($B28="","",IF(VLOOKUP($B28,'4.คีย์กลางภาค'!$B$5:$DA$49,8,FALSE)="","",VLOOKUP($B28,'4.คีย์กลางภาค'!$B$5:$DA$49,8,FALSE)))</f>
        <v/>
      </c>
      <c r="F28" s="337" t="str">
        <f>IF($B28="","",IF(VLOOKUP($B28,'4.คีย์กลางภาค'!$B$5:$DA$49,12,FALSE)="","",VLOOKUP($B28,'4.คีย์กลางภาค'!$B$5:$DA$49,12,FALSE)))</f>
        <v/>
      </c>
      <c r="G28" s="337" t="str">
        <f>IF($B28="","",IF(VLOOKUP($B28,'4.คีย์กลางภาค'!$B$5:$DA$49,16,FALSE)="","",VLOOKUP($B28,'4.คีย์กลางภาค'!$B$5:$DA$49,16,FALSE)))</f>
        <v/>
      </c>
      <c r="H28" s="338" t="str">
        <f>IF($B28="","",IF(VLOOKUP($B28,'4.คีย์กลางภาค'!$B$5:$DA$49,20,FALSE)="","",VLOOKUP($B28,'4.คีย์กลางภาค'!$B$5:$DA$49,20,FALSE)))</f>
        <v/>
      </c>
      <c r="I28" s="337" t="str">
        <f>IF($B28="","",IF(VLOOKUP($B28,'4.คีย์กลางภาค'!$B$5:$DA$49,24,FALSE)="","",VLOOKUP($B28,'4.คีย์กลางภาค'!$B$5:$DA$49,24,FALSE)))</f>
        <v/>
      </c>
      <c r="J28" s="337" t="str">
        <f>IF($B28="","",IF(VLOOKUP($B28,'4.คีย์กลางภาค'!$B$5:$DA$49,28,FALSE)="","",VLOOKUP($B28,'4.คีย์กลางภาค'!$B$5:$DA$49,28,FALSE)))</f>
        <v/>
      </c>
      <c r="K28" s="337" t="str">
        <f>IF($B28="","",IF(VLOOKUP($B28,'4.คีย์กลางภาค'!$B$5:$DA$49,32,FALSE)="","",VLOOKUP($B28,'4.คีย์กลางภาค'!$B$5:$DA$49,32,FALSE)))</f>
        <v/>
      </c>
      <c r="L28" s="337" t="str">
        <f>IF($B28="","",IF(VLOOKUP($B28,'4.คีย์กลางภาค'!$B$5:$DA$49,36,FALSE)="","",VLOOKUP($B28,'4.คีย์กลางภาค'!$B$5:$DA$49,36,FALSE)))</f>
        <v/>
      </c>
      <c r="M28" s="338" t="str">
        <f>IF($B28="","",IF(VLOOKUP($B28,'4.คีย์กลางภาค'!$B$5:$DA$49,40,FALSE)="","",VLOOKUP($B28,'4.คีย์กลางภาค'!$B$5:$DA$49,40,FALSE)))</f>
        <v/>
      </c>
      <c r="N28" s="338" t="str">
        <f>IF($B28="","",IF(VLOOKUP($B28,'4.คีย์กลางภาค'!$B$5:$DA$49,44,FALSE)="","",VLOOKUP($B28,'4.คีย์กลางภาค'!$B$5:$DA$49,44,FALSE)))</f>
        <v/>
      </c>
      <c r="O28" s="338" t="str">
        <f>IF($B28="","",IF(VLOOKUP($B28,'4.คีย์กลางภาค'!$B$5:$DA$49,48,FALSE)="","",VLOOKUP($B28,'4.คีย์กลางภาค'!$B$5:$DA$49,48,FALSE)))</f>
        <v/>
      </c>
      <c r="P28" s="339" t="str">
        <f>IF($B28="","",IF(VLOOKUP($B28,'4.คีย์กลางภาค'!$B$5:$DA$49,52,FALSE)="","",VLOOKUP($B28,'4.คีย์กลางภาค'!$B$5:$DA$49,52,FALSE)))</f>
        <v/>
      </c>
      <c r="Q28" s="335">
        <v>21</v>
      </c>
      <c r="R28" s="504" t="str">
        <f>IF(Name21="","",Name21)</f>
        <v/>
      </c>
      <c r="S28" s="505" t="str">
        <f>IF(Surname21="","",Surname21)</f>
        <v/>
      </c>
      <c r="T28" s="336" t="str">
        <f>IF($B28="","",IF(VLOOKUP($B28,'4.คีย์กลางภาค'!$B$5:$DA$49,56,FALSE)="","",VLOOKUP($B28,'4.คีย์กลางภาค'!$B$5:$DA$49,56,FALSE)))</f>
        <v/>
      </c>
      <c r="U28" s="337" t="str">
        <f>IF($B28="","",IF(VLOOKUP($B28,'4.คีย์กลางภาค'!$B$5:$DA$49,60,FALSE)="","",VLOOKUP($B28,'4.คีย์กลางภาค'!$B$5:$DA$49,60,FALSE)))</f>
        <v/>
      </c>
      <c r="V28" s="337" t="str">
        <f>IF($B28="","",IF(VLOOKUP($B28,'4.คีย์กลางภาค'!$B$5:$DA$49,64,FALSE)="","",VLOOKUP($B28,'4.คีย์กลางภาค'!$B$5:$DA$49,64,FALSE)))</f>
        <v/>
      </c>
      <c r="W28" s="337" t="str">
        <f>IF($B28="","",IF(VLOOKUP($B28,'4.คีย์กลางภาค'!$B$5:$DA$49,68,FALSE)="","",VLOOKUP($B28,'4.คีย์กลางภาค'!$B$5:$DA$49,68,FALSE)))</f>
        <v/>
      </c>
      <c r="X28" s="338" t="str">
        <f>IF($B28="","",IF(VLOOKUP($B28,'4.คีย์กลางภาค'!$B$5:$DA$49,72,FALSE)="","",VLOOKUP($B28,'4.คีย์กลางภาค'!$B$5:$DA$49,72,FALSE)))</f>
        <v/>
      </c>
      <c r="Y28" s="338" t="str">
        <f>IF($B28="","",IF(VLOOKUP($B28,'4.คีย์กลางภาค'!$B$5:$DA$49,76,FALSE)="","",VLOOKUP($B28,'4.คีย์กลางภาค'!$B$5:$DA$49,76,FALSE)))</f>
        <v/>
      </c>
      <c r="Z28" s="337" t="str">
        <f>IF($B28="","",IF(VLOOKUP($B28,'4.คีย์กลางภาค'!$B$5:$DA$49,80,FALSE)="","",VLOOKUP($B28,'4.คีย์กลางภาค'!$B$5:$DA$49,80,FALSE)))</f>
        <v/>
      </c>
      <c r="AA28" s="337" t="str">
        <f>IF($B28="","",IF(VLOOKUP($B28,'4.คีย์กลางภาค'!$B$5:$DA$49,84,FALSE)="","",VLOOKUP($B28,'4.คีย์กลางภาค'!$B$5:$DA$49,84,FALSE)))</f>
        <v/>
      </c>
      <c r="AB28" s="337" t="str">
        <f>IF($B28="","",IF(VLOOKUP($B28,'4.คีย์กลางภาค'!$B$5:$DA$49,88,FALSE)="","",VLOOKUP($B28,'4.คีย์กลางภาค'!$B$5:$DA$49,88,FALSE)))</f>
        <v/>
      </c>
      <c r="AC28" s="337" t="str">
        <f>IF($B28="","",IF(VLOOKUP($B28,'4.คีย์กลางภาค'!$B$5:$DA$49,92,FALSE)="","",VLOOKUP($B28,'4.คีย์กลางภาค'!$B$5:$DA$49,92,FALSE)))</f>
        <v/>
      </c>
      <c r="AD28" s="340" t="str">
        <f>IF($B28="","",IF(VLOOKUP($B28,'4.คีย์กลางภาค'!$B$5:$DA$49,96,FALSE)="","",VLOOKUP($B28,'4.คีย์กลางภาค'!$B$5:$DA$49,96,FALSE)))</f>
        <v/>
      </c>
      <c r="AE28" s="338" t="str">
        <f>IF($B28="","",IF(VLOOKUP($B28,'4.คีย์กลางภาค'!$B$5:$DA$49,100,FALSE)="","",VLOOKUP($B28,'4.คีย์กลางภาค'!$B$5:$DA$49,100,FALSE)))</f>
        <v/>
      </c>
      <c r="AF28" s="485" t="str">
        <f>IF($B28="","",IF(VLOOKUP($B28,'4.คีย์กลางภาค'!$B$5:$DA$49,104,FALSE)="","",VLOOKUP($B28,'4.คีย์กลางภาค'!$B$5:$DA$49,104,FALSE)))</f>
        <v/>
      </c>
      <c r="AG28" s="540" t="str">
        <f>IF($B28="","",IF(VLOOKUP($B28,'4.คีย์กลางภาค'!$B$5:$DD$49,105,FALSE)="","",VLOOKUP($B28,'4.คีย์กลางภาค'!$B$5:$DD$49,105,FALSE)))</f>
        <v/>
      </c>
      <c r="AH28" s="536" t="str">
        <f>IF($B28="","",IF(VLOOKUP($B28,'4.คีย์กลางภาค'!$B$5:$DD$49,106,FALSE)="","",VLOOKUP($B28,'4.คีย์กลางภาค'!$B$5:$DD$49,106,FALSE)))</f>
        <v/>
      </c>
      <c r="AI28" s="27" t="str">
        <f t="shared" si="14"/>
        <v/>
      </c>
      <c r="AJ28" s="330"/>
      <c r="AL28" s="342" t="str">
        <f t="shared" si="15"/>
        <v/>
      </c>
      <c r="AM28" s="343" t="str">
        <f t="shared" si="16"/>
        <v/>
      </c>
      <c r="AN28" s="343" t="str">
        <f t="shared" si="17"/>
        <v/>
      </c>
      <c r="AO28" s="344" t="str">
        <f t="shared" si="18"/>
        <v/>
      </c>
      <c r="AP28" s="345" t="str">
        <f t="shared" si="19"/>
        <v/>
      </c>
    </row>
    <row r="29" spans="1:42" s="29" customFormat="1" ht="16.5" customHeight="1" x14ac:dyDescent="0.25">
      <c r="A29" s="335">
        <v>22</v>
      </c>
      <c r="B29" s="20" t="str">
        <f>IF(IDstu22="","",IDstu22)</f>
        <v/>
      </c>
      <c r="C29" s="504" t="str">
        <f>IF(Name22="","",Name22)</f>
        <v/>
      </c>
      <c r="D29" s="505" t="str">
        <f>IF(Surname22="","",Surname22)</f>
        <v/>
      </c>
      <c r="E29" s="336" t="str">
        <f>IF($B29="","",IF(VLOOKUP($B29,'4.คีย์กลางภาค'!$B$5:$DA$49,8,FALSE)="","",VLOOKUP($B29,'4.คีย์กลางภาค'!$B$5:$DA$49,8,FALSE)))</f>
        <v/>
      </c>
      <c r="F29" s="337" t="str">
        <f>IF($B29="","",IF(VLOOKUP($B29,'4.คีย์กลางภาค'!$B$5:$DA$49,12,FALSE)="","",VLOOKUP($B29,'4.คีย์กลางภาค'!$B$5:$DA$49,12,FALSE)))</f>
        <v/>
      </c>
      <c r="G29" s="337" t="str">
        <f>IF($B29="","",IF(VLOOKUP($B29,'4.คีย์กลางภาค'!$B$5:$DA$49,16,FALSE)="","",VLOOKUP($B29,'4.คีย์กลางภาค'!$B$5:$DA$49,16,FALSE)))</f>
        <v/>
      </c>
      <c r="H29" s="338" t="str">
        <f>IF($B29="","",IF(VLOOKUP($B29,'4.คีย์กลางภาค'!$B$5:$DA$49,20,FALSE)="","",VLOOKUP($B29,'4.คีย์กลางภาค'!$B$5:$DA$49,20,FALSE)))</f>
        <v/>
      </c>
      <c r="I29" s="337" t="str">
        <f>IF($B29="","",IF(VLOOKUP($B29,'4.คีย์กลางภาค'!$B$5:$DA$49,24,FALSE)="","",VLOOKUP($B29,'4.คีย์กลางภาค'!$B$5:$DA$49,24,FALSE)))</f>
        <v/>
      </c>
      <c r="J29" s="337" t="str">
        <f>IF($B29="","",IF(VLOOKUP($B29,'4.คีย์กลางภาค'!$B$5:$DA$49,28,FALSE)="","",VLOOKUP($B29,'4.คีย์กลางภาค'!$B$5:$DA$49,28,FALSE)))</f>
        <v/>
      </c>
      <c r="K29" s="337" t="str">
        <f>IF($B29="","",IF(VLOOKUP($B29,'4.คีย์กลางภาค'!$B$5:$DA$49,32,FALSE)="","",VLOOKUP($B29,'4.คีย์กลางภาค'!$B$5:$DA$49,32,FALSE)))</f>
        <v/>
      </c>
      <c r="L29" s="337" t="str">
        <f>IF($B29="","",IF(VLOOKUP($B29,'4.คีย์กลางภาค'!$B$5:$DA$49,36,FALSE)="","",VLOOKUP($B29,'4.คีย์กลางภาค'!$B$5:$DA$49,36,FALSE)))</f>
        <v/>
      </c>
      <c r="M29" s="338" t="str">
        <f>IF($B29="","",IF(VLOOKUP($B29,'4.คีย์กลางภาค'!$B$5:$DA$49,40,FALSE)="","",VLOOKUP($B29,'4.คีย์กลางภาค'!$B$5:$DA$49,40,FALSE)))</f>
        <v/>
      </c>
      <c r="N29" s="338" t="str">
        <f>IF($B29="","",IF(VLOOKUP($B29,'4.คีย์กลางภาค'!$B$5:$DA$49,44,FALSE)="","",VLOOKUP($B29,'4.คีย์กลางภาค'!$B$5:$DA$49,44,FALSE)))</f>
        <v/>
      </c>
      <c r="O29" s="338" t="str">
        <f>IF($B29="","",IF(VLOOKUP($B29,'4.คีย์กลางภาค'!$B$5:$DA$49,48,FALSE)="","",VLOOKUP($B29,'4.คีย์กลางภาค'!$B$5:$DA$49,48,FALSE)))</f>
        <v/>
      </c>
      <c r="P29" s="339" t="str">
        <f>IF($B29="","",IF(VLOOKUP($B29,'4.คีย์กลางภาค'!$B$5:$DA$49,52,FALSE)="","",VLOOKUP($B29,'4.คีย์กลางภาค'!$B$5:$DA$49,52,FALSE)))</f>
        <v/>
      </c>
      <c r="Q29" s="335">
        <v>22</v>
      </c>
      <c r="R29" s="504" t="str">
        <f>IF(Name22="","",Name22)</f>
        <v/>
      </c>
      <c r="S29" s="505" t="str">
        <f>IF(Surname22="","",Surname22)</f>
        <v/>
      </c>
      <c r="T29" s="336" t="str">
        <f>IF($B29="","",IF(VLOOKUP($B29,'4.คีย์กลางภาค'!$B$5:$DA$49,56,FALSE)="","",VLOOKUP($B29,'4.คีย์กลางภาค'!$B$5:$DA$49,56,FALSE)))</f>
        <v/>
      </c>
      <c r="U29" s="337" t="str">
        <f>IF($B29="","",IF(VLOOKUP($B29,'4.คีย์กลางภาค'!$B$5:$DA$49,60,FALSE)="","",VLOOKUP($B29,'4.คีย์กลางภาค'!$B$5:$DA$49,60,FALSE)))</f>
        <v/>
      </c>
      <c r="V29" s="337" t="str">
        <f>IF($B29="","",IF(VLOOKUP($B29,'4.คีย์กลางภาค'!$B$5:$DA$49,64,FALSE)="","",VLOOKUP($B29,'4.คีย์กลางภาค'!$B$5:$DA$49,64,FALSE)))</f>
        <v/>
      </c>
      <c r="W29" s="337" t="str">
        <f>IF($B29="","",IF(VLOOKUP($B29,'4.คีย์กลางภาค'!$B$5:$DA$49,68,FALSE)="","",VLOOKUP($B29,'4.คีย์กลางภาค'!$B$5:$DA$49,68,FALSE)))</f>
        <v/>
      </c>
      <c r="X29" s="338" t="str">
        <f>IF($B29="","",IF(VLOOKUP($B29,'4.คีย์กลางภาค'!$B$5:$DA$49,72,FALSE)="","",VLOOKUP($B29,'4.คีย์กลางภาค'!$B$5:$DA$49,72,FALSE)))</f>
        <v/>
      </c>
      <c r="Y29" s="338" t="str">
        <f>IF($B29="","",IF(VLOOKUP($B29,'4.คีย์กลางภาค'!$B$5:$DA$49,76,FALSE)="","",VLOOKUP($B29,'4.คีย์กลางภาค'!$B$5:$DA$49,76,FALSE)))</f>
        <v/>
      </c>
      <c r="Z29" s="337" t="str">
        <f>IF($B29="","",IF(VLOOKUP($B29,'4.คีย์กลางภาค'!$B$5:$DA$49,80,FALSE)="","",VLOOKUP($B29,'4.คีย์กลางภาค'!$B$5:$DA$49,80,FALSE)))</f>
        <v/>
      </c>
      <c r="AA29" s="337" t="str">
        <f>IF($B29="","",IF(VLOOKUP($B29,'4.คีย์กลางภาค'!$B$5:$DA$49,84,FALSE)="","",VLOOKUP($B29,'4.คีย์กลางภาค'!$B$5:$DA$49,84,FALSE)))</f>
        <v/>
      </c>
      <c r="AB29" s="337" t="str">
        <f>IF($B29="","",IF(VLOOKUP($B29,'4.คีย์กลางภาค'!$B$5:$DA$49,88,FALSE)="","",VLOOKUP($B29,'4.คีย์กลางภาค'!$B$5:$DA$49,88,FALSE)))</f>
        <v/>
      </c>
      <c r="AC29" s="337" t="str">
        <f>IF($B29="","",IF(VLOOKUP($B29,'4.คีย์กลางภาค'!$B$5:$DA$49,92,FALSE)="","",VLOOKUP($B29,'4.คีย์กลางภาค'!$B$5:$DA$49,92,FALSE)))</f>
        <v/>
      </c>
      <c r="AD29" s="340" t="str">
        <f>IF($B29="","",IF(VLOOKUP($B29,'4.คีย์กลางภาค'!$B$5:$DA$49,96,FALSE)="","",VLOOKUP($B29,'4.คีย์กลางภาค'!$B$5:$DA$49,96,FALSE)))</f>
        <v/>
      </c>
      <c r="AE29" s="338" t="str">
        <f>IF($B29="","",IF(VLOOKUP($B29,'4.คีย์กลางภาค'!$B$5:$DA$49,100,FALSE)="","",VLOOKUP($B29,'4.คีย์กลางภาค'!$B$5:$DA$49,100,FALSE)))</f>
        <v/>
      </c>
      <c r="AF29" s="485" t="str">
        <f>IF($B29="","",IF(VLOOKUP($B29,'4.คีย์กลางภาค'!$B$5:$DA$49,104,FALSE)="","",VLOOKUP($B29,'4.คีย์กลางภาค'!$B$5:$DA$49,104,FALSE)))</f>
        <v/>
      </c>
      <c r="AG29" s="540" t="str">
        <f>IF($B29="","",IF(VLOOKUP($B29,'4.คีย์กลางภาค'!$B$5:$DD$49,105,FALSE)="","",VLOOKUP($B29,'4.คีย์กลางภาค'!$B$5:$DD$49,105,FALSE)))</f>
        <v/>
      </c>
      <c r="AH29" s="536" t="str">
        <f>IF($B29="","",IF(VLOOKUP($B29,'4.คีย์กลางภาค'!$B$5:$DD$49,106,FALSE)="","",VLOOKUP($B29,'4.คีย์กลางภาค'!$B$5:$DD$49,106,FALSE)))</f>
        <v/>
      </c>
      <c r="AI29" s="27" t="str">
        <f t="shared" si="14"/>
        <v/>
      </c>
      <c r="AJ29" s="330"/>
      <c r="AL29" s="342" t="str">
        <f t="shared" si="15"/>
        <v/>
      </c>
      <c r="AM29" s="343" t="str">
        <f t="shared" si="16"/>
        <v/>
      </c>
      <c r="AN29" s="343" t="str">
        <f t="shared" si="17"/>
        <v/>
      </c>
      <c r="AO29" s="344" t="str">
        <f t="shared" si="18"/>
        <v/>
      </c>
      <c r="AP29" s="345" t="str">
        <f t="shared" si="19"/>
        <v/>
      </c>
    </row>
    <row r="30" spans="1:42" s="29" customFormat="1" ht="16.5" customHeight="1" x14ac:dyDescent="0.25">
      <c r="A30" s="335">
        <v>23</v>
      </c>
      <c r="B30" s="20" t="str">
        <f>IF(IDstu23="","",IDstu23)</f>
        <v/>
      </c>
      <c r="C30" s="504" t="str">
        <f>IF(Name23="","",Name23)</f>
        <v/>
      </c>
      <c r="D30" s="505" t="str">
        <f>IF(Surname23="","",Surname23)</f>
        <v/>
      </c>
      <c r="E30" s="336" t="str">
        <f>IF($B30="","",IF(VLOOKUP($B30,'4.คีย์กลางภาค'!$B$5:$DA$49,8,FALSE)="","",VLOOKUP($B30,'4.คีย์กลางภาค'!$B$5:$DA$49,8,FALSE)))</f>
        <v/>
      </c>
      <c r="F30" s="337" t="str">
        <f>IF($B30="","",IF(VLOOKUP($B30,'4.คีย์กลางภาค'!$B$5:$DA$49,12,FALSE)="","",VLOOKUP($B30,'4.คีย์กลางภาค'!$B$5:$DA$49,12,FALSE)))</f>
        <v/>
      </c>
      <c r="G30" s="337" t="str">
        <f>IF($B30="","",IF(VLOOKUP($B30,'4.คีย์กลางภาค'!$B$5:$DA$49,16,FALSE)="","",VLOOKUP($B30,'4.คีย์กลางภาค'!$B$5:$DA$49,16,FALSE)))</f>
        <v/>
      </c>
      <c r="H30" s="338" t="str">
        <f>IF($B30="","",IF(VLOOKUP($B30,'4.คีย์กลางภาค'!$B$5:$DA$49,20,FALSE)="","",VLOOKUP($B30,'4.คีย์กลางภาค'!$B$5:$DA$49,20,FALSE)))</f>
        <v/>
      </c>
      <c r="I30" s="337" t="str">
        <f>IF($B30="","",IF(VLOOKUP($B30,'4.คีย์กลางภาค'!$B$5:$DA$49,24,FALSE)="","",VLOOKUP($B30,'4.คีย์กลางภาค'!$B$5:$DA$49,24,FALSE)))</f>
        <v/>
      </c>
      <c r="J30" s="337" t="str">
        <f>IF($B30="","",IF(VLOOKUP($B30,'4.คีย์กลางภาค'!$B$5:$DA$49,28,FALSE)="","",VLOOKUP($B30,'4.คีย์กลางภาค'!$B$5:$DA$49,28,FALSE)))</f>
        <v/>
      </c>
      <c r="K30" s="337" t="str">
        <f>IF($B30="","",IF(VLOOKUP($B30,'4.คีย์กลางภาค'!$B$5:$DA$49,32,FALSE)="","",VLOOKUP($B30,'4.คีย์กลางภาค'!$B$5:$DA$49,32,FALSE)))</f>
        <v/>
      </c>
      <c r="L30" s="337" t="str">
        <f>IF($B30="","",IF(VLOOKUP($B30,'4.คีย์กลางภาค'!$B$5:$DA$49,36,FALSE)="","",VLOOKUP($B30,'4.คีย์กลางภาค'!$B$5:$DA$49,36,FALSE)))</f>
        <v/>
      </c>
      <c r="M30" s="338" t="str">
        <f>IF($B30="","",IF(VLOOKUP($B30,'4.คีย์กลางภาค'!$B$5:$DA$49,40,FALSE)="","",VLOOKUP($B30,'4.คีย์กลางภาค'!$B$5:$DA$49,40,FALSE)))</f>
        <v/>
      </c>
      <c r="N30" s="338" t="str">
        <f>IF($B30="","",IF(VLOOKUP($B30,'4.คีย์กลางภาค'!$B$5:$DA$49,44,FALSE)="","",VLOOKUP($B30,'4.คีย์กลางภาค'!$B$5:$DA$49,44,FALSE)))</f>
        <v/>
      </c>
      <c r="O30" s="338" t="str">
        <f>IF($B30="","",IF(VLOOKUP($B30,'4.คีย์กลางภาค'!$B$5:$DA$49,48,FALSE)="","",VLOOKUP($B30,'4.คีย์กลางภาค'!$B$5:$DA$49,48,FALSE)))</f>
        <v/>
      </c>
      <c r="P30" s="339" t="str">
        <f>IF($B30="","",IF(VLOOKUP($B30,'4.คีย์กลางภาค'!$B$5:$DA$49,52,FALSE)="","",VLOOKUP($B30,'4.คีย์กลางภาค'!$B$5:$DA$49,52,FALSE)))</f>
        <v/>
      </c>
      <c r="Q30" s="335">
        <v>23</v>
      </c>
      <c r="R30" s="504" t="str">
        <f>IF(Name23="","",Name23)</f>
        <v/>
      </c>
      <c r="S30" s="505" t="str">
        <f>IF(Surname23="","",Surname23)</f>
        <v/>
      </c>
      <c r="T30" s="336" t="str">
        <f>IF($B30="","",IF(VLOOKUP($B30,'4.คีย์กลางภาค'!$B$5:$DA$49,56,FALSE)="","",VLOOKUP($B30,'4.คีย์กลางภาค'!$B$5:$DA$49,56,FALSE)))</f>
        <v/>
      </c>
      <c r="U30" s="337" t="str">
        <f>IF($B30="","",IF(VLOOKUP($B30,'4.คีย์กลางภาค'!$B$5:$DA$49,60,FALSE)="","",VLOOKUP($B30,'4.คีย์กลางภาค'!$B$5:$DA$49,60,FALSE)))</f>
        <v/>
      </c>
      <c r="V30" s="337" t="str">
        <f>IF($B30="","",IF(VLOOKUP($B30,'4.คีย์กลางภาค'!$B$5:$DA$49,64,FALSE)="","",VLOOKUP($B30,'4.คีย์กลางภาค'!$B$5:$DA$49,64,FALSE)))</f>
        <v/>
      </c>
      <c r="W30" s="337" t="str">
        <f>IF($B30="","",IF(VLOOKUP($B30,'4.คีย์กลางภาค'!$B$5:$DA$49,68,FALSE)="","",VLOOKUP($B30,'4.คีย์กลางภาค'!$B$5:$DA$49,68,FALSE)))</f>
        <v/>
      </c>
      <c r="X30" s="338" t="str">
        <f>IF($B30="","",IF(VLOOKUP($B30,'4.คีย์กลางภาค'!$B$5:$DA$49,72,FALSE)="","",VLOOKUP($B30,'4.คีย์กลางภาค'!$B$5:$DA$49,72,FALSE)))</f>
        <v/>
      </c>
      <c r="Y30" s="338" t="str">
        <f>IF($B30="","",IF(VLOOKUP($B30,'4.คีย์กลางภาค'!$B$5:$DA$49,76,FALSE)="","",VLOOKUP($B30,'4.คีย์กลางภาค'!$B$5:$DA$49,76,FALSE)))</f>
        <v/>
      </c>
      <c r="Z30" s="337" t="str">
        <f>IF($B30="","",IF(VLOOKUP($B30,'4.คีย์กลางภาค'!$B$5:$DA$49,80,FALSE)="","",VLOOKUP($B30,'4.คีย์กลางภาค'!$B$5:$DA$49,80,FALSE)))</f>
        <v/>
      </c>
      <c r="AA30" s="337" t="str">
        <f>IF($B30="","",IF(VLOOKUP($B30,'4.คีย์กลางภาค'!$B$5:$DA$49,84,FALSE)="","",VLOOKUP($B30,'4.คีย์กลางภาค'!$B$5:$DA$49,84,FALSE)))</f>
        <v/>
      </c>
      <c r="AB30" s="337" t="str">
        <f>IF($B30="","",IF(VLOOKUP($B30,'4.คีย์กลางภาค'!$B$5:$DA$49,88,FALSE)="","",VLOOKUP($B30,'4.คีย์กลางภาค'!$B$5:$DA$49,88,FALSE)))</f>
        <v/>
      </c>
      <c r="AC30" s="337" t="str">
        <f>IF($B30="","",IF(VLOOKUP($B30,'4.คีย์กลางภาค'!$B$5:$DA$49,92,FALSE)="","",VLOOKUP($B30,'4.คีย์กลางภาค'!$B$5:$DA$49,92,FALSE)))</f>
        <v/>
      </c>
      <c r="AD30" s="340" t="str">
        <f>IF($B30="","",IF(VLOOKUP($B30,'4.คีย์กลางภาค'!$B$5:$DA$49,96,FALSE)="","",VLOOKUP($B30,'4.คีย์กลางภาค'!$B$5:$DA$49,96,FALSE)))</f>
        <v/>
      </c>
      <c r="AE30" s="338" t="str">
        <f>IF($B30="","",IF(VLOOKUP($B30,'4.คีย์กลางภาค'!$B$5:$DA$49,100,FALSE)="","",VLOOKUP($B30,'4.คีย์กลางภาค'!$B$5:$DA$49,100,FALSE)))</f>
        <v/>
      </c>
      <c r="AF30" s="485" t="str">
        <f>IF($B30="","",IF(VLOOKUP($B30,'4.คีย์กลางภาค'!$B$5:$DA$49,104,FALSE)="","",VLOOKUP($B30,'4.คีย์กลางภาค'!$B$5:$DA$49,104,FALSE)))</f>
        <v/>
      </c>
      <c r="AG30" s="540" t="str">
        <f>IF($B30="","",IF(VLOOKUP($B30,'4.คีย์กลางภาค'!$B$5:$DD$49,105,FALSE)="","",VLOOKUP($B30,'4.คีย์กลางภาค'!$B$5:$DD$49,105,FALSE)))</f>
        <v/>
      </c>
      <c r="AH30" s="536" t="str">
        <f>IF($B30="","",IF(VLOOKUP($B30,'4.คีย์กลางภาค'!$B$5:$DD$49,106,FALSE)="","",VLOOKUP($B30,'4.คีย์กลางภาค'!$B$5:$DD$49,106,FALSE)))</f>
        <v/>
      </c>
      <c r="AI30" s="27" t="str">
        <f t="shared" si="14"/>
        <v/>
      </c>
      <c r="AJ30" s="330"/>
      <c r="AL30" s="342" t="str">
        <f t="shared" si="15"/>
        <v/>
      </c>
      <c r="AM30" s="343" t="str">
        <f t="shared" si="16"/>
        <v/>
      </c>
      <c r="AN30" s="343" t="str">
        <f t="shared" si="17"/>
        <v/>
      </c>
      <c r="AO30" s="344" t="str">
        <f t="shared" si="18"/>
        <v/>
      </c>
      <c r="AP30" s="345" t="str">
        <f t="shared" si="19"/>
        <v/>
      </c>
    </row>
    <row r="31" spans="1:42" s="29" customFormat="1" ht="16.5" customHeight="1" x14ac:dyDescent="0.25">
      <c r="A31" s="335">
        <v>24</v>
      </c>
      <c r="B31" s="20" t="str">
        <f>IF(IDstu24="","",IDstu24)</f>
        <v/>
      </c>
      <c r="C31" s="504" t="str">
        <f>IF(Name24="","",Name24)</f>
        <v/>
      </c>
      <c r="D31" s="505" t="str">
        <f>IF(Surname24="","",Surname24)</f>
        <v/>
      </c>
      <c r="E31" s="336" t="str">
        <f>IF($B31="","",IF(VLOOKUP($B31,'4.คีย์กลางภาค'!$B$5:$DA$49,8,FALSE)="","",VLOOKUP($B31,'4.คีย์กลางภาค'!$B$5:$DA$49,8,FALSE)))</f>
        <v/>
      </c>
      <c r="F31" s="337" t="str">
        <f>IF($B31="","",IF(VLOOKUP($B31,'4.คีย์กลางภาค'!$B$5:$DA$49,12,FALSE)="","",VLOOKUP($B31,'4.คีย์กลางภาค'!$B$5:$DA$49,12,FALSE)))</f>
        <v/>
      </c>
      <c r="G31" s="337" t="str">
        <f>IF($B31="","",IF(VLOOKUP($B31,'4.คีย์กลางภาค'!$B$5:$DA$49,16,FALSE)="","",VLOOKUP($B31,'4.คีย์กลางภาค'!$B$5:$DA$49,16,FALSE)))</f>
        <v/>
      </c>
      <c r="H31" s="338" t="str">
        <f>IF($B31="","",IF(VLOOKUP($B31,'4.คีย์กลางภาค'!$B$5:$DA$49,20,FALSE)="","",VLOOKUP($B31,'4.คีย์กลางภาค'!$B$5:$DA$49,20,FALSE)))</f>
        <v/>
      </c>
      <c r="I31" s="337" t="str">
        <f>IF($B31="","",IF(VLOOKUP($B31,'4.คีย์กลางภาค'!$B$5:$DA$49,24,FALSE)="","",VLOOKUP($B31,'4.คีย์กลางภาค'!$B$5:$DA$49,24,FALSE)))</f>
        <v/>
      </c>
      <c r="J31" s="337" t="str">
        <f>IF($B31="","",IF(VLOOKUP($B31,'4.คีย์กลางภาค'!$B$5:$DA$49,28,FALSE)="","",VLOOKUP($B31,'4.คีย์กลางภาค'!$B$5:$DA$49,28,FALSE)))</f>
        <v/>
      </c>
      <c r="K31" s="337" t="str">
        <f>IF($B31="","",IF(VLOOKUP($B31,'4.คีย์กลางภาค'!$B$5:$DA$49,32,FALSE)="","",VLOOKUP($B31,'4.คีย์กลางภาค'!$B$5:$DA$49,32,FALSE)))</f>
        <v/>
      </c>
      <c r="L31" s="337" t="str">
        <f>IF($B31="","",IF(VLOOKUP($B31,'4.คีย์กลางภาค'!$B$5:$DA$49,36,FALSE)="","",VLOOKUP($B31,'4.คีย์กลางภาค'!$B$5:$DA$49,36,FALSE)))</f>
        <v/>
      </c>
      <c r="M31" s="338" t="str">
        <f>IF($B31="","",IF(VLOOKUP($B31,'4.คีย์กลางภาค'!$B$5:$DA$49,40,FALSE)="","",VLOOKUP($B31,'4.คีย์กลางภาค'!$B$5:$DA$49,40,FALSE)))</f>
        <v/>
      </c>
      <c r="N31" s="338" t="str">
        <f>IF($B31="","",IF(VLOOKUP($B31,'4.คีย์กลางภาค'!$B$5:$DA$49,44,FALSE)="","",VLOOKUP($B31,'4.คีย์กลางภาค'!$B$5:$DA$49,44,FALSE)))</f>
        <v/>
      </c>
      <c r="O31" s="338" t="str">
        <f>IF($B31="","",IF(VLOOKUP($B31,'4.คีย์กลางภาค'!$B$5:$DA$49,48,FALSE)="","",VLOOKUP($B31,'4.คีย์กลางภาค'!$B$5:$DA$49,48,FALSE)))</f>
        <v/>
      </c>
      <c r="P31" s="339" t="str">
        <f>IF($B31="","",IF(VLOOKUP($B31,'4.คีย์กลางภาค'!$B$5:$DA$49,52,FALSE)="","",VLOOKUP($B31,'4.คีย์กลางภาค'!$B$5:$DA$49,52,FALSE)))</f>
        <v/>
      </c>
      <c r="Q31" s="335">
        <v>24</v>
      </c>
      <c r="R31" s="504" t="str">
        <f>IF(Name24="","",Name24)</f>
        <v/>
      </c>
      <c r="S31" s="505" t="str">
        <f>IF(Surname24="","",Surname24)</f>
        <v/>
      </c>
      <c r="T31" s="336" t="str">
        <f>IF($B31="","",IF(VLOOKUP($B31,'4.คีย์กลางภาค'!$B$5:$DA$49,56,FALSE)="","",VLOOKUP($B31,'4.คีย์กลางภาค'!$B$5:$DA$49,56,FALSE)))</f>
        <v/>
      </c>
      <c r="U31" s="337" t="str">
        <f>IF($B31="","",IF(VLOOKUP($B31,'4.คีย์กลางภาค'!$B$5:$DA$49,60,FALSE)="","",VLOOKUP($B31,'4.คีย์กลางภาค'!$B$5:$DA$49,60,FALSE)))</f>
        <v/>
      </c>
      <c r="V31" s="337" t="str">
        <f>IF($B31="","",IF(VLOOKUP($B31,'4.คีย์กลางภาค'!$B$5:$DA$49,64,FALSE)="","",VLOOKUP($B31,'4.คีย์กลางภาค'!$B$5:$DA$49,64,FALSE)))</f>
        <v/>
      </c>
      <c r="W31" s="337" t="str">
        <f>IF($B31="","",IF(VLOOKUP($B31,'4.คีย์กลางภาค'!$B$5:$DA$49,68,FALSE)="","",VLOOKUP($B31,'4.คีย์กลางภาค'!$B$5:$DA$49,68,FALSE)))</f>
        <v/>
      </c>
      <c r="X31" s="338" t="str">
        <f>IF($B31="","",IF(VLOOKUP($B31,'4.คีย์กลางภาค'!$B$5:$DA$49,72,FALSE)="","",VLOOKUP($B31,'4.คีย์กลางภาค'!$B$5:$DA$49,72,FALSE)))</f>
        <v/>
      </c>
      <c r="Y31" s="338" t="str">
        <f>IF($B31="","",IF(VLOOKUP($B31,'4.คีย์กลางภาค'!$B$5:$DA$49,76,FALSE)="","",VLOOKUP($B31,'4.คีย์กลางภาค'!$B$5:$DA$49,76,FALSE)))</f>
        <v/>
      </c>
      <c r="Z31" s="337" t="str">
        <f>IF($B31="","",IF(VLOOKUP($B31,'4.คีย์กลางภาค'!$B$5:$DA$49,80,FALSE)="","",VLOOKUP($B31,'4.คีย์กลางภาค'!$B$5:$DA$49,80,FALSE)))</f>
        <v/>
      </c>
      <c r="AA31" s="337" t="str">
        <f>IF($B31="","",IF(VLOOKUP($B31,'4.คีย์กลางภาค'!$B$5:$DA$49,84,FALSE)="","",VLOOKUP($B31,'4.คีย์กลางภาค'!$B$5:$DA$49,84,FALSE)))</f>
        <v/>
      </c>
      <c r="AB31" s="337" t="str">
        <f>IF($B31="","",IF(VLOOKUP($B31,'4.คีย์กลางภาค'!$B$5:$DA$49,88,FALSE)="","",VLOOKUP($B31,'4.คีย์กลางภาค'!$B$5:$DA$49,88,FALSE)))</f>
        <v/>
      </c>
      <c r="AC31" s="337" t="str">
        <f>IF($B31="","",IF(VLOOKUP($B31,'4.คีย์กลางภาค'!$B$5:$DA$49,92,FALSE)="","",VLOOKUP($B31,'4.คีย์กลางภาค'!$B$5:$DA$49,92,FALSE)))</f>
        <v/>
      </c>
      <c r="AD31" s="340" t="str">
        <f>IF($B31="","",IF(VLOOKUP($B31,'4.คีย์กลางภาค'!$B$5:$DA$49,96,FALSE)="","",VLOOKUP($B31,'4.คีย์กลางภาค'!$B$5:$DA$49,96,FALSE)))</f>
        <v/>
      </c>
      <c r="AE31" s="338" t="str">
        <f>IF($B31="","",IF(VLOOKUP($B31,'4.คีย์กลางภาค'!$B$5:$DA$49,100,FALSE)="","",VLOOKUP($B31,'4.คีย์กลางภาค'!$B$5:$DA$49,100,FALSE)))</f>
        <v/>
      </c>
      <c r="AF31" s="485" t="str">
        <f>IF($B31="","",IF(VLOOKUP($B31,'4.คีย์กลางภาค'!$B$5:$DA$49,104,FALSE)="","",VLOOKUP($B31,'4.คีย์กลางภาค'!$B$5:$DA$49,104,FALSE)))</f>
        <v/>
      </c>
      <c r="AG31" s="540" t="str">
        <f>IF($B31="","",IF(VLOOKUP($B31,'4.คีย์กลางภาค'!$B$5:$DD$49,105,FALSE)="","",VLOOKUP($B31,'4.คีย์กลางภาค'!$B$5:$DD$49,105,FALSE)))</f>
        <v/>
      </c>
      <c r="AH31" s="536" t="str">
        <f>IF($B31="","",IF(VLOOKUP($B31,'4.คีย์กลางภาค'!$B$5:$DD$49,106,FALSE)="","",VLOOKUP($B31,'4.คีย์กลางภาค'!$B$5:$DD$49,106,FALSE)))</f>
        <v/>
      </c>
      <c r="AI31" s="27" t="str">
        <f t="shared" si="14"/>
        <v/>
      </c>
      <c r="AJ31" s="330"/>
      <c r="AL31" s="342" t="str">
        <f t="shared" si="15"/>
        <v/>
      </c>
      <c r="AM31" s="343" t="str">
        <f t="shared" si="16"/>
        <v/>
      </c>
      <c r="AN31" s="343" t="str">
        <f t="shared" si="17"/>
        <v/>
      </c>
      <c r="AO31" s="344" t="str">
        <f t="shared" si="18"/>
        <v/>
      </c>
      <c r="AP31" s="345" t="str">
        <f t="shared" si="19"/>
        <v/>
      </c>
    </row>
    <row r="32" spans="1:42" s="29" customFormat="1" ht="16.5" customHeight="1" x14ac:dyDescent="0.25">
      <c r="A32" s="335">
        <v>25</v>
      </c>
      <c r="B32" s="20" t="str">
        <f>IF(IDstu25="","",IDstu25)</f>
        <v/>
      </c>
      <c r="C32" s="504" t="str">
        <f>IF(Name25="","",Name25)</f>
        <v/>
      </c>
      <c r="D32" s="505" t="str">
        <f>IF(Surname25="","",Surname25)</f>
        <v/>
      </c>
      <c r="E32" s="336" t="str">
        <f>IF($B32="","",IF(VLOOKUP($B32,'4.คีย์กลางภาค'!$B$5:$DA$49,8,FALSE)="","",VLOOKUP($B32,'4.คีย์กลางภาค'!$B$5:$DA$49,8,FALSE)))</f>
        <v/>
      </c>
      <c r="F32" s="337" t="str">
        <f>IF($B32="","",IF(VLOOKUP($B32,'4.คีย์กลางภาค'!$B$5:$DA$49,12,FALSE)="","",VLOOKUP($B32,'4.คีย์กลางภาค'!$B$5:$DA$49,12,FALSE)))</f>
        <v/>
      </c>
      <c r="G32" s="337" t="str">
        <f>IF($B32="","",IF(VLOOKUP($B32,'4.คีย์กลางภาค'!$B$5:$DA$49,16,FALSE)="","",VLOOKUP($B32,'4.คีย์กลางภาค'!$B$5:$DA$49,16,FALSE)))</f>
        <v/>
      </c>
      <c r="H32" s="338" t="str">
        <f>IF($B32="","",IF(VLOOKUP($B32,'4.คีย์กลางภาค'!$B$5:$DA$49,20,FALSE)="","",VLOOKUP($B32,'4.คีย์กลางภาค'!$B$5:$DA$49,20,FALSE)))</f>
        <v/>
      </c>
      <c r="I32" s="337" t="str">
        <f>IF($B32="","",IF(VLOOKUP($B32,'4.คีย์กลางภาค'!$B$5:$DA$49,24,FALSE)="","",VLOOKUP($B32,'4.คีย์กลางภาค'!$B$5:$DA$49,24,FALSE)))</f>
        <v/>
      </c>
      <c r="J32" s="337" t="str">
        <f>IF($B32="","",IF(VLOOKUP($B32,'4.คีย์กลางภาค'!$B$5:$DA$49,28,FALSE)="","",VLOOKUP($B32,'4.คีย์กลางภาค'!$B$5:$DA$49,28,FALSE)))</f>
        <v/>
      </c>
      <c r="K32" s="337" t="str">
        <f>IF($B32="","",IF(VLOOKUP($B32,'4.คีย์กลางภาค'!$B$5:$DA$49,32,FALSE)="","",VLOOKUP($B32,'4.คีย์กลางภาค'!$B$5:$DA$49,32,FALSE)))</f>
        <v/>
      </c>
      <c r="L32" s="337" t="str">
        <f>IF($B32="","",IF(VLOOKUP($B32,'4.คีย์กลางภาค'!$B$5:$DA$49,36,FALSE)="","",VLOOKUP($B32,'4.คีย์กลางภาค'!$B$5:$DA$49,36,FALSE)))</f>
        <v/>
      </c>
      <c r="M32" s="338" t="str">
        <f>IF($B32="","",IF(VLOOKUP($B32,'4.คีย์กลางภาค'!$B$5:$DA$49,40,FALSE)="","",VLOOKUP($B32,'4.คีย์กลางภาค'!$B$5:$DA$49,40,FALSE)))</f>
        <v/>
      </c>
      <c r="N32" s="338" t="str">
        <f>IF($B32="","",IF(VLOOKUP($B32,'4.คีย์กลางภาค'!$B$5:$DA$49,44,FALSE)="","",VLOOKUP($B32,'4.คีย์กลางภาค'!$B$5:$DA$49,44,FALSE)))</f>
        <v/>
      </c>
      <c r="O32" s="338" t="str">
        <f>IF($B32="","",IF(VLOOKUP($B32,'4.คีย์กลางภาค'!$B$5:$DA$49,48,FALSE)="","",VLOOKUP($B32,'4.คีย์กลางภาค'!$B$5:$DA$49,48,FALSE)))</f>
        <v/>
      </c>
      <c r="P32" s="339" t="str">
        <f>IF($B32="","",IF(VLOOKUP($B32,'4.คีย์กลางภาค'!$B$5:$DA$49,52,FALSE)="","",VLOOKUP($B32,'4.คีย์กลางภาค'!$B$5:$DA$49,52,FALSE)))</f>
        <v/>
      </c>
      <c r="Q32" s="335">
        <v>25</v>
      </c>
      <c r="R32" s="504" t="str">
        <f>IF(Name25="","",Name25)</f>
        <v/>
      </c>
      <c r="S32" s="505" t="str">
        <f>IF(Surname25="","",Surname25)</f>
        <v/>
      </c>
      <c r="T32" s="336" t="str">
        <f>IF($B32="","",IF(VLOOKUP($B32,'4.คีย์กลางภาค'!$B$5:$DA$49,56,FALSE)="","",VLOOKUP($B32,'4.คีย์กลางภาค'!$B$5:$DA$49,56,FALSE)))</f>
        <v/>
      </c>
      <c r="U32" s="337" t="str">
        <f>IF($B32="","",IF(VLOOKUP($B32,'4.คีย์กลางภาค'!$B$5:$DA$49,60,FALSE)="","",VLOOKUP($B32,'4.คีย์กลางภาค'!$B$5:$DA$49,60,FALSE)))</f>
        <v/>
      </c>
      <c r="V32" s="337" t="str">
        <f>IF($B32="","",IF(VLOOKUP($B32,'4.คีย์กลางภาค'!$B$5:$DA$49,64,FALSE)="","",VLOOKUP($B32,'4.คีย์กลางภาค'!$B$5:$DA$49,64,FALSE)))</f>
        <v/>
      </c>
      <c r="W32" s="337" t="str">
        <f>IF($B32="","",IF(VLOOKUP($B32,'4.คีย์กลางภาค'!$B$5:$DA$49,68,FALSE)="","",VLOOKUP($B32,'4.คีย์กลางภาค'!$B$5:$DA$49,68,FALSE)))</f>
        <v/>
      </c>
      <c r="X32" s="338" t="str">
        <f>IF($B32="","",IF(VLOOKUP($B32,'4.คีย์กลางภาค'!$B$5:$DA$49,72,FALSE)="","",VLOOKUP($B32,'4.คีย์กลางภาค'!$B$5:$DA$49,72,FALSE)))</f>
        <v/>
      </c>
      <c r="Y32" s="338" t="str">
        <f>IF($B32="","",IF(VLOOKUP($B32,'4.คีย์กลางภาค'!$B$5:$DA$49,76,FALSE)="","",VLOOKUP($B32,'4.คีย์กลางภาค'!$B$5:$DA$49,76,FALSE)))</f>
        <v/>
      </c>
      <c r="Z32" s="337" t="str">
        <f>IF($B32="","",IF(VLOOKUP($B32,'4.คีย์กลางภาค'!$B$5:$DA$49,80,FALSE)="","",VLOOKUP($B32,'4.คีย์กลางภาค'!$B$5:$DA$49,80,FALSE)))</f>
        <v/>
      </c>
      <c r="AA32" s="337" t="str">
        <f>IF($B32="","",IF(VLOOKUP($B32,'4.คีย์กลางภาค'!$B$5:$DA$49,84,FALSE)="","",VLOOKUP($B32,'4.คีย์กลางภาค'!$B$5:$DA$49,84,FALSE)))</f>
        <v/>
      </c>
      <c r="AB32" s="337" t="str">
        <f>IF($B32="","",IF(VLOOKUP($B32,'4.คีย์กลางภาค'!$B$5:$DA$49,88,FALSE)="","",VLOOKUP($B32,'4.คีย์กลางภาค'!$B$5:$DA$49,88,FALSE)))</f>
        <v/>
      </c>
      <c r="AC32" s="337" t="str">
        <f>IF($B32="","",IF(VLOOKUP($B32,'4.คีย์กลางภาค'!$B$5:$DA$49,92,FALSE)="","",VLOOKUP($B32,'4.คีย์กลางภาค'!$B$5:$DA$49,92,FALSE)))</f>
        <v/>
      </c>
      <c r="AD32" s="340" t="str">
        <f>IF($B32="","",IF(VLOOKUP($B32,'4.คีย์กลางภาค'!$B$5:$DA$49,96,FALSE)="","",VLOOKUP($B32,'4.คีย์กลางภาค'!$B$5:$DA$49,96,FALSE)))</f>
        <v/>
      </c>
      <c r="AE32" s="338" t="str">
        <f>IF($B32="","",IF(VLOOKUP($B32,'4.คีย์กลางภาค'!$B$5:$DA$49,100,FALSE)="","",VLOOKUP($B32,'4.คีย์กลางภาค'!$B$5:$DA$49,100,FALSE)))</f>
        <v/>
      </c>
      <c r="AF32" s="485" t="str">
        <f>IF($B32="","",IF(VLOOKUP($B32,'4.คีย์กลางภาค'!$B$5:$DA$49,104,FALSE)="","",VLOOKUP($B32,'4.คีย์กลางภาค'!$B$5:$DA$49,104,FALSE)))</f>
        <v/>
      </c>
      <c r="AG32" s="540" t="str">
        <f>IF($B32="","",IF(VLOOKUP($B32,'4.คีย์กลางภาค'!$B$5:$DD$49,105,FALSE)="","",VLOOKUP($B32,'4.คีย์กลางภาค'!$B$5:$DD$49,105,FALSE)))</f>
        <v/>
      </c>
      <c r="AH32" s="536" t="str">
        <f>IF($B32="","",IF(VLOOKUP($B32,'4.คีย์กลางภาค'!$B$5:$DD$49,106,FALSE)="","",VLOOKUP($B32,'4.คีย์กลางภาค'!$B$5:$DD$49,106,FALSE)))</f>
        <v/>
      </c>
      <c r="AI32" s="27" t="str">
        <f t="shared" si="14"/>
        <v/>
      </c>
      <c r="AJ32" s="330"/>
      <c r="AL32" s="342" t="str">
        <f t="shared" si="15"/>
        <v/>
      </c>
      <c r="AM32" s="343" t="str">
        <f t="shared" si="16"/>
        <v/>
      </c>
      <c r="AN32" s="343" t="str">
        <f t="shared" si="17"/>
        <v/>
      </c>
      <c r="AO32" s="344" t="str">
        <f t="shared" si="18"/>
        <v/>
      </c>
      <c r="AP32" s="345" t="str">
        <f t="shared" si="19"/>
        <v/>
      </c>
    </row>
    <row r="33" spans="1:42" s="29" customFormat="1" ht="16.5" customHeight="1" x14ac:dyDescent="0.25">
      <c r="A33" s="335">
        <v>26</v>
      </c>
      <c r="B33" s="20" t="str">
        <f>IF(IDstu26="","",IDstu26)</f>
        <v/>
      </c>
      <c r="C33" s="504" t="str">
        <f>IF(Name26="","",Name26)</f>
        <v/>
      </c>
      <c r="D33" s="505" t="str">
        <f>IF(Surname26="","",Surname26)</f>
        <v/>
      </c>
      <c r="E33" s="336" t="str">
        <f>IF($B33="","",IF(VLOOKUP($B33,'4.คีย์กลางภาค'!$B$5:$DA$49,8,FALSE)="","",VLOOKUP($B33,'4.คีย์กลางภาค'!$B$5:$DA$49,8,FALSE)))</f>
        <v/>
      </c>
      <c r="F33" s="337" t="str">
        <f>IF($B33="","",IF(VLOOKUP($B33,'4.คีย์กลางภาค'!$B$5:$DA$49,12,FALSE)="","",VLOOKUP($B33,'4.คีย์กลางภาค'!$B$5:$DA$49,12,FALSE)))</f>
        <v/>
      </c>
      <c r="G33" s="337" t="str">
        <f>IF($B33="","",IF(VLOOKUP($B33,'4.คีย์กลางภาค'!$B$5:$DA$49,16,FALSE)="","",VLOOKUP($B33,'4.คีย์กลางภาค'!$B$5:$DA$49,16,FALSE)))</f>
        <v/>
      </c>
      <c r="H33" s="338" t="str">
        <f>IF($B33="","",IF(VLOOKUP($B33,'4.คีย์กลางภาค'!$B$5:$DA$49,20,FALSE)="","",VLOOKUP($B33,'4.คีย์กลางภาค'!$B$5:$DA$49,20,FALSE)))</f>
        <v/>
      </c>
      <c r="I33" s="337" t="str">
        <f>IF($B33="","",IF(VLOOKUP($B33,'4.คีย์กลางภาค'!$B$5:$DA$49,24,FALSE)="","",VLOOKUP($B33,'4.คีย์กลางภาค'!$B$5:$DA$49,24,FALSE)))</f>
        <v/>
      </c>
      <c r="J33" s="337" t="str">
        <f>IF($B33="","",IF(VLOOKUP($B33,'4.คีย์กลางภาค'!$B$5:$DA$49,28,FALSE)="","",VLOOKUP($B33,'4.คีย์กลางภาค'!$B$5:$DA$49,28,FALSE)))</f>
        <v/>
      </c>
      <c r="K33" s="337" t="str">
        <f>IF($B33="","",IF(VLOOKUP($B33,'4.คีย์กลางภาค'!$B$5:$DA$49,32,FALSE)="","",VLOOKUP($B33,'4.คีย์กลางภาค'!$B$5:$DA$49,32,FALSE)))</f>
        <v/>
      </c>
      <c r="L33" s="337" t="str">
        <f>IF($B33="","",IF(VLOOKUP($B33,'4.คีย์กลางภาค'!$B$5:$DA$49,36,FALSE)="","",VLOOKUP($B33,'4.คีย์กลางภาค'!$B$5:$DA$49,36,FALSE)))</f>
        <v/>
      </c>
      <c r="M33" s="338" t="str">
        <f>IF($B33="","",IF(VLOOKUP($B33,'4.คีย์กลางภาค'!$B$5:$DA$49,40,FALSE)="","",VLOOKUP($B33,'4.คีย์กลางภาค'!$B$5:$DA$49,40,FALSE)))</f>
        <v/>
      </c>
      <c r="N33" s="338" t="str">
        <f>IF($B33="","",IF(VLOOKUP($B33,'4.คีย์กลางภาค'!$B$5:$DA$49,44,FALSE)="","",VLOOKUP($B33,'4.คีย์กลางภาค'!$B$5:$DA$49,44,FALSE)))</f>
        <v/>
      </c>
      <c r="O33" s="338" t="str">
        <f>IF($B33="","",IF(VLOOKUP($B33,'4.คีย์กลางภาค'!$B$5:$DA$49,48,FALSE)="","",VLOOKUP($B33,'4.คีย์กลางภาค'!$B$5:$DA$49,48,FALSE)))</f>
        <v/>
      </c>
      <c r="P33" s="339" t="str">
        <f>IF($B33="","",IF(VLOOKUP($B33,'4.คีย์กลางภาค'!$B$5:$DA$49,52,FALSE)="","",VLOOKUP($B33,'4.คีย์กลางภาค'!$B$5:$DA$49,52,FALSE)))</f>
        <v/>
      </c>
      <c r="Q33" s="335">
        <v>26</v>
      </c>
      <c r="R33" s="504" t="str">
        <f>IF(Name26="","",Name26)</f>
        <v/>
      </c>
      <c r="S33" s="505" t="str">
        <f>IF(Surname26="","",Surname26)</f>
        <v/>
      </c>
      <c r="T33" s="336" t="str">
        <f>IF($B33="","",IF(VLOOKUP($B33,'4.คีย์กลางภาค'!$B$5:$DA$49,56,FALSE)="","",VLOOKUP($B33,'4.คีย์กลางภาค'!$B$5:$DA$49,56,FALSE)))</f>
        <v/>
      </c>
      <c r="U33" s="337" t="str">
        <f>IF($B33="","",IF(VLOOKUP($B33,'4.คีย์กลางภาค'!$B$5:$DA$49,60,FALSE)="","",VLOOKUP($B33,'4.คีย์กลางภาค'!$B$5:$DA$49,60,FALSE)))</f>
        <v/>
      </c>
      <c r="V33" s="337" t="str">
        <f>IF($B33="","",IF(VLOOKUP($B33,'4.คีย์กลางภาค'!$B$5:$DA$49,64,FALSE)="","",VLOOKUP($B33,'4.คีย์กลางภาค'!$B$5:$DA$49,64,FALSE)))</f>
        <v/>
      </c>
      <c r="W33" s="337" t="str">
        <f>IF($B33="","",IF(VLOOKUP($B33,'4.คีย์กลางภาค'!$B$5:$DA$49,68,FALSE)="","",VLOOKUP($B33,'4.คีย์กลางภาค'!$B$5:$DA$49,68,FALSE)))</f>
        <v/>
      </c>
      <c r="X33" s="338" t="str">
        <f>IF($B33="","",IF(VLOOKUP($B33,'4.คีย์กลางภาค'!$B$5:$DA$49,72,FALSE)="","",VLOOKUP($B33,'4.คีย์กลางภาค'!$B$5:$DA$49,72,FALSE)))</f>
        <v/>
      </c>
      <c r="Y33" s="338" t="str">
        <f>IF($B33="","",IF(VLOOKUP($B33,'4.คีย์กลางภาค'!$B$5:$DA$49,76,FALSE)="","",VLOOKUP($B33,'4.คีย์กลางภาค'!$B$5:$DA$49,76,FALSE)))</f>
        <v/>
      </c>
      <c r="Z33" s="337" t="str">
        <f>IF($B33="","",IF(VLOOKUP($B33,'4.คีย์กลางภาค'!$B$5:$DA$49,80,FALSE)="","",VLOOKUP($B33,'4.คีย์กลางภาค'!$B$5:$DA$49,80,FALSE)))</f>
        <v/>
      </c>
      <c r="AA33" s="337" t="str">
        <f>IF($B33="","",IF(VLOOKUP($B33,'4.คีย์กลางภาค'!$B$5:$DA$49,84,FALSE)="","",VLOOKUP($B33,'4.คีย์กลางภาค'!$B$5:$DA$49,84,FALSE)))</f>
        <v/>
      </c>
      <c r="AB33" s="337" t="str">
        <f>IF($B33="","",IF(VLOOKUP($B33,'4.คีย์กลางภาค'!$B$5:$DA$49,88,FALSE)="","",VLOOKUP($B33,'4.คีย์กลางภาค'!$B$5:$DA$49,88,FALSE)))</f>
        <v/>
      </c>
      <c r="AC33" s="337" t="str">
        <f>IF($B33="","",IF(VLOOKUP($B33,'4.คีย์กลางภาค'!$B$5:$DA$49,92,FALSE)="","",VLOOKUP($B33,'4.คีย์กลางภาค'!$B$5:$DA$49,92,FALSE)))</f>
        <v/>
      </c>
      <c r="AD33" s="340" t="str">
        <f>IF($B33="","",IF(VLOOKUP($B33,'4.คีย์กลางภาค'!$B$5:$DA$49,96,FALSE)="","",VLOOKUP($B33,'4.คีย์กลางภาค'!$B$5:$DA$49,96,FALSE)))</f>
        <v/>
      </c>
      <c r="AE33" s="338" t="str">
        <f>IF($B33="","",IF(VLOOKUP($B33,'4.คีย์กลางภาค'!$B$5:$DA$49,100,FALSE)="","",VLOOKUP($B33,'4.คีย์กลางภาค'!$B$5:$DA$49,100,FALSE)))</f>
        <v/>
      </c>
      <c r="AF33" s="485" t="str">
        <f>IF($B33="","",IF(VLOOKUP($B33,'4.คีย์กลางภาค'!$B$5:$DA$49,104,FALSE)="","",VLOOKUP($B33,'4.คีย์กลางภาค'!$B$5:$DA$49,104,FALSE)))</f>
        <v/>
      </c>
      <c r="AG33" s="540" t="str">
        <f>IF($B33="","",IF(VLOOKUP($B33,'4.คีย์กลางภาค'!$B$5:$DD$49,105,FALSE)="","",VLOOKUP($B33,'4.คีย์กลางภาค'!$B$5:$DD$49,105,FALSE)))</f>
        <v/>
      </c>
      <c r="AH33" s="536" t="str">
        <f>IF($B33="","",IF(VLOOKUP($B33,'4.คีย์กลางภาค'!$B$5:$DD$49,106,FALSE)="","",VLOOKUP($B33,'4.คีย์กลางภาค'!$B$5:$DD$49,106,FALSE)))</f>
        <v/>
      </c>
      <c r="AI33" s="27" t="str">
        <f t="shared" si="14"/>
        <v/>
      </c>
      <c r="AJ33" s="330"/>
      <c r="AL33" s="342" t="str">
        <f t="shared" si="15"/>
        <v/>
      </c>
      <c r="AM33" s="343" t="str">
        <f t="shared" si="16"/>
        <v/>
      </c>
      <c r="AN33" s="343" t="str">
        <f t="shared" si="17"/>
        <v/>
      </c>
      <c r="AO33" s="344" t="str">
        <f t="shared" si="18"/>
        <v/>
      </c>
      <c r="AP33" s="345" t="str">
        <f t="shared" si="19"/>
        <v/>
      </c>
    </row>
    <row r="34" spans="1:42" s="29" customFormat="1" ht="16.5" customHeight="1" x14ac:dyDescent="0.25">
      <c r="A34" s="335">
        <v>27</v>
      </c>
      <c r="B34" s="20" t="str">
        <f>IF(IDstu27="","",IDstu27)</f>
        <v/>
      </c>
      <c r="C34" s="504" t="str">
        <f>IF(Name27="","",Name27)</f>
        <v/>
      </c>
      <c r="D34" s="505" t="str">
        <f>IF(Surname27="","",Surname27)</f>
        <v/>
      </c>
      <c r="E34" s="336" t="str">
        <f>IF($B34="","",IF(VLOOKUP($B34,'4.คีย์กลางภาค'!$B$5:$DA$49,8,FALSE)="","",VLOOKUP($B34,'4.คีย์กลางภาค'!$B$5:$DA$49,8,FALSE)))</f>
        <v/>
      </c>
      <c r="F34" s="337" t="str">
        <f>IF($B34="","",IF(VLOOKUP($B34,'4.คีย์กลางภาค'!$B$5:$DA$49,12,FALSE)="","",VLOOKUP($B34,'4.คีย์กลางภาค'!$B$5:$DA$49,12,FALSE)))</f>
        <v/>
      </c>
      <c r="G34" s="337" t="str">
        <f>IF($B34="","",IF(VLOOKUP($B34,'4.คีย์กลางภาค'!$B$5:$DA$49,16,FALSE)="","",VLOOKUP($B34,'4.คีย์กลางภาค'!$B$5:$DA$49,16,FALSE)))</f>
        <v/>
      </c>
      <c r="H34" s="338" t="str">
        <f>IF($B34="","",IF(VLOOKUP($B34,'4.คีย์กลางภาค'!$B$5:$DA$49,20,FALSE)="","",VLOOKUP($B34,'4.คีย์กลางภาค'!$B$5:$DA$49,20,FALSE)))</f>
        <v/>
      </c>
      <c r="I34" s="337" t="str">
        <f>IF($B34="","",IF(VLOOKUP($B34,'4.คีย์กลางภาค'!$B$5:$DA$49,24,FALSE)="","",VLOOKUP($B34,'4.คีย์กลางภาค'!$B$5:$DA$49,24,FALSE)))</f>
        <v/>
      </c>
      <c r="J34" s="337" t="str">
        <f>IF($B34="","",IF(VLOOKUP($B34,'4.คีย์กลางภาค'!$B$5:$DA$49,28,FALSE)="","",VLOOKUP($B34,'4.คีย์กลางภาค'!$B$5:$DA$49,28,FALSE)))</f>
        <v/>
      </c>
      <c r="K34" s="337" t="str">
        <f>IF($B34="","",IF(VLOOKUP($B34,'4.คีย์กลางภาค'!$B$5:$DA$49,32,FALSE)="","",VLOOKUP($B34,'4.คีย์กลางภาค'!$B$5:$DA$49,32,FALSE)))</f>
        <v/>
      </c>
      <c r="L34" s="337" t="str">
        <f>IF($B34="","",IF(VLOOKUP($B34,'4.คีย์กลางภาค'!$B$5:$DA$49,36,FALSE)="","",VLOOKUP($B34,'4.คีย์กลางภาค'!$B$5:$DA$49,36,FALSE)))</f>
        <v/>
      </c>
      <c r="M34" s="338" t="str">
        <f>IF($B34="","",IF(VLOOKUP($B34,'4.คีย์กลางภาค'!$B$5:$DA$49,40,FALSE)="","",VLOOKUP($B34,'4.คีย์กลางภาค'!$B$5:$DA$49,40,FALSE)))</f>
        <v/>
      </c>
      <c r="N34" s="338" t="str">
        <f>IF($B34="","",IF(VLOOKUP($B34,'4.คีย์กลางภาค'!$B$5:$DA$49,44,FALSE)="","",VLOOKUP($B34,'4.คีย์กลางภาค'!$B$5:$DA$49,44,FALSE)))</f>
        <v/>
      </c>
      <c r="O34" s="338" t="str">
        <f>IF($B34="","",IF(VLOOKUP($B34,'4.คีย์กลางภาค'!$B$5:$DA$49,48,FALSE)="","",VLOOKUP($B34,'4.คีย์กลางภาค'!$B$5:$DA$49,48,FALSE)))</f>
        <v/>
      </c>
      <c r="P34" s="339" t="str">
        <f>IF($B34="","",IF(VLOOKUP($B34,'4.คีย์กลางภาค'!$B$5:$DA$49,52,FALSE)="","",VLOOKUP($B34,'4.คีย์กลางภาค'!$B$5:$DA$49,52,FALSE)))</f>
        <v/>
      </c>
      <c r="Q34" s="335">
        <v>27</v>
      </c>
      <c r="R34" s="504" t="str">
        <f>IF(Name27="","",Name27)</f>
        <v/>
      </c>
      <c r="S34" s="505" t="str">
        <f>IF(Surname27="","",Surname27)</f>
        <v/>
      </c>
      <c r="T34" s="336" t="str">
        <f>IF($B34="","",IF(VLOOKUP($B34,'4.คีย์กลางภาค'!$B$5:$DA$49,56,FALSE)="","",VLOOKUP($B34,'4.คีย์กลางภาค'!$B$5:$DA$49,56,FALSE)))</f>
        <v/>
      </c>
      <c r="U34" s="337" t="str">
        <f>IF($B34="","",IF(VLOOKUP($B34,'4.คีย์กลางภาค'!$B$5:$DA$49,60,FALSE)="","",VLOOKUP($B34,'4.คีย์กลางภาค'!$B$5:$DA$49,60,FALSE)))</f>
        <v/>
      </c>
      <c r="V34" s="337" t="str">
        <f>IF($B34="","",IF(VLOOKUP($B34,'4.คีย์กลางภาค'!$B$5:$DA$49,64,FALSE)="","",VLOOKUP($B34,'4.คีย์กลางภาค'!$B$5:$DA$49,64,FALSE)))</f>
        <v/>
      </c>
      <c r="W34" s="337" t="str">
        <f>IF($B34="","",IF(VLOOKUP($B34,'4.คีย์กลางภาค'!$B$5:$DA$49,68,FALSE)="","",VLOOKUP($B34,'4.คีย์กลางภาค'!$B$5:$DA$49,68,FALSE)))</f>
        <v/>
      </c>
      <c r="X34" s="338" t="str">
        <f>IF($B34="","",IF(VLOOKUP($B34,'4.คีย์กลางภาค'!$B$5:$DA$49,72,FALSE)="","",VLOOKUP($B34,'4.คีย์กลางภาค'!$B$5:$DA$49,72,FALSE)))</f>
        <v/>
      </c>
      <c r="Y34" s="338" t="str">
        <f>IF($B34="","",IF(VLOOKUP($B34,'4.คีย์กลางภาค'!$B$5:$DA$49,76,FALSE)="","",VLOOKUP($B34,'4.คีย์กลางภาค'!$B$5:$DA$49,76,FALSE)))</f>
        <v/>
      </c>
      <c r="Z34" s="337" t="str">
        <f>IF($B34="","",IF(VLOOKUP($B34,'4.คีย์กลางภาค'!$B$5:$DA$49,80,FALSE)="","",VLOOKUP($B34,'4.คีย์กลางภาค'!$B$5:$DA$49,80,FALSE)))</f>
        <v/>
      </c>
      <c r="AA34" s="337" t="str">
        <f>IF($B34="","",IF(VLOOKUP($B34,'4.คีย์กลางภาค'!$B$5:$DA$49,84,FALSE)="","",VLOOKUP($B34,'4.คีย์กลางภาค'!$B$5:$DA$49,84,FALSE)))</f>
        <v/>
      </c>
      <c r="AB34" s="337" t="str">
        <f>IF($B34="","",IF(VLOOKUP($B34,'4.คีย์กลางภาค'!$B$5:$DA$49,88,FALSE)="","",VLOOKUP($B34,'4.คีย์กลางภาค'!$B$5:$DA$49,88,FALSE)))</f>
        <v/>
      </c>
      <c r="AC34" s="337" t="str">
        <f>IF($B34="","",IF(VLOOKUP($B34,'4.คีย์กลางภาค'!$B$5:$DA$49,92,FALSE)="","",VLOOKUP($B34,'4.คีย์กลางภาค'!$B$5:$DA$49,92,FALSE)))</f>
        <v/>
      </c>
      <c r="AD34" s="340" t="str">
        <f>IF($B34="","",IF(VLOOKUP($B34,'4.คีย์กลางภาค'!$B$5:$DA$49,96,FALSE)="","",VLOOKUP($B34,'4.คีย์กลางภาค'!$B$5:$DA$49,96,FALSE)))</f>
        <v/>
      </c>
      <c r="AE34" s="338" t="str">
        <f>IF($B34="","",IF(VLOOKUP($B34,'4.คีย์กลางภาค'!$B$5:$DA$49,100,FALSE)="","",VLOOKUP($B34,'4.คีย์กลางภาค'!$B$5:$DA$49,100,FALSE)))</f>
        <v/>
      </c>
      <c r="AF34" s="485" t="str">
        <f>IF($B34="","",IF(VLOOKUP($B34,'4.คีย์กลางภาค'!$B$5:$DA$49,104,FALSE)="","",VLOOKUP($B34,'4.คีย์กลางภาค'!$B$5:$DA$49,104,FALSE)))</f>
        <v/>
      </c>
      <c r="AG34" s="540" t="str">
        <f>IF($B34="","",IF(VLOOKUP($B34,'4.คีย์กลางภาค'!$B$5:$DD$49,105,FALSE)="","",VLOOKUP($B34,'4.คีย์กลางภาค'!$B$5:$DD$49,105,FALSE)))</f>
        <v/>
      </c>
      <c r="AH34" s="536" t="str">
        <f>IF($B34="","",IF(VLOOKUP($B34,'4.คีย์กลางภาค'!$B$5:$DD$49,106,FALSE)="","",VLOOKUP($B34,'4.คีย์กลางภาค'!$B$5:$DD$49,106,FALSE)))</f>
        <v/>
      </c>
      <c r="AI34" s="27" t="str">
        <f t="shared" si="14"/>
        <v/>
      </c>
      <c r="AJ34" s="330"/>
      <c r="AL34" s="342" t="str">
        <f t="shared" si="15"/>
        <v/>
      </c>
      <c r="AM34" s="343" t="str">
        <f t="shared" si="16"/>
        <v/>
      </c>
      <c r="AN34" s="343" t="str">
        <f t="shared" si="17"/>
        <v/>
      </c>
      <c r="AO34" s="344" t="str">
        <f t="shared" si="18"/>
        <v/>
      </c>
      <c r="AP34" s="345" t="str">
        <f t="shared" si="19"/>
        <v/>
      </c>
    </row>
    <row r="35" spans="1:42" s="29" customFormat="1" ht="16.5" customHeight="1" x14ac:dyDescent="0.25">
      <c r="A35" s="335">
        <v>28</v>
      </c>
      <c r="B35" s="20" t="str">
        <f>IF(IDstu28="","",IDstu28)</f>
        <v/>
      </c>
      <c r="C35" s="504" t="str">
        <f>IF(Name28="","",Name28)</f>
        <v/>
      </c>
      <c r="D35" s="505" t="str">
        <f>IF(Surname28="","",Surname28)</f>
        <v/>
      </c>
      <c r="E35" s="336" t="str">
        <f>IF($B35="","",IF(VLOOKUP($B35,'4.คีย์กลางภาค'!$B$5:$DA$49,8,FALSE)="","",VLOOKUP($B35,'4.คีย์กลางภาค'!$B$5:$DA$49,8,FALSE)))</f>
        <v/>
      </c>
      <c r="F35" s="337" t="str">
        <f>IF($B35="","",IF(VLOOKUP($B35,'4.คีย์กลางภาค'!$B$5:$DA$49,12,FALSE)="","",VLOOKUP($B35,'4.คีย์กลางภาค'!$B$5:$DA$49,12,FALSE)))</f>
        <v/>
      </c>
      <c r="G35" s="337" t="str">
        <f>IF($B35="","",IF(VLOOKUP($B35,'4.คีย์กลางภาค'!$B$5:$DA$49,16,FALSE)="","",VLOOKUP($B35,'4.คีย์กลางภาค'!$B$5:$DA$49,16,FALSE)))</f>
        <v/>
      </c>
      <c r="H35" s="338" t="str">
        <f>IF($B35="","",IF(VLOOKUP($B35,'4.คีย์กลางภาค'!$B$5:$DA$49,20,FALSE)="","",VLOOKUP($B35,'4.คีย์กลางภาค'!$B$5:$DA$49,20,FALSE)))</f>
        <v/>
      </c>
      <c r="I35" s="337" t="str">
        <f>IF($B35="","",IF(VLOOKUP($B35,'4.คีย์กลางภาค'!$B$5:$DA$49,24,FALSE)="","",VLOOKUP($B35,'4.คีย์กลางภาค'!$B$5:$DA$49,24,FALSE)))</f>
        <v/>
      </c>
      <c r="J35" s="337" t="str">
        <f>IF($B35="","",IF(VLOOKUP($B35,'4.คีย์กลางภาค'!$B$5:$DA$49,28,FALSE)="","",VLOOKUP($B35,'4.คีย์กลางภาค'!$B$5:$DA$49,28,FALSE)))</f>
        <v/>
      </c>
      <c r="K35" s="337" t="str">
        <f>IF($B35="","",IF(VLOOKUP($B35,'4.คีย์กลางภาค'!$B$5:$DA$49,32,FALSE)="","",VLOOKUP($B35,'4.คีย์กลางภาค'!$B$5:$DA$49,32,FALSE)))</f>
        <v/>
      </c>
      <c r="L35" s="337" t="str">
        <f>IF($B35="","",IF(VLOOKUP($B35,'4.คีย์กลางภาค'!$B$5:$DA$49,36,FALSE)="","",VLOOKUP($B35,'4.คีย์กลางภาค'!$B$5:$DA$49,36,FALSE)))</f>
        <v/>
      </c>
      <c r="M35" s="338" t="str">
        <f>IF($B35="","",IF(VLOOKUP($B35,'4.คีย์กลางภาค'!$B$5:$DA$49,40,FALSE)="","",VLOOKUP($B35,'4.คีย์กลางภาค'!$B$5:$DA$49,40,FALSE)))</f>
        <v/>
      </c>
      <c r="N35" s="338" t="str">
        <f>IF($B35="","",IF(VLOOKUP($B35,'4.คีย์กลางภาค'!$B$5:$DA$49,44,FALSE)="","",VLOOKUP($B35,'4.คีย์กลางภาค'!$B$5:$DA$49,44,FALSE)))</f>
        <v/>
      </c>
      <c r="O35" s="338" t="str">
        <f>IF($B35="","",IF(VLOOKUP($B35,'4.คีย์กลางภาค'!$B$5:$DA$49,48,FALSE)="","",VLOOKUP($B35,'4.คีย์กลางภาค'!$B$5:$DA$49,48,FALSE)))</f>
        <v/>
      </c>
      <c r="P35" s="339" t="str">
        <f>IF($B35="","",IF(VLOOKUP($B35,'4.คีย์กลางภาค'!$B$5:$DA$49,52,FALSE)="","",VLOOKUP($B35,'4.คีย์กลางภาค'!$B$5:$DA$49,52,FALSE)))</f>
        <v/>
      </c>
      <c r="Q35" s="335">
        <v>28</v>
      </c>
      <c r="R35" s="504" t="str">
        <f>IF(Name28="","",Name28)</f>
        <v/>
      </c>
      <c r="S35" s="505" t="str">
        <f>IF(Surname28="","",Surname28)</f>
        <v/>
      </c>
      <c r="T35" s="336" t="str">
        <f>IF($B35="","",IF(VLOOKUP($B35,'4.คีย์กลางภาค'!$B$5:$DA$49,56,FALSE)="","",VLOOKUP($B35,'4.คีย์กลางภาค'!$B$5:$DA$49,56,FALSE)))</f>
        <v/>
      </c>
      <c r="U35" s="337" t="str">
        <f>IF($B35="","",IF(VLOOKUP($B35,'4.คีย์กลางภาค'!$B$5:$DA$49,60,FALSE)="","",VLOOKUP($B35,'4.คีย์กลางภาค'!$B$5:$DA$49,60,FALSE)))</f>
        <v/>
      </c>
      <c r="V35" s="337" t="str">
        <f>IF($B35="","",IF(VLOOKUP($B35,'4.คีย์กลางภาค'!$B$5:$DA$49,64,FALSE)="","",VLOOKUP($B35,'4.คีย์กลางภาค'!$B$5:$DA$49,64,FALSE)))</f>
        <v/>
      </c>
      <c r="W35" s="337" t="str">
        <f>IF($B35="","",IF(VLOOKUP($B35,'4.คีย์กลางภาค'!$B$5:$DA$49,68,FALSE)="","",VLOOKUP($B35,'4.คีย์กลางภาค'!$B$5:$DA$49,68,FALSE)))</f>
        <v/>
      </c>
      <c r="X35" s="338" t="str">
        <f>IF($B35="","",IF(VLOOKUP($B35,'4.คีย์กลางภาค'!$B$5:$DA$49,72,FALSE)="","",VLOOKUP($B35,'4.คีย์กลางภาค'!$B$5:$DA$49,72,FALSE)))</f>
        <v/>
      </c>
      <c r="Y35" s="338" t="str">
        <f>IF($B35="","",IF(VLOOKUP($B35,'4.คีย์กลางภาค'!$B$5:$DA$49,76,FALSE)="","",VLOOKUP($B35,'4.คีย์กลางภาค'!$B$5:$DA$49,76,FALSE)))</f>
        <v/>
      </c>
      <c r="Z35" s="337" t="str">
        <f>IF($B35="","",IF(VLOOKUP($B35,'4.คีย์กลางภาค'!$B$5:$DA$49,80,FALSE)="","",VLOOKUP($B35,'4.คีย์กลางภาค'!$B$5:$DA$49,80,FALSE)))</f>
        <v/>
      </c>
      <c r="AA35" s="337" t="str">
        <f>IF($B35="","",IF(VLOOKUP($B35,'4.คีย์กลางภาค'!$B$5:$DA$49,84,FALSE)="","",VLOOKUP($B35,'4.คีย์กลางภาค'!$B$5:$DA$49,84,FALSE)))</f>
        <v/>
      </c>
      <c r="AB35" s="337" t="str">
        <f>IF($B35="","",IF(VLOOKUP($B35,'4.คีย์กลางภาค'!$B$5:$DA$49,88,FALSE)="","",VLOOKUP($B35,'4.คีย์กลางภาค'!$B$5:$DA$49,88,FALSE)))</f>
        <v/>
      </c>
      <c r="AC35" s="337" t="str">
        <f>IF($B35="","",IF(VLOOKUP($B35,'4.คีย์กลางภาค'!$B$5:$DA$49,92,FALSE)="","",VLOOKUP($B35,'4.คีย์กลางภาค'!$B$5:$DA$49,92,FALSE)))</f>
        <v/>
      </c>
      <c r="AD35" s="340" t="str">
        <f>IF($B35="","",IF(VLOOKUP($B35,'4.คีย์กลางภาค'!$B$5:$DA$49,96,FALSE)="","",VLOOKUP($B35,'4.คีย์กลางภาค'!$B$5:$DA$49,96,FALSE)))</f>
        <v/>
      </c>
      <c r="AE35" s="338" t="str">
        <f>IF($B35="","",IF(VLOOKUP($B35,'4.คีย์กลางภาค'!$B$5:$DA$49,100,FALSE)="","",VLOOKUP($B35,'4.คีย์กลางภาค'!$B$5:$DA$49,100,FALSE)))</f>
        <v/>
      </c>
      <c r="AF35" s="485" t="str">
        <f>IF($B35="","",IF(VLOOKUP($B35,'4.คีย์กลางภาค'!$B$5:$DA$49,104,FALSE)="","",VLOOKUP($B35,'4.คีย์กลางภาค'!$B$5:$DA$49,104,FALSE)))</f>
        <v/>
      </c>
      <c r="AG35" s="540" t="str">
        <f>IF($B35="","",IF(VLOOKUP($B35,'4.คีย์กลางภาค'!$B$5:$DD$49,105,FALSE)="","",VLOOKUP($B35,'4.คีย์กลางภาค'!$B$5:$DD$49,105,FALSE)))</f>
        <v/>
      </c>
      <c r="AH35" s="536" t="str">
        <f>IF($B35="","",IF(VLOOKUP($B35,'4.คีย์กลางภาค'!$B$5:$DD$49,106,FALSE)="","",VLOOKUP($B35,'4.คีย์กลางภาค'!$B$5:$DD$49,106,FALSE)))</f>
        <v/>
      </c>
      <c r="AI35" s="27" t="str">
        <f t="shared" si="14"/>
        <v/>
      </c>
      <c r="AJ35" s="330"/>
      <c r="AL35" s="342" t="str">
        <f t="shared" si="15"/>
        <v/>
      </c>
      <c r="AM35" s="343" t="str">
        <f t="shared" si="16"/>
        <v/>
      </c>
      <c r="AN35" s="343" t="str">
        <f t="shared" si="17"/>
        <v/>
      </c>
      <c r="AO35" s="344" t="str">
        <f t="shared" si="18"/>
        <v/>
      </c>
      <c r="AP35" s="345" t="str">
        <f t="shared" si="19"/>
        <v/>
      </c>
    </row>
    <row r="36" spans="1:42" s="29" customFormat="1" ht="16.5" customHeight="1" x14ac:dyDescent="0.25">
      <c r="A36" s="335">
        <v>29</v>
      </c>
      <c r="B36" s="20" t="str">
        <f>IF(IDstu29="","",IDstu29)</f>
        <v/>
      </c>
      <c r="C36" s="504" t="str">
        <f>IF(Name29="","",Name29)</f>
        <v/>
      </c>
      <c r="D36" s="505" t="str">
        <f>IF(Surname29="","",Surname29)</f>
        <v/>
      </c>
      <c r="E36" s="336" t="str">
        <f>IF($B36="","",IF(VLOOKUP($B36,'4.คีย์กลางภาค'!$B$5:$DA$49,8,FALSE)="","",VLOOKUP($B36,'4.คีย์กลางภาค'!$B$5:$DA$49,8,FALSE)))</f>
        <v/>
      </c>
      <c r="F36" s="337" t="str">
        <f>IF($B36="","",IF(VLOOKUP($B36,'4.คีย์กลางภาค'!$B$5:$DA$49,12,FALSE)="","",VLOOKUP($B36,'4.คีย์กลางภาค'!$B$5:$DA$49,12,FALSE)))</f>
        <v/>
      </c>
      <c r="G36" s="337" t="str">
        <f>IF($B36="","",IF(VLOOKUP($B36,'4.คีย์กลางภาค'!$B$5:$DA$49,16,FALSE)="","",VLOOKUP($B36,'4.คีย์กลางภาค'!$B$5:$DA$49,16,FALSE)))</f>
        <v/>
      </c>
      <c r="H36" s="338" t="str">
        <f>IF($B36="","",IF(VLOOKUP($B36,'4.คีย์กลางภาค'!$B$5:$DA$49,20,FALSE)="","",VLOOKUP($B36,'4.คีย์กลางภาค'!$B$5:$DA$49,20,FALSE)))</f>
        <v/>
      </c>
      <c r="I36" s="337" t="str">
        <f>IF($B36="","",IF(VLOOKUP($B36,'4.คีย์กลางภาค'!$B$5:$DA$49,24,FALSE)="","",VLOOKUP($B36,'4.คีย์กลางภาค'!$B$5:$DA$49,24,FALSE)))</f>
        <v/>
      </c>
      <c r="J36" s="337" t="str">
        <f>IF($B36="","",IF(VLOOKUP($B36,'4.คีย์กลางภาค'!$B$5:$DA$49,28,FALSE)="","",VLOOKUP($B36,'4.คีย์กลางภาค'!$B$5:$DA$49,28,FALSE)))</f>
        <v/>
      </c>
      <c r="K36" s="337" t="str">
        <f>IF($B36="","",IF(VLOOKUP($B36,'4.คีย์กลางภาค'!$B$5:$DA$49,32,FALSE)="","",VLOOKUP($B36,'4.คีย์กลางภาค'!$B$5:$DA$49,32,FALSE)))</f>
        <v/>
      </c>
      <c r="L36" s="337" t="str">
        <f>IF($B36="","",IF(VLOOKUP($B36,'4.คีย์กลางภาค'!$B$5:$DA$49,36,FALSE)="","",VLOOKUP($B36,'4.คีย์กลางภาค'!$B$5:$DA$49,36,FALSE)))</f>
        <v/>
      </c>
      <c r="M36" s="338" t="str">
        <f>IF($B36="","",IF(VLOOKUP($B36,'4.คีย์กลางภาค'!$B$5:$DA$49,40,FALSE)="","",VLOOKUP($B36,'4.คีย์กลางภาค'!$B$5:$DA$49,40,FALSE)))</f>
        <v/>
      </c>
      <c r="N36" s="338" t="str">
        <f>IF($B36="","",IF(VLOOKUP($B36,'4.คีย์กลางภาค'!$B$5:$DA$49,44,FALSE)="","",VLOOKUP($B36,'4.คีย์กลางภาค'!$B$5:$DA$49,44,FALSE)))</f>
        <v/>
      </c>
      <c r="O36" s="338" t="str">
        <f>IF($B36="","",IF(VLOOKUP($B36,'4.คีย์กลางภาค'!$B$5:$DA$49,48,FALSE)="","",VLOOKUP($B36,'4.คีย์กลางภาค'!$B$5:$DA$49,48,FALSE)))</f>
        <v/>
      </c>
      <c r="P36" s="339" t="str">
        <f>IF($B36="","",IF(VLOOKUP($B36,'4.คีย์กลางภาค'!$B$5:$DA$49,52,FALSE)="","",VLOOKUP($B36,'4.คีย์กลางภาค'!$B$5:$DA$49,52,FALSE)))</f>
        <v/>
      </c>
      <c r="Q36" s="335">
        <v>29</v>
      </c>
      <c r="R36" s="504" t="str">
        <f>IF(Name29="","",Name29)</f>
        <v/>
      </c>
      <c r="S36" s="505" t="str">
        <f>IF(Surname29="","",Surname29)</f>
        <v/>
      </c>
      <c r="T36" s="336" t="str">
        <f>IF($B36="","",IF(VLOOKUP($B36,'4.คีย์กลางภาค'!$B$5:$DA$49,56,FALSE)="","",VLOOKUP($B36,'4.คีย์กลางภาค'!$B$5:$DA$49,56,FALSE)))</f>
        <v/>
      </c>
      <c r="U36" s="337" t="str">
        <f>IF($B36="","",IF(VLOOKUP($B36,'4.คีย์กลางภาค'!$B$5:$DA$49,60,FALSE)="","",VLOOKUP($B36,'4.คีย์กลางภาค'!$B$5:$DA$49,60,FALSE)))</f>
        <v/>
      </c>
      <c r="V36" s="337" t="str">
        <f>IF($B36="","",IF(VLOOKUP($B36,'4.คีย์กลางภาค'!$B$5:$DA$49,64,FALSE)="","",VLOOKUP($B36,'4.คีย์กลางภาค'!$B$5:$DA$49,64,FALSE)))</f>
        <v/>
      </c>
      <c r="W36" s="337" t="str">
        <f>IF($B36="","",IF(VLOOKUP($B36,'4.คีย์กลางภาค'!$B$5:$DA$49,68,FALSE)="","",VLOOKUP($B36,'4.คีย์กลางภาค'!$B$5:$DA$49,68,FALSE)))</f>
        <v/>
      </c>
      <c r="X36" s="338" t="str">
        <f>IF($B36="","",IF(VLOOKUP($B36,'4.คีย์กลางภาค'!$B$5:$DA$49,72,FALSE)="","",VLOOKUP($B36,'4.คีย์กลางภาค'!$B$5:$DA$49,72,FALSE)))</f>
        <v/>
      </c>
      <c r="Y36" s="338" t="str">
        <f>IF($B36="","",IF(VLOOKUP($B36,'4.คีย์กลางภาค'!$B$5:$DA$49,76,FALSE)="","",VLOOKUP($B36,'4.คีย์กลางภาค'!$B$5:$DA$49,76,FALSE)))</f>
        <v/>
      </c>
      <c r="Z36" s="337" t="str">
        <f>IF($B36="","",IF(VLOOKUP($B36,'4.คีย์กลางภาค'!$B$5:$DA$49,80,FALSE)="","",VLOOKUP($B36,'4.คีย์กลางภาค'!$B$5:$DA$49,80,FALSE)))</f>
        <v/>
      </c>
      <c r="AA36" s="337" t="str">
        <f>IF($B36="","",IF(VLOOKUP($B36,'4.คีย์กลางภาค'!$B$5:$DA$49,84,FALSE)="","",VLOOKUP($B36,'4.คีย์กลางภาค'!$B$5:$DA$49,84,FALSE)))</f>
        <v/>
      </c>
      <c r="AB36" s="337" t="str">
        <f>IF($B36="","",IF(VLOOKUP($B36,'4.คีย์กลางภาค'!$B$5:$DA$49,88,FALSE)="","",VLOOKUP($B36,'4.คีย์กลางภาค'!$B$5:$DA$49,88,FALSE)))</f>
        <v/>
      </c>
      <c r="AC36" s="337" t="str">
        <f>IF($B36="","",IF(VLOOKUP($B36,'4.คีย์กลางภาค'!$B$5:$DA$49,92,FALSE)="","",VLOOKUP($B36,'4.คีย์กลางภาค'!$B$5:$DA$49,92,FALSE)))</f>
        <v/>
      </c>
      <c r="AD36" s="340" t="str">
        <f>IF($B36="","",IF(VLOOKUP($B36,'4.คีย์กลางภาค'!$B$5:$DA$49,96,FALSE)="","",VLOOKUP($B36,'4.คีย์กลางภาค'!$B$5:$DA$49,96,FALSE)))</f>
        <v/>
      </c>
      <c r="AE36" s="338" t="str">
        <f>IF($B36="","",IF(VLOOKUP($B36,'4.คีย์กลางภาค'!$B$5:$DA$49,100,FALSE)="","",VLOOKUP($B36,'4.คีย์กลางภาค'!$B$5:$DA$49,100,FALSE)))</f>
        <v/>
      </c>
      <c r="AF36" s="485" t="str">
        <f>IF($B36="","",IF(VLOOKUP($B36,'4.คีย์กลางภาค'!$B$5:$DA$49,104,FALSE)="","",VLOOKUP($B36,'4.คีย์กลางภาค'!$B$5:$DA$49,104,FALSE)))</f>
        <v/>
      </c>
      <c r="AG36" s="540" t="str">
        <f>IF($B36="","",IF(VLOOKUP($B36,'4.คีย์กลางภาค'!$B$5:$DD$49,105,FALSE)="","",VLOOKUP($B36,'4.คีย์กลางภาค'!$B$5:$DD$49,105,FALSE)))</f>
        <v/>
      </c>
      <c r="AH36" s="536" t="str">
        <f>IF($B36="","",IF(VLOOKUP($B36,'4.คีย์กลางภาค'!$B$5:$DD$49,106,FALSE)="","",VLOOKUP($B36,'4.คีย์กลางภาค'!$B$5:$DD$49,106,FALSE)))</f>
        <v/>
      </c>
      <c r="AI36" s="27" t="str">
        <f t="shared" si="14"/>
        <v/>
      </c>
      <c r="AJ36" s="330"/>
      <c r="AL36" s="342" t="str">
        <f t="shared" si="15"/>
        <v/>
      </c>
      <c r="AM36" s="343" t="str">
        <f t="shared" si="16"/>
        <v/>
      </c>
      <c r="AN36" s="343" t="str">
        <f t="shared" si="17"/>
        <v/>
      </c>
      <c r="AO36" s="344" t="str">
        <f t="shared" si="18"/>
        <v/>
      </c>
      <c r="AP36" s="345" t="str">
        <f t="shared" si="19"/>
        <v/>
      </c>
    </row>
    <row r="37" spans="1:42" s="29" customFormat="1" ht="16.5" customHeight="1" x14ac:dyDescent="0.25">
      <c r="A37" s="335">
        <v>30</v>
      </c>
      <c r="B37" s="20" t="str">
        <f>IF(IDstu30="","",IDstu30)</f>
        <v/>
      </c>
      <c r="C37" s="504" t="str">
        <f>IF(Name30="","",Name30)</f>
        <v/>
      </c>
      <c r="D37" s="505" t="str">
        <f>IF(Surname30="","",Surname30)</f>
        <v/>
      </c>
      <c r="E37" s="336" t="str">
        <f>IF($B37="","",IF(VLOOKUP($B37,'4.คีย์กลางภาค'!$B$5:$DA$49,8,FALSE)="","",VLOOKUP($B37,'4.คีย์กลางภาค'!$B$5:$DA$49,8,FALSE)))</f>
        <v/>
      </c>
      <c r="F37" s="337" t="str">
        <f>IF($B37="","",IF(VLOOKUP($B37,'4.คีย์กลางภาค'!$B$5:$DA$49,12,FALSE)="","",VLOOKUP($B37,'4.คีย์กลางภาค'!$B$5:$DA$49,12,FALSE)))</f>
        <v/>
      </c>
      <c r="G37" s="337" t="str">
        <f>IF($B37="","",IF(VLOOKUP($B37,'4.คีย์กลางภาค'!$B$5:$DA$49,16,FALSE)="","",VLOOKUP($B37,'4.คีย์กลางภาค'!$B$5:$DA$49,16,FALSE)))</f>
        <v/>
      </c>
      <c r="H37" s="338" t="str">
        <f>IF($B37="","",IF(VLOOKUP($B37,'4.คีย์กลางภาค'!$B$5:$DA$49,20,FALSE)="","",VLOOKUP($B37,'4.คีย์กลางภาค'!$B$5:$DA$49,20,FALSE)))</f>
        <v/>
      </c>
      <c r="I37" s="337" t="str">
        <f>IF($B37="","",IF(VLOOKUP($B37,'4.คีย์กลางภาค'!$B$5:$DA$49,24,FALSE)="","",VLOOKUP($B37,'4.คีย์กลางภาค'!$B$5:$DA$49,24,FALSE)))</f>
        <v/>
      </c>
      <c r="J37" s="337" t="str">
        <f>IF($B37="","",IF(VLOOKUP($B37,'4.คีย์กลางภาค'!$B$5:$DA$49,28,FALSE)="","",VLOOKUP($B37,'4.คีย์กลางภาค'!$B$5:$DA$49,28,FALSE)))</f>
        <v/>
      </c>
      <c r="K37" s="337" t="str">
        <f>IF($B37="","",IF(VLOOKUP($B37,'4.คีย์กลางภาค'!$B$5:$DA$49,32,FALSE)="","",VLOOKUP($B37,'4.คีย์กลางภาค'!$B$5:$DA$49,32,FALSE)))</f>
        <v/>
      </c>
      <c r="L37" s="337" t="str">
        <f>IF($B37="","",IF(VLOOKUP($B37,'4.คีย์กลางภาค'!$B$5:$DA$49,36,FALSE)="","",VLOOKUP($B37,'4.คีย์กลางภาค'!$B$5:$DA$49,36,FALSE)))</f>
        <v/>
      </c>
      <c r="M37" s="338" t="str">
        <f>IF($B37="","",IF(VLOOKUP($B37,'4.คีย์กลางภาค'!$B$5:$DA$49,40,FALSE)="","",VLOOKUP($B37,'4.คีย์กลางภาค'!$B$5:$DA$49,40,FALSE)))</f>
        <v/>
      </c>
      <c r="N37" s="338" t="str">
        <f>IF($B37="","",IF(VLOOKUP($B37,'4.คีย์กลางภาค'!$B$5:$DA$49,44,FALSE)="","",VLOOKUP($B37,'4.คีย์กลางภาค'!$B$5:$DA$49,44,FALSE)))</f>
        <v/>
      </c>
      <c r="O37" s="338" t="str">
        <f>IF($B37="","",IF(VLOOKUP($B37,'4.คีย์กลางภาค'!$B$5:$DA$49,48,FALSE)="","",VLOOKUP($B37,'4.คีย์กลางภาค'!$B$5:$DA$49,48,FALSE)))</f>
        <v/>
      </c>
      <c r="P37" s="339" t="str">
        <f>IF($B37="","",IF(VLOOKUP($B37,'4.คีย์กลางภาค'!$B$5:$DA$49,52,FALSE)="","",VLOOKUP($B37,'4.คีย์กลางภาค'!$B$5:$DA$49,52,FALSE)))</f>
        <v/>
      </c>
      <c r="Q37" s="335">
        <v>30</v>
      </c>
      <c r="R37" s="504" t="str">
        <f>IF(Name30="","",Name30)</f>
        <v/>
      </c>
      <c r="S37" s="505" t="str">
        <f>IF(Surname30="","",Surname30)</f>
        <v/>
      </c>
      <c r="T37" s="336" t="str">
        <f>IF($B37="","",IF(VLOOKUP($B37,'4.คีย์กลางภาค'!$B$5:$DA$49,56,FALSE)="","",VLOOKUP($B37,'4.คีย์กลางภาค'!$B$5:$DA$49,56,FALSE)))</f>
        <v/>
      </c>
      <c r="U37" s="337" t="str">
        <f>IF($B37="","",IF(VLOOKUP($B37,'4.คีย์กลางภาค'!$B$5:$DA$49,60,FALSE)="","",VLOOKUP($B37,'4.คีย์กลางภาค'!$B$5:$DA$49,60,FALSE)))</f>
        <v/>
      </c>
      <c r="V37" s="337" t="str">
        <f>IF($B37="","",IF(VLOOKUP($B37,'4.คีย์กลางภาค'!$B$5:$DA$49,64,FALSE)="","",VLOOKUP($B37,'4.คีย์กลางภาค'!$B$5:$DA$49,64,FALSE)))</f>
        <v/>
      </c>
      <c r="W37" s="337" t="str">
        <f>IF($B37="","",IF(VLOOKUP($B37,'4.คีย์กลางภาค'!$B$5:$DA$49,68,FALSE)="","",VLOOKUP($B37,'4.คีย์กลางภาค'!$B$5:$DA$49,68,FALSE)))</f>
        <v/>
      </c>
      <c r="X37" s="338" t="str">
        <f>IF($B37="","",IF(VLOOKUP($B37,'4.คีย์กลางภาค'!$B$5:$DA$49,72,FALSE)="","",VLOOKUP($B37,'4.คีย์กลางภาค'!$B$5:$DA$49,72,FALSE)))</f>
        <v/>
      </c>
      <c r="Y37" s="338" t="str">
        <f>IF($B37="","",IF(VLOOKUP($B37,'4.คีย์กลางภาค'!$B$5:$DA$49,76,FALSE)="","",VLOOKUP($B37,'4.คีย์กลางภาค'!$B$5:$DA$49,76,FALSE)))</f>
        <v/>
      </c>
      <c r="Z37" s="337" t="str">
        <f>IF($B37="","",IF(VLOOKUP($B37,'4.คีย์กลางภาค'!$B$5:$DA$49,80,FALSE)="","",VLOOKUP($B37,'4.คีย์กลางภาค'!$B$5:$DA$49,80,FALSE)))</f>
        <v/>
      </c>
      <c r="AA37" s="337" t="str">
        <f>IF($B37="","",IF(VLOOKUP($B37,'4.คีย์กลางภาค'!$B$5:$DA$49,84,FALSE)="","",VLOOKUP($B37,'4.คีย์กลางภาค'!$B$5:$DA$49,84,FALSE)))</f>
        <v/>
      </c>
      <c r="AB37" s="337" t="str">
        <f>IF($B37="","",IF(VLOOKUP($B37,'4.คีย์กลางภาค'!$B$5:$DA$49,88,FALSE)="","",VLOOKUP($B37,'4.คีย์กลางภาค'!$B$5:$DA$49,88,FALSE)))</f>
        <v/>
      </c>
      <c r="AC37" s="337" t="str">
        <f>IF($B37="","",IF(VLOOKUP($B37,'4.คีย์กลางภาค'!$B$5:$DA$49,92,FALSE)="","",VLOOKUP($B37,'4.คีย์กลางภาค'!$B$5:$DA$49,92,FALSE)))</f>
        <v/>
      </c>
      <c r="AD37" s="340" t="str">
        <f>IF($B37="","",IF(VLOOKUP($B37,'4.คีย์กลางภาค'!$B$5:$DA$49,96,FALSE)="","",VLOOKUP($B37,'4.คีย์กลางภาค'!$B$5:$DA$49,96,FALSE)))</f>
        <v/>
      </c>
      <c r="AE37" s="338" t="str">
        <f>IF($B37="","",IF(VLOOKUP($B37,'4.คีย์กลางภาค'!$B$5:$DA$49,100,FALSE)="","",VLOOKUP($B37,'4.คีย์กลางภาค'!$B$5:$DA$49,100,FALSE)))</f>
        <v/>
      </c>
      <c r="AF37" s="485" t="str">
        <f>IF($B37="","",IF(VLOOKUP($B37,'4.คีย์กลางภาค'!$B$5:$DA$49,104,FALSE)="","",VLOOKUP($B37,'4.คีย์กลางภาค'!$B$5:$DA$49,104,FALSE)))</f>
        <v/>
      </c>
      <c r="AG37" s="540" t="str">
        <f>IF($B37="","",IF(VLOOKUP($B37,'4.คีย์กลางภาค'!$B$5:$DD$49,105,FALSE)="","",VLOOKUP($B37,'4.คีย์กลางภาค'!$B$5:$DD$49,105,FALSE)))</f>
        <v/>
      </c>
      <c r="AH37" s="536" t="str">
        <f>IF($B37="","",IF(VLOOKUP($B37,'4.คีย์กลางภาค'!$B$5:$DD$49,106,FALSE)="","",VLOOKUP($B37,'4.คีย์กลางภาค'!$B$5:$DD$49,106,FALSE)))</f>
        <v/>
      </c>
      <c r="AI37" s="27" t="str">
        <f t="shared" si="14"/>
        <v/>
      </c>
      <c r="AJ37" s="330"/>
      <c r="AL37" s="342" t="str">
        <f t="shared" si="15"/>
        <v/>
      </c>
      <c r="AM37" s="343" t="str">
        <f t="shared" si="16"/>
        <v/>
      </c>
      <c r="AN37" s="343" t="str">
        <f t="shared" si="17"/>
        <v/>
      </c>
      <c r="AO37" s="344" t="str">
        <f t="shared" si="18"/>
        <v/>
      </c>
      <c r="AP37" s="345" t="str">
        <f t="shared" si="19"/>
        <v/>
      </c>
    </row>
    <row r="38" spans="1:42" s="29" customFormat="1" ht="16.5" customHeight="1" x14ac:dyDescent="0.25">
      <c r="A38" s="335">
        <v>31</v>
      </c>
      <c r="B38" s="20" t="str">
        <f>IF(IDstu31="","",IDstu31)</f>
        <v/>
      </c>
      <c r="C38" s="504" t="str">
        <f>IF(Name31="","",Name31)</f>
        <v/>
      </c>
      <c r="D38" s="505" t="str">
        <f>IF(Surname31="","",Surname31)</f>
        <v/>
      </c>
      <c r="E38" s="336" t="str">
        <f>IF($B38="","",IF(VLOOKUP($B38,'4.คีย์กลางภาค'!$B$5:$DA$49,8,FALSE)="","",VLOOKUP($B38,'4.คีย์กลางภาค'!$B$5:$DA$49,8,FALSE)))</f>
        <v/>
      </c>
      <c r="F38" s="337" t="str">
        <f>IF($B38="","",IF(VLOOKUP($B38,'4.คีย์กลางภาค'!$B$5:$DA$49,12,FALSE)="","",VLOOKUP($B38,'4.คีย์กลางภาค'!$B$5:$DA$49,12,FALSE)))</f>
        <v/>
      </c>
      <c r="G38" s="337" t="str">
        <f>IF($B38="","",IF(VLOOKUP($B38,'4.คีย์กลางภาค'!$B$5:$DA$49,16,FALSE)="","",VLOOKUP($B38,'4.คีย์กลางภาค'!$B$5:$DA$49,16,FALSE)))</f>
        <v/>
      </c>
      <c r="H38" s="338" t="str">
        <f>IF($B38="","",IF(VLOOKUP($B38,'4.คีย์กลางภาค'!$B$5:$DA$49,20,FALSE)="","",VLOOKUP($B38,'4.คีย์กลางภาค'!$B$5:$DA$49,20,FALSE)))</f>
        <v/>
      </c>
      <c r="I38" s="337" t="str">
        <f>IF($B38="","",IF(VLOOKUP($B38,'4.คีย์กลางภาค'!$B$5:$DA$49,24,FALSE)="","",VLOOKUP($B38,'4.คีย์กลางภาค'!$B$5:$DA$49,24,FALSE)))</f>
        <v/>
      </c>
      <c r="J38" s="337" t="str">
        <f>IF($B38="","",IF(VLOOKUP($B38,'4.คีย์กลางภาค'!$B$5:$DA$49,28,FALSE)="","",VLOOKUP($B38,'4.คีย์กลางภาค'!$B$5:$DA$49,28,FALSE)))</f>
        <v/>
      </c>
      <c r="K38" s="337" t="str">
        <f>IF($B38="","",IF(VLOOKUP($B38,'4.คีย์กลางภาค'!$B$5:$DA$49,32,FALSE)="","",VLOOKUP($B38,'4.คีย์กลางภาค'!$B$5:$DA$49,32,FALSE)))</f>
        <v/>
      </c>
      <c r="L38" s="337" t="str">
        <f>IF($B38="","",IF(VLOOKUP($B38,'4.คีย์กลางภาค'!$B$5:$DA$49,36,FALSE)="","",VLOOKUP($B38,'4.คีย์กลางภาค'!$B$5:$DA$49,36,FALSE)))</f>
        <v/>
      </c>
      <c r="M38" s="338" t="str">
        <f>IF($B38="","",IF(VLOOKUP($B38,'4.คีย์กลางภาค'!$B$5:$DA$49,40,FALSE)="","",VLOOKUP($B38,'4.คีย์กลางภาค'!$B$5:$DA$49,40,FALSE)))</f>
        <v/>
      </c>
      <c r="N38" s="338" t="str">
        <f>IF($B38="","",IF(VLOOKUP($B38,'4.คีย์กลางภาค'!$B$5:$DA$49,44,FALSE)="","",VLOOKUP($B38,'4.คีย์กลางภาค'!$B$5:$DA$49,44,FALSE)))</f>
        <v/>
      </c>
      <c r="O38" s="338" t="str">
        <f>IF($B38="","",IF(VLOOKUP($B38,'4.คีย์กลางภาค'!$B$5:$DA$49,48,FALSE)="","",VLOOKUP($B38,'4.คีย์กลางภาค'!$B$5:$DA$49,48,FALSE)))</f>
        <v/>
      </c>
      <c r="P38" s="339" t="str">
        <f>IF($B38="","",IF(VLOOKUP($B38,'4.คีย์กลางภาค'!$B$5:$DA$49,52,FALSE)="","",VLOOKUP($B38,'4.คีย์กลางภาค'!$B$5:$DA$49,52,FALSE)))</f>
        <v/>
      </c>
      <c r="Q38" s="335">
        <v>31</v>
      </c>
      <c r="R38" s="504" t="str">
        <f>IF(Name31="","",Name31)</f>
        <v/>
      </c>
      <c r="S38" s="505" t="str">
        <f>IF(Surname31="","",Surname31)</f>
        <v/>
      </c>
      <c r="T38" s="336" t="str">
        <f>IF($B38="","",IF(VLOOKUP($B38,'4.คีย์กลางภาค'!$B$5:$DA$49,56,FALSE)="","",VLOOKUP($B38,'4.คีย์กลางภาค'!$B$5:$DA$49,56,FALSE)))</f>
        <v/>
      </c>
      <c r="U38" s="337" t="str">
        <f>IF($B38="","",IF(VLOOKUP($B38,'4.คีย์กลางภาค'!$B$5:$DA$49,60,FALSE)="","",VLOOKUP($B38,'4.คีย์กลางภาค'!$B$5:$DA$49,60,FALSE)))</f>
        <v/>
      </c>
      <c r="V38" s="337" t="str">
        <f>IF($B38="","",IF(VLOOKUP($B38,'4.คีย์กลางภาค'!$B$5:$DA$49,64,FALSE)="","",VLOOKUP($B38,'4.คีย์กลางภาค'!$B$5:$DA$49,64,FALSE)))</f>
        <v/>
      </c>
      <c r="W38" s="337" t="str">
        <f>IF($B38="","",IF(VLOOKUP($B38,'4.คีย์กลางภาค'!$B$5:$DA$49,68,FALSE)="","",VLOOKUP($B38,'4.คีย์กลางภาค'!$B$5:$DA$49,68,FALSE)))</f>
        <v/>
      </c>
      <c r="X38" s="338" t="str">
        <f>IF($B38="","",IF(VLOOKUP($B38,'4.คีย์กลางภาค'!$B$5:$DA$49,72,FALSE)="","",VLOOKUP($B38,'4.คีย์กลางภาค'!$B$5:$DA$49,72,FALSE)))</f>
        <v/>
      </c>
      <c r="Y38" s="337" t="str">
        <f>IF($B38="","",IF(VLOOKUP($B38,'4.คีย์กลางภาค'!$B$5:$DA$49,76,FALSE)="","",VLOOKUP($B38,'4.คีย์กลางภาค'!$B$5:$DA$49,76,FALSE)))</f>
        <v/>
      </c>
      <c r="Z38" s="337" t="str">
        <f>IF($B38="","",IF(VLOOKUP($B38,'4.คีย์กลางภาค'!$B$5:$DA$49,80,FALSE)="","",VLOOKUP($B38,'4.คีย์กลางภาค'!$B$5:$DA$49,80,FALSE)))</f>
        <v/>
      </c>
      <c r="AA38" s="337" t="str">
        <f>IF($B38="","",IF(VLOOKUP($B38,'4.คีย์กลางภาค'!$B$5:$DA$49,84,FALSE)="","",VLOOKUP($B38,'4.คีย์กลางภาค'!$B$5:$DA$49,84,FALSE)))</f>
        <v/>
      </c>
      <c r="AB38" s="337" t="str">
        <f>IF($B38="","",IF(VLOOKUP($B38,'4.คีย์กลางภาค'!$B$5:$DA$49,88,FALSE)="","",VLOOKUP($B38,'4.คีย์กลางภาค'!$B$5:$DA$49,88,FALSE)))</f>
        <v/>
      </c>
      <c r="AC38" s="337" t="str">
        <f>IF($B38="","",IF(VLOOKUP($B38,'4.คีย์กลางภาค'!$B$5:$DA$49,92,FALSE)="","",VLOOKUP($B38,'4.คีย์กลางภาค'!$B$5:$DA$49,92,FALSE)))</f>
        <v/>
      </c>
      <c r="AD38" s="340" t="str">
        <f>IF($B38="","",IF(VLOOKUP($B38,'4.คีย์กลางภาค'!$B$5:$DA$49,96,FALSE)="","",VLOOKUP($B38,'4.คีย์กลางภาค'!$B$5:$DA$49,96,FALSE)))</f>
        <v/>
      </c>
      <c r="AE38" s="338" t="str">
        <f>IF($B38="","",IF(VLOOKUP($B38,'4.คีย์กลางภาค'!$B$5:$DA$49,100,FALSE)="","",VLOOKUP($B38,'4.คีย์กลางภาค'!$B$5:$DA$49,100,FALSE)))</f>
        <v/>
      </c>
      <c r="AF38" s="485" t="str">
        <f>IF($B38="","",IF(VLOOKUP($B38,'4.คีย์กลางภาค'!$B$5:$DA$49,104,FALSE)="","",VLOOKUP($B38,'4.คีย์กลางภาค'!$B$5:$DA$49,104,FALSE)))</f>
        <v/>
      </c>
      <c r="AG38" s="540" t="str">
        <f>IF($B38="","",IF(VLOOKUP($B38,'4.คีย์กลางภาค'!$B$5:$DD$49,105,FALSE)="","",VLOOKUP($B38,'4.คีย์กลางภาค'!$B$5:$DD$49,105,FALSE)))</f>
        <v/>
      </c>
      <c r="AH38" s="536" t="str">
        <f>IF($B38="","",IF(VLOOKUP($B38,'4.คีย์กลางภาค'!$B$5:$DD$49,106,FALSE)="","",VLOOKUP($B38,'4.คีย์กลางภาค'!$B$5:$DD$49,106,FALSE)))</f>
        <v/>
      </c>
      <c r="AI38" s="27" t="str">
        <f t="shared" si="14"/>
        <v/>
      </c>
      <c r="AJ38" s="330"/>
      <c r="AL38" s="342" t="str">
        <f t="shared" si="15"/>
        <v/>
      </c>
      <c r="AM38" s="343" t="str">
        <f t="shared" si="16"/>
        <v/>
      </c>
      <c r="AN38" s="343" t="str">
        <f t="shared" si="17"/>
        <v/>
      </c>
      <c r="AO38" s="344" t="str">
        <f t="shared" si="18"/>
        <v/>
      </c>
      <c r="AP38" s="345" t="str">
        <f t="shared" si="19"/>
        <v/>
      </c>
    </row>
    <row r="39" spans="1:42" s="29" customFormat="1" ht="16.5" customHeight="1" x14ac:dyDescent="0.25">
      <c r="A39" s="335">
        <v>32</v>
      </c>
      <c r="B39" s="20" t="str">
        <f>IF(IDstu32="","",IDstu32)</f>
        <v/>
      </c>
      <c r="C39" s="504" t="str">
        <f>IF(Name32="","",Name32)</f>
        <v/>
      </c>
      <c r="D39" s="505" t="str">
        <f>IF(Surname32="","",Surname32)</f>
        <v/>
      </c>
      <c r="E39" s="336" t="str">
        <f>IF($B39="","",IF(VLOOKUP($B39,'4.คีย์กลางภาค'!$B$5:$DA$49,8,FALSE)="","",VLOOKUP($B39,'4.คีย์กลางภาค'!$B$5:$DA$49,8,FALSE)))</f>
        <v/>
      </c>
      <c r="F39" s="337" t="str">
        <f>IF($B39="","",IF(VLOOKUP($B39,'4.คีย์กลางภาค'!$B$5:$DA$49,12,FALSE)="","",VLOOKUP($B39,'4.คีย์กลางภาค'!$B$5:$DA$49,12,FALSE)))</f>
        <v/>
      </c>
      <c r="G39" s="337" t="str">
        <f>IF($B39="","",IF(VLOOKUP($B39,'4.คีย์กลางภาค'!$B$5:$DA$49,16,FALSE)="","",VLOOKUP($B39,'4.คีย์กลางภาค'!$B$5:$DA$49,16,FALSE)))</f>
        <v/>
      </c>
      <c r="H39" s="338" t="str">
        <f>IF($B39="","",IF(VLOOKUP($B39,'4.คีย์กลางภาค'!$B$5:$DA$49,20,FALSE)="","",VLOOKUP($B39,'4.คีย์กลางภาค'!$B$5:$DA$49,20,FALSE)))</f>
        <v/>
      </c>
      <c r="I39" s="337" t="str">
        <f>IF($B39="","",IF(VLOOKUP($B39,'4.คีย์กลางภาค'!$B$5:$DA$49,24,FALSE)="","",VLOOKUP($B39,'4.คีย์กลางภาค'!$B$5:$DA$49,24,FALSE)))</f>
        <v/>
      </c>
      <c r="J39" s="337" t="str">
        <f>IF($B39="","",IF(VLOOKUP($B39,'4.คีย์กลางภาค'!$B$5:$DA$49,28,FALSE)="","",VLOOKUP($B39,'4.คีย์กลางภาค'!$B$5:$DA$49,28,FALSE)))</f>
        <v/>
      </c>
      <c r="K39" s="337" t="str">
        <f>IF($B39="","",IF(VLOOKUP($B39,'4.คีย์กลางภาค'!$B$5:$DA$49,32,FALSE)="","",VLOOKUP($B39,'4.คีย์กลางภาค'!$B$5:$DA$49,32,FALSE)))</f>
        <v/>
      </c>
      <c r="L39" s="337" t="str">
        <f>IF($B39="","",IF(VLOOKUP($B39,'4.คีย์กลางภาค'!$B$5:$DA$49,36,FALSE)="","",VLOOKUP($B39,'4.คีย์กลางภาค'!$B$5:$DA$49,36,FALSE)))</f>
        <v/>
      </c>
      <c r="M39" s="338" t="str">
        <f>IF($B39="","",IF(VLOOKUP($B39,'4.คีย์กลางภาค'!$B$5:$DA$49,40,FALSE)="","",VLOOKUP($B39,'4.คีย์กลางภาค'!$B$5:$DA$49,40,FALSE)))</f>
        <v/>
      </c>
      <c r="N39" s="338" t="str">
        <f>IF($B39="","",IF(VLOOKUP($B39,'4.คีย์กลางภาค'!$B$5:$DA$49,44,FALSE)="","",VLOOKUP($B39,'4.คีย์กลางภาค'!$B$5:$DA$49,44,FALSE)))</f>
        <v/>
      </c>
      <c r="O39" s="338" t="str">
        <f>IF($B39="","",IF(VLOOKUP($B39,'4.คีย์กลางภาค'!$B$5:$DA$49,48,FALSE)="","",VLOOKUP($B39,'4.คีย์กลางภาค'!$B$5:$DA$49,48,FALSE)))</f>
        <v/>
      </c>
      <c r="P39" s="339" t="str">
        <f>IF($B39="","",IF(VLOOKUP($B39,'4.คีย์กลางภาค'!$B$5:$DA$49,52,FALSE)="","",VLOOKUP($B39,'4.คีย์กลางภาค'!$B$5:$DA$49,52,FALSE)))</f>
        <v/>
      </c>
      <c r="Q39" s="335">
        <v>32</v>
      </c>
      <c r="R39" s="504" t="str">
        <f>IF(Name32="","",Name32)</f>
        <v/>
      </c>
      <c r="S39" s="505" t="str">
        <f>IF(Surname32="","",Surname32)</f>
        <v/>
      </c>
      <c r="T39" s="336" t="str">
        <f>IF($B39="","",IF(VLOOKUP($B39,'4.คีย์กลางภาค'!$B$5:$DA$49,56,FALSE)="","",VLOOKUP($B39,'4.คีย์กลางภาค'!$B$5:$DA$49,56,FALSE)))</f>
        <v/>
      </c>
      <c r="U39" s="337" t="str">
        <f>IF($B39="","",IF(VLOOKUP($B39,'4.คีย์กลางภาค'!$B$5:$DA$49,60,FALSE)="","",VLOOKUP($B39,'4.คีย์กลางภาค'!$B$5:$DA$49,60,FALSE)))</f>
        <v/>
      </c>
      <c r="V39" s="337" t="str">
        <f>IF($B39="","",IF(VLOOKUP($B39,'4.คีย์กลางภาค'!$B$5:$DA$49,64,FALSE)="","",VLOOKUP($B39,'4.คีย์กลางภาค'!$B$5:$DA$49,64,FALSE)))</f>
        <v/>
      </c>
      <c r="W39" s="337" t="str">
        <f>IF($B39="","",IF(VLOOKUP($B39,'4.คีย์กลางภาค'!$B$5:$DA$49,68,FALSE)="","",VLOOKUP($B39,'4.คีย์กลางภาค'!$B$5:$DA$49,68,FALSE)))</f>
        <v/>
      </c>
      <c r="X39" s="338" t="str">
        <f>IF($B39="","",IF(VLOOKUP($B39,'4.คีย์กลางภาค'!$B$5:$DA$49,72,FALSE)="","",VLOOKUP($B39,'4.คีย์กลางภาค'!$B$5:$DA$49,72,FALSE)))</f>
        <v/>
      </c>
      <c r="Y39" s="338" t="str">
        <f>IF($B39="","",IF(VLOOKUP($B39,'4.คีย์กลางภาค'!$B$5:$DA$49,76,FALSE)="","",VLOOKUP($B39,'4.คีย์กลางภาค'!$B$5:$DA$49,76,FALSE)))</f>
        <v/>
      </c>
      <c r="Z39" s="337" t="str">
        <f>IF($B39="","",IF(VLOOKUP($B39,'4.คีย์กลางภาค'!$B$5:$DA$49,80,FALSE)="","",VLOOKUP($B39,'4.คีย์กลางภาค'!$B$5:$DA$49,80,FALSE)))</f>
        <v/>
      </c>
      <c r="AA39" s="337" t="str">
        <f>IF($B39="","",IF(VLOOKUP($B39,'4.คีย์กลางภาค'!$B$5:$DA$49,84,FALSE)="","",VLOOKUP($B39,'4.คีย์กลางภาค'!$B$5:$DA$49,84,FALSE)))</f>
        <v/>
      </c>
      <c r="AB39" s="337" t="str">
        <f>IF($B39="","",IF(VLOOKUP($B39,'4.คีย์กลางภาค'!$B$5:$DA$49,88,FALSE)="","",VLOOKUP($B39,'4.คีย์กลางภาค'!$B$5:$DA$49,88,FALSE)))</f>
        <v/>
      </c>
      <c r="AC39" s="337" t="str">
        <f>IF($B39="","",IF(VLOOKUP($B39,'4.คีย์กลางภาค'!$B$5:$DA$49,92,FALSE)="","",VLOOKUP($B39,'4.คีย์กลางภาค'!$B$5:$DA$49,92,FALSE)))</f>
        <v/>
      </c>
      <c r="AD39" s="340" t="str">
        <f>IF($B39="","",IF(VLOOKUP($B39,'4.คีย์กลางภาค'!$B$5:$DA$49,96,FALSE)="","",VLOOKUP($B39,'4.คีย์กลางภาค'!$B$5:$DA$49,96,FALSE)))</f>
        <v/>
      </c>
      <c r="AE39" s="338" t="str">
        <f>IF($B39="","",IF(VLOOKUP($B39,'4.คีย์กลางภาค'!$B$5:$DA$49,100,FALSE)="","",VLOOKUP($B39,'4.คีย์กลางภาค'!$B$5:$DA$49,100,FALSE)))</f>
        <v/>
      </c>
      <c r="AF39" s="485" t="str">
        <f>IF($B39="","",IF(VLOOKUP($B39,'4.คีย์กลางภาค'!$B$5:$DA$49,104,FALSE)="","",VLOOKUP($B39,'4.คีย์กลางภาค'!$B$5:$DA$49,104,FALSE)))</f>
        <v/>
      </c>
      <c r="AG39" s="540" t="str">
        <f>IF($B39="","",IF(VLOOKUP($B39,'4.คีย์กลางภาค'!$B$5:$DD$49,105,FALSE)="","",VLOOKUP($B39,'4.คีย์กลางภาค'!$B$5:$DD$49,105,FALSE)))</f>
        <v/>
      </c>
      <c r="AH39" s="536" t="str">
        <f>IF($B39="","",IF(VLOOKUP($B39,'4.คีย์กลางภาค'!$B$5:$DD$49,106,FALSE)="","",VLOOKUP($B39,'4.คีย์กลางภาค'!$B$5:$DD$49,106,FALSE)))</f>
        <v/>
      </c>
      <c r="AI39" s="27" t="str">
        <f t="shared" si="14"/>
        <v/>
      </c>
      <c r="AJ39" s="330"/>
      <c r="AL39" s="342" t="str">
        <f t="shared" si="15"/>
        <v/>
      </c>
      <c r="AM39" s="343" t="str">
        <f t="shared" si="16"/>
        <v/>
      </c>
      <c r="AN39" s="343" t="str">
        <f t="shared" si="17"/>
        <v/>
      </c>
      <c r="AO39" s="344" t="str">
        <f t="shared" si="18"/>
        <v/>
      </c>
      <c r="AP39" s="345" t="str">
        <f t="shared" si="19"/>
        <v/>
      </c>
    </row>
    <row r="40" spans="1:42" s="29" customFormat="1" ht="16.5" customHeight="1" x14ac:dyDescent="0.25">
      <c r="A40" s="335">
        <v>33</v>
      </c>
      <c r="B40" s="20" t="str">
        <f>IF(IDstu33="","",IDstu33)</f>
        <v/>
      </c>
      <c r="C40" s="504" t="str">
        <f>IF(Name33="","",Name33)</f>
        <v/>
      </c>
      <c r="D40" s="505" t="str">
        <f>IF(Surname33="","",Surname33)</f>
        <v/>
      </c>
      <c r="E40" s="336" t="str">
        <f>IF($B40="","",IF(VLOOKUP($B40,'4.คีย์กลางภาค'!$B$5:$DA$49,8,FALSE)="","",VLOOKUP($B40,'4.คีย์กลางภาค'!$B$5:$DA$49,8,FALSE)))</f>
        <v/>
      </c>
      <c r="F40" s="337" t="str">
        <f>IF($B40="","",IF(VLOOKUP($B40,'4.คีย์กลางภาค'!$B$5:$DA$49,12,FALSE)="","",VLOOKUP($B40,'4.คีย์กลางภาค'!$B$5:$DA$49,12,FALSE)))</f>
        <v/>
      </c>
      <c r="G40" s="337" t="str">
        <f>IF($B40="","",IF(VLOOKUP($B40,'4.คีย์กลางภาค'!$B$5:$DA$49,16,FALSE)="","",VLOOKUP($B40,'4.คีย์กลางภาค'!$B$5:$DA$49,16,FALSE)))</f>
        <v/>
      </c>
      <c r="H40" s="338" t="str">
        <f>IF($B40="","",IF(VLOOKUP($B40,'4.คีย์กลางภาค'!$B$5:$DA$49,20,FALSE)="","",VLOOKUP($B40,'4.คีย์กลางภาค'!$B$5:$DA$49,20,FALSE)))</f>
        <v/>
      </c>
      <c r="I40" s="338" t="str">
        <f>IF($B40="","",IF(VLOOKUP($B40,'4.คีย์กลางภาค'!$B$5:$DA$49,24,FALSE)="","",VLOOKUP($B40,'4.คีย์กลางภาค'!$B$5:$DA$49,24,FALSE)))</f>
        <v/>
      </c>
      <c r="J40" s="338" t="str">
        <f>IF($B40="","",IF(VLOOKUP($B40,'4.คีย์กลางภาค'!$B$5:$DA$49,28,FALSE)="","",VLOOKUP($B40,'4.คีย์กลางภาค'!$B$5:$DA$49,28,FALSE)))</f>
        <v/>
      </c>
      <c r="K40" s="337" t="str">
        <f>IF($B40="","",IF(VLOOKUP($B40,'4.คีย์กลางภาค'!$B$5:$DA$49,32,FALSE)="","",VLOOKUP($B40,'4.คีย์กลางภาค'!$B$5:$DA$49,32,FALSE)))</f>
        <v/>
      </c>
      <c r="L40" s="337" t="str">
        <f>IF($B40="","",IF(VLOOKUP($B40,'4.คีย์กลางภาค'!$B$5:$DA$49,36,FALSE)="","",VLOOKUP($B40,'4.คีย์กลางภาค'!$B$5:$DA$49,36,FALSE)))</f>
        <v/>
      </c>
      <c r="M40" s="338" t="str">
        <f>IF($B40="","",IF(VLOOKUP($B40,'4.คีย์กลางภาค'!$B$5:$DA$49,40,FALSE)="","",VLOOKUP($B40,'4.คีย์กลางภาค'!$B$5:$DA$49,40,FALSE)))</f>
        <v/>
      </c>
      <c r="N40" s="338" t="str">
        <f>IF($B40="","",IF(VLOOKUP($B40,'4.คีย์กลางภาค'!$B$5:$DA$49,44,FALSE)="","",VLOOKUP($B40,'4.คีย์กลางภาค'!$B$5:$DA$49,44,FALSE)))</f>
        <v/>
      </c>
      <c r="O40" s="338" t="str">
        <f>IF($B40="","",IF(VLOOKUP($B40,'4.คีย์กลางภาค'!$B$5:$DA$49,48,FALSE)="","",VLOOKUP($B40,'4.คีย์กลางภาค'!$B$5:$DA$49,48,FALSE)))</f>
        <v/>
      </c>
      <c r="P40" s="339" t="str">
        <f>IF($B40="","",IF(VLOOKUP($B40,'4.คีย์กลางภาค'!$B$5:$DA$49,52,FALSE)="","",VLOOKUP($B40,'4.คีย์กลางภาค'!$B$5:$DA$49,52,FALSE)))</f>
        <v/>
      </c>
      <c r="Q40" s="335">
        <v>33</v>
      </c>
      <c r="R40" s="504" t="str">
        <f>IF(Name33="","",Name33)</f>
        <v/>
      </c>
      <c r="S40" s="505" t="str">
        <f>IF(Surname33="","",Surname33)</f>
        <v/>
      </c>
      <c r="T40" s="336" t="str">
        <f>IF($B40="","",IF(VLOOKUP($B40,'4.คีย์กลางภาค'!$B$5:$DA$49,56,FALSE)="","",VLOOKUP($B40,'4.คีย์กลางภาค'!$B$5:$DA$49,56,FALSE)))</f>
        <v/>
      </c>
      <c r="U40" s="337" t="str">
        <f>IF($B40="","",IF(VLOOKUP($B40,'4.คีย์กลางภาค'!$B$5:$DA$49,60,FALSE)="","",VLOOKUP($B40,'4.คีย์กลางภาค'!$B$5:$DA$49,60,FALSE)))</f>
        <v/>
      </c>
      <c r="V40" s="337" t="str">
        <f>IF($B40="","",IF(VLOOKUP($B40,'4.คีย์กลางภาค'!$B$5:$DA$49,64,FALSE)="","",VLOOKUP($B40,'4.คีย์กลางภาค'!$B$5:$DA$49,64,FALSE)))</f>
        <v/>
      </c>
      <c r="W40" s="337" t="str">
        <f>IF($B40="","",IF(VLOOKUP($B40,'4.คีย์กลางภาค'!$B$5:$DA$49,68,FALSE)="","",VLOOKUP($B40,'4.คีย์กลางภาค'!$B$5:$DA$49,68,FALSE)))</f>
        <v/>
      </c>
      <c r="X40" s="338" t="str">
        <f>IF($B40="","",IF(VLOOKUP($B40,'4.คีย์กลางภาค'!$B$5:$DA$49,72,FALSE)="","",VLOOKUP($B40,'4.คีย์กลางภาค'!$B$5:$DA$49,72,FALSE)))</f>
        <v/>
      </c>
      <c r="Y40" s="338" t="str">
        <f>IF($B40="","",IF(VLOOKUP($B40,'4.คีย์กลางภาค'!$B$5:$DA$49,76,FALSE)="","",VLOOKUP($B40,'4.คีย์กลางภาค'!$B$5:$DA$49,76,FALSE)))</f>
        <v/>
      </c>
      <c r="Z40" s="337" t="str">
        <f>IF($B40="","",IF(VLOOKUP($B40,'4.คีย์กลางภาค'!$B$5:$DA$49,80,FALSE)="","",VLOOKUP($B40,'4.คีย์กลางภาค'!$B$5:$DA$49,80,FALSE)))</f>
        <v/>
      </c>
      <c r="AA40" s="337" t="str">
        <f>IF($B40="","",IF(VLOOKUP($B40,'4.คีย์กลางภาค'!$B$5:$DA$49,84,FALSE)="","",VLOOKUP($B40,'4.คีย์กลางภาค'!$B$5:$DA$49,84,FALSE)))</f>
        <v/>
      </c>
      <c r="AB40" s="337" t="str">
        <f>IF($B40="","",IF(VLOOKUP($B40,'4.คีย์กลางภาค'!$B$5:$DA$49,88,FALSE)="","",VLOOKUP($B40,'4.คีย์กลางภาค'!$B$5:$DA$49,88,FALSE)))</f>
        <v/>
      </c>
      <c r="AC40" s="337" t="str">
        <f>IF($B40="","",IF(VLOOKUP($B40,'4.คีย์กลางภาค'!$B$5:$DA$49,92,FALSE)="","",VLOOKUP($B40,'4.คีย์กลางภาค'!$B$5:$DA$49,92,FALSE)))</f>
        <v/>
      </c>
      <c r="AD40" s="340" t="str">
        <f>IF($B40="","",IF(VLOOKUP($B40,'4.คีย์กลางภาค'!$B$5:$DA$49,96,FALSE)="","",VLOOKUP($B40,'4.คีย์กลางภาค'!$B$5:$DA$49,96,FALSE)))</f>
        <v/>
      </c>
      <c r="AE40" s="338" t="str">
        <f>IF($B40="","",IF(VLOOKUP($B40,'4.คีย์กลางภาค'!$B$5:$DA$49,100,FALSE)="","",VLOOKUP($B40,'4.คีย์กลางภาค'!$B$5:$DA$49,100,FALSE)))</f>
        <v/>
      </c>
      <c r="AF40" s="485" t="str">
        <f>IF($B40="","",IF(VLOOKUP($B40,'4.คีย์กลางภาค'!$B$5:$DA$49,104,FALSE)="","",VLOOKUP($B40,'4.คีย์กลางภาค'!$B$5:$DA$49,104,FALSE)))</f>
        <v/>
      </c>
      <c r="AG40" s="540" t="str">
        <f>IF($B40="","",IF(VLOOKUP($B40,'4.คีย์กลางภาค'!$B$5:$DD$49,105,FALSE)="","",VLOOKUP($B40,'4.คีย์กลางภาค'!$B$5:$DD$49,105,FALSE)))</f>
        <v/>
      </c>
      <c r="AH40" s="536" t="str">
        <f>IF($B40="","",IF(VLOOKUP($B40,'4.คีย์กลางภาค'!$B$5:$DD$49,106,FALSE)="","",VLOOKUP($B40,'4.คีย์กลางภาค'!$B$5:$DD$49,106,FALSE)))</f>
        <v/>
      </c>
      <c r="AI40" s="27" t="str">
        <f t="shared" si="14"/>
        <v/>
      </c>
      <c r="AJ40" s="330"/>
      <c r="AL40" s="342" t="str">
        <f t="shared" si="15"/>
        <v/>
      </c>
      <c r="AM40" s="343" t="str">
        <f t="shared" si="16"/>
        <v/>
      </c>
      <c r="AN40" s="343" t="str">
        <f t="shared" si="17"/>
        <v/>
      </c>
      <c r="AO40" s="344" t="str">
        <f t="shared" si="18"/>
        <v/>
      </c>
      <c r="AP40" s="345" t="str">
        <f t="shared" si="19"/>
        <v/>
      </c>
    </row>
    <row r="41" spans="1:42" s="29" customFormat="1" ht="16.5" customHeight="1" x14ac:dyDescent="0.25">
      <c r="A41" s="335">
        <v>34</v>
      </c>
      <c r="B41" s="20" t="str">
        <f>IF(IDstu34="","",IDstu34)</f>
        <v/>
      </c>
      <c r="C41" s="504" t="str">
        <f>IF(Name34="","",Name34)</f>
        <v/>
      </c>
      <c r="D41" s="505" t="str">
        <f>IF(Surname34="","",Surname34)</f>
        <v/>
      </c>
      <c r="E41" s="336" t="str">
        <f>IF($B41="","",IF(VLOOKUP($B41,'4.คีย์กลางภาค'!$B$5:$DA$49,8,FALSE)="","",VLOOKUP($B41,'4.คีย์กลางภาค'!$B$5:$DA$49,8,FALSE)))</f>
        <v/>
      </c>
      <c r="F41" s="337" t="str">
        <f>IF($B41="","",IF(VLOOKUP($B41,'4.คีย์กลางภาค'!$B$5:$DA$49,12,FALSE)="","",VLOOKUP($B41,'4.คีย์กลางภาค'!$B$5:$DA$49,12,FALSE)))</f>
        <v/>
      </c>
      <c r="G41" s="337" t="str">
        <f>IF($B41="","",IF(VLOOKUP($B41,'4.คีย์กลางภาค'!$B$5:$DA$49,16,FALSE)="","",VLOOKUP($B41,'4.คีย์กลางภาค'!$B$5:$DA$49,16,FALSE)))</f>
        <v/>
      </c>
      <c r="H41" s="338" t="str">
        <f>IF($B41="","",IF(VLOOKUP($B41,'4.คีย์กลางภาค'!$B$5:$DA$49,20,FALSE)="","",VLOOKUP($B41,'4.คีย์กลางภาค'!$B$5:$DA$49,20,FALSE)))</f>
        <v/>
      </c>
      <c r="I41" s="337" t="str">
        <f>IF($B41="","",IF(VLOOKUP($B41,'4.คีย์กลางภาค'!$B$5:$DA$49,24,FALSE)="","",VLOOKUP($B41,'4.คีย์กลางภาค'!$B$5:$DA$49,24,FALSE)))</f>
        <v/>
      </c>
      <c r="J41" s="337" t="str">
        <f>IF($B41="","",IF(VLOOKUP($B41,'4.คีย์กลางภาค'!$B$5:$DA$49,28,FALSE)="","",VLOOKUP($B41,'4.คีย์กลางภาค'!$B$5:$DA$49,28,FALSE)))</f>
        <v/>
      </c>
      <c r="K41" s="337" t="str">
        <f>IF($B41="","",IF(VLOOKUP($B41,'4.คีย์กลางภาค'!$B$5:$DA$49,32,FALSE)="","",VLOOKUP($B41,'4.คีย์กลางภาค'!$B$5:$DA$49,32,FALSE)))</f>
        <v/>
      </c>
      <c r="L41" s="337" t="str">
        <f>IF($B41="","",IF(VLOOKUP($B41,'4.คีย์กลางภาค'!$B$5:$DA$49,36,FALSE)="","",VLOOKUP($B41,'4.คีย์กลางภาค'!$B$5:$DA$49,36,FALSE)))</f>
        <v/>
      </c>
      <c r="M41" s="338" t="str">
        <f>IF($B41="","",IF(VLOOKUP($B41,'4.คีย์กลางภาค'!$B$5:$DA$49,40,FALSE)="","",VLOOKUP($B41,'4.คีย์กลางภาค'!$B$5:$DA$49,40,FALSE)))</f>
        <v/>
      </c>
      <c r="N41" s="338" t="str">
        <f>IF($B41="","",IF(VLOOKUP($B41,'4.คีย์กลางภาค'!$B$5:$DA$49,44,FALSE)="","",VLOOKUP($B41,'4.คีย์กลางภาค'!$B$5:$DA$49,44,FALSE)))</f>
        <v/>
      </c>
      <c r="O41" s="338" t="str">
        <f>IF($B41="","",IF(VLOOKUP($B41,'4.คีย์กลางภาค'!$B$5:$DA$49,48,FALSE)="","",VLOOKUP($B41,'4.คีย์กลางภาค'!$B$5:$DA$49,48,FALSE)))</f>
        <v/>
      </c>
      <c r="P41" s="339" t="str">
        <f>IF($B41="","",IF(VLOOKUP($B41,'4.คีย์กลางภาค'!$B$5:$DA$49,52,FALSE)="","",VLOOKUP($B41,'4.คีย์กลางภาค'!$B$5:$DA$49,52,FALSE)))</f>
        <v/>
      </c>
      <c r="Q41" s="335">
        <v>34</v>
      </c>
      <c r="R41" s="504" t="str">
        <f>IF(Name34="","",Name34)</f>
        <v/>
      </c>
      <c r="S41" s="505" t="str">
        <f>IF(Surname34="","",Surname34)</f>
        <v/>
      </c>
      <c r="T41" s="336" t="str">
        <f>IF($B41="","",IF(VLOOKUP($B41,'4.คีย์กลางภาค'!$B$5:$DA$49,56,FALSE)="","",VLOOKUP($B41,'4.คีย์กลางภาค'!$B$5:$DA$49,56,FALSE)))</f>
        <v/>
      </c>
      <c r="U41" s="337" t="str">
        <f>IF($B41="","",IF(VLOOKUP($B41,'4.คีย์กลางภาค'!$B$5:$DA$49,60,FALSE)="","",VLOOKUP($B41,'4.คีย์กลางภาค'!$B$5:$DA$49,60,FALSE)))</f>
        <v/>
      </c>
      <c r="V41" s="337" t="str">
        <f>IF($B41="","",IF(VLOOKUP($B41,'4.คีย์กลางภาค'!$B$5:$DA$49,64,FALSE)="","",VLOOKUP($B41,'4.คีย์กลางภาค'!$B$5:$DA$49,64,FALSE)))</f>
        <v/>
      </c>
      <c r="W41" s="337" t="str">
        <f>IF($B41="","",IF(VLOOKUP($B41,'4.คีย์กลางภาค'!$B$5:$DA$49,68,FALSE)="","",VLOOKUP($B41,'4.คีย์กลางภาค'!$B$5:$DA$49,68,FALSE)))</f>
        <v/>
      </c>
      <c r="X41" s="338" t="str">
        <f>IF($B41="","",IF(VLOOKUP($B41,'4.คีย์กลางภาค'!$B$5:$DA$49,72,FALSE)="","",VLOOKUP($B41,'4.คีย์กลางภาค'!$B$5:$DA$49,72,FALSE)))</f>
        <v/>
      </c>
      <c r="Y41" s="338" t="str">
        <f>IF($B41="","",IF(VLOOKUP($B41,'4.คีย์กลางภาค'!$B$5:$DA$49,76,FALSE)="","",VLOOKUP($B41,'4.คีย์กลางภาค'!$B$5:$DA$49,76,FALSE)))</f>
        <v/>
      </c>
      <c r="Z41" s="337" t="str">
        <f>IF($B41="","",IF(VLOOKUP($B41,'4.คีย์กลางภาค'!$B$5:$DA$49,80,FALSE)="","",VLOOKUP($B41,'4.คีย์กลางภาค'!$B$5:$DA$49,80,FALSE)))</f>
        <v/>
      </c>
      <c r="AA41" s="337" t="str">
        <f>IF($B41="","",IF(VLOOKUP($B41,'4.คีย์กลางภาค'!$B$5:$DA$49,84,FALSE)="","",VLOOKUP($B41,'4.คีย์กลางภาค'!$B$5:$DA$49,84,FALSE)))</f>
        <v/>
      </c>
      <c r="AB41" s="337" t="str">
        <f>IF($B41="","",IF(VLOOKUP($B41,'4.คีย์กลางภาค'!$B$5:$DA$49,88,FALSE)="","",VLOOKUP($B41,'4.คีย์กลางภาค'!$B$5:$DA$49,88,FALSE)))</f>
        <v/>
      </c>
      <c r="AC41" s="337" t="str">
        <f>IF($B41="","",IF(VLOOKUP($B41,'4.คีย์กลางภาค'!$B$5:$DA$49,92,FALSE)="","",VLOOKUP($B41,'4.คีย์กลางภาค'!$B$5:$DA$49,92,FALSE)))</f>
        <v/>
      </c>
      <c r="AD41" s="340" t="str">
        <f>IF($B41="","",IF(VLOOKUP($B41,'4.คีย์กลางภาค'!$B$5:$DA$49,96,FALSE)="","",VLOOKUP($B41,'4.คีย์กลางภาค'!$B$5:$DA$49,96,FALSE)))</f>
        <v/>
      </c>
      <c r="AE41" s="338" t="str">
        <f>IF($B41="","",IF(VLOOKUP($B41,'4.คีย์กลางภาค'!$B$5:$DA$49,100,FALSE)="","",VLOOKUP($B41,'4.คีย์กลางภาค'!$B$5:$DA$49,100,FALSE)))</f>
        <v/>
      </c>
      <c r="AF41" s="485" t="str">
        <f>IF($B41="","",IF(VLOOKUP($B41,'4.คีย์กลางภาค'!$B$5:$DA$49,104,FALSE)="","",VLOOKUP($B41,'4.คีย์กลางภาค'!$B$5:$DA$49,104,FALSE)))</f>
        <v/>
      </c>
      <c r="AG41" s="540" t="str">
        <f>IF($B41="","",IF(VLOOKUP($B41,'4.คีย์กลางภาค'!$B$5:$DD$49,105,FALSE)="","",VLOOKUP($B41,'4.คีย์กลางภาค'!$B$5:$DD$49,105,FALSE)))</f>
        <v/>
      </c>
      <c r="AH41" s="536" t="str">
        <f>IF($B41="","",IF(VLOOKUP($B41,'4.คีย์กลางภาค'!$B$5:$DD$49,106,FALSE)="","",VLOOKUP($B41,'4.คีย์กลางภาค'!$B$5:$DD$49,106,FALSE)))</f>
        <v/>
      </c>
      <c r="AI41" s="27" t="str">
        <f t="shared" si="14"/>
        <v/>
      </c>
      <c r="AJ41" s="330"/>
      <c r="AL41" s="342" t="str">
        <f t="shared" si="15"/>
        <v/>
      </c>
      <c r="AM41" s="343" t="str">
        <f t="shared" si="16"/>
        <v/>
      </c>
      <c r="AN41" s="343" t="str">
        <f t="shared" si="17"/>
        <v/>
      </c>
      <c r="AO41" s="344" t="str">
        <f t="shared" si="18"/>
        <v/>
      </c>
      <c r="AP41" s="345" t="str">
        <f t="shared" si="19"/>
        <v/>
      </c>
    </row>
    <row r="42" spans="1:42" s="29" customFormat="1" ht="16.5" customHeight="1" x14ac:dyDescent="0.25">
      <c r="A42" s="335">
        <v>35</v>
      </c>
      <c r="B42" s="20" t="str">
        <f>IF(IDstu35="","",IDstu35)</f>
        <v/>
      </c>
      <c r="C42" s="504" t="str">
        <f>IF(Name35="","",Name35)</f>
        <v/>
      </c>
      <c r="D42" s="505" t="str">
        <f>IF(Surname35="","",Surname35)</f>
        <v/>
      </c>
      <c r="E42" s="336" t="str">
        <f>IF($B42="","",IF(VLOOKUP($B42,'4.คีย์กลางภาค'!$B$5:$DA$49,8,FALSE)="","",VLOOKUP($B42,'4.คีย์กลางภาค'!$B$5:$DA$49,8,FALSE)))</f>
        <v/>
      </c>
      <c r="F42" s="337" t="str">
        <f>IF($B42="","",IF(VLOOKUP($B42,'4.คีย์กลางภาค'!$B$5:$DA$49,12,FALSE)="","",VLOOKUP($B42,'4.คีย์กลางภาค'!$B$5:$DA$49,12,FALSE)))</f>
        <v/>
      </c>
      <c r="G42" s="337" t="str">
        <f>IF($B42="","",IF(VLOOKUP($B42,'4.คีย์กลางภาค'!$B$5:$DA$49,16,FALSE)="","",VLOOKUP($B42,'4.คีย์กลางภาค'!$B$5:$DA$49,16,FALSE)))</f>
        <v/>
      </c>
      <c r="H42" s="338" t="str">
        <f>IF($B42="","",IF(VLOOKUP($B42,'4.คีย์กลางภาค'!$B$5:$DA$49,20,FALSE)="","",VLOOKUP($B42,'4.คีย์กลางภาค'!$B$5:$DA$49,20,FALSE)))</f>
        <v/>
      </c>
      <c r="I42" s="337" t="str">
        <f>IF($B42="","",IF(VLOOKUP($B42,'4.คีย์กลางภาค'!$B$5:$DA$49,24,FALSE)="","",VLOOKUP($B42,'4.คีย์กลางภาค'!$B$5:$DA$49,24,FALSE)))</f>
        <v/>
      </c>
      <c r="J42" s="337" t="str">
        <f>IF($B42="","",IF(VLOOKUP($B42,'4.คีย์กลางภาค'!$B$5:$DA$49,28,FALSE)="","",VLOOKUP($B42,'4.คีย์กลางภาค'!$B$5:$DA$49,28,FALSE)))</f>
        <v/>
      </c>
      <c r="K42" s="337" t="str">
        <f>IF($B42="","",IF(VLOOKUP($B42,'4.คีย์กลางภาค'!$B$5:$DA$49,32,FALSE)="","",VLOOKUP($B42,'4.คีย์กลางภาค'!$B$5:$DA$49,32,FALSE)))</f>
        <v/>
      </c>
      <c r="L42" s="337" t="str">
        <f>IF($B42="","",IF(VLOOKUP($B42,'4.คีย์กลางภาค'!$B$5:$DA$49,36,FALSE)="","",VLOOKUP($B42,'4.คีย์กลางภาค'!$B$5:$DA$49,36,FALSE)))</f>
        <v/>
      </c>
      <c r="M42" s="338" t="str">
        <f>IF($B42="","",IF(VLOOKUP($B42,'4.คีย์กลางภาค'!$B$5:$DA$49,40,FALSE)="","",VLOOKUP($B42,'4.คีย์กลางภาค'!$B$5:$DA$49,40,FALSE)))</f>
        <v/>
      </c>
      <c r="N42" s="338" t="str">
        <f>IF($B42="","",IF(VLOOKUP($B42,'4.คีย์กลางภาค'!$B$5:$DA$49,44,FALSE)="","",VLOOKUP($B42,'4.คีย์กลางภาค'!$B$5:$DA$49,44,FALSE)))</f>
        <v/>
      </c>
      <c r="O42" s="338" t="str">
        <f>IF($B42="","",IF(VLOOKUP($B42,'4.คีย์กลางภาค'!$B$5:$DA$49,48,FALSE)="","",VLOOKUP($B42,'4.คีย์กลางภาค'!$B$5:$DA$49,48,FALSE)))</f>
        <v/>
      </c>
      <c r="P42" s="339" t="str">
        <f>IF($B42="","",IF(VLOOKUP($B42,'4.คีย์กลางภาค'!$B$5:$DA$49,52,FALSE)="","",VLOOKUP($B42,'4.คีย์กลางภาค'!$B$5:$DA$49,52,FALSE)))</f>
        <v/>
      </c>
      <c r="Q42" s="335">
        <v>35</v>
      </c>
      <c r="R42" s="504" t="str">
        <f>IF(Name35="","",Name35)</f>
        <v/>
      </c>
      <c r="S42" s="505" t="str">
        <f>IF(Surname35="","",Surname35)</f>
        <v/>
      </c>
      <c r="T42" s="336" t="str">
        <f>IF($B42="","",IF(VLOOKUP($B42,'4.คีย์กลางภาค'!$B$5:$DA$49,56,FALSE)="","",VLOOKUP($B42,'4.คีย์กลางภาค'!$B$5:$DA$49,56,FALSE)))</f>
        <v/>
      </c>
      <c r="U42" s="337" t="str">
        <f>IF($B42="","",IF(VLOOKUP($B42,'4.คีย์กลางภาค'!$B$5:$DA$49,60,FALSE)="","",VLOOKUP($B42,'4.คีย์กลางภาค'!$B$5:$DA$49,60,FALSE)))</f>
        <v/>
      </c>
      <c r="V42" s="337" t="str">
        <f>IF($B42="","",IF(VLOOKUP($B42,'4.คีย์กลางภาค'!$B$5:$DA$49,64,FALSE)="","",VLOOKUP($B42,'4.คีย์กลางภาค'!$B$5:$DA$49,64,FALSE)))</f>
        <v/>
      </c>
      <c r="W42" s="337" t="str">
        <f>IF($B42="","",IF(VLOOKUP($B42,'4.คีย์กลางภาค'!$B$5:$DA$49,68,FALSE)="","",VLOOKUP($B42,'4.คีย์กลางภาค'!$B$5:$DA$49,68,FALSE)))</f>
        <v/>
      </c>
      <c r="X42" s="338" t="str">
        <f>IF($B42="","",IF(VLOOKUP($B42,'4.คีย์กลางภาค'!$B$5:$DA$49,72,FALSE)="","",VLOOKUP($B42,'4.คีย์กลางภาค'!$B$5:$DA$49,72,FALSE)))</f>
        <v/>
      </c>
      <c r="Y42" s="338" t="str">
        <f>IF($B42="","",IF(VLOOKUP($B42,'4.คีย์กลางภาค'!$B$5:$DA$49,76,FALSE)="","",VLOOKUP($B42,'4.คีย์กลางภาค'!$B$5:$DA$49,76,FALSE)))</f>
        <v/>
      </c>
      <c r="Z42" s="337" t="str">
        <f>IF($B42="","",IF(VLOOKUP($B42,'4.คีย์กลางภาค'!$B$5:$DA$49,80,FALSE)="","",VLOOKUP($B42,'4.คีย์กลางภาค'!$B$5:$DA$49,80,FALSE)))</f>
        <v/>
      </c>
      <c r="AA42" s="337" t="str">
        <f>IF($B42="","",IF(VLOOKUP($B42,'4.คีย์กลางภาค'!$B$5:$DA$49,84,FALSE)="","",VLOOKUP($B42,'4.คีย์กลางภาค'!$B$5:$DA$49,84,FALSE)))</f>
        <v/>
      </c>
      <c r="AB42" s="337" t="str">
        <f>IF($B42="","",IF(VLOOKUP($B42,'4.คีย์กลางภาค'!$B$5:$DA$49,88,FALSE)="","",VLOOKUP($B42,'4.คีย์กลางภาค'!$B$5:$DA$49,88,FALSE)))</f>
        <v/>
      </c>
      <c r="AC42" s="337" t="str">
        <f>IF($B42="","",IF(VLOOKUP($B42,'4.คีย์กลางภาค'!$B$5:$DA$49,92,FALSE)="","",VLOOKUP($B42,'4.คีย์กลางภาค'!$B$5:$DA$49,92,FALSE)))</f>
        <v/>
      </c>
      <c r="AD42" s="340" t="str">
        <f>IF($B42="","",IF(VLOOKUP($B42,'4.คีย์กลางภาค'!$B$5:$DA$49,96,FALSE)="","",VLOOKUP($B42,'4.คีย์กลางภาค'!$B$5:$DA$49,96,FALSE)))</f>
        <v/>
      </c>
      <c r="AE42" s="338" t="str">
        <f>IF($B42="","",IF(VLOOKUP($B42,'4.คีย์กลางภาค'!$B$5:$DA$49,100,FALSE)="","",VLOOKUP($B42,'4.คีย์กลางภาค'!$B$5:$DA$49,100,FALSE)))</f>
        <v/>
      </c>
      <c r="AF42" s="485" t="str">
        <f>IF($B42="","",IF(VLOOKUP($B42,'4.คีย์กลางภาค'!$B$5:$DA$49,104,FALSE)="","",VLOOKUP($B42,'4.คีย์กลางภาค'!$B$5:$DA$49,104,FALSE)))</f>
        <v/>
      </c>
      <c r="AG42" s="540" t="str">
        <f>IF($B42="","",IF(VLOOKUP($B42,'4.คีย์กลางภาค'!$B$5:$DD$49,105,FALSE)="","",VLOOKUP($B42,'4.คีย์กลางภาค'!$B$5:$DD$49,105,FALSE)))</f>
        <v/>
      </c>
      <c r="AH42" s="536" t="str">
        <f>IF($B42="","",IF(VLOOKUP($B42,'4.คีย์กลางภาค'!$B$5:$DD$49,106,FALSE)="","",VLOOKUP($B42,'4.คีย์กลางภาค'!$B$5:$DD$49,106,FALSE)))</f>
        <v/>
      </c>
      <c r="AI42" s="27" t="str">
        <f t="shared" si="14"/>
        <v/>
      </c>
      <c r="AJ42" s="330"/>
      <c r="AL42" s="342" t="str">
        <f t="shared" si="15"/>
        <v/>
      </c>
      <c r="AM42" s="343" t="str">
        <f t="shared" si="16"/>
        <v/>
      </c>
      <c r="AN42" s="343" t="str">
        <f t="shared" si="17"/>
        <v/>
      </c>
      <c r="AO42" s="344" t="str">
        <f t="shared" si="18"/>
        <v/>
      </c>
      <c r="AP42" s="345" t="str">
        <f t="shared" si="19"/>
        <v/>
      </c>
    </row>
    <row r="43" spans="1:42" s="29" customFormat="1" ht="16.5" customHeight="1" x14ac:dyDescent="0.25">
      <c r="A43" s="335">
        <v>36</v>
      </c>
      <c r="B43" s="20" t="str">
        <f>IF(IDstu36="","",IDstu36)</f>
        <v/>
      </c>
      <c r="C43" s="504" t="str">
        <f>IF(Name36="","",Name36)</f>
        <v/>
      </c>
      <c r="D43" s="505" t="str">
        <f>IF(Surname36="","",Surname36)</f>
        <v/>
      </c>
      <c r="E43" s="336" t="str">
        <f>IF($B43="","",IF(VLOOKUP($B43,'4.คีย์กลางภาค'!$B$5:$DA$49,8,FALSE)="","",VLOOKUP($B43,'4.คีย์กลางภาค'!$B$5:$DA$49,8,FALSE)))</f>
        <v/>
      </c>
      <c r="F43" s="337" t="str">
        <f>IF($B43="","",IF(VLOOKUP($B43,'4.คีย์กลางภาค'!$B$5:$DA$49,12,FALSE)="","",VLOOKUP($B43,'4.คีย์กลางภาค'!$B$5:$DA$49,12,FALSE)))</f>
        <v/>
      </c>
      <c r="G43" s="337" t="str">
        <f>IF($B43="","",IF(VLOOKUP($B43,'4.คีย์กลางภาค'!$B$5:$DA$49,16,FALSE)="","",VLOOKUP($B43,'4.คีย์กลางภาค'!$B$5:$DA$49,16,FALSE)))</f>
        <v/>
      </c>
      <c r="H43" s="338" t="str">
        <f>IF($B43="","",IF(VLOOKUP($B43,'4.คีย์กลางภาค'!$B$5:$DA$49,20,FALSE)="","",VLOOKUP($B43,'4.คีย์กลางภาค'!$B$5:$DA$49,20,FALSE)))</f>
        <v/>
      </c>
      <c r="I43" s="337" t="str">
        <f>IF($B43="","",IF(VLOOKUP($B43,'4.คีย์กลางภาค'!$B$5:$DA$49,24,FALSE)="","",VLOOKUP($B43,'4.คีย์กลางภาค'!$B$5:$DA$49,24,FALSE)))</f>
        <v/>
      </c>
      <c r="J43" s="337" t="str">
        <f>IF($B43="","",IF(VLOOKUP($B43,'4.คีย์กลางภาค'!$B$5:$DA$49,28,FALSE)="","",VLOOKUP($B43,'4.คีย์กลางภาค'!$B$5:$DA$49,28,FALSE)))</f>
        <v/>
      </c>
      <c r="K43" s="337" t="str">
        <f>IF($B43="","",IF(VLOOKUP($B43,'4.คีย์กลางภาค'!$B$5:$DA$49,32,FALSE)="","",VLOOKUP($B43,'4.คีย์กลางภาค'!$B$5:$DA$49,32,FALSE)))</f>
        <v/>
      </c>
      <c r="L43" s="337" t="str">
        <f>IF($B43="","",IF(VLOOKUP($B43,'4.คีย์กลางภาค'!$B$5:$DA$49,36,FALSE)="","",VLOOKUP($B43,'4.คีย์กลางภาค'!$B$5:$DA$49,36,FALSE)))</f>
        <v/>
      </c>
      <c r="M43" s="338" t="str">
        <f>IF($B43="","",IF(VLOOKUP($B43,'4.คีย์กลางภาค'!$B$5:$DA$49,40,FALSE)="","",VLOOKUP($B43,'4.คีย์กลางภาค'!$B$5:$DA$49,40,FALSE)))</f>
        <v/>
      </c>
      <c r="N43" s="338" t="str">
        <f>IF($B43="","",IF(VLOOKUP($B43,'4.คีย์กลางภาค'!$B$5:$DA$49,44,FALSE)="","",VLOOKUP($B43,'4.คีย์กลางภาค'!$B$5:$DA$49,44,FALSE)))</f>
        <v/>
      </c>
      <c r="O43" s="338" t="str">
        <f>IF($B43="","",IF(VLOOKUP($B43,'4.คีย์กลางภาค'!$B$5:$DA$49,48,FALSE)="","",VLOOKUP($B43,'4.คีย์กลางภาค'!$B$5:$DA$49,48,FALSE)))</f>
        <v/>
      </c>
      <c r="P43" s="339" t="str">
        <f>IF($B43="","",IF(VLOOKUP($B43,'4.คีย์กลางภาค'!$B$5:$DA$49,52,FALSE)="","",VLOOKUP($B43,'4.คีย์กลางภาค'!$B$5:$DA$49,52,FALSE)))</f>
        <v/>
      </c>
      <c r="Q43" s="335">
        <v>36</v>
      </c>
      <c r="R43" s="504" t="str">
        <f>IF(Name36="","",Name36)</f>
        <v/>
      </c>
      <c r="S43" s="505" t="str">
        <f>IF(Surname36="","",Surname36)</f>
        <v/>
      </c>
      <c r="T43" s="336" t="str">
        <f>IF($B43="","",IF(VLOOKUP($B43,'4.คีย์กลางภาค'!$B$5:$DA$49,56,FALSE)="","",VLOOKUP($B43,'4.คีย์กลางภาค'!$B$5:$DA$49,56,FALSE)))</f>
        <v/>
      </c>
      <c r="U43" s="337" t="str">
        <f>IF($B43="","",IF(VLOOKUP($B43,'4.คีย์กลางภาค'!$B$5:$DA$49,60,FALSE)="","",VLOOKUP($B43,'4.คีย์กลางภาค'!$B$5:$DA$49,60,FALSE)))</f>
        <v/>
      </c>
      <c r="V43" s="337" t="str">
        <f>IF($B43="","",IF(VLOOKUP($B43,'4.คีย์กลางภาค'!$B$5:$DA$49,64,FALSE)="","",VLOOKUP($B43,'4.คีย์กลางภาค'!$B$5:$DA$49,64,FALSE)))</f>
        <v/>
      </c>
      <c r="W43" s="337" t="str">
        <f>IF($B43="","",IF(VLOOKUP($B43,'4.คีย์กลางภาค'!$B$5:$DA$49,68,FALSE)="","",VLOOKUP($B43,'4.คีย์กลางภาค'!$B$5:$DA$49,68,FALSE)))</f>
        <v/>
      </c>
      <c r="X43" s="338" t="str">
        <f>IF($B43="","",IF(VLOOKUP($B43,'4.คีย์กลางภาค'!$B$5:$DA$49,72,FALSE)="","",VLOOKUP($B43,'4.คีย์กลางภาค'!$B$5:$DA$49,72,FALSE)))</f>
        <v/>
      </c>
      <c r="Y43" s="338" t="str">
        <f>IF($B43="","",IF(VLOOKUP($B43,'4.คีย์กลางภาค'!$B$5:$DA$49,76,FALSE)="","",VLOOKUP($B43,'4.คีย์กลางภาค'!$B$5:$DA$49,76,FALSE)))</f>
        <v/>
      </c>
      <c r="Z43" s="337" t="str">
        <f>IF($B43="","",IF(VLOOKUP($B43,'4.คีย์กลางภาค'!$B$5:$DA$49,80,FALSE)="","",VLOOKUP($B43,'4.คีย์กลางภาค'!$B$5:$DA$49,80,FALSE)))</f>
        <v/>
      </c>
      <c r="AA43" s="337" t="str">
        <f>IF($B43="","",IF(VLOOKUP($B43,'4.คีย์กลางภาค'!$B$5:$DA$49,84,FALSE)="","",VLOOKUP($B43,'4.คีย์กลางภาค'!$B$5:$DA$49,84,FALSE)))</f>
        <v/>
      </c>
      <c r="AB43" s="337" t="str">
        <f>IF($B43="","",IF(VLOOKUP($B43,'4.คีย์กลางภาค'!$B$5:$DA$49,88,FALSE)="","",VLOOKUP($B43,'4.คีย์กลางภาค'!$B$5:$DA$49,88,FALSE)))</f>
        <v/>
      </c>
      <c r="AC43" s="337" t="str">
        <f>IF($B43="","",IF(VLOOKUP($B43,'4.คีย์กลางภาค'!$B$5:$DA$49,92,FALSE)="","",VLOOKUP($B43,'4.คีย์กลางภาค'!$B$5:$DA$49,92,FALSE)))</f>
        <v/>
      </c>
      <c r="AD43" s="340" t="str">
        <f>IF($B43="","",IF(VLOOKUP($B43,'4.คีย์กลางภาค'!$B$5:$DA$49,96,FALSE)="","",VLOOKUP($B43,'4.คีย์กลางภาค'!$B$5:$DA$49,96,FALSE)))</f>
        <v/>
      </c>
      <c r="AE43" s="338" t="str">
        <f>IF($B43="","",IF(VLOOKUP($B43,'4.คีย์กลางภาค'!$B$5:$DA$49,100,FALSE)="","",VLOOKUP($B43,'4.คีย์กลางภาค'!$B$5:$DA$49,100,FALSE)))</f>
        <v/>
      </c>
      <c r="AF43" s="485" t="str">
        <f>IF($B43="","",IF(VLOOKUP($B43,'4.คีย์กลางภาค'!$B$5:$DA$49,104,FALSE)="","",VLOOKUP($B43,'4.คีย์กลางภาค'!$B$5:$DA$49,104,FALSE)))</f>
        <v/>
      </c>
      <c r="AG43" s="540" t="str">
        <f>IF($B43="","",IF(VLOOKUP($B43,'4.คีย์กลางภาค'!$B$5:$DD$49,105,FALSE)="","",VLOOKUP($B43,'4.คีย์กลางภาค'!$B$5:$DD$49,105,FALSE)))</f>
        <v/>
      </c>
      <c r="AH43" s="536" t="str">
        <f>IF($B43="","",IF(VLOOKUP($B43,'4.คีย์กลางภาค'!$B$5:$DD$49,106,FALSE)="","",VLOOKUP($B43,'4.คีย์กลางภาค'!$B$5:$DD$49,106,FALSE)))</f>
        <v/>
      </c>
      <c r="AI43" s="27" t="str">
        <f t="shared" si="14"/>
        <v/>
      </c>
      <c r="AJ43" s="330"/>
      <c r="AL43" s="342" t="str">
        <f t="shared" si="15"/>
        <v/>
      </c>
      <c r="AM43" s="343" t="str">
        <f t="shared" si="16"/>
        <v/>
      </c>
      <c r="AN43" s="343" t="str">
        <f t="shared" si="17"/>
        <v/>
      </c>
      <c r="AO43" s="344" t="str">
        <f t="shared" si="18"/>
        <v/>
      </c>
      <c r="AP43" s="345" t="str">
        <f t="shared" si="19"/>
        <v/>
      </c>
    </row>
    <row r="44" spans="1:42" s="29" customFormat="1" ht="16.5" customHeight="1" x14ac:dyDescent="0.25">
      <c r="A44" s="335">
        <v>37</v>
      </c>
      <c r="B44" s="20" t="str">
        <f>IF(IDstu37="","",IDstu37)</f>
        <v/>
      </c>
      <c r="C44" s="504" t="str">
        <f>IF(Name37="","",Name37)</f>
        <v/>
      </c>
      <c r="D44" s="505" t="str">
        <f>IF(Surname37="","",Surname37)</f>
        <v/>
      </c>
      <c r="E44" s="336" t="str">
        <f>IF($B44="","",IF(VLOOKUP($B44,'4.คีย์กลางภาค'!$B$5:$DA$49,8,FALSE)="","",VLOOKUP($B44,'4.คีย์กลางภาค'!$B$5:$DA$49,8,FALSE)))</f>
        <v/>
      </c>
      <c r="F44" s="337" t="str">
        <f>IF($B44="","",IF(VLOOKUP($B44,'4.คีย์กลางภาค'!$B$5:$DA$49,12,FALSE)="","",VLOOKUP($B44,'4.คีย์กลางภาค'!$B$5:$DA$49,12,FALSE)))</f>
        <v/>
      </c>
      <c r="G44" s="337" t="str">
        <f>IF($B44="","",IF(VLOOKUP($B44,'4.คีย์กลางภาค'!$B$5:$DA$49,16,FALSE)="","",VLOOKUP($B44,'4.คีย์กลางภาค'!$B$5:$DA$49,16,FALSE)))</f>
        <v/>
      </c>
      <c r="H44" s="338" t="str">
        <f>IF($B44="","",IF(VLOOKUP($B44,'4.คีย์กลางภาค'!$B$5:$DA$49,20,FALSE)="","",VLOOKUP($B44,'4.คีย์กลางภาค'!$B$5:$DA$49,20,FALSE)))</f>
        <v/>
      </c>
      <c r="I44" s="337" t="str">
        <f>IF($B44="","",IF(VLOOKUP($B44,'4.คีย์กลางภาค'!$B$5:$DA$49,24,FALSE)="","",VLOOKUP($B44,'4.คีย์กลางภาค'!$B$5:$DA$49,24,FALSE)))</f>
        <v/>
      </c>
      <c r="J44" s="337" t="str">
        <f>IF($B44="","",IF(VLOOKUP($B44,'4.คีย์กลางภาค'!$B$5:$DA$49,28,FALSE)="","",VLOOKUP($B44,'4.คีย์กลางภาค'!$B$5:$DA$49,28,FALSE)))</f>
        <v/>
      </c>
      <c r="K44" s="337" t="str">
        <f>IF($B44="","",IF(VLOOKUP($B44,'4.คีย์กลางภาค'!$B$5:$DA$49,32,FALSE)="","",VLOOKUP($B44,'4.คีย์กลางภาค'!$B$5:$DA$49,32,FALSE)))</f>
        <v/>
      </c>
      <c r="L44" s="337" t="str">
        <f>IF($B44="","",IF(VLOOKUP($B44,'4.คีย์กลางภาค'!$B$5:$DA$49,36,FALSE)="","",VLOOKUP($B44,'4.คีย์กลางภาค'!$B$5:$DA$49,36,FALSE)))</f>
        <v/>
      </c>
      <c r="M44" s="338" t="str">
        <f>IF($B44="","",IF(VLOOKUP($B44,'4.คีย์กลางภาค'!$B$5:$DA$49,40,FALSE)="","",VLOOKUP($B44,'4.คีย์กลางภาค'!$B$5:$DA$49,40,FALSE)))</f>
        <v/>
      </c>
      <c r="N44" s="338" t="str">
        <f>IF($B44="","",IF(VLOOKUP($B44,'4.คีย์กลางภาค'!$B$5:$DA$49,44,FALSE)="","",VLOOKUP($B44,'4.คีย์กลางภาค'!$B$5:$DA$49,44,FALSE)))</f>
        <v/>
      </c>
      <c r="O44" s="338" t="str">
        <f>IF($B44="","",IF(VLOOKUP($B44,'4.คีย์กลางภาค'!$B$5:$DA$49,48,FALSE)="","",VLOOKUP($B44,'4.คีย์กลางภาค'!$B$5:$DA$49,48,FALSE)))</f>
        <v/>
      </c>
      <c r="P44" s="339" t="str">
        <f>IF($B44="","",IF(VLOOKUP($B44,'4.คีย์กลางภาค'!$B$5:$DA$49,52,FALSE)="","",VLOOKUP($B44,'4.คีย์กลางภาค'!$B$5:$DA$49,52,FALSE)))</f>
        <v/>
      </c>
      <c r="Q44" s="335">
        <v>37</v>
      </c>
      <c r="R44" s="504" t="str">
        <f>IF(Name37="","",Name37)</f>
        <v/>
      </c>
      <c r="S44" s="505" t="str">
        <f>IF(Surname37="","",Surname37)</f>
        <v/>
      </c>
      <c r="T44" s="336" t="str">
        <f>IF($B44="","",IF(VLOOKUP($B44,'4.คีย์กลางภาค'!$B$5:$DA$49,56,FALSE)="","",VLOOKUP($B44,'4.คีย์กลางภาค'!$B$5:$DA$49,56,FALSE)))</f>
        <v/>
      </c>
      <c r="U44" s="337" t="str">
        <f>IF($B44="","",IF(VLOOKUP($B44,'4.คีย์กลางภาค'!$B$5:$DA$49,60,FALSE)="","",VLOOKUP($B44,'4.คีย์กลางภาค'!$B$5:$DA$49,60,FALSE)))</f>
        <v/>
      </c>
      <c r="V44" s="337" t="str">
        <f>IF($B44="","",IF(VLOOKUP($B44,'4.คีย์กลางภาค'!$B$5:$DA$49,64,FALSE)="","",VLOOKUP($B44,'4.คีย์กลางภาค'!$B$5:$DA$49,64,FALSE)))</f>
        <v/>
      </c>
      <c r="W44" s="337" t="str">
        <f>IF($B44="","",IF(VLOOKUP($B44,'4.คีย์กลางภาค'!$B$5:$DA$49,68,FALSE)="","",VLOOKUP($B44,'4.คีย์กลางภาค'!$B$5:$DA$49,68,FALSE)))</f>
        <v/>
      </c>
      <c r="X44" s="338" t="str">
        <f>IF($B44="","",IF(VLOOKUP($B44,'4.คีย์กลางภาค'!$B$5:$DA$49,72,FALSE)="","",VLOOKUP($B44,'4.คีย์กลางภาค'!$B$5:$DA$49,72,FALSE)))</f>
        <v/>
      </c>
      <c r="Y44" s="338" t="str">
        <f>IF($B44="","",IF(VLOOKUP($B44,'4.คีย์กลางภาค'!$B$5:$DA$49,76,FALSE)="","",VLOOKUP($B44,'4.คีย์กลางภาค'!$B$5:$DA$49,76,FALSE)))</f>
        <v/>
      </c>
      <c r="Z44" s="337" t="str">
        <f>IF($B44="","",IF(VLOOKUP($B44,'4.คีย์กลางภาค'!$B$5:$DA$49,80,FALSE)="","",VLOOKUP($B44,'4.คีย์กลางภาค'!$B$5:$DA$49,80,FALSE)))</f>
        <v/>
      </c>
      <c r="AA44" s="337" t="str">
        <f>IF($B44="","",IF(VLOOKUP($B44,'4.คีย์กลางภาค'!$B$5:$DA$49,84,FALSE)="","",VLOOKUP($B44,'4.คีย์กลางภาค'!$B$5:$DA$49,84,FALSE)))</f>
        <v/>
      </c>
      <c r="AB44" s="337" t="str">
        <f>IF($B44="","",IF(VLOOKUP($B44,'4.คีย์กลางภาค'!$B$5:$DA$49,88,FALSE)="","",VLOOKUP($B44,'4.คีย์กลางภาค'!$B$5:$DA$49,88,FALSE)))</f>
        <v/>
      </c>
      <c r="AC44" s="337" t="str">
        <f>IF($B44="","",IF(VLOOKUP($B44,'4.คีย์กลางภาค'!$B$5:$DA$49,92,FALSE)="","",VLOOKUP($B44,'4.คีย์กลางภาค'!$B$5:$DA$49,92,FALSE)))</f>
        <v/>
      </c>
      <c r="AD44" s="340" t="str">
        <f>IF($B44="","",IF(VLOOKUP($B44,'4.คีย์กลางภาค'!$B$5:$DA$49,96,FALSE)="","",VLOOKUP($B44,'4.คีย์กลางภาค'!$B$5:$DA$49,96,FALSE)))</f>
        <v/>
      </c>
      <c r="AE44" s="338" t="str">
        <f>IF($B44="","",IF(VLOOKUP($B44,'4.คีย์กลางภาค'!$B$5:$DA$49,100,FALSE)="","",VLOOKUP($B44,'4.คีย์กลางภาค'!$B$5:$DA$49,100,FALSE)))</f>
        <v/>
      </c>
      <c r="AF44" s="485" t="str">
        <f>IF($B44="","",IF(VLOOKUP($B44,'4.คีย์กลางภาค'!$B$5:$DA$49,104,FALSE)="","",VLOOKUP($B44,'4.คีย์กลางภาค'!$B$5:$DA$49,104,FALSE)))</f>
        <v/>
      </c>
      <c r="AG44" s="540" t="str">
        <f>IF($B44="","",IF(VLOOKUP($B44,'4.คีย์กลางภาค'!$B$5:$DD$49,105,FALSE)="","",VLOOKUP($B44,'4.คีย์กลางภาค'!$B$5:$DD$49,105,FALSE)))</f>
        <v/>
      </c>
      <c r="AH44" s="536" t="str">
        <f>IF($B44="","",IF(VLOOKUP($B44,'4.คีย์กลางภาค'!$B$5:$DD$49,106,FALSE)="","",VLOOKUP($B44,'4.คีย์กลางภาค'!$B$5:$DD$49,106,FALSE)))</f>
        <v/>
      </c>
      <c r="AI44" s="27" t="str">
        <f t="shared" si="14"/>
        <v/>
      </c>
      <c r="AJ44" s="330"/>
      <c r="AL44" s="342" t="str">
        <f t="shared" si="15"/>
        <v/>
      </c>
      <c r="AM44" s="343" t="str">
        <f t="shared" si="16"/>
        <v/>
      </c>
      <c r="AN44" s="343" t="str">
        <f t="shared" si="17"/>
        <v/>
      </c>
      <c r="AO44" s="344" t="str">
        <f t="shared" si="18"/>
        <v/>
      </c>
      <c r="AP44" s="345" t="str">
        <f t="shared" si="19"/>
        <v/>
      </c>
    </row>
    <row r="45" spans="1:42" s="29" customFormat="1" ht="16.5" customHeight="1" x14ac:dyDescent="0.25">
      <c r="A45" s="335">
        <v>38</v>
      </c>
      <c r="B45" s="20" t="str">
        <f>IF(IDstu38="","",IDstu38)</f>
        <v/>
      </c>
      <c r="C45" s="504" t="str">
        <f>IF(Name38="","",Name38)</f>
        <v/>
      </c>
      <c r="D45" s="505" t="str">
        <f>IF(Surname38="","",Surname38)</f>
        <v/>
      </c>
      <c r="E45" s="336" t="str">
        <f>IF($B45="","",IF(VLOOKUP($B45,'4.คีย์กลางภาค'!$B$5:$DA$49,8,FALSE)="","",VLOOKUP($B45,'4.คีย์กลางภาค'!$B$5:$DA$49,8,FALSE)))</f>
        <v/>
      </c>
      <c r="F45" s="337" t="str">
        <f>IF($B45="","",IF(VLOOKUP($B45,'4.คีย์กลางภาค'!$B$5:$DA$49,12,FALSE)="","",VLOOKUP($B45,'4.คีย์กลางภาค'!$B$5:$DA$49,12,FALSE)))</f>
        <v/>
      </c>
      <c r="G45" s="337" t="str">
        <f>IF($B45="","",IF(VLOOKUP($B45,'4.คีย์กลางภาค'!$B$5:$DA$49,16,FALSE)="","",VLOOKUP($B45,'4.คีย์กลางภาค'!$B$5:$DA$49,16,FALSE)))</f>
        <v/>
      </c>
      <c r="H45" s="338" t="str">
        <f>IF($B45="","",IF(VLOOKUP($B45,'4.คีย์กลางภาค'!$B$5:$DA$49,20,FALSE)="","",VLOOKUP($B45,'4.คีย์กลางภาค'!$B$5:$DA$49,20,FALSE)))</f>
        <v/>
      </c>
      <c r="I45" s="337" t="str">
        <f>IF($B45="","",IF(VLOOKUP($B45,'4.คีย์กลางภาค'!$B$5:$DA$49,24,FALSE)="","",VLOOKUP($B45,'4.คีย์กลางภาค'!$B$5:$DA$49,24,FALSE)))</f>
        <v/>
      </c>
      <c r="J45" s="337" t="str">
        <f>IF($B45="","",IF(VLOOKUP($B45,'4.คีย์กลางภาค'!$B$5:$DA$49,28,FALSE)="","",VLOOKUP($B45,'4.คีย์กลางภาค'!$B$5:$DA$49,28,FALSE)))</f>
        <v/>
      </c>
      <c r="K45" s="337" t="str">
        <f>IF($B45="","",IF(VLOOKUP($B45,'4.คีย์กลางภาค'!$B$5:$DA$49,32,FALSE)="","",VLOOKUP($B45,'4.คีย์กลางภาค'!$B$5:$DA$49,32,FALSE)))</f>
        <v/>
      </c>
      <c r="L45" s="337" t="str">
        <f>IF($B45="","",IF(VLOOKUP($B45,'4.คีย์กลางภาค'!$B$5:$DA$49,36,FALSE)="","",VLOOKUP($B45,'4.คีย์กลางภาค'!$B$5:$DA$49,36,FALSE)))</f>
        <v/>
      </c>
      <c r="M45" s="338" t="str">
        <f>IF($B45="","",IF(VLOOKUP($B45,'4.คีย์กลางภาค'!$B$5:$DA$49,40,FALSE)="","",VLOOKUP($B45,'4.คีย์กลางภาค'!$B$5:$DA$49,40,FALSE)))</f>
        <v/>
      </c>
      <c r="N45" s="338" t="str">
        <f>IF($B45="","",IF(VLOOKUP($B45,'4.คีย์กลางภาค'!$B$5:$DA$49,44,FALSE)="","",VLOOKUP($B45,'4.คีย์กลางภาค'!$B$5:$DA$49,44,FALSE)))</f>
        <v/>
      </c>
      <c r="O45" s="338" t="str">
        <f>IF($B45="","",IF(VLOOKUP($B45,'4.คีย์กลางภาค'!$B$5:$DA$49,48,FALSE)="","",VLOOKUP($B45,'4.คีย์กลางภาค'!$B$5:$DA$49,48,FALSE)))</f>
        <v/>
      </c>
      <c r="P45" s="339" t="str">
        <f>IF($B45="","",IF(VLOOKUP($B45,'4.คีย์กลางภาค'!$B$5:$DA$49,52,FALSE)="","",VLOOKUP($B45,'4.คีย์กลางภาค'!$B$5:$DA$49,52,FALSE)))</f>
        <v/>
      </c>
      <c r="Q45" s="335">
        <v>38</v>
      </c>
      <c r="R45" s="504" t="str">
        <f>IF(Name38="","",Name38)</f>
        <v/>
      </c>
      <c r="S45" s="505" t="str">
        <f>IF(Surname38="","",Surname38)</f>
        <v/>
      </c>
      <c r="T45" s="336" t="str">
        <f>IF($B45="","",IF(VLOOKUP($B45,'4.คีย์กลางภาค'!$B$5:$DA$49,56,FALSE)="","",VLOOKUP($B45,'4.คีย์กลางภาค'!$B$5:$DA$49,56,FALSE)))</f>
        <v/>
      </c>
      <c r="U45" s="337" t="str">
        <f>IF($B45="","",IF(VLOOKUP($B45,'4.คีย์กลางภาค'!$B$5:$DA$49,60,FALSE)="","",VLOOKUP($B45,'4.คีย์กลางภาค'!$B$5:$DA$49,60,FALSE)))</f>
        <v/>
      </c>
      <c r="V45" s="337" t="str">
        <f>IF($B45="","",IF(VLOOKUP($B45,'4.คีย์กลางภาค'!$B$5:$DA$49,64,FALSE)="","",VLOOKUP($B45,'4.คีย์กลางภาค'!$B$5:$DA$49,64,FALSE)))</f>
        <v/>
      </c>
      <c r="W45" s="337" t="str">
        <f>IF($B45="","",IF(VLOOKUP($B45,'4.คีย์กลางภาค'!$B$5:$DA$49,68,FALSE)="","",VLOOKUP($B45,'4.คีย์กลางภาค'!$B$5:$DA$49,68,FALSE)))</f>
        <v/>
      </c>
      <c r="X45" s="338" t="str">
        <f>IF($B45="","",IF(VLOOKUP($B45,'4.คีย์กลางภาค'!$B$5:$DA$49,72,FALSE)="","",VLOOKUP($B45,'4.คีย์กลางภาค'!$B$5:$DA$49,72,FALSE)))</f>
        <v/>
      </c>
      <c r="Y45" s="338" t="str">
        <f>IF($B45="","",IF(VLOOKUP($B45,'4.คีย์กลางภาค'!$B$5:$DA$49,76,FALSE)="","",VLOOKUP($B45,'4.คีย์กลางภาค'!$B$5:$DA$49,76,FALSE)))</f>
        <v/>
      </c>
      <c r="Z45" s="337" t="str">
        <f>IF($B45="","",IF(VLOOKUP($B45,'4.คีย์กลางภาค'!$B$5:$DA$49,80,FALSE)="","",VLOOKUP($B45,'4.คีย์กลางภาค'!$B$5:$DA$49,80,FALSE)))</f>
        <v/>
      </c>
      <c r="AA45" s="337" t="str">
        <f>IF($B45="","",IF(VLOOKUP($B45,'4.คีย์กลางภาค'!$B$5:$DA$49,84,FALSE)="","",VLOOKUP($B45,'4.คีย์กลางภาค'!$B$5:$DA$49,84,FALSE)))</f>
        <v/>
      </c>
      <c r="AB45" s="337" t="str">
        <f>IF($B45="","",IF(VLOOKUP($B45,'4.คีย์กลางภาค'!$B$5:$DA$49,88,FALSE)="","",VLOOKUP($B45,'4.คีย์กลางภาค'!$B$5:$DA$49,88,FALSE)))</f>
        <v/>
      </c>
      <c r="AC45" s="337" t="str">
        <f>IF($B45="","",IF(VLOOKUP($B45,'4.คีย์กลางภาค'!$B$5:$DA$49,92,FALSE)="","",VLOOKUP($B45,'4.คีย์กลางภาค'!$B$5:$DA$49,92,FALSE)))</f>
        <v/>
      </c>
      <c r="AD45" s="340" t="str">
        <f>IF($B45="","",IF(VLOOKUP($B45,'4.คีย์กลางภาค'!$B$5:$DA$49,96,FALSE)="","",VLOOKUP($B45,'4.คีย์กลางภาค'!$B$5:$DA$49,96,FALSE)))</f>
        <v/>
      </c>
      <c r="AE45" s="338" t="str">
        <f>IF($B45="","",IF(VLOOKUP($B45,'4.คีย์กลางภาค'!$B$5:$DA$49,100,FALSE)="","",VLOOKUP($B45,'4.คีย์กลางภาค'!$B$5:$DA$49,100,FALSE)))</f>
        <v/>
      </c>
      <c r="AF45" s="485" t="str">
        <f>IF($B45="","",IF(VLOOKUP($B45,'4.คีย์กลางภาค'!$B$5:$DA$49,104,FALSE)="","",VLOOKUP($B45,'4.คีย์กลางภาค'!$B$5:$DA$49,104,FALSE)))</f>
        <v/>
      </c>
      <c r="AG45" s="540" t="str">
        <f>IF($B45="","",IF(VLOOKUP($B45,'4.คีย์กลางภาค'!$B$5:$DD$49,105,FALSE)="","",VLOOKUP($B45,'4.คีย์กลางภาค'!$B$5:$DD$49,105,FALSE)))</f>
        <v/>
      </c>
      <c r="AH45" s="536" t="str">
        <f>IF($B45="","",IF(VLOOKUP($B45,'4.คีย์กลางภาค'!$B$5:$DD$49,106,FALSE)="","",VLOOKUP($B45,'4.คีย์กลางภาค'!$B$5:$DD$49,106,FALSE)))</f>
        <v/>
      </c>
      <c r="AI45" s="27" t="str">
        <f t="shared" si="14"/>
        <v/>
      </c>
      <c r="AJ45" s="330" t="str">
        <f t="shared" ref="AJ45:AJ52" si="20">CONCATENATE(T45," ",U45," ",V45," ",W45," ",X45," ",Y45," ",Z45," ",AA45," ",AB45," ",AC45," ",AD45," ",AE45)</f>
        <v xml:space="preserve">           </v>
      </c>
      <c r="AL45" s="342" t="str">
        <f t="shared" si="15"/>
        <v/>
      </c>
      <c r="AM45" s="343" t="str">
        <f t="shared" si="16"/>
        <v/>
      </c>
      <c r="AN45" s="343" t="str">
        <f t="shared" si="17"/>
        <v/>
      </c>
      <c r="AO45" s="344" t="str">
        <f t="shared" si="18"/>
        <v/>
      </c>
      <c r="AP45" s="345" t="str">
        <f t="shared" si="19"/>
        <v/>
      </c>
    </row>
    <row r="46" spans="1:42" s="29" customFormat="1" ht="16.5" customHeight="1" x14ac:dyDescent="0.25">
      <c r="A46" s="335">
        <v>39</v>
      </c>
      <c r="B46" s="20" t="str">
        <f>IF(IDstu39="","",IDstu39)</f>
        <v/>
      </c>
      <c r="C46" s="504" t="str">
        <f>IF(Name39="","",Name39)</f>
        <v/>
      </c>
      <c r="D46" s="505" t="str">
        <f>IF(Surname39="","",Surname39)</f>
        <v/>
      </c>
      <c r="E46" s="336" t="str">
        <f>IF($B46="","",IF(VLOOKUP($B46,'4.คีย์กลางภาค'!$B$5:$DA$49,8,FALSE)="","",VLOOKUP($B46,'4.คีย์กลางภาค'!$B$5:$DA$49,8,FALSE)))</f>
        <v/>
      </c>
      <c r="F46" s="337" t="str">
        <f>IF($B46="","",IF(VLOOKUP($B46,'4.คีย์กลางภาค'!$B$5:$DA$49,12,FALSE)="","",VLOOKUP($B46,'4.คีย์กลางภาค'!$B$5:$DA$49,12,FALSE)))</f>
        <v/>
      </c>
      <c r="G46" s="337" t="str">
        <f>IF($B46="","",IF(VLOOKUP($B46,'4.คีย์กลางภาค'!$B$5:$DA$49,16,FALSE)="","",VLOOKUP($B46,'4.คีย์กลางภาค'!$B$5:$DA$49,16,FALSE)))</f>
        <v/>
      </c>
      <c r="H46" s="338" t="str">
        <f>IF($B46="","",IF(VLOOKUP($B46,'4.คีย์กลางภาค'!$B$5:$DA$49,20,FALSE)="","",VLOOKUP($B46,'4.คีย์กลางภาค'!$B$5:$DA$49,20,FALSE)))</f>
        <v/>
      </c>
      <c r="I46" s="337" t="str">
        <f>IF($B46="","",IF(VLOOKUP($B46,'4.คีย์กลางภาค'!$B$5:$DA$49,24,FALSE)="","",VLOOKUP($B46,'4.คีย์กลางภาค'!$B$5:$DA$49,24,FALSE)))</f>
        <v/>
      </c>
      <c r="J46" s="337" t="str">
        <f>IF($B46="","",IF(VLOOKUP($B46,'4.คีย์กลางภาค'!$B$5:$DA$49,28,FALSE)="","",VLOOKUP($B46,'4.คีย์กลางภาค'!$B$5:$DA$49,28,FALSE)))</f>
        <v/>
      </c>
      <c r="K46" s="337" t="str">
        <f>IF($B46="","",IF(VLOOKUP($B46,'4.คีย์กลางภาค'!$B$5:$DA$49,32,FALSE)="","",VLOOKUP($B46,'4.คีย์กลางภาค'!$B$5:$DA$49,32,FALSE)))</f>
        <v/>
      </c>
      <c r="L46" s="337" t="str">
        <f>IF($B46="","",IF(VLOOKUP($B46,'4.คีย์กลางภาค'!$B$5:$DA$49,36,FALSE)="","",VLOOKUP($B46,'4.คีย์กลางภาค'!$B$5:$DA$49,36,FALSE)))</f>
        <v/>
      </c>
      <c r="M46" s="338" t="str">
        <f>IF($B46="","",IF(VLOOKUP($B46,'4.คีย์กลางภาค'!$B$5:$DA$49,40,FALSE)="","",VLOOKUP($B46,'4.คีย์กลางภาค'!$B$5:$DA$49,40,FALSE)))</f>
        <v/>
      </c>
      <c r="N46" s="338" t="str">
        <f>IF($B46="","",IF(VLOOKUP($B46,'4.คีย์กลางภาค'!$B$5:$DA$49,44,FALSE)="","",VLOOKUP($B46,'4.คีย์กลางภาค'!$B$5:$DA$49,44,FALSE)))</f>
        <v/>
      </c>
      <c r="O46" s="338" t="str">
        <f>IF($B46="","",IF(VLOOKUP($B46,'4.คีย์กลางภาค'!$B$5:$DA$49,48,FALSE)="","",VLOOKUP($B46,'4.คีย์กลางภาค'!$B$5:$DA$49,48,FALSE)))</f>
        <v/>
      </c>
      <c r="P46" s="339" t="str">
        <f>IF($B46="","",IF(VLOOKUP($B46,'4.คีย์กลางภาค'!$B$5:$DA$49,52,FALSE)="","",VLOOKUP($B46,'4.คีย์กลางภาค'!$B$5:$DA$49,52,FALSE)))</f>
        <v/>
      </c>
      <c r="Q46" s="335">
        <v>39</v>
      </c>
      <c r="R46" s="504" t="str">
        <f>IF(Name39="","",Name39)</f>
        <v/>
      </c>
      <c r="S46" s="505" t="str">
        <f>IF(Surname39="","",Surname39)</f>
        <v/>
      </c>
      <c r="T46" s="336" t="str">
        <f>IF($B46="","",IF(VLOOKUP($B46,'4.คีย์กลางภาค'!$B$5:$DA$49,56,FALSE)="","",VLOOKUP($B46,'4.คีย์กลางภาค'!$B$5:$DA$49,56,FALSE)))</f>
        <v/>
      </c>
      <c r="U46" s="337" t="str">
        <f>IF($B46="","",IF(VLOOKUP($B46,'4.คีย์กลางภาค'!$B$5:$DA$49,60,FALSE)="","",VLOOKUP($B46,'4.คีย์กลางภาค'!$B$5:$DA$49,60,FALSE)))</f>
        <v/>
      </c>
      <c r="V46" s="337" t="str">
        <f>IF($B46="","",IF(VLOOKUP($B46,'4.คีย์กลางภาค'!$B$5:$DA$49,64,FALSE)="","",VLOOKUP($B46,'4.คีย์กลางภาค'!$B$5:$DA$49,64,FALSE)))</f>
        <v/>
      </c>
      <c r="W46" s="337" t="str">
        <f>IF($B46="","",IF(VLOOKUP($B46,'4.คีย์กลางภาค'!$B$5:$DA$49,68,FALSE)="","",VLOOKUP($B46,'4.คีย์กลางภาค'!$B$5:$DA$49,68,FALSE)))</f>
        <v/>
      </c>
      <c r="X46" s="338" t="str">
        <f>IF($B46="","",IF(VLOOKUP($B46,'4.คีย์กลางภาค'!$B$5:$DA$49,72,FALSE)="","",VLOOKUP($B46,'4.คีย์กลางภาค'!$B$5:$DA$49,72,FALSE)))</f>
        <v/>
      </c>
      <c r="Y46" s="338" t="str">
        <f>IF($B46="","",IF(VLOOKUP($B46,'4.คีย์กลางภาค'!$B$5:$DA$49,76,FALSE)="","",VLOOKUP($B46,'4.คีย์กลางภาค'!$B$5:$DA$49,76,FALSE)))</f>
        <v/>
      </c>
      <c r="Z46" s="337" t="str">
        <f>IF($B46="","",IF(VLOOKUP($B46,'4.คีย์กลางภาค'!$B$5:$DA$49,80,FALSE)="","",VLOOKUP($B46,'4.คีย์กลางภาค'!$B$5:$DA$49,80,FALSE)))</f>
        <v/>
      </c>
      <c r="AA46" s="337" t="str">
        <f>IF($B46="","",IF(VLOOKUP($B46,'4.คีย์กลางภาค'!$B$5:$DA$49,84,FALSE)="","",VLOOKUP($B46,'4.คีย์กลางภาค'!$B$5:$DA$49,84,FALSE)))</f>
        <v/>
      </c>
      <c r="AB46" s="337" t="str">
        <f>IF($B46="","",IF(VLOOKUP($B46,'4.คีย์กลางภาค'!$B$5:$DA$49,88,FALSE)="","",VLOOKUP($B46,'4.คีย์กลางภาค'!$B$5:$DA$49,88,FALSE)))</f>
        <v/>
      </c>
      <c r="AC46" s="337" t="str">
        <f>IF($B46="","",IF(VLOOKUP($B46,'4.คีย์กลางภาค'!$B$5:$DA$49,92,FALSE)="","",VLOOKUP($B46,'4.คีย์กลางภาค'!$B$5:$DA$49,92,FALSE)))</f>
        <v/>
      </c>
      <c r="AD46" s="340" t="str">
        <f>IF($B46="","",IF(VLOOKUP($B46,'4.คีย์กลางภาค'!$B$5:$DA$49,96,FALSE)="","",VLOOKUP($B46,'4.คีย์กลางภาค'!$B$5:$DA$49,96,FALSE)))</f>
        <v/>
      </c>
      <c r="AE46" s="338" t="str">
        <f>IF($B46="","",IF(VLOOKUP($B46,'4.คีย์กลางภาค'!$B$5:$DA$49,100,FALSE)="","",VLOOKUP($B46,'4.คีย์กลางภาค'!$B$5:$DA$49,100,FALSE)))</f>
        <v/>
      </c>
      <c r="AF46" s="485" t="str">
        <f>IF($B46="","",IF(VLOOKUP($B46,'4.คีย์กลางภาค'!$B$5:$DA$49,104,FALSE)="","",VLOOKUP($B46,'4.คีย์กลางภาค'!$B$5:$DA$49,104,FALSE)))</f>
        <v/>
      </c>
      <c r="AG46" s="540" t="str">
        <f>IF($B46="","",IF(VLOOKUP($B46,'4.คีย์กลางภาค'!$B$5:$DD$49,105,FALSE)="","",VLOOKUP($B46,'4.คีย์กลางภาค'!$B$5:$DD$49,105,FALSE)))</f>
        <v/>
      </c>
      <c r="AH46" s="536" t="str">
        <f>IF($B46="","",IF(VLOOKUP($B46,'4.คีย์กลางภาค'!$B$5:$DD$49,106,FALSE)="","",VLOOKUP($B46,'4.คีย์กลางภาค'!$B$5:$DD$49,106,FALSE)))</f>
        <v/>
      </c>
      <c r="AI46" s="27" t="str">
        <f t="shared" si="14"/>
        <v/>
      </c>
      <c r="AJ46" s="330" t="str">
        <f t="shared" si="20"/>
        <v xml:space="preserve">           </v>
      </c>
      <c r="AL46" s="342" t="str">
        <f t="shared" si="15"/>
        <v/>
      </c>
      <c r="AM46" s="343" t="str">
        <f t="shared" si="16"/>
        <v/>
      </c>
      <c r="AN46" s="343" t="str">
        <f t="shared" si="17"/>
        <v/>
      </c>
      <c r="AO46" s="344" t="str">
        <f t="shared" si="18"/>
        <v/>
      </c>
      <c r="AP46" s="345" t="str">
        <f t="shared" si="19"/>
        <v/>
      </c>
    </row>
    <row r="47" spans="1:42" s="29" customFormat="1" ht="16.5" customHeight="1" x14ac:dyDescent="0.25">
      <c r="A47" s="335">
        <v>40</v>
      </c>
      <c r="B47" s="20" t="str">
        <f>IF(IDstu40="","",IDstu40)</f>
        <v/>
      </c>
      <c r="C47" s="504" t="str">
        <f>IF(Name40="","",Name40)</f>
        <v/>
      </c>
      <c r="D47" s="505" t="str">
        <f>IF(Surname40="","",Surname40)</f>
        <v/>
      </c>
      <c r="E47" s="336" t="str">
        <f>IF($B47="","",IF(VLOOKUP($B47,'4.คีย์กลางภาค'!$B$5:$DA$49,8,FALSE)="","",VLOOKUP($B47,'4.คีย์กลางภาค'!$B$5:$DA$49,8,FALSE)))</f>
        <v/>
      </c>
      <c r="F47" s="337" t="str">
        <f>IF($B47="","",IF(VLOOKUP($B47,'4.คีย์กลางภาค'!$B$5:$DA$49,12,FALSE)="","",VLOOKUP($B47,'4.คีย์กลางภาค'!$B$5:$DA$49,12,FALSE)))</f>
        <v/>
      </c>
      <c r="G47" s="337" t="str">
        <f>IF($B47="","",IF(VLOOKUP($B47,'4.คีย์กลางภาค'!$B$5:$DA$49,16,FALSE)="","",VLOOKUP($B47,'4.คีย์กลางภาค'!$B$5:$DA$49,16,FALSE)))</f>
        <v/>
      </c>
      <c r="H47" s="338" t="str">
        <f>IF($B47="","",IF(VLOOKUP($B47,'4.คีย์กลางภาค'!$B$5:$DA$49,20,FALSE)="","",VLOOKUP($B47,'4.คีย์กลางภาค'!$B$5:$DA$49,20,FALSE)))</f>
        <v/>
      </c>
      <c r="I47" s="337" t="str">
        <f>IF($B47="","",IF(VLOOKUP($B47,'4.คีย์กลางภาค'!$B$5:$DA$49,24,FALSE)="","",VLOOKUP($B47,'4.คีย์กลางภาค'!$B$5:$DA$49,24,FALSE)))</f>
        <v/>
      </c>
      <c r="J47" s="337" t="str">
        <f>IF($B47="","",IF(VLOOKUP($B47,'4.คีย์กลางภาค'!$B$5:$DA$49,28,FALSE)="","",VLOOKUP($B47,'4.คีย์กลางภาค'!$B$5:$DA$49,28,FALSE)))</f>
        <v/>
      </c>
      <c r="K47" s="337" t="str">
        <f>IF($B47="","",IF(VLOOKUP($B47,'4.คีย์กลางภาค'!$B$5:$DA$49,32,FALSE)="","",VLOOKUP($B47,'4.คีย์กลางภาค'!$B$5:$DA$49,32,FALSE)))</f>
        <v/>
      </c>
      <c r="L47" s="337" t="str">
        <f>IF($B47="","",IF(VLOOKUP($B47,'4.คีย์กลางภาค'!$B$5:$DA$49,36,FALSE)="","",VLOOKUP($B47,'4.คีย์กลางภาค'!$B$5:$DA$49,36,FALSE)))</f>
        <v/>
      </c>
      <c r="M47" s="338" t="str">
        <f>IF($B47="","",IF(VLOOKUP($B47,'4.คีย์กลางภาค'!$B$5:$DA$49,40,FALSE)="","",VLOOKUP($B47,'4.คีย์กลางภาค'!$B$5:$DA$49,40,FALSE)))</f>
        <v/>
      </c>
      <c r="N47" s="338" t="str">
        <f>IF($B47="","",IF(VLOOKUP($B47,'4.คีย์กลางภาค'!$B$5:$DA$49,44,FALSE)="","",VLOOKUP($B47,'4.คีย์กลางภาค'!$B$5:$DA$49,44,FALSE)))</f>
        <v/>
      </c>
      <c r="O47" s="338" t="str">
        <f>IF($B47="","",IF(VLOOKUP($B47,'4.คีย์กลางภาค'!$B$5:$DA$49,48,FALSE)="","",VLOOKUP($B47,'4.คีย์กลางภาค'!$B$5:$DA$49,48,FALSE)))</f>
        <v/>
      </c>
      <c r="P47" s="339" t="str">
        <f>IF($B47="","",IF(VLOOKUP($B47,'4.คีย์กลางภาค'!$B$5:$DA$49,52,FALSE)="","",VLOOKUP($B47,'4.คีย์กลางภาค'!$B$5:$DA$49,52,FALSE)))</f>
        <v/>
      </c>
      <c r="Q47" s="335">
        <v>40</v>
      </c>
      <c r="R47" s="504" t="str">
        <f>IF(Name40="","",Name40)</f>
        <v/>
      </c>
      <c r="S47" s="505" t="str">
        <f>IF(Surname40="","",Surname40)</f>
        <v/>
      </c>
      <c r="T47" s="336" t="str">
        <f>IF($B47="","",IF(VLOOKUP($B47,'4.คีย์กลางภาค'!$B$5:$DA$49,56,FALSE)="","",VLOOKUP($B47,'4.คีย์กลางภาค'!$B$5:$DA$49,56,FALSE)))</f>
        <v/>
      </c>
      <c r="U47" s="337" t="str">
        <f>IF($B47="","",IF(VLOOKUP($B47,'4.คีย์กลางภาค'!$B$5:$DA$49,60,FALSE)="","",VLOOKUP($B47,'4.คีย์กลางภาค'!$B$5:$DA$49,60,FALSE)))</f>
        <v/>
      </c>
      <c r="V47" s="337" t="str">
        <f>IF($B47="","",IF(VLOOKUP($B47,'4.คีย์กลางภาค'!$B$5:$DA$49,64,FALSE)="","",VLOOKUP($B47,'4.คีย์กลางภาค'!$B$5:$DA$49,64,FALSE)))</f>
        <v/>
      </c>
      <c r="W47" s="337" t="str">
        <f>IF($B47="","",IF(VLOOKUP($B47,'4.คีย์กลางภาค'!$B$5:$DA$49,68,FALSE)="","",VLOOKUP($B47,'4.คีย์กลางภาค'!$B$5:$DA$49,68,FALSE)))</f>
        <v/>
      </c>
      <c r="X47" s="338" t="str">
        <f>IF($B47="","",IF(VLOOKUP($B47,'4.คีย์กลางภาค'!$B$5:$DA$49,72,FALSE)="","",VLOOKUP($B47,'4.คีย์กลางภาค'!$B$5:$DA$49,72,FALSE)))</f>
        <v/>
      </c>
      <c r="Y47" s="338" t="str">
        <f>IF($B47="","",IF(VLOOKUP($B47,'4.คีย์กลางภาค'!$B$5:$DA$49,76,FALSE)="","",VLOOKUP($B47,'4.คีย์กลางภาค'!$B$5:$DA$49,76,FALSE)))</f>
        <v/>
      </c>
      <c r="Z47" s="337" t="str">
        <f>IF($B47="","",IF(VLOOKUP($B47,'4.คีย์กลางภาค'!$B$5:$DA$49,80,FALSE)="","",VLOOKUP($B47,'4.คีย์กลางภาค'!$B$5:$DA$49,80,FALSE)))</f>
        <v/>
      </c>
      <c r="AA47" s="337" t="str">
        <f>IF($B47="","",IF(VLOOKUP($B47,'4.คีย์กลางภาค'!$B$5:$DA$49,84,FALSE)="","",VLOOKUP($B47,'4.คีย์กลางภาค'!$B$5:$DA$49,84,FALSE)))</f>
        <v/>
      </c>
      <c r="AB47" s="337" t="str">
        <f>IF($B47="","",IF(VLOOKUP($B47,'4.คีย์กลางภาค'!$B$5:$DA$49,88,FALSE)="","",VLOOKUP($B47,'4.คีย์กลางภาค'!$B$5:$DA$49,88,FALSE)))</f>
        <v/>
      </c>
      <c r="AC47" s="337" t="str">
        <f>IF($B47="","",IF(VLOOKUP($B47,'4.คีย์กลางภาค'!$B$5:$DA$49,92,FALSE)="","",VLOOKUP($B47,'4.คีย์กลางภาค'!$B$5:$DA$49,92,FALSE)))</f>
        <v/>
      </c>
      <c r="AD47" s="340" t="str">
        <f>IF($B47="","",IF(VLOOKUP($B47,'4.คีย์กลางภาค'!$B$5:$DA$49,96,FALSE)="","",VLOOKUP($B47,'4.คีย์กลางภาค'!$B$5:$DA$49,96,FALSE)))</f>
        <v/>
      </c>
      <c r="AE47" s="338" t="str">
        <f>IF($B47="","",IF(VLOOKUP($B47,'4.คีย์กลางภาค'!$B$5:$DA$49,100,FALSE)="","",VLOOKUP($B47,'4.คีย์กลางภาค'!$B$5:$DA$49,100,FALSE)))</f>
        <v/>
      </c>
      <c r="AF47" s="485" t="str">
        <f>IF($B47="","",IF(VLOOKUP($B47,'4.คีย์กลางภาค'!$B$5:$DA$49,104,FALSE)="","",VLOOKUP($B47,'4.คีย์กลางภาค'!$B$5:$DA$49,104,FALSE)))</f>
        <v/>
      </c>
      <c r="AG47" s="540" t="str">
        <f>IF($B47="","",IF(VLOOKUP($B47,'4.คีย์กลางภาค'!$B$5:$DD$49,105,FALSE)="","",VLOOKUP($B47,'4.คีย์กลางภาค'!$B$5:$DD$49,105,FALSE)))</f>
        <v/>
      </c>
      <c r="AH47" s="536" t="str">
        <f>IF($B47="","",IF(VLOOKUP($B47,'4.คีย์กลางภาค'!$B$5:$DD$49,106,FALSE)="","",VLOOKUP($B47,'4.คีย์กลางภาค'!$B$5:$DD$49,106,FALSE)))</f>
        <v/>
      </c>
      <c r="AI47" s="27" t="str">
        <f t="shared" si="14"/>
        <v/>
      </c>
      <c r="AJ47" s="330" t="str">
        <f t="shared" si="20"/>
        <v xml:space="preserve">           </v>
      </c>
      <c r="AL47" s="342" t="str">
        <f t="shared" si="15"/>
        <v/>
      </c>
      <c r="AM47" s="343" t="str">
        <f t="shared" si="16"/>
        <v/>
      </c>
      <c r="AN47" s="343" t="str">
        <f t="shared" si="17"/>
        <v/>
      </c>
      <c r="AO47" s="344" t="str">
        <f t="shared" si="18"/>
        <v/>
      </c>
      <c r="AP47" s="345" t="str">
        <f t="shared" si="19"/>
        <v/>
      </c>
    </row>
    <row r="48" spans="1:42" s="29" customFormat="1" ht="16.5" customHeight="1" x14ac:dyDescent="0.25">
      <c r="A48" s="335">
        <v>41</v>
      </c>
      <c r="B48" s="20" t="str">
        <f>IF(IDstu41="","",IDstu41)</f>
        <v/>
      </c>
      <c r="C48" s="504" t="str">
        <f>IF(Name41="","",Name41)</f>
        <v/>
      </c>
      <c r="D48" s="505" t="str">
        <f>IF(Surname41="","",Surname41)</f>
        <v/>
      </c>
      <c r="E48" s="336" t="str">
        <f>IF($B48="","",IF(VLOOKUP($B48,'4.คีย์กลางภาค'!$B$5:$DA$49,8,FALSE)="","",VLOOKUP($B48,'4.คีย์กลางภาค'!$B$5:$DA$49,8,FALSE)))</f>
        <v/>
      </c>
      <c r="F48" s="337" t="str">
        <f>IF($B48="","",IF(VLOOKUP($B48,'4.คีย์กลางภาค'!$B$5:$DA$49,12,FALSE)="","",VLOOKUP($B48,'4.คีย์กลางภาค'!$B$5:$DA$49,12,FALSE)))</f>
        <v/>
      </c>
      <c r="G48" s="337" t="str">
        <f>IF($B48="","",IF(VLOOKUP($B48,'4.คีย์กลางภาค'!$B$5:$DA$49,16,FALSE)="","",VLOOKUP($B48,'4.คีย์กลางภาค'!$B$5:$DA$49,16,FALSE)))</f>
        <v/>
      </c>
      <c r="H48" s="338" t="str">
        <f>IF($B48="","",IF(VLOOKUP($B48,'4.คีย์กลางภาค'!$B$5:$DA$49,20,FALSE)="","",VLOOKUP($B48,'4.คีย์กลางภาค'!$B$5:$DA$49,20,FALSE)))</f>
        <v/>
      </c>
      <c r="I48" s="337" t="str">
        <f>IF($B48="","",IF(VLOOKUP($B48,'4.คีย์กลางภาค'!$B$5:$DA$49,24,FALSE)="","",VLOOKUP($B48,'4.คีย์กลางภาค'!$B$5:$DA$49,24,FALSE)))</f>
        <v/>
      </c>
      <c r="J48" s="337" t="str">
        <f>IF($B48="","",IF(VLOOKUP($B48,'4.คีย์กลางภาค'!$B$5:$DA$49,28,FALSE)="","",VLOOKUP($B48,'4.คีย์กลางภาค'!$B$5:$DA$49,28,FALSE)))</f>
        <v/>
      </c>
      <c r="K48" s="337" t="str">
        <f>IF($B48="","",IF(VLOOKUP($B48,'4.คีย์กลางภาค'!$B$5:$DA$49,32,FALSE)="","",VLOOKUP($B48,'4.คีย์กลางภาค'!$B$5:$DA$49,32,FALSE)))</f>
        <v/>
      </c>
      <c r="L48" s="337" t="str">
        <f>IF($B48="","",IF(VLOOKUP($B48,'4.คีย์กลางภาค'!$B$5:$DA$49,36,FALSE)="","",VLOOKUP($B48,'4.คีย์กลางภาค'!$B$5:$DA$49,36,FALSE)))</f>
        <v/>
      </c>
      <c r="M48" s="338" t="str">
        <f>IF($B48="","",IF(VLOOKUP($B48,'4.คีย์กลางภาค'!$B$5:$DA$49,40,FALSE)="","",VLOOKUP($B48,'4.คีย์กลางภาค'!$B$5:$DA$49,40,FALSE)))</f>
        <v/>
      </c>
      <c r="N48" s="338" t="str">
        <f>IF($B48="","",IF(VLOOKUP($B48,'4.คีย์กลางภาค'!$B$5:$DA$49,44,FALSE)="","",VLOOKUP($B48,'4.คีย์กลางภาค'!$B$5:$DA$49,44,FALSE)))</f>
        <v/>
      </c>
      <c r="O48" s="338" t="str">
        <f>IF($B48="","",IF(VLOOKUP($B48,'4.คีย์กลางภาค'!$B$5:$DA$49,48,FALSE)="","",VLOOKUP($B48,'4.คีย์กลางภาค'!$B$5:$DA$49,48,FALSE)))</f>
        <v/>
      </c>
      <c r="P48" s="339" t="str">
        <f>IF($B48="","",IF(VLOOKUP($B48,'4.คีย์กลางภาค'!$B$5:$DA$49,52,FALSE)="","",VLOOKUP($B48,'4.คีย์กลางภาค'!$B$5:$DA$49,52,FALSE)))</f>
        <v/>
      </c>
      <c r="Q48" s="335">
        <v>41</v>
      </c>
      <c r="R48" s="504" t="str">
        <f>IF(Name41="","",Name41)</f>
        <v/>
      </c>
      <c r="S48" s="505" t="str">
        <f>IF(Surname41="","",Surname41)</f>
        <v/>
      </c>
      <c r="T48" s="336" t="str">
        <f>IF($B48="","",IF(VLOOKUP($B48,'4.คีย์กลางภาค'!$B$5:$DA$49,56,FALSE)="","",VLOOKUP($B48,'4.คีย์กลางภาค'!$B$5:$DA$49,56,FALSE)))</f>
        <v/>
      </c>
      <c r="U48" s="337" t="str">
        <f>IF($B48="","",IF(VLOOKUP($B48,'4.คีย์กลางภาค'!$B$5:$DA$49,60,FALSE)="","",VLOOKUP($B48,'4.คีย์กลางภาค'!$B$5:$DA$49,60,FALSE)))</f>
        <v/>
      </c>
      <c r="V48" s="337" t="str">
        <f>IF($B48="","",IF(VLOOKUP($B48,'4.คีย์กลางภาค'!$B$5:$DA$49,64,FALSE)="","",VLOOKUP($B48,'4.คีย์กลางภาค'!$B$5:$DA$49,64,FALSE)))</f>
        <v/>
      </c>
      <c r="W48" s="337" t="str">
        <f>IF($B48="","",IF(VLOOKUP($B48,'4.คีย์กลางภาค'!$B$5:$DA$49,68,FALSE)="","",VLOOKUP($B48,'4.คีย์กลางภาค'!$B$5:$DA$49,68,FALSE)))</f>
        <v/>
      </c>
      <c r="X48" s="338" t="str">
        <f>IF($B48="","",IF(VLOOKUP($B48,'4.คีย์กลางภาค'!$B$5:$DA$49,72,FALSE)="","",VLOOKUP($B48,'4.คีย์กลางภาค'!$B$5:$DA$49,72,FALSE)))</f>
        <v/>
      </c>
      <c r="Y48" s="338" t="str">
        <f>IF($B48="","",IF(VLOOKUP($B48,'4.คีย์กลางภาค'!$B$5:$DA$49,76,FALSE)="","",VLOOKUP($B48,'4.คีย์กลางภาค'!$B$5:$DA$49,76,FALSE)))</f>
        <v/>
      </c>
      <c r="Z48" s="337" t="str">
        <f>IF($B48="","",IF(VLOOKUP($B48,'4.คีย์กลางภาค'!$B$5:$DA$49,80,FALSE)="","",VLOOKUP($B48,'4.คีย์กลางภาค'!$B$5:$DA$49,80,FALSE)))</f>
        <v/>
      </c>
      <c r="AA48" s="337" t="str">
        <f>IF($B48="","",IF(VLOOKUP($B48,'4.คีย์กลางภาค'!$B$5:$DA$49,84,FALSE)="","",VLOOKUP($B48,'4.คีย์กลางภาค'!$B$5:$DA$49,84,FALSE)))</f>
        <v/>
      </c>
      <c r="AB48" s="337" t="str">
        <f>IF($B48="","",IF(VLOOKUP($B48,'4.คีย์กลางภาค'!$B$5:$DA$49,88,FALSE)="","",VLOOKUP($B48,'4.คีย์กลางภาค'!$B$5:$DA$49,88,FALSE)))</f>
        <v/>
      </c>
      <c r="AC48" s="337" t="str">
        <f>IF($B48="","",IF(VLOOKUP($B48,'4.คีย์กลางภาค'!$B$5:$DA$49,92,FALSE)="","",VLOOKUP($B48,'4.คีย์กลางภาค'!$B$5:$DA$49,92,FALSE)))</f>
        <v/>
      </c>
      <c r="AD48" s="340" t="str">
        <f>IF($B48="","",IF(VLOOKUP($B48,'4.คีย์กลางภาค'!$B$5:$DA$49,96,FALSE)="","",VLOOKUP($B48,'4.คีย์กลางภาค'!$B$5:$DA$49,96,FALSE)))</f>
        <v/>
      </c>
      <c r="AE48" s="338" t="str">
        <f>IF($B48="","",IF(VLOOKUP($B48,'4.คีย์กลางภาค'!$B$5:$DA$49,100,FALSE)="","",VLOOKUP($B48,'4.คีย์กลางภาค'!$B$5:$DA$49,100,FALSE)))</f>
        <v/>
      </c>
      <c r="AF48" s="485" t="str">
        <f>IF($B48="","",IF(VLOOKUP($B48,'4.คีย์กลางภาค'!$B$5:$DA$49,104,FALSE)="","",VLOOKUP($B48,'4.คีย์กลางภาค'!$B$5:$DA$49,104,FALSE)))</f>
        <v/>
      </c>
      <c r="AG48" s="540" t="str">
        <f>IF($B48="","",IF(VLOOKUP($B48,'4.คีย์กลางภาค'!$B$5:$DD$49,105,FALSE)="","",VLOOKUP($B48,'4.คีย์กลางภาค'!$B$5:$DD$49,105,FALSE)))</f>
        <v/>
      </c>
      <c r="AH48" s="536" t="str">
        <f>IF($B48="","",IF(VLOOKUP($B48,'4.คีย์กลางภาค'!$B$5:$DD$49,106,FALSE)="","",VLOOKUP($B48,'4.คีย์กลางภาค'!$B$5:$DD$49,106,FALSE)))</f>
        <v/>
      </c>
      <c r="AI48" s="27" t="str">
        <f t="shared" si="14"/>
        <v/>
      </c>
      <c r="AJ48" s="330" t="str">
        <f t="shared" si="20"/>
        <v xml:space="preserve">           </v>
      </c>
      <c r="AL48" s="342" t="str">
        <f t="shared" si="15"/>
        <v/>
      </c>
      <c r="AM48" s="343" t="str">
        <f t="shared" si="16"/>
        <v/>
      </c>
      <c r="AN48" s="343" t="str">
        <f t="shared" si="17"/>
        <v/>
      </c>
      <c r="AO48" s="344" t="str">
        <f t="shared" si="18"/>
        <v/>
      </c>
      <c r="AP48" s="345" t="str">
        <f t="shared" si="19"/>
        <v/>
      </c>
    </row>
    <row r="49" spans="1:42" s="29" customFormat="1" ht="16.5" customHeight="1" x14ac:dyDescent="0.25">
      <c r="A49" s="335">
        <v>42</v>
      </c>
      <c r="B49" s="20" t="str">
        <f>IF(IDstu42="","",IDstu42)</f>
        <v/>
      </c>
      <c r="C49" s="504" t="str">
        <f>IF(Name42="","",Name42)</f>
        <v/>
      </c>
      <c r="D49" s="505" t="str">
        <f>IF(Surname42="","",Surname42)</f>
        <v/>
      </c>
      <c r="E49" s="336" t="str">
        <f>IF($B49="","",IF(VLOOKUP($B49,'4.คีย์กลางภาค'!$B$5:$DA$49,8,FALSE)="","",VLOOKUP($B49,'4.คีย์กลางภาค'!$B$5:$DA$49,8,FALSE)))</f>
        <v/>
      </c>
      <c r="F49" s="337" t="str">
        <f>IF($B49="","",IF(VLOOKUP($B49,'4.คีย์กลางภาค'!$B$5:$DA$49,12,FALSE)="","",VLOOKUP($B49,'4.คีย์กลางภาค'!$B$5:$DA$49,12,FALSE)))</f>
        <v/>
      </c>
      <c r="G49" s="337" t="str">
        <f>IF($B49="","",IF(VLOOKUP($B49,'4.คีย์กลางภาค'!$B$5:$DA$49,16,FALSE)="","",VLOOKUP($B49,'4.คีย์กลางภาค'!$B$5:$DA$49,16,FALSE)))</f>
        <v/>
      </c>
      <c r="H49" s="338" t="str">
        <f>IF($B49="","",IF(VLOOKUP($B49,'4.คีย์กลางภาค'!$B$5:$DA$49,20,FALSE)="","",VLOOKUP($B49,'4.คีย์กลางภาค'!$B$5:$DA$49,20,FALSE)))</f>
        <v/>
      </c>
      <c r="I49" s="337" t="str">
        <f>IF($B49="","",IF(VLOOKUP($B49,'4.คีย์กลางภาค'!$B$5:$DA$49,24,FALSE)="","",VLOOKUP($B49,'4.คีย์กลางภาค'!$B$5:$DA$49,24,FALSE)))</f>
        <v/>
      </c>
      <c r="J49" s="337" t="str">
        <f>IF($B49="","",IF(VLOOKUP($B49,'4.คีย์กลางภาค'!$B$5:$DA$49,28,FALSE)="","",VLOOKUP($B49,'4.คีย์กลางภาค'!$B$5:$DA$49,28,FALSE)))</f>
        <v/>
      </c>
      <c r="K49" s="337" t="str">
        <f>IF($B49="","",IF(VLOOKUP($B49,'4.คีย์กลางภาค'!$B$5:$DA$49,32,FALSE)="","",VLOOKUP($B49,'4.คีย์กลางภาค'!$B$5:$DA$49,32,FALSE)))</f>
        <v/>
      </c>
      <c r="L49" s="337" t="str">
        <f>IF($B49="","",IF(VLOOKUP($B49,'4.คีย์กลางภาค'!$B$5:$DA$49,36,FALSE)="","",VLOOKUP($B49,'4.คีย์กลางภาค'!$B$5:$DA$49,36,FALSE)))</f>
        <v/>
      </c>
      <c r="M49" s="338" t="str">
        <f>IF($B49="","",IF(VLOOKUP($B49,'4.คีย์กลางภาค'!$B$5:$DA$49,40,FALSE)="","",VLOOKUP($B49,'4.คีย์กลางภาค'!$B$5:$DA$49,40,FALSE)))</f>
        <v/>
      </c>
      <c r="N49" s="338" t="str">
        <f>IF($B49="","",IF(VLOOKUP($B49,'4.คีย์กลางภาค'!$B$5:$DA$49,44,FALSE)="","",VLOOKUP($B49,'4.คีย์กลางภาค'!$B$5:$DA$49,44,FALSE)))</f>
        <v/>
      </c>
      <c r="O49" s="338" t="str">
        <f>IF($B49="","",IF(VLOOKUP($B49,'4.คีย์กลางภาค'!$B$5:$DA$49,48,FALSE)="","",VLOOKUP($B49,'4.คีย์กลางภาค'!$B$5:$DA$49,48,FALSE)))</f>
        <v/>
      </c>
      <c r="P49" s="339" t="str">
        <f>IF($B49="","",IF(VLOOKUP($B49,'4.คีย์กลางภาค'!$B$5:$DA$49,52,FALSE)="","",VLOOKUP($B49,'4.คีย์กลางภาค'!$B$5:$DA$49,52,FALSE)))</f>
        <v/>
      </c>
      <c r="Q49" s="335">
        <v>42</v>
      </c>
      <c r="R49" s="504" t="str">
        <f>IF(Name42="","",Name42)</f>
        <v/>
      </c>
      <c r="S49" s="505" t="str">
        <f>IF(Surname42="","",Surname42)</f>
        <v/>
      </c>
      <c r="T49" s="336" t="str">
        <f>IF($B49="","",IF(VLOOKUP($B49,'4.คีย์กลางภาค'!$B$5:$DA$49,56,FALSE)="","",VLOOKUP($B49,'4.คีย์กลางภาค'!$B$5:$DA$49,56,FALSE)))</f>
        <v/>
      </c>
      <c r="U49" s="337" t="str">
        <f>IF($B49="","",IF(VLOOKUP($B49,'4.คีย์กลางภาค'!$B$5:$DA$49,60,FALSE)="","",VLOOKUP($B49,'4.คีย์กลางภาค'!$B$5:$DA$49,60,FALSE)))</f>
        <v/>
      </c>
      <c r="V49" s="337" t="str">
        <f>IF($B49="","",IF(VLOOKUP($B49,'4.คีย์กลางภาค'!$B$5:$DA$49,64,FALSE)="","",VLOOKUP($B49,'4.คีย์กลางภาค'!$B$5:$DA$49,64,FALSE)))</f>
        <v/>
      </c>
      <c r="W49" s="337" t="str">
        <f>IF($B49="","",IF(VLOOKUP($B49,'4.คีย์กลางภาค'!$B$5:$DA$49,68,FALSE)="","",VLOOKUP($B49,'4.คีย์กลางภาค'!$B$5:$DA$49,68,FALSE)))</f>
        <v/>
      </c>
      <c r="X49" s="338" t="str">
        <f>IF($B49="","",IF(VLOOKUP($B49,'4.คีย์กลางภาค'!$B$5:$DA$49,72,FALSE)="","",VLOOKUP($B49,'4.คีย์กลางภาค'!$B$5:$DA$49,72,FALSE)))</f>
        <v/>
      </c>
      <c r="Y49" s="338" t="str">
        <f>IF($B49="","",IF(VLOOKUP($B49,'4.คีย์กลางภาค'!$B$5:$DA$49,76,FALSE)="","",VLOOKUP($B49,'4.คีย์กลางภาค'!$B$5:$DA$49,76,FALSE)))</f>
        <v/>
      </c>
      <c r="Z49" s="337" t="str">
        <f>IF($B49="","",IF(VLOOKUP($B49,'4.คีย์กลางภาค'!$B$5:$DA$49,80,FALSE)="","",VLOOKUP($B49,'4.คีย์กลางภาค'!$B$5:$DA$49,80,FALSE)))</f>
        <v/>
      </c>
      <c r="AA49" s="337" t="str">
        <f>IF($B49="","",IF(VLOOKUP($B49,'4.คีย์กลางภาค'!$B$5:$DA$49,84,FALSE)="","",VLOOKUP($B49,'4.คีย์กลางภาค'!$B$5:$DA$49,84,FALSE)))</f>
        <v/>
      </c>
      <c r="AB49" s="337" t="str">
        <f>IF($B49="","",IF(VLOOKUP($B49,'4.คีย์กลางภาค'!$B$5:$DA$49,88,FALSE)="","",VLOOKUP($B49,'4.คีย์กลางภาค'!$B$5:$DA$49,88,FALSE)))</f>
        <v/>
      </c>
      <c r="AC49" s="337" t="str">
        <f>IF($B49="","",IF(VLOOKUP($B49,'4.คีย์กลางภาค'!$B$5:$DA$49,92,FALSE)="","",VLOOKUP($B49,'4.คีย์กลางภาค'!$B$5:$DA$49,92,FALSE)))</f>
        <v/>
      </c>
      <c r="AD49" s="340" t="str">
        <f>IF($B49="","",IF(VLOOKUP($B49,'4.คีย์กลางภาค'!$B$5:$DA$49,96,FALSE)="","",VLOOKUP($B49,'4.คีย์กลางภาค'!$B$5:$DA$49,96,FALSE)))</f>
        <v/>
      </c>
      <c r="AE49" s="338" t="str">
        <f>IF($B49="","",IF(VLOOKUP($B49,'4.คีย์กลางภาค'!$B$5:$DA$49,100,FALSE)="","",VLOOKUP($B49,'4.คีย์กลางภาค'!$B$5:$DA$49,100,FALSE)))</f>
        <v/>
      </c>
      <c r="AF49" s="485" t="str">
        <f>IF($B49="","",IF(VLOOKUP($B49,'4.คีย์กลางภาค'!$B$5:$DA$49,104,FALSE)="","",VLOOKUP($B49,'4.คีย์กลางภาค'!$B$5:$DA$49,104,FALSE)))</f>
        <v/>
      </c>
      <c r="AG49" s="540" t="str">
        <f>IF($B49="","",IF(VLOOKUP($B49,'4.คีย์กลางภาค'!$B$5:$DD$49,105,FALSE)="","",VLOOKUP($B49,'4.คีย์กลางภาค'!$B$5:$DD$49,105,FALSE)))</f>
        <v/>
      </c>
      <c r="AH49" s="536" t="str">
        <f>IF($B49="","",IF(VLOOKUP($B49,'4.คีย์กลางภาค'!$B$5:$DD$49,106,FALSE)="","",VLOOKUP($B49,'4.คีย์กลางภาค'!$B$5:$DD$49,106,FALSE)))</f>
        <v/>
      </c>
      <c r="AI49" s="27" t="str">
        <f t="shared" si="14"/>
        <v/>
      </c>
      <c r="AJ49" s="330" t="str">
        <f t="shared" si="20"/>
        <v xml:space="preserve">           </v>
      </c>
      <c r="AL49" s="342" t="str">
        <f t="shared" si="15"/>
        <v/>
      </c>
      <c r="AM49" s="343" t="str">
        <f t="shared" si="16"/>
        <v/>
      </c>
      <c r="AN49" s="343" t="str">
        <f t="shared" si="17"/>
        <v/>
      </c>
      <c r="AO49" s="344" t="str">
        <f t="shared" si="18"/>
        <v/>
      </c>
      <c r="AP49" s="345" t="str">
        <f t="shared" si="19"/>
        <v/>
      </c>
    </row>
    <row r="50" spans="1:42" s="29" customFormat="1" ht="16.5" customHeight="1" x14ac:dyDescent="0.25">
      <c r="A50" s="335">
        <v>43</v>
      </c>
      <c r="B50" s="20" t="str">
        <f>IF(IDstu43="","",IDstu43)</f>
        <v/>
      </c>
      <c r="C50" s="504" t="str">
        <f>IF(Name43="","",Name43)</f>
        <v/>
      </c>
      <c r="D50" s="505" t="str">
        <f>IF(Surname43="","",Surname43)</f>
        <v/>
      </c>
      <c r="E50" s="336" t="str">
        <f>IF($B50="","",IF(VLOOKUP($B50,'4.คีย์กลางภาค'!$B$5:$DA$49,8,FALSE)="","",VLOOKUP($B50,'4.คีย์กลางภาค'!$B$5:$DA$49,8,FALSE)))</f>
        <v/>
      </c>
      <c r="F50" s="337" t="str">
        <f>IF($B50="","",IF(VLOOKUP($B50,'4.คีย์กลางภาค'!$B$5:$DA$49,12,FALSE)="","",VLOOKUP($B50,'4.คีย์กลางภาค'!$B$5:$DA$49,12,FALSE)))</f>
        <v/>
      </c>
      <c r="G50" s="337" t="str">
        <f>IF($B50="","",IF(VLOOKUP($B50,'4.คีย์กลางภาค'!$B$5:$DA$49,16,FALSE)="","",VLOOKUP($B50,'4.คีย์กลางภาค'!$B$5:$DA$49,16,FALSE)))</f>
        <v/>
      </c>
      <c r="H50" s="338" t="str">
        <f>IF($B50="","",IF(VLOOKUP($B50,'4.คีย์กลางภาค'!$B$5:$DA$49,20,FALSE)="","",VLOOKUP($B50,'4.คีย์กลางภาค'!$B$5:$DA$49,20,FALSE)))</f>
        <v/>
      </c>
      <c r="I50" s="337" t="str">
        <f>IF($B50="","",IF(VLOOKUP($B50,'4.คีย์กลางภาค'!$B$5:$DA$49,24,FALSE)="","",VLOOKUP($B50,'4.คีย์กลางภาค'!$B$5:$DA$49,24,FALSE)))</f>
        <v/>
      </c>
      <c r="J50" s="337" t="str">
        <f>IF($B50="","",IF(VLOOKUP($B50,'4.คีย์กลางภาค'!$B$5:$DA$49,28,FALSE)="","",VLOOKUP($B50,'4.คีย์กลางภาค'!$B$5:$DA$49,28,FALSE)))</f>
        <v/>
      </c>
      <c r="K50" s="337" t="str">
        <f>IF($B50="","",IF(VLOOKUP($B50,'4.คีย์กลางภาค'!$B$5:$DA$49,32,FALSE)="","",VLOOKUP($B50,'4.คีย์กลางภาค'!$B$5:$DA$49,32,FALSE)))</f>
        <v/>
      </c>
      <c r="L50" s="337" t="str">
        <f>IF($B50="","",IF(VLOOKUP($B50,'4.คีย์กลางภาค'!$B$5:$DA$49,36,FALSE)="","",VLOOKUP($B50,'4.คีย์กลางภาค'!$B$5:$DA$49,36,FALSE)))</f>
        <v/>
      </c>
      <c r="M50" s="338" t="str">
        <f>IF($B50="","",IF(VLOOKUP($B50,'4.คีย์กลางภาค'!$B$5:$DA$49,40,FALSE)="","",VLOOKUP($B50,'4.คีย์กลางภาค'!$B$5:$DA$49,40,FALSE)))</f>
        <v/>
      </c>
      <c r="N50" s="338" t="str">
        <f>IF($B50="","",IF(VLOOKUP($B50,'4.คีย์กลางภาค'!$B$5:$DA$49,44,FALSE)="","",VLOOKUP($B50,'4.คีย์กลางภาค'!$B$5:$DA$49,44,FALSE)))</f>
        <v/>
      </c>
      <c r="O50" s="338" t="str">
        <f>IF($B50="","",IF(VLOOKUP($B50,'4.คีย์กลางภาค'!$B$5:$DA$49,48,FALSE)="","",VLOOKUP($B50,'4.คีย์กลางภาค'!$B$5:$DA$49,48,FALSE)))</f>
        <v/>
      </c>
      <c r="P50" s="339" t="str">
        <f>IF($B50="","",IF(VLOOKUP($B50,'4.คีย์กลางภาค'!$B$5:$DA$49,52,FALSE)="","",VLOOKUP($B50,'4.คีย์กลางภาค'!$B$5:$DA$49,52,FALSE)))</f>
        <v/>
      </c>
      <c r="Q50" s="335">
        <v>43</v>
      </c>
      <c r="R50" s="504" t="str">
        <f>IF(Name43="","",Name43)</f>
        <v/>
      </c>
      <c r="S50" s="505" t="str">
        <f>IF(Surname43="","",Surname43)</f>
        <v/>
      </c>
      <c r="T50" s="336" t="str">
        <f>IF($B50="","",IF(VLOOKUP($B50,'4.คีย์กลางภาค'!$B$5:$DA$49,56,FALSE)="","",VLOOKUP($B50,'4.คีย์กลางภาค'!$B$5:$DA$49,56,FALSE)))</f>
        <v/>
      </c>
      <c r="U50" s="337" t="str">
        <f>IF($B50="","",IF(VLOOKUP($B50,'4.คีย์กลางภาค'!$B$5:$DA$49,60,FALSE)="","",VLOOKUP($B50,'4.คีย์กลางภาค'!$B$5:$DA$49,60,FALSE)))</f>
        <v/>
      </c>
      <c r="V50" s="337" t="str">
        <f>IF($B50="","",IF(VLOOKUP($B50,'4.คีย์กลางภาค'!$B$5:$DA$49,64,FALSE)="","",VLOOKUP($B50,'4.คีย์กลางภาค'!$B$5:$DA$49,64,FALSE)))</f>
        <v/>
      </c>
      <c r="W50" s="337" t="str">
        <f>IF($B50="","",IF(VLOOKUP($B50,'4.คีย์กลางภาค'!$B$5:$DA$49,68,FALSE)="","",VLOOKUP($B50,'4.คีย์กลางภาค'!$B$5:$DA$49,68,FALSE)))</f>
        <v/>
      </c>
      <c r="X50" s="338" t="str">
        <f>IF($B50="","",IF(VLOOKUP($B50,'4.คีย์กลางภาค'!$B$5:$DA$49,72,FALSE)="","",VLOOKUP($B50,'4.คีย์กลางภาค'!$B$5:$DA$49,72,FALSE)))</f>
        <v/>
      </c>
      <c r="Y50" s="338" t="str">
        <f>IF($B50="","",IF(VLOOKUP($B50,'4.คีย์กลางภาค'!$B$5:$DA$49,76,FALSE)="","",VLOOKUP($B50,'4.คีย์กลางภาค'!$B$5:$DA$49,76,FALSE)))</f>
        <v/>
      </c>
      <c r="Z50" s="337" t="str">
        <f>IF($B50="","",IF(VLOOKUP($B50,'4.คีย์กลางภาค'!$B$5:$DA$49,80,FALSE)="","",VLOOKUP($B50,'4.คีย์กลางภาค'!$B$5:$DA$49,80,FALSE)))</f>
        <v/>
      </c>
      <c r="AA50" s="337" t="str">
        <f>IF($B50="","",IF(VLOOKUP($B50,'4.คีย์กลางภาค'!$B$5:$DA$49,84,FALSE)="","",VLOOKUP($B50,'4.คีย์กลางภาค'!$B$5:$DA$49,84,FALSE)))</f>
        <v/>
      </c>
      <c r="AB50" s="337" t="str">
        <f>IF($B50="","",IF(VLOOKUP($B50,'4.คีย์กลางภาค'!$B$5:$DA$49,88,FALSE)="","",VLOOKUP($B50,'4.คีย์กลางภาค'!$B$5:$DA$49,88,FALSE)))</f>
        <v/>
      </c>
      <c r="AC50" s="337" t="str">
        <f>IF($B50="","",IF(VLOOKUP($B50,'4.คีย์กลางภาค'!$B$5:$DA$49,92,FALSE)="","",VLOOKUP($B50,'4.คีย์กลางภาค'!$B$5:$DA$49,92,FALSE)))</f>
        <v/>
      </c>
      <c r="AD50" s="340" t="str">
        <f>IF($B50="","",IF(VLOOKUP($B50,'4.คีย์กลางภาค'!$B$5:$DA$49,96,FALSE)="","",VLOOKUP($B50,'4.คีย์กลางภาค'!$B$5:$DA$49,96,FALSE)))</f>
        <v/>
      </c>
      <c r="AE50" s="338" t="str">
        <f>IF($B50="","",IF(VLOOKUP($B50,'4.คีย์กลางภาค'!$B$5:$DA$49,100,FALSE)="","",VLOOKUP($B50,'4.คีย์กลางภาค'!$B$5:$DA$49,100,FALSE)))</f>
        <v/>
      </c>
      <c r="AF50" s="485" t="str">
        <f>IF($B50="","",IF(VLOOKUP($B50,'4.คีย์กลางภาค'!$B$5:$DA$49,104,FALSE)="","",VLOOKUP($B50,'4.คีย์กลางภาค'!$B$5:$DA$49,104,FALSE)))</f>
        <v/>
      </c>
      <c r="AG50" s="540" t="str">
        <f>IF($B50="","",IF(VLOOKUP($B50,'4.คีย์กลางภาค'!$B$5:$DD$49,105,FALSE)="","",VLOOKUP($B50,'4.คีย์กลางภาค'!$B$5:$DD$49,105,FALSE)))</f>
        <v/>
      </c>
      <c r="AH50" s="536" t="str">
        <f>IF($B50="","",IF(VLOOKUP($B50,'4.คีย์กลางภาค'!$B$5:$DD$49,106,FALSE)="","",VLOOKUP($B50,'4.คีย์กลางภาค'!$B$5:$DD$49,106,FALSE)))</f>
        <v/>
      </c>
      <c r="AI50" s="27" t="str">
        <f t="shared" si="14"/>
        <v/>
      </c>
      <c r="AJ50" s="330" t="str">
        <f t="shared" si="20"/>
        <v xml:space="preserve">           </v>
      </c>
      <c r="AL50" s="342" t="str">
        <f t="shared" si="15"/>
        <v/>
      </c>
      <c r="AM50" s="343" t="str">
        <f t="shared" si="16"/>
        <v/>
      </c>
      <c r="AN50" s="343" t="str">
        <f t="shared" si="17"/>
        <v/>
      </c>
      <c r="AO50" s="344" t="str">
        <f t="shared" si="18"/>
        <v/>
      </c>
      <c r="AP50" s="345" t="str">
        <f t="shared" si="19"/>
        <v/>
      </c>
    </row>
    <row r="51" spans="1:42" s="29" customFormat="1" ht="16.5" customHeight="1" x14ac:dyDescent="0.25">
      <c r="A51" s="335">
        <v>44</v>
      </c>
      <c r="B51" s="20" t="str">
        <f>IF(IDstu44="","",IDstu44)</f>
        <v/>
      </c>
      <c r="C51" s="504" t="str">
        <f>IF(Name44="","",Name44)</f>
        <v/>
      </c>
      <c r="D51" s="505" t="str">
        <f>IF(Surname44="","",Surname44)</f>
        <v/>
      </c>
      <c r="E51" s="336" t="str">
        <f>IF($B51="","",IF(VLOOKUP($B51,'4.คีย์กลางภาค'!$B$5:$DA$49,8,FALSE)="","",VLOOKUP($B51,'4.คีย์กลางภาค'!$B$5:$DA$49,8,FALSE)))</f>
        <v/>
      </c>
      <c r="F51" s="337" t="str">
        <f>IF($B51="","",IF(VLOOKUP($B51,'4.คีย์กลางภาค'!$B$5:$DA$49,12,FALSE)="","",VLOOKUP($B51,'4.คีย์กลางภาค'!$B$5:$DA$49,12,FALSE)))</f>
        <v/>
      </c>
      <c r="G51" s="337" t="str">
        <f>IF($B51="","",IF(VLOOKUP($B51,'4.คีย์กลางภาค'!$B$5:$DA$49,16,FALSE)="","",VLOOKUP($B51,'4.คีย์กลางภาค'!$B$5:$DA$49,16,FALSE)))</f>
        <v/>
      </c>
      <c r="H51" s="338" t="str">
        <f>IF($B51="","",IF(VLOOKUP($B51,'4.คีย์กลางภาค'!$B$5:$DA$49,20,FALSE)="","",VLOOKUP($B51,'4.คีย์กลางภาค'!$B$5:$DA$49,20,FALSE)))</f>
        <v/>
      </c>
      <c r="I51" s="337" t="str">
        <f>IF($B51="","",IF(VLOOKUP($B51,'4.คีย์กลางภาค'!$B$5:$DA$49,24,FALSE)="","",VLOOKUP($B51,'4.คีย์กลางภาค'!$B$5:$DA$49,24,FALSE)))</f>
        <v/>
      </c>
      <c r="J51" s="337" t="str">
        <f>IF($B51="","",IF(VLOOKUP($B51,'4.คีย์กลางภาค'!$B$5:$DA$49,28,FALSE)="","",VLOOKUP($B51,'4.คีย์กลางภาค'!$B$5:$DA$49,28,FALSE)))</f>
        <v/>
      </c>
      <c r="K51" s="337" t="str">
        <f>IF($B51="","",IF(VLOOKUP($B51,'4.คีย์กลางภาค'!$B$5:$DA$49,32,FALSE)="","",VLOOKUP($B51,'4.คีย์กลางภาค'!$B$5:$DA$49,32,FALSE)))</f>
        <v/>
      </c>
      <c r="L51" s="337" t="str">
        <f>IF($B51="","",IF(VLOOKUP($B51,'4.คีย์กลางภาค'!$B$5:$DA$49,36,FALSE)="","",VLOOKUP($B51,'4.คีย์กลางภาค'!$B$5:$DA$49,36,FALSE)))</f>
        <v/>
      </c>
      <c r="M51" s="338" t="str">
        <f>IF($B51="","",IF(VLOOKUP($B51,'4.คีย์กลางภาค'!$B$5:$DA$49,40,FALSE)="","",VLOOKUP($B51,'4.คีย์กลางภาค'!$B$5:$DA$49,40,FALSE)))</f>
        <v/>
      </c>
      <c r="N51" s="338" t="str">
        <f>IF($B51="","",IF(VLOOKUP($B51,'4.คีย์กลางภาค'!$B$5:$DA$49,44,FALSE)="","",VLOOKUP($B51,'4.คีย์กลางภาค'!$B$5:$DA$49,44,FALSE)))</f>
        <v/>
      </c>
      <c r="O51" s="338" t="str">
        <f>IF($B51="","",IF(VLOOKUP($B51,'4.คีย์กลางภาค'!$B$5:$DA$49,48,FALSE)="","",VLOOKUP($B51,'4.คีย์กลางภาค'!$B$5:$DA$49,48,FALSE)))</f>
        <v/>
      </c>
      <c r="P51" s="339" t="str">
        <f>IF($B51="","",IF(VLOOKUP($B51,'4.คีย์กลางภาค'!$B$5:$DA$49,52,FALSE)="","",VLOOKUP($B51,'4.คีย์กลางภาค'!$B$5:$DA$49,52,FALSE)))</f>
        <v/>
      </c>
      <c r="Q51" s="335">
        <v>44</v>
      </c>
      <c r="R51" s="504" t="str">
        <f>IF(Name44="","",Name44)</f>
        <v/>
      </c>
      <c r="S51" s="505" t="str">
        <f>IF(Surname44="","",Surname44)</f>
        <v/>
      </c>
      <c r="T51" s="336" t="str">
        <f>IF($B51="","",IF(VLOOKUP($B51,'4.คีย์กลางภาค'!$B$5:$DA$49,56,FALSE)="","",VLOOKUP($B51,'4.คีย์กลางภาค'!$B$5:$DA$49,56,FALSE)))</f>
        <v/>
      </c>
      <c r="U51" s="337" t="str">
        <f>IF($B51="","",IF(VLOOKUP($B51,'4.คีย์กลางภาค'!$B$5:$DA$49,60,FALSE)="","",VLOOKUP($B51,'4.คีย์กลางภาค'!$B$5:$DA$49,60,FALSE)))</f>
        <v/>
      </c>
      <c r="V51" s="337" t="str">
        <f>IF($B51="","",IF(VLOOKUP($B51,'4.คีย์กลางภาค'!$B$5:$DA$49,64,FALSE)="","",VLOOKUP($B51,'4.คีย์กลางภาค'!$B$5:$DA$49,64,FALSE)))</f>
        <v/>
      </c>
      <c r="W51" s="337" t="str">
        <f>IF($B51="","",IF(VLOOKUP($B51,'4.คีย์กลางภาค'!$B$5:$DA$49,68,FALSE)="","",VLOOKUP($B51,'4.คีย์กลางภาค'!$B$5:$DA$49,68,FALSE)))</f>
        <v/>
      </c>
      <c r="X51" s="338" t="str">
        <f>IF($B51="","",IF(VLOOKUP($B51,'4.คีย์กลางภาค'!$B$5:$DA$49,72,FALSE)="","",VLOOKUP($B51,'4.คีย์กลางภาค'!$B$5:$DA$49,72,FALSE)))</f>
        <v/>
      </c>
      <c r="Y51" s="338" t="str">
        <f>IF($B51="","",IF(VLOOKUP($B51,'4.คีย์กลางภาค'!$B$5:$DA$49,76,FALSE)="","",VLOOKUP($B51,'4.คีย์กลางภาค'!$B$5:$DA$49,76,FALSE)))</f>
        <v/>
      </c>
      <c r="Z51" s="337" t="str">
        <f>IF($B51="","",IF(VLOOKUP($B51,'4.คีย์กลางภาค'!$B$5:$DA$49,80,FALSE)="","",VLOOKUP($B51,'4.คีย์กลางภาค'!$B$5:$DA$49,80,FALSE)))</f>
        <v/>
      </c>
      <c r="AA51" s="337" t="str">
        <f>IF($B51="","",IF(VLOOKUP($B51,'4.คีย์กลางภาค'!$B$5:$DA$49,84,FALSE)="","",VLOOKUP($B51,'4.คีย์กลางภาค'!$B$5:$DA$49,84,FALSE)))</f>
        <v/>
      </c>
      <c r="AB51" s="337" t="str">
        <f>IF($B51="","",IF(VLOOKUP($B51,'4.คีย์กลางภาค'!$B$5:$DA$49,88,FALSE)="","",VLOOKUP($B51,'4.คีย์กลางภาค'!$B$5:$DA$49,88,FALSE)))</f>
        <v/>
      </c>
      <c r="AC51" s="337" t="str">
        <f>IF($B51="","",IF(VLOOKUP($B51,'4.คีย์กลางภาค'!$B$5:$DA$49,92,FALSE)="","",VLOOKUP($B51,'4.คีย์กลางภาค'!$B$5:$DA$49,92,FALSE)))</f>
        <v/>
      </c>
      <c r="AD51" s="340" t="str">
        <f>IF($B51="","",IF(VLOOKUP($B51,'4.คีย์กลางภาค'!$B$5:$DA$49,96,FALSE)="","",VLOOKUP($B51,'4.คีย์กลางภาค'!$B$5:$DA$49,96,FALSE)))</f>
        <v/>
      </c>
      <c r="AE51" s="338" t="str">
        <f>IF($B51="","",IF(VLOOKUP($B51,'4.คีย์กลางภาค'!$B$5:$DA$49,100,FALSE)="","",VLOOKUP($B51,'4.คีย์กลางภาค'!$B$5:$DA$49,100,FALSE)))</f>
        <v/>
      </c>
      <c r="AF51" s="485" t="str">
        <f>IF($B51="","",IF(VLOOKUP($B51,'4.คีย์กลางภาค'!$B$5:$DA$49,104,FALSE)="","",VLOOKUP($B51,'4.คีย์กลางภาค'!$B$5:$DA$49,104,FALSE)))</f>
        <v/>
      </c>
      <c r="AG51" s="540" t="str">
        <f>IF($B51="","",IF(VLOOKUP($B51,'4.คีย์กลางภาค'!$B$5:$DD$49,105,FALSE)="","",VLOOKUP($B51,'4.คีย์กลางภาค'!$B$5:$DD$49,105,FALSE)))</f>
        <v/>
      </c>
      <c r="AH51" s="536" t="str">
        <f>IF($B51="","",IF(VLOOKUP($B51,'4.คีย์กลางภาค'!$B$5:$DD$49,106,FALSE)="","",VLOOKUP($B51,'4.คีย์กลางภาค'!$B$5:$DD$49,106,FALSE)))</f>
        <v/>
      </c>
      <c r="AI51" s="27" t="str">
        <f t="shared" si="14"/>
        <v/>
      </c>
      <c r="AJ51" s="330" t="str">
        <f t="shared" si="20"/>
        <v xml:space="preserve">           </v>
      </c>
      <c r="AL51" s="342" t="str">
        <f t="shared" si="15"/>
        <v/>
      </c>
      <c r="AM51" s="343" t="str">
        <f t="shared" si="16"/>
        <v/>
      </c>
      <c r="AN51" s="343" t="str">
        <f t="shared" si="17"/>
        <v/>
      </c>
      <c r="AO51" s="344" t="str">
        <f t="shared" si="18"/>
        <v/>
      </c>
      <c r="AP51" s="345" t="str">
        <f t="shared" si="19"/>
        <v/>
      </c>
    </row>
    <row r="52" spans="1:42" s="29" customFormat="1" ht="16.5" customHeight="1" thickBot="1" x14ac:dyDescent="0.3">
      <c r="A52" s="348">
        <v>45</v>
      </c>
      <c r="B52" s="133" t="str">
        <f>IF(IDstu45="","",IDstu45)</f>
        <v/>
      </c>
      <c r="C52" s="506" t="str">
        <f>IF(Name45="","",Name45)</f>
        <v/>
      </c>
      <c r="D52" s="507" t="str">
        <f>IF(Surname45="","",Surname45)</f>
        <v/>
      </c>
      <c r="E52" s="349" t="str">
        <f>IF($B52="","",IF(VLOOKUP($B52,'4.คีย์กลางภาค'!$B$5:$DA$49,8,FALSE)="","",VLOOKUP($B52,'4.คีย์กลางภาค'!$B$5:$DA$49,8,FALSE)))</f>
        <v/>
      </c>
      <c r="F52" s="350" t="str">
        <f>IF($B52="","",IF(VLOOKUP($B52,'4.คีย์กลางภาค'!$B$5:$DA$49,12,FALSE)="","",VLOOKUP($B52,'4.คีย์กลางภาค'!$B$5:$DA$49,12,FALSE)))</f>
        <v/>
      </c>
      <c r="G52" s="350" t="str">
        <f>IF($B52="","",IF(VLOOKUP($B52,'4.คีย์กลางภาค'!$B$5:$DA$49,16,FALSE)="","",VLOOKUP($B52,'4.คีย์กลางภาค'!$B$5:$DA$49,16,FALSE)))</f>
        <v/>
      </c>
      <c r="H52" s="351" t="str">
        <f>IF($B52="","",IF(VLOOKUP($B52,'4.คีย์กลางภาค'!$B$5:$DA$49,20,FALSE)="","",VLOOKUP($B52,'4.คีย์กลางภาค'!$B$5:$DA$49,20,FALSE)))</f>
        <v/>
      </c>
      <c r="I52" s="350" t="str">
        <f>IF($B52="","",IF(VLOOKUP($B52,'4.คีย์กลางภาค'!$B$5:$DA$49,24,FALSE)="","",VLOOKUP($B52,'4.คีย์กลางภาค'!$B$5:$DA$49,24,FALSE)))</f>
        <v/>
      </c>
      <c r="J52" s="350" t="str">
        <f>IF($B52="","",IF(VLOOKUP($B52,'4.คีย์กลางภาค'!$B$5:$DA$49,28,FALSE)="","",VLOOKUP($B52,'4.คีย์กลางภาค'!$B$5:$DA$49,28,FALSE)))</f>
        <v/>
      </c>
      <c r="K52" s="350" t="str">
        <f>IF($B52="","",IF(VLOOKUP($B52,'4.คีย์กลางภาค'!$B$5:$DA$49,32,FALSE)="","",VLOOKUP($B52,'4.คีย์กลางภาค'!$B$5:$DA$49,32,FALSE)))</f>
        <v/>
      </c>
      <c r="L52" s="350" t="str">
        <f>IF($B52="","",IF(VLOOKUP($B52,'4.คีย์กลางภาค'!$B$5:$DA$49,36,FALSE)="","",VLOOKUP($B52,'4.คีย์กลางภาค'!$B$5:$DA$49,36,FALSE)))</f>
        <v/>
      </c>
      <c r="M52" s="351" t="str">
        <f>IF($B52="","",IF(VLOOKUP($B52,'4.คีย์กลางภาค'!$B$5:$DA$49,40,FALSE)="","",VLOOKUP($B52,'4.คีย์กลางภาค'!$B$5:$DA$49,40,FALSE)))</f>
        <v/>
      </c>
      <c r="N52" s="351" t="str">
        <f>IF($B52="","",IF(VLOOKUP($B52,'4.คีย์กลางภาค'!$B$5:$DA$49,44,FALSE)="","",VLOOKUP($B52,'4.คีย์กลางภาค'!$B$5:$DA$49,44,FALSE)))</f>
        <v/>
      </c>
      <c r="O52" s="351" t="str">
        <f>IF($B52="","",IF(VLOOKUP($B52,'4.คีย์กลางภาค'!$B$5:$DA$49,48,FALSE)="","",VLOOKUP($B52,'4.คีย์กลางภาค'!$B$5:$DA$49,48,FALSE)))</f>
        <v/>
      </c>
      <c r="P52" s="352" t="str">
        <f>IF($B52="","",IF(VLOOKUP($B52,'4.คีย์กลางภาค'!$B$5:$DA$49,52,FALSE)="","",VLOOKUP($B52,'4.คีย์กลางภาค'!$B$5:$DA$49,52,FALSE)))</f>
        <v/>
      </c>
      <c r="Q52" s="348">
        <v>45</v>
      </c>
      <c r="R52" s="506" t="str">
        <f>IF(Name45="","",Name45)</f>
        <v/>
      </c>
      <c r="S52" s="507" t="str">
        <f>IF(Surname45="","",Surname45)</f>
        <v/>
      </c>
      <c r="T52" s="349" t="str">
        <f>IF($B52="","",IF(VLOOKUP($B52,'4.คีย์กลางภาค'!$B$5:$DA$49,56,FALSE)="","",VLOOKUP($B52,'4.คีย์กลางภาค'!$B$5:$DA$49,56,FALSE)))</f>
        <v/>
      </c>
      <c r="U52" s="350" t="str">
        <f>IF($B52="","",IF(VLOOKUP($B52,'4.คีย์กลางภาค'!$B$5:$DA$49,60,FALSE)="","",VLOOKUP($B52,'4.คีย์กลางภาค'!$B$5:$DA$49,60,FALSE)))</f>
        <v/>
      </c>
      <c r="V52" s="350" t="str">
        <f>IF($B52="","",IF(VLOOKUP($B52,'4.คีย์กลางภาค'!$B$5:$DA$49,64,FALSE)="","",VLOOKUP($B52,'4.คีย์กลางภาค'!$B$5:$DA$49,64,FALSE)))</f>
        <v/>
      </c>
      <c r="W52" s="350" t="str">
        <f>IF($B52="","",IF(VLOOKUP($B52,'4.คีย์กลางภาค'!$B$5:$DA$49,68,FALSE)="","",VLOOKUP($B52,'4.คีย์กลางภาค'!$B$5:$DA$49,68,FALSE)))</f>
        <v/>
      </c>
      <c r="X52" s="351" t="str">
        <f>IF($B52="","",IF(VLOOKUP($B52,'4.คีย์กลางภาค'!$B$5:$DA$49,72,FALSE)="","",VLOOKUP($B52,'4.คีย์กลางภาค'!$B$5:$DA$49,72,FALSE)))</f>
        <v/>
      </c>
      <c r="Y52" s="351" t="str">
        <f>IF($B52="","",IF(VLOOKUP($B52,'4.คีย์กลางภาค'!$B$5:$DA$49,76,FALSE)="","",VLOOKUP($B52,'4.คีย์กลางภาค'!$B$5:$DA$49,76,FALSE)))</f>
        <v/>
      </c>
      <c r="Z52" s="350" t="str">
        <f>IF($B52="","",IF(VLOOKUP($B52,'4.คีย์กลางภาค'!$B$5:$DA$49,80,FALSE)="","",VLOOKUP($B52,'4.คีย์กลางภาค'!$B$5:$DA$49,80,FALSE)))</f>
        <v/>
      </c>
      <c r="AA52" s="350" t="str">
        <f>IF($B52="","",IF(VLOOKUP($B52,'4.คีย์กลางภาค'!$B$5:$DA$49,84,FALSE)="","",VLOOKUP($B52,'4.คีย์กลางภาค'!$B$5:$DA$49,84,FALSE)))</f>
        <v/>
      </c>
      <c r="AB52" s="350" t="str">
        <f>IF($B52="","",IF(VLOOKUP($B52,'4.คีย์กลางภาค'!$B$5:$DA$49,88,FALSE)="","",VLOOKUP($B52,'4.คีย์กลางภาค'!$B$5:$DA$49,88,FALSE)))</f>
        <v/>
      </c>
      <c r="AC52" s="350" t="str">
        <f>IF($B52="","",IF(VLOOKUP($B52,'4.คีย์กลางภาค'!$B$5:$DA$49,92,FALSE)="","",VLOOKUP($B52,'4.คีย์กลางภาค'!$B$5:$DA$49,92,FALSE)))</f>
        <v/>
      </c>
      <c r="AD52" s="353" t="str">
        <f>IF($B52="","",IF(VLOOKUP($B52,'4.คีย์กลางภาค'!$B$5:$DA$49,96,FALSE)="","",VLOOKUP($B52,'4.คีย์กลางภาค'!$B$5:$DA$49,96,FALSE)))</f>
        <v/>
      </c>
      <c r="AE52" s="351" t="str">
        <f>IF($B52="","",IF(VLOOKUP($B52,'4.คีย์กลางภาค'!$B$5:$DA$49,100,FALSE)="","",VLOOKUP($B52,'4.คีย์กลางภาค'!$B$5:$DA$49,100,FALSE)))</f>
        <v/>
      </c>
      <c r="AF52" s="486" t="str">
        <f>IF($B52="","",IF(VLOOKUP($B52,'4.คีย์กลางภาค'!$B$5:$DA$49,104,FALSE)="","",VLOOKUP($B52,'4.คีย์กลางภาค'!$B$5:$DA$49,104,FALSE)))</f>
        <v/>
      </c>
      <c r="AG52" s="541" t="str">
        <f>IF($B52="","",IF(VLOOKUP($B52,'4.คีย์กลางภาค'!$B$5:$DD$49,105,FALSE)="","",VLOOKUP($B52,'4.คีย์กลางภาค'!$B$5:$DD$49,105,FALSE)))</f>
        <v/>
      </c>
      <c r="AH52" s="537" t="str">
        <f>IF($B52="","",IF(VLOOKUP($B52,'4.คีย์กลางภาค'!$B$5:$DD$49,106,FALSE)="","",VLOOKUP($B52,'4.คีย์กลางภาค'!$B$5:$DD$49,106,FALSE)))</f>
        <v/>
      </c>
      <c r="AI52" s="27" t="str">
        <f t="shared" si="14"/>
        <v/>
      </c>
      <c r="AJ52" s="330" t="str">
        <f t="shared" si="20"/>
        <v xml:space="preserve">           </v>
      </c>
      <c r="AL52" s="354" t="str">
        <f t="shared" si="15"/>
        <v/>
      </c>
      <c r="AM52" s="355" t="str">
        <f t="shared" si="16"/>
        <v/>
      </c>
      <c r="AN52" s="355" t="str">
        <f t="shared" si="17"/>
        <v/>
      </c>
      <c r="AO52" s="356" t="str">
        <f t="shared" si="18"/>
        <v/>
      </c>
      <c r="AP52" s="357" t="str">
        <f t="shared" si="19"/>
        <v/>
      </c>
    </row>
    <row r="53" spans="1:42" s="29" customFormat="1" ht="16.5" customHeight="1" x14ac:dyDescent="0.25">
      <c r="A53" s="30"/>
      <c r="B53" s="358"/>
      <c r="C53" s="663" t="s">
        <v>6</v>
      </c>
      <c r="D53" s="664"/>
      <c r="E53" s="359" t="str">
        <f>IF(SUM(E8:E52)=0,"",SUM(E8:E52))</f>
        <v/>
      </c>
      <c r="F53" s="360" t="str">
        <f>IF(SUM(F8:F52)=0,"",SUM(F8:F52))</f>
        <v/>
      </c>
      <c r="G53" s="360" t="str">
        <f t="shared" ref="G53:V53" si="21">IF(SUM(G8:G52)=0,"",SUM(G8:G52))</f>
        <v/>
      </c>
      <c r="H53" s="360" t="str">
        <f t="shared" si="21"/>
        <v/>
      </c>
      <c r="I53" s="360" t="str">
        <f t="shared" si="21"/>
        <v/>
      </c>
      <c r="J53" s="360" t="str">
        <f t="shared" si="21"/>
        <v/>
      </c>
      <c r="K53" s="360" t="str">
        <f t="shared" si="21"/>
        <v/>
      </c>
      <c r="L53" s="360" t="str">
        <f t="shared" si="21"/>
        <v/>
      </c>
      <c r="M53" s="360" t="str">
        <f t="shared" si="21"/>
        <v/>
      </c>
      <c r="N53" s="360" t="str">
        <f t="shared" ref="N53" si="22">IF(SUM(N8:N52)=0,"",SUM(N8:N52))</f>
        <v/>
      </c>
      <c r="O53" s="360" t="str">
        <f t="shared" ref="O53:P53" si="23">IF(SUM(O8:O52)=0,"",SUM(O8:O52))</f>
        <v/>
      </c>
      <c r="P53" s="361" t="str">
        <f t="shared" si="23"/>
        <v/>
      </c>
      <c r="Q53" s="30"/>
      <c r="R53" s="663" t="s">
        <v>6</v>
      </c>
      <c r="S53" s="664"/>
      <c r="T53" s="487" t="str">
        <f t="shared" si="21"/>
        <v/>
      </c>
      <c r="U53" s="488" t="str">
        <f t="shared" si="21"/>
        <v/>
      </c>
      <c r="V53" s="488" t="str">
        <f t="shared" si="21"/>
        <v/>
      </c>
      <c r="W53" s="488" t="str">
        <f t="shared" ref="W53:AD53" si="24">IF(SUM(W8:W52)=0,"",SUM(W8:W52))</f>
        <v/>
      </c>
      <c r="X53" s="488" t="str">
        <f t="shared" si="24"/>
        <v/>
      </c>
      <c r="Y53" s="488" t="str">
        <f t="shared" si="24"/>
        <v/>
      </c>
      <c r="Z53" s="488" t="str">
        <f t="shared" si="24"/>
        <v/>
      </c>
      <c r="AA53" s="488" t="str">
        <f t="shared" si="24"/>
        <v/>
      </c>
      <c r="AB53" s="488" t="str">
        <f t="shared" si="24"/>
        <v/>
      </c>
      <c r="AC53" s="488" t="str">
        <f t="shared" si="24"/>
        <v/>
      </c>
      <c r="AD53" s="488" t="str">
        <f t="shared" si="24"/>
        <v/>
      </c>
      <c r="AE53" s="488" t="str">
        <f>IF(SUM(AE8:AE52)=0,"",SUM(AE8:AE52))</f>
        <v/>
      </c>
      <c r="AF53" s="489" t="str">
        <f>IF(SUM(AF8:AF52)=0,"",SUM(AF8:AF52))</f>
        <v/>
      </c>
      <c r="AG53" s="542" t="str">
        <f>IF(SUM(AG8:AG52)=0,"",SUM(AG8:AG52))</f>
        <v/>
      </c>
      <c r="AH53" s="665"/>
      <c r="AL53" s="362" t="str">
        <f t="shared" ref="AL53:AN53" si="25">IF(SUM(AL8:AL52)=0,"",SUM(AL8:AL52))</f>
        <v/>
      </c>
      <c r="AM53" s="363" t="str">
        <f t="shared" si="25"/>
        <v/>
      </c>
      <c r="AN53" s="363" t="str">
        <f t="shared" si="25"/>
        <v/>
      </c>
      <c r="AO53" s="364" t="str">
        <f>IF(SUM(AO8:AO52)=0,"",SUM(AO8:AO52))</f>
        <v/>
      </c>
      <c r="AP53" s="365" t="str">
        <f t="shared" ref="AP53" si="26">IF(SUM(AP8:AP52)=0,"",SUM(AP8:AP52))</f>
        <v/>
      </c>
    </row>
    <row r="54" spans="1:42" s="29" customFormat="1" ht="16.5" customHeight="1" x14ac:dyDescent="0.25">
      <c r="A54" s="31"/>
      <c r="B54" s="305"/>
      <c r="C54" s="667" t="s">
        <v>7</v>
      </c>
      <c r="D54" s="668"/>
      <c r="E54" s="366" t="str">
        <f>IF(E53="","",MIN(E8:E52))</f>
        <v/>
      </c>
      <c r="F54" s="367" t="str">
        <f t="shared" ref="F54:AG54" si="27">IF(F53="","",MIN(F8:F52))</f>
        <v/>
      </c>
      <c r="G54" s="367" t="str">
        <f t="shared" si="27"/>
        <v/>
      </c>
      <c r="H54" s="367" t="str">
        <f t="shared" si="27"/>
        <v/>
      </c>
      <c r="I54" s="367" t="str">
        <f t="shared" si="27"/>
        <v/>
      </c>
      <c r="J54" s="367" t="str">
        <f t="shared" si="27"/>
        <v/>
      </c>
      <c r="K54" s="367" t="str">
        <f t="shared" si="27"/>
        <v/>
      </c>
      <c r="L54" s="367" t="str">
        <f t="shared" si="27"/>
        <v/>
      </c>
      <c r="M54" s="367" t="str">
        <f t="shared" si="27"/>
        <v/>
      </c>
      <c r="N54" s="367" t="str">
        <f t="shared" ref="N54" si="28">IF(N53="","",MIN(N8:N52))</f>
        <v/>
      </c>
      <c r="O54" s="367" t="str">
        <f t="shared" ref="O54:P54" si="29">IF(O53="","",MIN(O8:O52))</f>
        <v/>
      </c>
      <c r="P54" s="368" t="str">
        <f t="shared" si="29"/>
        <v/>
      </c>
      <c r="Q54" s="31"/>
      <c r="R54" s="667" t="s">
        <v>7</v>
      </c>
      <c r="S54" s="668"/>
      <c r="T54" s="366" t="str">
        <f t="shared" si="27"/>
        <v/>
      </c>
      <c r="U54" s="367" t="str">
        <f t="shared" si="27"/>
        <v/>
      </c>
      <c r="V54" s="367" t="str">
        <f t="shared" si="27"/>
        <v/>
      </c>
      <c r="W54" s="367" t="str">
        <f t="shared" ref="W54:AD54" si="30">IF(W53="","",MIN(W8:W52))</f>
        <v/>
      </c>
      <c r="X54" s="367" t="str">
        <f t="shared" si="30"/>
        <v/>
      </c>
      <c r="Y54" s="367" t="str">
        <f t="shared" si="30"/>
        <v/>
      </c>
      <c r="Z54" s="367" t="str">
        <f t="shared" si="30"/>
        <v/>
      </c>
      <c r="AA54" s="367" t="str">
        <f t="shared" si="30"/>
        <v/>
      </c>
      <c r="AB54" s="367" t="str">
        <f t="shared" si="30"/>
        <v/>
      </c>
      <c r="AC54" s="367" t="str">
        <f t="shared" si="30"/>
        <v/>
      </c>
      <c r="AD54" s="367" t="str">
        <f t="shared" si="30"/>
        <v/>
      </c>
      <c r="AE54" s="367" t="str">
        <f t="shared" ref="AE54:AF54" si="31">IF(AE53="","",MIN(AE8:AE52))</f>
        <v/>
      </c>
      <c r="AF54" s="368" t="str">
        <f t="shared" si="31"/>
        <v/>
      </c>
      <c r="AG54" s="543" t="str">
        <f t="shared" si="27"/>
        <v/>
      </c>
      <c r="AH54" s="665"/>
      <c r="AL54" s="369" t="str">
        <f t="shared" ref="AL54:AN54" si="32">IF(AL53="","",MIN(AL8:AL52))</f>
        <v/>
      </c>
      <c r="AM54" s="370" t="str">
        <f t="shared" si="32"/>
        <v/>
      </c>
      <c r="AN54" s="370" t="str">
        <f t="shared" si="32"/>
        <v/>
      </c>
      <c r="AO54" s="371" t="str">
        <f>IF(AO53="","",MIN(AO8:AO52))</f>
        <v/>
      </c>
      <c r="AP54" s="372" t="str">
        <f t="shared" ref="AP54" si="33">IF(AP53="","",MIN(AP8:AP52))</f>
        <v/>
      </c>
    </row>
    <row r="55" spans="1:42" s="29" customFormat="1" ht="16.5" customHeight="1" x14ac:dyDescent="0.25">
      <c r="A55" s="31"/>
      <c r="B55" s="305"/>
      <c r="C55" s="667" t="s">
        <v>8</v>
      </c>
      <c r="D55" s="668"/>
      <c r="E55" s="366" t="str">
        <f>IF(E53="","",MAX(E8:E52))</f>
        <v/>
      </c>
      <c r="F55" s="367" t="str">
        <f t="shared" ref="F55:AG55" si="34">IF(F53="","",MAX(F8:F52))</f>
        <v/>
      </c>
      <c r="G55" s="367" t="str">
        <f t="shared" si="34"/>
        <v/>
      </c>
      <c r="H55" s="367" t="str">
        <f t="shared" si="34"/>
        <v/>
      </c>
      <c r="I55" s="367" t="str">
        <f t="shared" si="34"/>
        <v/>
      </c>
      <c r="J55" s="367" t="str">
        <f t="shared" si="34"/>
        <v/>
      </c>
      <c r="K55" s="367" t="str">
        <f t="shared" si="34"/>
        <v/>
      </c>
      <c r="L55" s="367" t="str">
        <f t="shared" si="34"/>
        <v/>
      </c>
      <c r="M55" s="367" t="str">
        <f t="shared" si="34"/>
        <v/>
      </c>
      <c r="N55" s="367" t="str">
        <f t="shared" ref="N55" si="35">IF(N53="","",MAX(N8:N52))</f>
        <v/>
      </c>
      <c r="O55" s="367" t="str">
        <f t="shared" ref="O55:P55" si="36">IF(O53="","",MAX(O8:O52))</f>
        <v/>
      </c>
      <c r="P55" s="368" t="str">
        <f t="shared" si="36"/>
        <v/>
      </c>
      <c r="Q55" s="31"/>
      <c r="R55" s="667" t="s">
        <v>8</v>
      </c>
      <c r="S55" s="668"/>
      <c r="T55" s="366" t="str">
        <f t="shared" si="34"/>
        <v/>
      </c>
      <c r="U55" s="367" t="str">
        <f t="shared" si="34"/>
        <v/>
      </c>
      <c r="V55" s="367" t="str">
        <f t="shared" si="34"/>
        <v/>
      </c>
      <c r="W55" s="367" t="str">
        <f t="shared" ref="W55:AD55" si="37">IF(W53="","",MAX(W8:W52))</f>
        <v/>
      </c>
      <c r="X55" s="367" t="str">
        <f t="shared" si="37"/>
        <v/>
      </c>
      <c r="Y55" s="367" t="str">
        <f t="shared" si="37"/>
        <v/>
      </c>
      <c r="Z55" s="367" t="str">
        <f t="shared" si="37"/>
        <v/>
      </c>
      <c r="AA55" s="367" t="str">
        <f t="shared" si="37"/>
        <v/>
      </c>
      <c r="AB55" s="367" t="str">
        <f t="shared" si="37"/>
        <v/>
      </c>
      <c r="AC55" s="367" t="str">
        <f t="shared" si="37"/>
        <v/>
      </c>
      <c r="AD55" s="367" t="str">
        <f t="shared" si="37"/>
        <v/>
      </c>
      <c r="AE55" s="367" t="str">
        <f t="shared" ref="AE55:AF55" si="38">IF(AE53="","",MAX(AE8:AE52))</f>
        <v/>
      </c>
      <c r="AF55" s="368" t="str">
        <f t="shared" si="38"/>
        <v/>
      </c>
      <c r="AG55" s="543" t="str">
        <f t="shared" si="34"/>
        <v/>
      </c>
      <c r="AH55" s="665"/>
      <c r="AL55" s="369" t="str">
        <f t="shared" ref="AL55:AP55" si="39">IF(AL53="","",MAX(AL8:AL52))</f>
        <v/>
      </c>
      <c r="AM55" s="370" t="str">
        <f t="shared" si="39"/>
        <v/>
      </c>
      <c r="AN55" s="370" t="str">
        <f t="shared" si="39"/>
        <v/>
      </c>
      <c r="AO55" s="371" t="str">
        <f t="shared" si="39"/>
        <v/>
      </c>
      <c r="AP55" s="372" t="str">
        <f t="shared" si="39"/>
        <v/>
      </c>
    </row>
    <row r="56" spans="1:42" s="29" customFormat="1" ht="16.5" customHeight="1" x14ac:dyDescent="0.25">
      <c r="A56" s="31"/>
      <c r="B56" s="305"/>
      <c r="C56" s="667" t="s">
        <v>9</v>
      </c>
      <c r="D56" s="668"/>
      <c r="E56" s="366" t="str">
        <f>IF(E53="","",AVERAGE(E8:E52))</f>
        <v/>
      </c>
      <c r="F56" s="367" t="str">
        <f t="shared" ref="F56:AG56" si="40">IF(F53="","",AVERAGE(F8:F52))</f>
        <v/>
      </c>
      <c r="G56" s="367" t="str">
        <f t="shared" si="40"/>
        <v/>
      </c>
      <c r="H56" s="367" t="str">
        <f t="shared" si="40"/>
        <v/>
      </c>
      <c r="I56" s="367" t="str">
        <f t="shared" si="40"/>
        <v/>
      </c>
      <c r="J56" s="367" t="str">
        <f t="shared" si="40"/>
        <v/>
      </c>
      <c r="K56" s="367" t="str">
        <f t="shared" si="40"/>
        <v/>
      </c>
      <c r="L56" s="367" t="str">
        <f t="shared" si="40"/>
        <v/>
      </c>
      <c r="M56" s="367" t="str">
        <f t="shared" si="40"/>
        <v/>
      </c>
      <c r="N56" s="367" t="str">
        <f t="shared" ref="N56" si="41">IF(N53="","",AVERAGE(N8:N52))</f>
        <v/>
      </c>
      <c r="O56" s="367" t="str">
        <f t="shared" ref="O56:P56" si="42">IF(O53="","",AVERAGE(O8:O52))</f>
        <v/>
      </c>
      <c r="P56" s="368" t="str">
        <f t="shared" si="42"/>
        <v/>
      </c>
      <c r="Q56" s="31"/>
      <c r="R56" s="667" t="s">
        <v>9</v>
      </c>
      <c r="S56" s="668"/>
      <c r="T56" s="366" t="str">
        <f t="shared" si="40"/>
        <v/>
      </c>
      <c r="U56" s="367" t="str">
        <f t="shared" si="40"/>
        <v/>
      </c>
      <c r="V56" s="367" t="str">
        <f t="shared" si="40"/>
        <v/>
      </c>
      <c r="W56" s="367" t="str">
        <f t="shared" ref="W56:AD56" si="43">IF(W53="","",AVERAGE(W8:W52))</f>
        <v/>
      </c>
      <c r="X56" s="367" t="str">
        <f t="shared" si="43"/>
        <v/>
      </c>
      <c r="Y56" s="367" t="str">
        <f t="shared" si="43"/>
        <v/>
      </c>
      <c r="Z56" s="367" t="str">
        <f t="shared" si="43"/>
        <v/>
      </c>
      <c r="AA56" s="367" t="str">
        <f t="shared" si="43"/>
        <v/>
      </c>
      <c r="AB56" s="367" t="str">
        <f t="shared" si="43"/>
        <v/>
      </c>
      <c r="AC56" s="367" t="str">
        <f t="shared" si="43"/>
        <v/>
      </c>
      <c r="AD56" s="367" t="str">
        <f t="shared" si="43"/>
        <v/>
      </c>
      <c r="AE56" s="367" t="str">
        <f t="shared" ref="AE56:AF56" si="44">IF(AE53="","",AVERAGE(AE8:AE52))</f>
        <v/>
      </c>
      <c r="AF56" s="368" t="str">
        <f t="shared" si="44"/>
        <v/>
      </c>
      <c r="AG56" s="544" t="str">
        <f t="shared" si="40"/>
        <v/>
      </c>
      <c r="AH56" s="665"/>
      <c r="AL56" s="369" t="str">
        <f t="shared" ref="AL56:AP56" si="45">IF(AL53="","",AVERAGE(AL8:AL52))</f>
        <v/>
      </c>
      <c r="AM56" s="370" t="str">
        <f t="shared" si="45"/>
        <v/>
      </c>
      <c r="AN56" s="370" t="str">
        <f t="shared" si="45"/>
        <v/>
      </c>
      <c r="AO56" s="371" t="str">
        <f t="shared" si="45"/>
        <v/>
      </c>
      <c r="AP56" s="372" t="str">
        <f t="shared" si="45"/>
        <v/>
      </c>
    </row>
    <row r="57" spans="1:42" s="33" customFormat="1" ht="16.5" customHeight="1" thickBot="1" x14ac:dyDescent="0.3">
      <c r="A57" s="32"/>
      <c r="B57" s="306"/>
      <c r="C57" s="669" t="s">
        <v>10</v>
      </c>
      <c r="D57" s="670"/>
      <c r="E57" s="373" t="str">
        <f>IF(E53="","",(E56*100)/E7)</f>
        <v/>
      </c>
      <c r="F57" s="374" t="str">
        <f t="shared" ref="F57:V57" si="46">IF(F53="","",(F56*100)/F7)</f>
        <v/>
      </c>
      <c r="G57" s="374" t="str">
        <f t="shared" si="46"/>
        <v/>
      </c>
      <c r="H57" s="374" t="str">
        <f t="shared" si="46"/>
        <v/>
      </c>
      <c r="I57" s="374" t="str">
        <f t="shared" si="46"/>
        <v/>
      </c>
      <c r="J57" s="374" t="str">
        <f t="shared" si="46"/>
        <v/>
      </c>
      <c r="K57" s="374" t="str">
        <f t="shared" si="46"/>
        <v/>
      </c>
      <c r="L57" s="374" t="str">
        <f t="shared" si="46"/>
        <v/>
      </c>
      <c r="M57" s="374" t="str">
        <f t="shared" si="46"/>
        <v/>
      </c>
      <c r="N57" s="374" t="str">
        <f t="shared" ref="N57" si="47">IF(N53="","",(N56*100)/N7)</f>
        <v/>
      </c>
      <c r="O57" s="374" t="str">
        <f t="shared" ref="O57:P57" si="48">IF(O53="","",(O56*100)/O7)</f>
        <v/>
      </c>
      <c r="P57" s="375" t="str">
        <f t="shared" si="48"/>
        <v/>
      </c>
      <c r="Q57" s="32"/>
      <c r="R57" s="669" t="s">
        <v>10</v>
      </c>
      <c r="S57" s="670"/>
      <c r="T57" s="373" t="str">
        <f t="shared" si="46"/>
        <v/>
      </c>
      <c r="U57" s="374" t="str">
        <f t="shared" si="46"/>
        <v/>
      </c>
      <c r="V57" s="374" t="str">
        <f t="shared" si="46"/>
        <v/>
      </c>
      <c r="W57" s="374" t="str">
        <f t="shared" ref="W57:AD57" si="49">IF(W53="","",(W56*100)/W7)</f>
        <v/>
      </c>
      <c r="X57" s="374" t="str">
        <f t="shared" si="49"/>
        <v/>
      </c>
      <c r="Y57" s="374" t="str">
        <f t="shared" si="49"/>
        <v/>
      </c>
      <c r="Z57" s="374" t="str">
        <f t="shared" si="49"/>
        <v/>
      </c>
      <c r="AA57" s="374" t="str">
        <f t="shared" si="49"/>
        <v/>
      </c>
      <c r="AB57" s="374" t="str">
        <f t="shared" si="49"/>
        <v/>
      </c>
      <c r="AC57" s="374" t="str">
        <f t="shared" si="49"/>
        <v/>
      </c>
      <c r="AD57" s="374" t="str">
        <f t="shared" si="49"/>
        <v/>
      </c>
      <c r="AE57" s="374" t="str">
        <f t="shared" ref="AE57:AF57" si="50">IF(AE53="","",(AE56*100)/AE7)</f>
        <v/>
      </c>
      <c r="AF57" s="375" t="str">
        <f t="shared" si="50"/>
        <v/>
      </c>
      <c r="AG57" s="545" t="str">
        <f>IF(AG53="","",(AG56*100)/AG7)</f>
        <v/>
      </c>
      <c r="AH57" s="666"/>
      <c r="AL57" s="376" t="str">
        <f t="shared" ref="AL57:AP57" si="51">IF(AL53="","",(AL56*100)/AL7)</f>
        <v/>
      </c>
      <c r="AM57" s="377" t="str">
        <f t="shared" si="51"/>
        <v/>
      </c>
      <c r="AN57" s="377" t="str">
        <f t="shared" si="51"/>
        <v/>
      </c>
      <c r="AO57" s="378" t="str">
        <f t="shared" si="51"/>
        <v/>
      </c>
      <c r="AP57" s="379" t="str">
        <f t="shared" si="51"/>
        <v/>
      </c>
    </row>
    <row r="58" spans="1:42" s="35" customFormat="1" ht="16.5" customHeight="1" x14ac:dyDescent="0.25">
      <c r="A58" s="34"/>
      <c r="B58" s="34"/>
      <c r="C58" s="36"/>
      <c r="D58" s="36"/>
      <c r="E58" s="34"/>
      <c r="F58" s="34"/>
      <c r="Q58" s="34"/>
      <c r="R58" s="36"/>
      <c r="S58" s="36"/>
      <c r="T58" s="34"/>
      <c r="U58" s="34"/>
      <c r="Y58" s="34"/>
      <c r="Z58" s="34"/>
      <c r="AA58" s="34"/>
      <c r="AB58" s="34"/>
      <c r="AL58" s="380"/>
      <c r="AM58" s="380"/>
      <c r="AN58" s="213"/>
      <c r="AO58" s="213"/>
      <c r="AP58" s="213"/>
    </row>
    <row r="59" spans="1:42" s="35" customFormat="1" ht="16.5" customHeight="1" x14ac:dyDescent="0.4">
      <c r="A59" s="34"/>
      <c r="B59" s="34"/>
      <c r="C59" s="36"/>
      <c r="D59" s="36"/>
      <c r="E59" s="34"/>
      <c r="F59" s="34"/>
      <c r="Q59" s="34"/>
      <c r="R59" s="36"/>
      <c r="S59" s="36"/>
      <c r="T59" s="34"/>
      <c r="U59" s="34"/>
      <c r="Y59" s="34"/>
      <c r="Z59" s="34"/>
      <c r="AA59" s="34"/>
      <c r="AB59" s="34"/>
      <c r="AH59" s="14"/>
      <c r="AL59" s="380"/>
      <c r="AM59" s="380"/>
      <c r="AN59" s="213"/>
      <c r="AO59" s="213"/>
      <c r="AP59" s="213"/>
    </row>
    <row r="60" spans="1:42" s="35" customFormat="1" ht="16.5" customHeight="1" x14ac:dyDescent="0.4">
      <c r="A60" s="34"/>
      <c r="B60" s="34"/>
      <c r="C60" s="36"/>
      <c r="D60" s="36"/>
      <c r="E60" s="34"/>
      <c r="F60" s="34"/>
      <c r="Q60" s="34"/>
      <c r="R60" s="36"/>
      <c r="S60" s="36"/>
      <c r="T60" s="34"/>
      <c r="U60" s="34"/>
      <c r="Y60" s="34"/>
      <c r="Z60" s="34"/>
      <c r="AA60" s="34"/>
      <c r="AB60" s="34"/>
      <c r="AH60" s="14"/>
      <c r="AL60" s="380"/>
      <c r="AM60" s="380"/>
      <c r="AN60" s="213"/>
      <c r="AO60" s="213"/>
      <c r="AP60" s="213"/>
    </row>
    <row r="61" spans="1:42" ht="16.5" customHeight="1" x14ac:dyDescent="0.4">
      <c r="A61" s="34"/>
      <c r="B61" s="34"/>
      <c r="C61" s="36"/>
      <c r="D61" s="36"/>
      <c r="E61" s="37"/>
      <c r="F61" s="37"/>
      <c r="Q61" s="34"/>
      <c r="R61" s="36"/>
      <c r="S61" s="36"/>
      <c r="T61" s="37"/>
      <c r="U61" s="37"/>
      <c r="Y61" s="37"/>
      <c r="Z61" s="37"/>
      <c r="AA61" s="37"/>
      <c r="AB61" s="37"/>
      <c r="AL61" s="381"/>
      <c r="AM61" s="381"/>
    </row>
    <row r="62" spans="1:42" ht="16.5" customHeight="1" x14ac:dyDescent="0.4">
      <c r="A62" s="34"/>
      <c r="B62" s="34"/>
      <c r="C62" s="36"/>
      <c r="D62" s="36"/>
      <c r="E62" s="37"/>
      <c r="F62" s="37"/>
      <c r="Q62" s="34"/>
      <c r="R62" s="36"/>
      <c r="S62" s="36"/>
      <c r="T62" s="37"/>
      <c r="U62" s="37"/>
      <c r="Y62" s="37"/>
      <c r="Z62" s="37"/>
      <c r="AA62" s="37"/>
      <c r="AB62" s="37"/>
      <c r="AL62" s="381"/>
      <c r="AM62" s="381"/>
    </row>
    <row r="63" spans="1:42" ht="12.75" customHeight="1" x14ac:dyDescent="0.4">
      <c r="A63" s="34"/>
      <c r="B63" s="34"/>
      <c r="C63" s="36"/>
      <c r="D63" s="36"/>
      <c r="E63" s="34"/>
      <c r="F63" s="34"/>
      <c r="Q63" s="34"/>
      <c r="R63" s="36"/>
      <c r="S63" s="36"/>
      <c r="T63" s="34"/>
      <c r="U63" s="34"/>
      <c r="Y63" s="34"/>
      <c r="Z63" s="34"/>
      <c r="AA63" s="34"/>
      <c r="AB63" s="34"/>
      <c r="AL63" s="380"/>
      <c r="AM63" s="380"/>
    </row>
  </sheetData>
  <sheetProtection algorithmName="SHA-512" hashValue="q2W+eqxS/Mq/kP3BeDnKwfGn1WTxtFWH9G8+mgsroMwtxbHtS8Ep8yg7qYC4qNeRG6Z9n8taw0sQE/B3C89exw==" saltValue="08Ph77c27x0MfN35Q0q1Dg==" spinCount="100000" sheet="1" objects="1" scenarios="1"/>
  <customSheetViews>
    <customSheetView guid="{D1BB6683-1C02-4800-8A34-4095A10BD8CF}" scale="106" showPageBreaks="1" hiddenRows="1" view="pageBreakPreview">
      <selection activeCell="J10" sqref="J10"/>
      <pageMargins left="0.39370078740157483" right="0.39370078740157483" top="0.19685039370078741" bottom="0.19685039370078741" header="0.39370078740157483" footer="0.39370078740157483"/>
      <printOptions horizontalCentered="1"/>
      <pageSetup paperSize="5" orientation="portrait" horizontalDpi="4294967293" r:id="rId1"/>
      <headerFooter alignWithMargins="0"/>
    </customSheetView>
  </customSheetViews>
  <mergeCells count="27">
    <mergeCell ref="R53:S53"/>
    <mergeCell ref="AH53:AH57"/>
    <mergeCell ref="R56:S56"/>
    <mergeCell ref="C57:D57"/>
    <mergeCell ref="AH4:AH7"/>
    <mergeCell ref="C4:D7"/>
    <mergeCell ref="AG4:AG6"/>
    <mergeCell ref="E4:P4"/>
    <mergeCell ref="R57:S57"/>
    <mergeCell ref="R54:S54"/>
    <mergeCell ref="R55:S55"/>
    <mergeCell ref="C53:D53"/>
    <mergeCell ref="C54:D54"/>
    <mergeCell ref="C55:D55"/>
    <mergeCell ref="C56:D56"/>
    <mergeCell ref="AL4:AP4"/>
    <mergeCell ref="AI2:AK4"/>
    <mergeCell ref="A1:P1"/>
    <mergeCell ref="Q1:AH1"/>
    <mergeCell ref="Q2:AH2"/>
    <mergeCell ref="A2:P2"/>
    <mergeCell ref="B4:B7"/>
    <mergeCell ref="AJ6:AK6"/>
    <mergeCell ref="Q4:Q7"/>
    <mergeCell ref="R4:S7"/>
    <mergeCell ref="A4:A7"/>
    <mergeCell ref="T4:AF4"/>
  </mergeCells>
  <printOptions horizontalCentered="1" verticalCentered="1"/>
  <pageMargins left="0.39370078740157499" right="0.39370078740157499" top="0.196850393700787" bottom="0.196850393700787" header="0.39370078740157499" footer="0.39370078740157499"/>
  <pageSetup paperSize="5" scale="92" orientation="portrait" horizontalDpi="4294967294" r:id="rId2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T484"/>
  <sheetViews>
    <sheetView zoomScale="89" zoomScaleNormal="89" workbookViewId="0">
      <pane xSplit="4" ySplit="5" topLeftCell="DT6" activePane="bottomRight" state="frozen"/>
      <selection pane="topRight" activeCell="D1" sqref="D1"/>
      <selection pane="bottomLeft" activeCell="A4" sqref="A4"/>
      <selection pane="bottomRight" activeCell="EI38" sqref="EI6:EI38"/>
    </sheetView>
  </sheetViews>
  <sheetFormatPr defaultColWidth="9.33203125" defaultRowHeight="13.8" x14ac:dyDescent="0.3"/>
  <cols>
    <col min="1" max="1" width="5.33203125" style="294" customWidth="1"/>
    <col min="2" max="2" width="24.44140625" style="294" customWidth="1"/>
    <col min="3" max="3" width="12.44140625" style="294" customWidth="1"/>
    <col min="4" max="4" width="31.44140625" style="6" customWidth="1"/>
    <col min="5" max="5" width="23.6640625" style="298" customWidth="1"/>
    <col min="6" max="6" width="28.44140625" style="294" customWidth="1"/>
    <col min="7" max="7" width="12.6640625" style="294" customWidth="1"/>
    <col min="8" max="8" width="22.6640625" style="6" customWidth="1"/>
    <col min="9" max="9" width="9.33203125" style="294"/>
    <col min="10" max="10" width="10.44140625" style="298" bestFit="1" customWidth="1"/>
    <col min="11" max="11" width="10.44140625" style="298" customWidth="1"/>
    <col min="12" max="12" width="12.6640625" style="294" customWidth="1"/>
    <col min="13" max="13" width="27.33203125" style="6" customWidth="1"/>
    <col min="14" max="14" width="9.33203125" style="294"/>
    <col min="15" max="15" width="9.33203125" style="298"/>
    <col min="16" max="16" width="10.44140625" style="298" customWidth="1"/>
    <col min="17" max="17" width="12.6640625" style="294" customWidth="1"/>
    <col min="18" max="18" width="27.33203125" style="6" customWidth="1"/>
    <col min="19" max="19" width="9.33203125" style="294"/>
    <col min="20" max="20" width="9.33203125" style="298"/>
    <col min="21" max="21" width="10.44140625" style="298" customWidth="1"/>
    <col min="22" max="22" width="12.6640625" style="294" customWidth="1"/>
    <col min="23" max="23" width="27.33203125" style="6" customWidth="1"/>
    <col min="24" max="24" width="9.33203125" style="294"/>
    <col min="25" max="25" width="9.33203125" style="298"/>
    <col min="26" max="26" width="10.44140625" style="298" customWidth="1"/>
    <col min="27" max="27" width="12.6640625" style="294" customWidth="1"/>
    <col min="28" max="28" width="27.33203125" style="6" customWidth="1"/>
    <col min="29" max="29" width="9.33203125" style="294"/>
    <col min="30" max="30" width="9.33203125" style="298"/>
    <col min="31" max="31" width="10.44140625" style="298" customWidth="1"/>
    <col min="32" max="32" width="12.6640625" style="294" customWidth="1"/>
    <col min="33" max="33" width="27.33203125" style="6" customWidth="1"/>
    <col min="34" max="34" width="9.33203125" style="294"/>
    <col min="35" max="35" width="10.44140625" style="298" bestFit="1" customWidth="1"/>
    <col min="36" max="36" width="10.44140625" style="298" customWidth="1"/>
    <col min="37" max="37" width="12.6640625" style="294" customWidth="1"/>
    <col min="38" max="38" width="27.33203125" style="6" customWidth="1"/>
    <col min="39" max="39" width="9.33203125" style="294"/>
    <col min="40" max="40" width="9.44140625" style="298" bestFit="1" customWidth="1"/>
    <col min="41" max="41" width="10.44140625" style="298" customWidth="1"/>
    <col min="42" max="42" width="12.6640625" style="294" customWidth="1"/>
    <col min="43" max="43" width="27.6640625" style="6" customWidth="1"/>
    <col min="44" max="44" width="9.33203125" style="294"/>
    <col min="45" max="45" width="9.33203125" style="298"/>
    <col min="46" max="46" width="10.44140625" style="298" customWidth="1"/>
    <col min="47" max="47" width="12.6640625" style="294" customWidth="1"/>
    <col min="48" max="48" width="27.6640625" style="6" customWidth="1"/>
    <col min="49" max="49" width="9.33203125" style="294"/>
    <col min="50" max="50" width="10.44140625" style="298" bestFit="1" customWidth="1"/>
    <col min="51" max="51" width="10.44140625" style="298" customWidth="1"/>
    <col min="52" max="52" width="12.6640625" style="294" customWidth="1"/>
    <col min="53" max="53" width="27.6640625" style="6" customWidth="1"/>
    <col min="54" max="54" width="9.33203125" style="294"/>
    <col min="55" max="55" width="9.33203125" style="298"/>
    <col min="56" max="56" width="10.44140625" style="298" customWidth="1"/>
    <col min="57" max="57" width="12.6640625" style="294" customWidth="1"/>
    <col min="58" max="58" width="27.6640625" style="6" customWidth="1"/>
    <col min="59" max="59" width="9.33203125" style="294"/>
    <col min="60" max="60" width="9.33203125" style="298"/>
    <col min="61" max="61" width="10.44140625" style="298" customWidth="1"/>
    <col min="62" max="62" width="12.6640625" style="294" customWidth="1"/>
    <col min="63" max="63" width="27.6640625" style="6" customWidth="1"/>
    <col min="64" max="64" width="9.33203125" style="294"/>
    <col min="65" max="65" width="9.33203125" style="298"/>
    <col min="66" max="66" width="10.44140625" style="298" customWidth="1"/>
    <col min="67" max="67" width="12.6640625" style="294" customWidth="1"/>
    <col min="68" max="68" width="27.6640625" style="6" customWidth="1"/>
    <col min="69" max="69" width="9.33203125" style="294"/>
    <col min="70" max="70" width="9.33203125" style="298"/>
    <col min="71" max="71" width="10.44140625" style="298" customWidth="1"/>
    <col min="72" max="72" width="12.6640625" style="294" customWidth="1"/>
    <col min="73" max="73" width="27.6640625" style="6" customWidth="1"/>
    <col min="74" max="74" width="9.33203125" style="294"/>
    <col min="75" max="75" width="9.33203125" style="298"/>
    <col min="76" max="76" width="10.44140625" style="298" customWidth="1"/>
    <col min="77" max="77" width="12.6640625" style="294" customWidth="1"/>
    <col min="78" max="78" width="27.6640625" style="6" customWidth="1"/>
    <col min="79" max="79" width="9.33203125" style="294"/>
    <col min="80" max="80" width="9.33203125" style="298"/>
    <col min="81" max="81" width="10.44140625" style="298" customWidth="1"/>
    <col min="82" max="82" width="12.6640625" style="294" customWidth="1"/>
    <col min="83" max="83" width="27.6640625" style="6" customWidth="1"/>
    <col min="84" max="84" width="9.33203125" style="294"/>
    <col min="85" max="85" width="9.33203125" style="298"/>
    <col min="86" max="86" width="10.44140625" style="298" customWidth="1"/>
    <col min="87" max="87" width="12.6640625" style="294" customWidth="1"/>
    <col min="88" max="88" width="27.6640625" style="6" customWidth="1"/>
    <col min="89" max="89" width="9.33203125" style="294"/>
    <col min="90" max="90" width="9.33203125" style="298"/>
    <col min="91" max="91" width="10.44140625" style="298" customWidth="1"/>
    <col min="92" max="92" width="12.6640625" style="294" customWidth="1"/>
    <col min="93" max="93" width="27.6640625" style="6" customWidth="1"/>
    <col min="94" max="94" width="9.33203125" style="294"/>
    <col min="95" max="95" width="9.33203125" style="298"/>
    <col min="96" max="96" width="10.44140625" style="298" customWidth="1"/>
    <col min="97" max="97" width="12.6640625" style="294" customWidth="1"/>
    <col min="98" max="98" width="27.6640625" style="6" customWidth="1"/>
    <col min="99" max="99" width="9.33203125" style="294"/>
    <col min="100" max="100" width="9.33203125" style="298"/>
    <col min="101" max="101" width="10.44140625" style="298" customWidth="1"/>
    <col min="102" max="102" width="12.6640625" style="294" customWidth="1"/>
    <col min="103" max="103" width="27.6640625" style="6" customWidth="1"/>
    <col min="104" max="104" width="9.33203125" style="294"/>
    <col min="105" max="105" width="9.33203125" style="298"/>
    <col min="106" max="106" width="10.44140625" style="298" customWidth="1"/>
    <col min="107" max="107" width="12.6640625" style="294" customWidth="1"/>
    <col min="108" max="108" width="27.6640625" style="6" customWidth="1"/>
    <col min="109" max="109" width="9.33203125" style="294"/>
    <col min="110" max="110" width="9.33203125" style="298"/>
    <col min="111" max="111" width="10.44140625" style="298" customWidth="1"/>
    <col min="112" max="112" width="12.6640625" style="294" customWidth="1"/>
    <col min="113" max="113" width="27.6640625" style="6" customWidth="1"/>
    <col min="114" max="114" width="9.33203125" style="294"/>
    <col min="115" max="115" width="9.33203125" style="298"/>
    <col min="116" max="116" width="10.44140625" style="298" customWidth="1"/>
    <col min="117" max="117" width="12.6640625" style="294" customWidth="1"/>
    <col min="118" max="118" width="27.6640625" style="6" customWidth="1"/>
    <col min="119" max="119" width="9.33203125" style="294"/>
    <col min="120" max="120" width="9.33203125" style="298"/>
    <col min="121" max="121" width="10.44140625" style="298" customWidth="1"/>
    <col min="122" max="122" width="12.6640625" style="294" customWidth="1"/>
    <col min="123" max="123" width="27.6640625" style="6" customWidth="1"/>
    <col min="124" max="124" width="9.33203125" style="294"/>
    <col min="125" max="125" width="9.33203125" style="298"/>
    <col min="126" max="126" width="10.44140625" style="298" customWidth="1"/>
    <col min="127" max="127" width="12.6640625" style="294" customWidth="1"/>
    <col min="128" max="128" width="27.6640625" style="6" customWidth="1"/>
    <col min="129" max="129" width="9.33203125" style="294"/>
    <col min="130" max="130" width="9.33203125" style="298"/>
    <col min="131" max="131" width="10.44140625" style="298" customWidth="1"/>
    <col min="132" max="132" width="9.33203125" style="384"/>
    <col min="133" max="138" width="9.33203125" style="6"/>
    <col min="139" max="139" width="36.33203125" style="6" customWidth="1"/>
    <col min="140" max="140" width="9.33203125" style="6"/>
    <col min="141" max="150" width="7" style="6" customWidth="1"/>
    <col min="151" max="16384" width="9.33203125" style="6"/>
  </cols>
  <sheetData>
    <row r="1" spans="1:150" ht="14.4" thickBot="1" x14ac:dyDescent="0.35">
      <c r="ED1" s="6">
        <v>134</v>
      </c>
      <c r="EE1" s="6">
        <v>135</v>
      </c>
      <c r="EF1" s="6">
        <v>136</v>
      </c>
      <c r="EG1" s="6">
        <v>137</v>
      </c>
      <c r="EH1" s="6">
        <v>138</v>
      </c>
      <c r="EI1" s="6">
        <v>139</v>
      </c>
      <c r="EJ1" s="6">
        <v>140</v>
      </c>
      <c r="EK1" s="6">
        <v>141</v>
      </c>
      <c r="EL1" s="6">
        <v>142</v>
      </c>
      <c r="EM1" s="6">
        <v>143</v>
      </c>
      <c r="EN1" s="6">
        <v>144</v>
      </c>
      <c r="EO1" s="6">
        <v>145</v>
      </c>
      <c r="EP1" s="6">
        <v>146</v>
      </c>
      <c r="EQ1" s="6">
        <v>147</v>
      </c>
      <c r="ER1" s="6">
        <v>148</v>
      </c>
      <c r="ES1" s="6">
        <v>149</v>
      </c>
      <c r="ET1" s="6">
        <v>150</v>
      </c>
    </row>
    <row r="2" spans="1:150" ht="23.25" customHeight="1" x14ac:dyDescent="0.3">
      <c r="B2" s="299" t="str">
        <f>CONCATENATE("แบบกรอกคะแนนปลายภาคเรียนที่ ",Semester,"/",Year,"  ชั้นมัธยมศึกษาปีที่ ",Class)</f>
        <v xml:space="preserve">แบบกรอกคะแนนปลายภาคเรียนที่ /  ชั้นมัธยมศึกษาปีที่ </v>
      </c>
      <c r="C2" s="299"/>
      <c r="D2" s="299"/>
      <c r="E2" s="299"/>
      <c r="F2" s="299"/>
      <c r="G2" s="299"/>
      <c r="H2" s="299"/>
      <c r="I2" s="299"/>
      <c r="J2" s="284"/>
      <c r="K2" s="284"/>
      <c r="L2" s="299"/>
      <c r="M2" s="299"/>
      <c r="N2" s="299"/>
      <c r="O2" s="284"/>
      <c r="P2" s="284"/>
      <c r="Q2" s="299"/>
      <c r="R2" s="299"/>
      <c r="S2" s="299"/>
      <c r="T2" s="284"/>
      <c r="U2" s="284"/>
      <c r="V2" s="299"/>
      <c r="W2" s="299"/>
      <c r="X2" s="299"/>
      <c r="Y2" s="284"/>
      <c r="Z2" s="284"/>
      <c r="AA2" s="299"/>
      <c r="AB2" s="299"/>
      <c r="AC2" s="299"/>
      <c r="AD2" s="284"/>
      <c r="AE2" s="284"/>
      <c r="AF2" s="299"/>
      <c r="AG2" s="299"/>
      <c r="AH2" s="299"/>
      <c r="AI2" s="284"/>
      <c r="AJ2" s="284"/>
      <c r="AK2" s="299"/>
      <c r="AL2" s="299"/>
      <c r="AM2" s="299"/>
      <c r="AN2" s="284"/>
      <c r="AO2" s="284"/>
      <c r="AP2" s="299"/>
      <c r="AQ2" s="299"/>
      <c r="AR2" s="299"/>
      <c r="AS2" s="284"/>
      <c r="AT2" s="284"/>
      <c r="AU2" s="299"/>
      <c r="AV2" s="299"/>
      <c r="AW2" s="299"/>
      <c r="AX2" s="284"/>
      <c r="AY2" s="284"/>
      <c r="AZ2" s="299"/>
      <c r="BA2" s="299"/>
      <c r="BB2" s="299"/>
      <c r="BC2" s="284"/>
      <c r="BD2" s="284"/>
      <c r="BE2" s="299"/>
      <c r="BF2" s="299"/>
      <c r="BG2" s="299"/>
      <c r="BH2" s="284"/>
      <c r="BI2" s="284"/>
      <c r="BJ2" s="299"/>
      <c r="BK2" s="299"/>
      <c r="BL2" s="299"/>
      <c r="BM2" s="284"/>
      <c r="BN2" s="284"/>
      <c r="BO2" s="299"/>
      <c r="BP2" s="299"/>
      <c r="BQ2" s="299"/>
      <c r="BR2" s="284"/>
      <c r="BS2" s="284"/>
      <c r="BT2" s="299"/>
      <c r="BU2" s="299"/>
      <c r="BV2" s="299"/>
      <c r="BW2" s="284"/>
      <c r="BX2" s="284"/>
      <c r="BY2" s="299"/>
      <c r="BZ2" s="299"/>
      <c r="CA2" s="299"/>
      <c r="CB2" s="284"/>
      <c r="CC2" s="284"/>
      <c r="CD2" s="299"/>
      <c r="CE2" s="299"/>
      <c r="CF2" s="299"/>
      <c r="CG2" s="284"/>
      <c r="CH2" s="284"/>
      <c r="CI2" s="299"/>
      <c r="CJ2" s="299"/>
      <c r="CK2" s="299"/>
      <c r="CL2" s="284"/>
      <c r="CM2" s="284"/>
      <c r="CN2" s="299"/>
      <c r="CO2" s="299"/>
      <c r="CP2" s="299"/>
      <c r="CQ2" s="284"/>
      <c r="CR2" s="284"/>
      <c r="CS2" s="299"/>
      <c r="CT2" s="299"/>
      <c r="CU2" s="299"/>
      <c r="CV2" s="284"/>
      <c r="CW2" s="284"/>
      <c r="CX2" s="299"/>
      <c r="CY2" s="299"/>
      <c r="CZ2" s="299"/>
      <c r="DA2" s="284"/>
      <c r="DB2" s="284"/>
      <c r="DC2" s="299"/>
      <c r="DD2" s="299"/>
      <c r="DE2" s="299"/>
      <c r="DF2" s="284"/>
      <c r="DG2" s="284"/>
      <c r="DH2" s="299"/>
      <c r="DI2" s="299"/>
      <c r="DJ2" s="299"/>
      <c r="DK2" s="284"/>
      <c r="DL2" s="284"/>
      <c r="DM2" s="299"/>
      <c r="DN2" s="299"/>
      <c r="DO2" s="299"/>
      <c r="DP2" s="284"/>
      <c r="DQ2" s="284"/>
      <c r="DR2" s="299"/>
      <c r="DS2" s="299"/>
      <c r="DT2" s="299"/>
      <c r="DU2" s="284"/>
      <c r="DV2" s="284"/>
      <c r="DW2" s="299"/>
      <c r="DX2" s="299"/>
      <c r="DY2" s="299"/>
      <c r="DZ2" s="284"/>
      <c r="EA2" s="284"/>
      <c r="ED2" s="676" t="s">
        <v>42</v>
      </c>
      <c r="EE2" s="676"/>
      <c r="EF2" s="676"/>
      <c r="EG2" s="676"/>
      <c r="EH2" s="677" t="s">
        <v>51</v>
      </c>
      <c r="EI2" s="678" t="s">
        <v>52</v>
      </c>
      <c r="EK2" s="683" t="s">
        <v>3</v>
      </c>
      <c r="EL2" s="684"/>
      <c r="EM2" s="684"/>
      <c r="EN2" s="684"/>
      <c r="EO2" s="684"/>
      <c r="EP2" s="684"/>
      <c r="EQ2" s="684"/>
      <c r="ER2" s="684"/>
      <c r="ES2" s="684"/>
      <c r="ET2" s="685"/>
    </row>
    <row r="3" spans="1:150" s="298" customFormat="1" ht="27.75" customHeight="1" x14ac:dyDescent="0.3">
      <c r="A3" s="29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385"/>
      <c r="EC3" s="284"/>
      <c r="ED3" s="679" t="str">
        <f>IF(Activity1="","",Activity1)</f>
        <v>กิจกรรมแนะแนว</v>
      </c>
      <c r="EE3" s="679" t="str">
        <f>IF(Activity2="","",Activity2)</f>
        <v>ลูกเสือ - เนตรนารี</v>
      </c>
      <c r="EF3" s="679" t="str">
        <f>IF(Activity3="","",Activity3)</f>
        <v>ชมรม</v>
      </c>
      <c r="EG3" s="679" t="str">
        <f>IF(Activity4="","",Activity4)</f>
        <v>กิจกรรมเพื่อสังคมและสาธารณประโยชน์</v>
      </c>
      <c r="EH3" s="677"/>
      <c r="EI3" s="678"/>
      <c r="EK3" s="686" t="str">
        <f>IF(SubEle1="","",IF('1.ข้อมูลเบื้องต้น'!F20="SBMLD","SBMLD",SubEle1))</f>
        <v/>
      </c>
      <c r="EL3" s="687"/>
      <c r="EM3" s="690" t="str">
        <f>IF(SubEle2="","",IF(EK3="SBMLD","",IF('1.ข้อมูลเบื้องต้น'!F21="SBMLD","SBMLD",SubEle2)))</f>
        <v/>
      </c>
      <c r="EN3" s="687"/>
      <c r="EO3" s="690" t="str">
        <f>IF(SubEle3="","",IF(EM3="SBMLD","",IF('1.ข้อมูลเบื้องต้น'!F22="SBMLD","SBMLD",SubEle3)))</f>
        <v/>
      </c>
      <c r="EP3" s="687"/>
      <c r="EQ3" s="690" t="str">
        <f>IF(SubEle4="","",IF(EO3="SBMLD","",IF('1.ข้อมูลเบื้องต้น'!F23="SBMLD","SBMLD",SubEle4)))</f>
        <v/>
      </c>
      <c r="ER3" s="687"/>
      <c r="ES3" s="690" t="str">
        <f>IF(SubEle5="","",IF(EQ3="SBMLD","",IF(EQ3="","",IF('1.ข้อมูลเบื้องต้น'!F24="SBMLD","SBMLD",SubEle5))))</f>
        <v/>
      </c>
      <c r="ET3" s="692"/>
    </row>
    <row r="4" spans="1:150" s="290" customFormat="1" ht="27" customHeight="1" x14ac:dyDescent="0.25">
      <c r="A4" s="639" t="s">
        <v>0</v>
      </c>
      <c r="B4" s="637" t="s">
        <v>625</v>
      </c>
      <c r="C4" s="637" t="s">
        <v>24</v>
      </c>
      <c r="D4" s="637" t="s">
        <v>53</v>
      </c>
      <c r="E4" s="637" t="s">
        <v>16</v>
      </c>
      <c r="F4" s="637" t="s">
        <v>12</v>
      </c>
      <c r="G4" s="637" t="s">
        <v>19</v>
      </c>
      <c r="H4" s="637" t="s">
        <v>167</v>
      </c>
      <c r="I4" s="637" t="s">
        <v>39</v>
      </c>
      <c r="J4" s="308" t="s">
        <v>601</v>
      </c>
      <c r="K4" s="637" t="s">
        <v>604</v>
      </c>
      <c r="L4" s="637" t="s">
        <v>19</v>
      </c>
      <c r="M4" s="637" t="s">
        <v>167</v>
      </c>
      <c r="N4" s="637" t="s">
        <v>39</v>
      </c>
      <c r="O4" s="308" t="s">
        <v>601</v>
      </c>
      <c r="P4" s="637" t="s">
        <v>604</v>
      </c>
      <c r="Q4" s="637" t="s">
        <v>19</v>
      </c>
      <c r="R4" s="637" t="s">
        <v>167</v>
      </c>
      <c r="S4" s="637" t="s">
        <v>39</v>
      </c>
      <c r="T4" s="308" t="s">
        <v>601</v>
      </c>
      <c r="U4" s="637" t="s">
        <v>604</v>
      </c>
      <c r="V4" s="637" t="s">
        <v>19</v>
      </c>
      <c r="W4" s="637" t="s">
        <v>167</v>
      </c>
      <c r="X4" s="637" t="s">
        <v>39</v>
      </c>
      <c r="Y4" s="308" t="s">
        <v>601</v>
      </c>
      <c r="Z4" s="637" t="s">
        <v>604</v>
      </c>
      <c r="AA4" s="637" t="s">
        <v>19</v>
      </c>
      <c r="AB4" s="637" t="s">
        <v>167</v>
      </c>
      <c r="AC4" s="637" t="s">
        <v>39</v>
      </c>
      <c r="AD4" s="308" t="s">
        <v>601</v>
      </c>
      <c r="AE4" s="637" t="s">
        <v>604</v>
      </c>
      <c r="AF4" s="637" t="s">
        <v>19</v>
      </c>
      <c r="AG4" s="637" t="s">
        <v>167</v>
      </c>
      <c r="AH4" s="637" t="s">
        <v>39</v>
      </c>
      <c r="AI4" s="308" t="s">
        <v>601</v>
      </c>
      <c r="AJ4" s="637" t="s">
        <v>604</v>
      </c>
      <c r="AK4" s="637" t="s">
        <v>19</v>
      </c>
      <c r="AL4" s="637" t="s">
        <v>167</v>
      </c>
      <c r="AM4" s="637" t="s">
        <v>39</v>
      </c>
      <c r="AN4" s="308" t="s">
        <v>601</v>
      </c>
      <c r="AO4" s="637" t="s">
        <v>604</v>
      </c>
      <c r="AP4" s="637" t="s">
        <v>19</v>
      </c>
      <c r="AQ4" s="637" t="s">
        <v>167</v>
      </c>
      <c r="AR4" s="637" t="s">
        <v>39</v>
      </c>
      <c r="AS4" s="308" t="s">
        <v>601</v>
      </c>
      <c r="AT4" s="637" t="s">
        <v>604</v>
      </c>
      <c r="AU4" s="637" t="s">
        <v>19</v>
      </c>
      <c r="AV4" s="637" t="s">
        <v>167</v>
      </c>
      <c r="AW4" s="637" t="s">
        <v>39</v>
      </c>
      <c r="AX4" s="308" t="s">
        <v>601</v>
      </c>
      <c r="AY4" s="637" t="s">
        <v>604</v>
      </c>
      <c r="AZ4" s="637" t="s">
        <v>19</v>
      </c>
      <c r="BA4" s="637" t="s">
        <v>167</v>
      </c>
      <c r="BB4" s="637" t="s">
        <v>39</v>
      </c>
      <c r="BC4" s="308" t="s">
        <v>601</v>
      </c>
      <c r="BD4" s="637" t="s">
        <v>604</v>
      </c>
      <c r="BE4" s="637" t="s">
        <v>19</v>
      </c>
      <c r="BF4" s="637" t="s">
        <v>167</v>
      </c>
      <c r="BG4" s="637" t="s">
        <v>39</v>
      </c>
      <c r="BH4" s="308" t="s">
        <v>601</v>
      </c>
      <c r="BI4" s="637" t="s">
        <v>604</v>
      </c>
      <c r="BJ4" s="637" t="s">
        <v>19</v>
      </c>
      <c r="BK4" s="637" t="s">
        <v>167</v>
      </c>
      <c r="BL4" s="637" t="s">
        <v>39</v>
      </c>
      <c r="BM4" s="308" t="s">
        <v>601</v>
      </c>
      <c r="BN4" s="637" t="s">
        <v>604</v>
      </c>
      <c r="BO4" s="637" t="s">
        <v>19</v>
      </c>
      <c r="BP4" s="637" t="s">
        <v>167</v>
      </c>
      <c r="BQ4" s="637" t="s">
        <v>39</v>
      </c>
      <c r="BR4" s="308" t="s">
        <v>601</v>
      </c>
      <c r="BS4" s="637" t="s">
        <v>604</v>
      </c>
      <c r="BT4" s="637" t="s">
        <v>19</v>
      </c>
      <c r="BU4" s="637" t="s">
        <v>167</v>
      </c>
      <c r="BV4" s="637" t="s">
        <v>39</v>
      </c>
      <c r="BW4" s="308" t="s">
        <v>601</v>
      </c>
      <c r="BX4" s="637" t="s">
        <v>604</v>
      </c>
      <c r="BY4" s="637" t="s">
        <v>19</v>
      </c>
      <c r="BZ4" s="637" t="s">
        <v>167</v>
      </c>
      <c r="CA4" s="637" t="s">
        <v>39</v>
      </c>
      <c r="CB4" s="308" t="s">
        <v>601</v>
      </c>
      <c r="CC4" s="637" t="s">
        <v>604</v>
      </c>
      <c r="CD4" s="637" t="s">
        <v>19</v>
      </c>
      <c r="CE4" s="637" t="s">
        <v>167</v>
      </c>
      <c r="CF4" s="637" t="s">
        <v>39</v>
      </c>
      <c r="CG4" s="308" t="s">
        <v>601</v>
      </c>
      <c r="CH4" s="637" t="s">
        <v>604</v>
      </c>
      <c r="CI4" s="637" t="s">
        <v>19</v>
      </c>
      <c r="CJ4" s="637" t="s">
        <v>167</v>
      </c>
      <c r="CK4" s="637" t="s">
        <v>39</v>
      </c>
      <c r="CL4" s="308" t="s">
        <v>601</v>
      </c>
      <c r="CM4" s="637" t="s">
        <v>604</v>
      </c>
      <c r="CN4" s="637" t="s">
        <v>19</v>
      </c>
      <c r="CO4" s="637" t="s">
        <v>167</v>
      </c>
      <c r="CP4" s="637" t="s">
        <v>39</v>
      </c>
      <c r="CQ4" s="308" t="s">
        <v>601</v>
      </c>
      <c r="CR4" s="637" t="s">
        <v>604</v>
      </c>
      <c r="CS4" s="637" t="s">
        <v>19</v>
      </c>
      <c r="CT4" s="637" t="s">
        <v>167</v>
      </c>
      <c r="CU4" s="637" t="s">
        <v>39</v>
      </c>
      <c r="CV4" s="308" t="s">
        <v>601</v>
      </c>
      <c r="CW4" s="637" t="s">
        <v>604</v>
      </c>
      <c r="CX4" s="637" t="s">
        <v>19</v>
      </c>
      <c r="CY4" s="637" t="s">
        <v>167</v>
      </c>
      <c r="CZ4" s="637" t="s">
        <v>39</v>
      </c>
      <c r="DA4" s="308" t="s">
        <v>601</v>
      </c>
      <c r="DB4" s="637" t="s">
        <v>604</v>
      </c>
      <c r="DC4" s="637" t="s">
        <v>19</v>
      </c>
      <c r="DD4" s="637" t="s">
        <v>167</v>
      </c>
      <c r="DE4" s="637" t="s">
        <v>39</v>
      </c>
      <c r="DF4" s="308" t="s">
        <v>601</v>
      </c>
      <c r="DG4" s="637" t="s">
        <v>604</v>
      </c>
      <c r="DH4" s="637" t="s">
        <v>19</v>
      </c>
      <c r="DI4" s="637" t="s">
        <v>167</v>
      </c>
      <c r="DJ4" s="637" t="s">
        <v>39</v>
      </c>
      <c r="DK4" s="308" t="s">
        <v>601</v>
      </c>
      <c r="DL4" s="637" t="s">
        <v>604</v>
      </c>
      <c r="DM4" s="637" t="s">
        <v>19</v>
      </c>
      <c r="DN4" s="637" t="s">
        <v>167</v>
      </c>
      <c r="DO4" s="637" t="s">
        <v>39</v>
      </c>
      <c r="DP4" s="308" t="s">
        <v>601</v>
      </c>
      <c r="DQ4" s="637" t="s">
        <v>604</v>
      </c>
      <c r="DR4" s="637" t="s">
        <v>19</v>
      </c>
      <c r="DS4" s="637" t="s">
        <v>167</v>
      </c>
      <c r="DT4" s="637" t="s">
        <v>39</v>
      </c>
      <c r="DU4" s="308" t="s">
        <v>601</v>
      </c>
      <c r="DV4" s="637" t="s">
        <v>604</v>
      </c>
      <c r="DW4" s="637" t="s">
        <v>19</v>
      </c>
      <c r="DX4" s="637" t="s">
        <v>167</v>
      </c>
      <c r="DY4" s="637" t="s">
        <v>39</v>
      </c>
      <c r="DZ4" s="308" t="s">
        <v>601</v>
      </c>
      <c r="EA4" s="637" t="s">
        <v>604</v>
      </c>
      <c r="EB4" s="681" t="s">
        <v>13</v>
      </c>
      <c r="EC4" s="680" t="s">
        <v>5</v>
      </c>
      <c r="ED4" s="679"/>
      <c r="EE4" s="679"/>
      <c r="EF4" s="679"/>
      <c r="EG4" s="679"/>
      <c r="EH4" s="677"/>
      <c r="EI4" s="678"/>
      <c r="EK4" s="688"/>
      <c r="EL4" s="689"/>
      <c r="EM4" s="691"/>
      <c r="EN4" s="689"/>
      <c r="EO4" s="691"/>
      <c r="EP4" s="689"/>
      <c r="EQ4" s="691"/>
      <c r="ER4" s="689"/>
      <c r="ES4" s="691"/>
      <c r="ET4" s="693"/>
    </row>
    <row r="5" spans="1:150" s="290" customFormat="1" ht="27" customHeight="1" thickBot="1" x14ac:dyDescent="0.35">
      <c r="A5" s="639"/>
      <c r="B5" s="638"/>
      <c r="C5" s="638"/>
      <c r="D5" s="638"/>
      <c r="E5" s="638"/>
      <c r="F5" s="638"/>
      <c r="G5" s="638"/>
      <c r="H5" s="638"/>
      <c r="I5" s="638"/>
      <c r="J5" s="309" t="str">
        <f>IF(G6="","",100)</f>
        <v/>
      </c>
      <c r="K5" s="694"/>
      <c r="L5" s="638"/>
      <c r="M5" s="638"/>
      <c r="N5" s="638"/>
      <c r="O5" s="309" t="str">
        <f>IF(L6="","",100)</f>
        <v/>
      </c>
      <c r="P5" s="638"/>
      <c r="Q5" s="638"/>
      <c r="R5" s="638"/>
      <c r="S5" s="638"/>
      <c r="T5" s="309" t="str">
        <f>IF(Q6="","",100)</f>
        <v/>
      </c>
      <c r="U5" s="638"/>
      <c r="V5" s="638"/>
      <c r="W5" s="638"/>
      <c r="X5" s="638"/>
      <c r="Y5" s="309" t="str">
        <f>IF(V6="","",100)</f>
        <v/>
      </c>
      <c r="Z5" s="638"/>
      <c r="AA5" s="638"/>
      <c r="AB5" s="638"/>
      <c r="AC5" s="638"/>
      <c r="AD5" s="309" t="str">
        <f>IF(AA6="","",100)</f>
        <v/>
      </c>
      <c r="AE5" s="638"/>
      <c r="AF5" s="638"/>
      <c r="AG5" s="638"/>
      <c r="AH5" s="638"/>
      <c r="AI5" s="309" t="str">
        <f>IF(AF6="","",100)</f>
        <v/>
      </c>
      <c r="AJ5" s="638"/>
      <c r="AK5" s="638"/>
      <c r="AL5" s="638"/>
      <c r="AM5" s="638"/>
      <c r="AN5" s="309" t="str">
        <f>IF(AK6="","",100)</f>
        <v/>
      </c>
      <c r="AO5" s="638"/>
      <c r="AP5" s="638"/>
      <c r="AQ5" s="638"/>
      <c r="AR5" s="638"/>
      <c r="AS5" s="309" t="str">
        <f>IF(AP6="","",100)</f>
        <v/>
      </c>
      <c r="AT5" s="638"/>
      <c r="AU5" s="638"/>
      <c r="AV5" s="638"/>
      <c r="AW5" s="638"/>
      <c r="AX5" s="309" t="str">
        <f>IF(AU6="","",100)</f>
        <v/>
      </c>
      <c r="AY5" s="638"/>
      <c r="AZ5" s="638"/>
      <c r="BA5" s="638"/>
      <c r="BB5" s="638"/>
      <c r="BC5" s="309" t="str">
        <f>IF(AZ6="","",100)</f>
        <v/>
      </c>
      <c r="BD5" s="638"/>
      <c r="BE5" s="638"/>
      <c r="BF5" s="638"/>
      <c r="BG5" s="638"/>
      <c r="BH5" s="309" t="str">
        <f>IF(BE6="","",100)</f>
        <v/>
      </c>
      <c r="BI5" s="638"/>
      <c r="BJ5" s="638"/>
      <c r="BK5" s="638"/>
      <c r="BL5" s="638"/>
      <c r="BM5" s="309" t="str">
        <f>IF(BJ6="","",100)</f>
        <v/>
      </c>
      <c r="BN5" s="638"/>
      <c r="BO5" s="638"/>
      <c r="BP5" s="638"/>
      <c r="BQ5" s="638"/>
      <c r="BR5" s="309" t="str">
        <f>IF(BO6="","",100)</f>
        <v/>
      </c>
      <c r="BS5" s="638"/>
      <c r="BT5" s="638"/>
      <c r="BU5" s="638"/>
      <c r="BV5" s="638"/>
      <c r="BW5" s="309" t="str">
        <f>IF(BT6="","",100)</f>
        <v/>
      </c>
      <c r="BX5" s="638"/>
      <c r="BY5" s="638"/>
      <c r="BZ5" s="638"/>
      <c r="CA5" s="638"/>
      <c r="CB5" s="309" t="str">
        <f>IF(BY6="","",100)</f>
        <v/>
      </c>
      <c r="CC5" s="638"/>
      <c r="CD5" s="638"/>
      <c r="CE5" s="638"/>
      <c r="CF5" s="638"/>
      <c r="CG5" s="309" t="str">
        <f>IF(CD6="","",100)</f>
        <v/>
      </c>
      <c r="CH5" s="638"/>
      <c r="CI5" s="638"/>
      <c r="CJ5" s="638"/>
      <c r="CK5" s="638"/>
      <c r="CL5" s="309" t="str">
        <f>IF(CI6="","",100)</f>
        <v/>
      </c>
      <c r="CM5" s="638"/>
      <c r="CN5" s="638"/>
      <c r="CO5" s="638"/>
      <c r="CP5" s="638"/>
      <c r="CQ5" s="309" t="str">
        <f>IF(CN6="","",100)</f>
        <v/>
      </c>
      <c r="CR5" s="638"/>
      <c r="CS5" s="638"/>
      <c r="CT5" s="638"/>
      <c r="CU5" s="638"/>
      <c r="CV5" s="309" t="str">
        <f>IF(CS6="","",100)</f>
        <v/>
      </c>
      <c r="CW5" s="638"/>
      <c r="CX5" s="638"/>
      <c r="CY5" s="638"/>
      <c r="CZ5" s="638"/>
      <c r="DA5" s="309" t="str">
        <f>IF(CX6="","",100)</f>
        <v/>
      </c>
      <c r="DB5" s="638"/>
      <c r="DC5" s="638"/>
      <c r="DD5" s="638"/>
      <c r="DE5" s="638"/>
      <c r="DF5" s="309" t="str">
        <f>IF(DC6="","",100)</f>
        <v/>
      </c>
      <c r="DG5" s="638"/>
      <c r="DH5" s="638"/>
      <c r="DI5" s="638"/>
      <c r="DJ5" s="638"/>
      <c r="DK5" s="309" t="str">
        <f>IF(DH6="","",100)</f>
        <v/>
      </c>
      <c r="DL5" s="638"/>
      <c r="DM5" s="638"/>
      <c r="DN5" s="638"/>
      <c r="DO5" s="638"/>
      <c r="DP5" s="309" t="str">
        <f>IF(DM6="","",100)</f>
        <v/>
      </c>
      <c r="DQ5" s="638"/>
      <c r="DR5" s="638"/>
      <c r="DS5" s="638"/>
      <c r="DT5" s="638"/>
      <c r="DU5" s="309" t="str">
        <f>IF(DR6="","",100)</f>
        <v/>
      </c>
      <c r="DV5" s="638"/>
      <c r="DW5" s="638"/>
      <c r="DX5" s="638"/>
      <c r="DY5" s="638"/>
      <c r="DZ5" s="309" t="str">
        <f>IF(DW6="","",100)</f>
        <v/>
      </c>
      <c r="EA5" s="638"/>
      <c r="EB5" s="682"/>
      <c r="EC5" s="680"/>
      <c r="ED5" s="679"/>
      <c r="EE5" s="679"/>
      <c r="EF5" s="679"/>
      <c r="EG5" s="679"/>
      <c r="EH5" s="677"/>
      <c r="EI5" s="678"/>
      <c r="EK5" s="454" t="str">
        <f>IF(EL5="","",100)</f>
        <v/>
      </c>
      <c r="EL5" s="455" t="str">
        <f>IF(CreditEle1="","",IF(EK3="","",VLOOKUP(EK3,Subject!$B$3:$F$237,2,FALSE)))</f>
        <v/>
      </c>
      <c r="EM5" s="455" t="str">
        <f>IF(EN5="","",100)</f>
        <v/>
      </c>
      <c r="EN5" s="455" t="str">
        <f>IF(CreditEle1="","",IF(EM3="","",VLOOKUP(EM3,Subject!$B$3:$F$237,2,FALSE)))</f>
        <v/>
      </c>
      <c r="EO5" s="455" t="str">
        <f>IF(EP5="","",100)</f>
        <v/>
      </c>
      <c r="EP5" s="455" t="str">
        <f>IF(CreditEle1="","",IF(EO3="","",VLOOKUP(EO3,Subject!$B$3:$F$237,2,FALSE)))</f>
        <v/>
      </c>
      <c r="EQ5" s="455" t="str">
        <f>IF(ER5="","",100)</f>
        <v/>
      </c>
      <c r="ER5" s="455" t="str">
        <f>IF(CreditEle1="","",IF(EQ3="","",VLOOKUP(EQ3,Subject!$B$3:$F$237,2,FALSE)))</f>
        <v/>
      </c>
      <c r="ES5" s="455" t="str">
        <f>IF(ET5="","",100)</f>
        <v/>
      </c>
      <c r="ET5" s="455" t="str">
        <f>IF(CreditEle1="","",IF(ES3="","",VLOOKUP(ES3,Subject!$B$3:$F$217,2,FALSE)))</f>
        <v/>
      </c>
    </row>
    <row r="6" spans="1:150" s="14" customFormat="1" ht="21" customHeight="1" x14ac:dyDescent="0.4">
      <c r="A6" s="295">
        <v>1</v>
      </c>
      <c r="B6" s="295" t="str">
        <f>IF('2.ชื่อนักเรียน'!E11="","",CONCATENATE('2.ชื่อนักเรียน'!E11,'2.ชื่อนักเรียน'!F11,'2.ชื่อนักเรียน'!G11,'2.ชื่อนักเรียน'!H11,'2.ชื่อนักเรียน'!I11,'2.ชื่อนักเรียน'!J11,'2.ชื่อนักเรียน'!K11,'2.ชื่อนักเรียน'!L11,'2.ชื่อนักเรียน'!M11,'2.ชื่อนักเรียน'!N11,'2.ชื่อนักเรียน'!O11,'2.ชื่อนักเรียน'!P11,'2.ชื่อนักเรียน'!Q11,))</f>
        <v/>
      </c>
      <c r="C6" s="295" t="str">
        <f>IF(IDstu1="","",IDstu1)</f>
        <v/>
      </c>
      <c r="D6" s="497" t="str">
        <f>CONCATENATE(TRIM(Name1),"  ",Surname1)</f>
        <v xml:space="preserve">  </v>
      </c>
      <c r="E6" s="297" t="str">
        <f t="shared" ref="E6:E50" si="0">IF(B6="","",CONCATENATE("มัธยมศึกษาปีที่ ",Class))</f>
        <v/>
      </c>
      <c r="F6" s="295" t="str">
        <f t="shared" ref="F6:F50" si="1">IF(B6="","",Advisor)</f>
        <v/>
      </c>
      <c r="G6" s="295" t="str">
        <f t="shared" ref="G6:G50" si="2">IF(codegen1="","",IF($B6="","",codegen1))</f>
        <v/>
      </c>
      <c r="H6" s="296" t="str">
        <f t="shared" ref="H6:H50" si="3">IF(SubGen1="","",IF($B6="","",SubGen1))</f>
        <v/>
      </c>
      <c r="I6" s="295" t="str">
        <f t="shared" ref="I6:I50" si="4">IF(CreditGen1="","",IF($B6="","",CreditGen1))</f>
        <v/>
      </c>
      <c r="J6" s="300"/>
      <c r="K6" s="297" t="str">
        <f>IF(J6="","",IF(J6="ร","ร",IF(J6="มส","มส",IF(J6&gt;=80,4,IF(J6&gt;=75,3.5,IF(J6&gt;=70,3,IF(J6&gt;=65,2.5,IF(J6&gt;=60,2,IF(J6&gt;=55,1.5,IF(J6&gt;=50,1,0))))))))))</f>
        <v/>
      </c>
      <c r="L6" s="295" t="str">
        <f t="shared" ref="L6:L50" si="5">IF(codegen2="","",IF($B6="","",codegen2))</f>
        <v/>
      </c>
      <c r="M6" s="296" t="str">
        <f t="shared" ref="M6:M50" si="6">IF(SubGen2="","",IF($B6="","",SubGen2))</f>
        <v/>
      </c>
      <c r="N6" s="295" t="str">
        <f t="shared" ref="N6:N50" si="7">IF(CreditGen2="","",IF($B6="","",CreditGen2))</f>
        <v/>
      </c>
      <c r="O6" s="508"/>
      <c r="P6" s="297" t="str">
        <f>IF(O6="","",IF(O6="ร","ร",IF(O6="มส","มส",IF(O6&gt;=80,4,IF(O6&gt;=75,3.5,IF(O6&gt;=70,3,IF(O6&gt;=65,2.5,IF(O6&gt;=60,2,IF(O6&gt;=55,1.5,IF(O6&gt;=50,1,0))))))))))</f>
        <v/>
      </c>
      <c r="Q6" s="295" t="str">
        <f t="shared" ref="Q6:Q50" si="8">IF(codegen3="","",IF($B6="","",codegen3))</f>
        <v/>
      </c>
      <c r="R6" s="296" t="str">
        <f t="shared" ref="R6:R50" si="9">IF(SubGen3="","",IF($B6="","",SubGen3))</f>
        <v/>
      </c>
      <c r="S6" s="295" t="str">
        <f t="shared" ref="S6:S50" si="10">IF(CreditGen3="","",IF($B6="","",CreditGen3))</f>
        <v/>
      </c>
      <c r="T6" s="300"/>
      <c r="U6" s="297" t="str">
        <f>IF(T6="","",IF(T6="ร","ร",IF(T6="มส","มส",IF(T6&gt;=80,4,IF(T6&gt;=75,3.5,IF(T6&gt;=70,3,IF(T6&gt;=65,2.5,IF(T6&gt;=60,2,IF(T6&gt;=55,1.5,IF(T6&gt;=50,1,0))))))))))</f>
        <v/>
      </c>
      <c r="V6" s="295" t="str">
        <f t="shared" ref="V6:V50" si="11">IF(codegen4="","",IF($B6="","",codegen4))</f>
        <v/>
      </c>
      <c r="W6" s="296" t="str">
        <f t="shared" ref="W6:W50" si="12">IF(SubGen4="","",IF($B6="","",SubGen4))</f>
        <v/>
      </c>
      <c r="X6" s="295" t="str">
        <f t="shared" ref="X6:X50" si="13">IF(CreditGen4="","",IF($B6="","",CreditGen4))</f>
        <v/>
      </c>
      <c r="Y6" s="300"/>
      <c r="Z6" s="297" t="str">
        <f>IF(Y6="","",IF(Y6="ร","ร",IF(Y6="มส","มส",IF(Y6&gt;=80,4,IF(Y6&gt;=75,3.5,IF(Y6&gt;=70,3,IF(Y6&gt;=65,2.5,IF(Y6&gt;=60,2,IF(Y6&gt;=55,1.5,IF(Y6&gt;=50,1,0))))))))))</f>
        <v/>
      </c>
      <c r="AA6" s="295" t="str">
        <f t="shared" ref="AA6:AA50" si="14">IF(codegen5="","",IF($B6="","",codegen5))</f>
        <v/>
      </c>
      <c r="AB6" s="296" t="str">
        <f t="shared" ref="AB6:AB50" si="15">IF(SubGen5="","",IF($B6="","",SubGen5))</f>
        <v/>
      </c>
      <c r="AC6" s="295" t="str">
        <f t="shared" ref="AC6:AC50" si="16">IF(CreditGen5="","",IF($B6="","",CreditGen5))</f>
        <v/>
      </c>
      <c r="AD6" s="300"/>
      <c r="AE6" s="297" t="str">
        <f>IF(AD6="","",IF(AD6="ร","ร",IF(AD6="มส","มส",IF(AD6&gt;=80,4,IF(AD6&gt;=75,3.5,IF(AD6&gt;=70,3,IF(AD6&gt;=65,2.5,IF(AD6&gt;=60,2,IF(AD6&gt;=55,1.5,IF(AD6&gt;=50,1,0))))))))))</f>
        <v/>
      </c>
      <c r="AF6" s="295" t="str">
        <f t="shared" ref="AF6:AF50" si="17">IF(codegen6="","",IF($B6="","",codegen6))</f>
        <v/>
      </c>
      <c r="AG6" s="296" t="str">
        <f t="shared" ref="AG6:AG50" si="18">IF(SubGen6="","",IF($B6="","",SubGen6))</f>
        <v/>
      </c>
      <c r="AH6" s="295" t="str">
        <f t="shared" ref="AH6:AH50" si="19">IF(CreditGen6="","",IF($B6="","",CreditGen6))</f>
        <v/>
      </c>
      <c r="AI6" s="300"/>
      <c r="AJ6" s="297" t="str">
        <f>IF(AI6="","",IF(AI6="ร","ร",IF(AI6="มส","มส",IF(AI6&gt;=80,4,IF(AI6&gt;=75,3.5,IF(AI6&gt;=70,3,IF(AI6&gt;=65,2.5,IF(AI6&gt;=60,2,IF(AI6&gt;=55,1.5,IF(AI6&gt;=50,1,0))))))))))</f>
        <v/>
      </c>
      <c r="AK6" s="295" t="str">
        <f t="shared" ref="AK6:AK50" si="20">IF(codegen7="","",IF($B6="","",codegen7))</f>
        <v/>
      </c>
      <c r="AL6" s="296" t="str">
        <f t="shared" ref="AL6:AL50" si="21">IF(SubGen7="","",IF($B6="","",SubGen7))</f>
        <v/>
      </c>
      <c r="AM6" s="295" t="str">
        <f t="shared" ref="AM6:AM50" si="22">IF(CreditGen7="","",IF($B6="","",CreditGen7))</f>
        <v/>
      </c>
      <c r="AN6" s="300"/>
      <c r="AO6" s="297" t="str">
        <f>IF(AN6="","",IF(AN6="ร","ร",IF(AN6="มส","มส",IF(AN6&gt;=80,4,IF(AN6&gt;=75,3.5,IF(AN6&gt;=70,3,IF(AN6&gt;=65,2.5,IF(AN6&gt;=60,2,IF(AN6&gt;=55,1.5,IF(AN6&gt;=50,1,0))))))))))</f>
        <v/>
      </c>
      <c r="AP6" s="295" t="str">
        <f t="shared" ref="AP6:AP50" si="23">IF(codegen8="","",IF($B6="","",codegen8))</f>
        <v/>
      </c>
      <c r="AQ6" s="296" t="str">
        <f t="shared" ref="AQ6:AQ50" si="24">IF(SubGen8="","",IF($B6="","",SubGen8))</f>
        <v/>
      </c>
      <c r="AR6" s="295" t="str">
        <f t="shared" ref="AR6:AR50" si="25">IF(CreditGen8="","",IF($B6="","",CreditGen8))</f>
        <v/>
      </c>
      <c r="AS6" s="300"/>
      <c r="AT6" s="297" t="str">
        <f>IF(AS6="","",IF(AS6="ร","ร",IF(AS6="มส","มส",IF(AS6&gt;=80,4,IF(AS6&gt;=75,3.5,IF(AS6&gt;=70,3,IF(AS6&gt;=65,2.5,IF(AS6&gt;=60,2,IF(AS6&gt;=55,1.5,IF(AS6&gt;=50,1,0))))))))))</f>
        <v/>
      </c>
      <c r="AU6" s="295" t="str">
        <f t="shared" ref="AU6:AU50" si="26">IF(codegen9="","",IF($B6="","",codegen9))</f>
        <v/>
      </c>
      <c r="AV6" s="296" t="str">
        <f t="shared" ref="AV6:AV50" si="27">IF(SubGen9="","",IF($B6="","",SubGen9))</f>
        <v/>
      </c>
      <c r="AW6" s="295" t="str">
        <f t="shared" ref="AW6:AW50" si="28">IF(CreditGen9="","",IF($B6="","",CreditGen9))</f>
        <v/>
      </c>
      <c r="AX6" s="300"/>
      <c r="AY6" s="297" t="str">
        <f>IF(AX6="","",IF(AX6="ร","ร",IF(AX6="มส","มส",IF(AX6&gt;=80,4,IF(AX6&gt;=75,3.5,IF(AX6&gt;=70,3,IF(AX6&gt;=65,2.5,IF(AX6&gt;=60,2,IF(AX6&gt;=55,1.5,IF(AX6&gt;=50,1,0))))))))))</f>
        <v/>
      </c>
      <c r="AZ6" s="295" t="str">
        <f t="shared" ref="AZ6:AZ50" si="29">IF(codegen10="","",IF($B6="","",codegen10))</f>
        <v/>
      </c>
      <c r="BA6" s="296" t="str">
        <f t="shared" ref="BA6:BA50" si="30">IF(SubGen10="","",IF($B6="","",SubGen10))</f>
        <v/>
      </c>
      <c r="BB6" s="295" t="str">
        <f t="shared" ref="BB6:BB50" si="31">IF(CreditGen10="","",IF($B6="","",CreditGen10))</f>
        <v/>
      </c>
      <c r="BC6" s="300"/>
      <c r="BD6" s="297" t="str">
        <f>IF(BC6="","",IF(BC6="ร","ร",IF(BC6="มส","มส",IF(BC6&gt;=80,4,IF(BC6&gt;=75,3.5,IF(BC6&gt;=70,3,IF(BC6&gt;=65,2.5,IF(BC6&gt;=60,2,IF(BC6&gt;=55,1.5,IF(BC6&gt;=50,1,0))))))))))</f>
        <v/>
      </c>
      <c r="BE6" s="295" t="str">
        <f t="shared" ref="BE6:BE50" si="32">IF(codegen11="","",IF($B6="","",codegen11))</f>
        <v/>
      </c>
      <c r="BF6" s="296" t="str">
        <f t="shared" ref="BF6:BF50" si="33">IF(SubGen11="","",IF($B6="","",SubGen11))</f>
        <v/>
      </c>
      <c r="BG6" s="295" t="str">
        <f t="shared" ref="BG6:BG50" si="34">IF(CreditGen11="","",IF($B6="","",CreditGen11))</f>
        <v/>
      </c>
      <c r="BH6" s="300"/>
      <c r="BI6" s="297" t="str">
        <f>IF(BH6="","",IF(BH6="ร","ร",IF(BH6="มส","มส",IF(BH6&gt;=80,4,IF(BH6&gt;=75,3.5,IF(BH6&gt;=70,3,IF(BH6&gt;=65,2.5,IF(BH6&gt;=60,2,IF(BH6&gt;=55,1.5,IF(BH6&gt;=50,1,0))))))))))</f>
        <v/>
      </c>
      <c r="BJ6" s="295" t="str">
        <f t="shared" ref="BJ6:BJ50" si="35">IF(codegen12="","",IF($B6="","",codegen12))</f>
        <v/>
      </c>
      <c r="BK6" s="296" t="str">
        <f t="shared" ref="BK6:BK50" si="36">IF(SubGen12="","",IF($B6="","",SubGen12))</f>
        <v/>
      </c>
      <c r="BL6" s="295" t="str">
        <f t="shared" ref="BL6:BL50" si="37">IF(CreditGen12="","",IF($B6="","",CreditGen12))</f>
        <v/>
      </c>
      <c r="BM6" s="300"/>
      <c r="BN6" s="297" t="str">
        <f>IF(BM6="","",IF(BM6="ร","ร",IF(BM6="มส","มส",IF(BM6&gt;=80,4,IF(BM6&gt;=75,3.5,IF(BM6&gt;=70,3,IF(BM6&gt;=65,2.5,IF(BM6&gt;=60,2,IF(BM6&gt;=55,1.5,IF(BM6&gt;=50,1,0))))))))))</f>
        <v/>
      </c>
      <c r="BO6" s="295" t="str">
        <f t="shared" ref="BO6:BO50" si="38">IF(CodeEle1="","",IF($B6="","",CodeEle1))</f>
        <v/>
      </c>
      <c r="BP6" s="296" t="str">
        <f t="shared" ref="BP6:BP50" si="39">IF(SubEle1="","",IF($B6="","",SubEle1))</f>
        <v/>
      </c>
      <c r="BQ6" s="295" t="str">
        <f t="shared" ref="BQ6:BQ50" si="40">IF(CreditEle1="","",IF($B6="","",CreditEle1))</f>
        <v/>
      </c>
      <c r="BR6" s="300"/>
      <c r="BS6" s="297" t="str">
        <f>IF(BR6="","",IF(BR6="ร","ร",IF(BR6="มส","มส",IF(BR6&gt;=80,4,IF(BR6&gt;=75,3.5,IF(BR6&gt;=70,3,IF(BR6&gt;=65,2.5,IF(BR6&gt;=60,2,IF(BR6&gt;=55,1.5,IF(BR6&gt;=50,1,0))))))))))</f>
        <v/>
      </c>
      <c r="BT6" s="295" t="str">
        <f t="shared" ref="BT6:BT50" si="41">IF(CodeEle2="","",IF($B6="","",CodeEle2))</f>
        <v/>
      </c>
      <c r="BU6" s="296" t="str">
        <f t="shared" ref="BU6:BU50" si="42">IF(SubEle2="","",IF($B6="","",SubEle2))</f>
        <v/>
      </c>
      <c r="BV6" s="295" t="str">
        <f t="shared" ref="BV6:BV50" si="43">IF(CreditEle2="","",IF($B6="","",CreditEle2))</f>
        <v/>
      </c>
      <c r="BW6" s="300"/>
      <c r="BX6" s="297" t="str">
        <f>IF(BW6="","",IF(BW6="ร","ร",IF(BW6="มส","มส",IF(BW6&gt;=80,4,IF(BW6&gt;=75,3.5,IF(BW6&gt;=70,3,IF(BW6&gt;=65,2.5,IF(BW6&gt;=60,2,IF(BW6&gt;=55,1.5,IF(BW6&gt;=50,1,0))))))))))</f>
        <v/>
      </c>
      <c r="BY6" s="295" t="str">
        <f t="shared" ref="BY6:BY50" si="44">IF(CodeEle3="","",IF($B6="","",CodeEle3))</f>
        <v/>
      </c>
      <c r="BZ6" s="296" t="str">
        <f t="shared" ref="BZ6:BZ50" si="45">IF(SubEle3="","",IF($B6="","",SubEle3))</f>
        <v/>
      </c>
      <c r="CA6" s="295" t="str">
        <f t="shared" ref="CA6:CA50" si="46">IF(CreditEle3="","",IF($B6="","",CreditEle3))</f>
        <v/>
      </c>
      <c r="CB6" s="300"/>
      <c r="CC6" s="297" t="str">
        <f>IF(CB6="","",IF(CB6="ร","ร",IF(CB6="มส","มส",IF(CB6&gt;=80,4,IF(CB6&gt;=75,3.5,IF(CB6&gt;=70,3,IF(CB6&gt;=65,2.5,IF(CB6&gt;=60,2,IF(CB6&gt;=55,1.5,IF(CB6&gt;=50,1,0))))))))))</f>
        <v/>
      </c>
      <c r="CD6" s="295" t="str">
        <f t="shared" ref="CD6:CD50" si="47">IF(CodeEle4="","",IF($B6="","",CodeEle4))</f>
        <v/>
      </c>
      <c r="CE6" s="296" t="str">
        <f t="shared" ref="CE6:CE50" si="48">IF(SubEle4="","",IF($B6="","",SubEle4))</f>
        <v/>
      </c>
      <c r="CF6" s="295" t="str">
        <f t="shared" ref="CF6:CF50" si="49">IF(CreditEle4="","",IF($B6="","",CreditEle4))</f>
        <v/>
      </c>
      <c r="CG6" s="300"/>
      <c r="CH6" s="297" t="str">
        <f>IF(CG6="","",IF(CG6="ร","ร",IF(CG6="มส","มส",IF(CG6&gt;=80,4,IF(CG6&gt;=75,3.5,IF(CG6&gt;=70,3,IF(CG6&gt;=65,2.5,IF(CG6&gt;=60,2,IF(CG6&gt;=55,1.5,IF(CG6&gt;=50,1,0))))))))))</f>
        <v/>
      </c>
      <c r="CI6" s="295" t="str">
        <f t="shared" ref="CI6:CI50" si="50">IF(CodeEle5="","",IF($B6="","",CodeEle5))</f>
        <v/>
      </c>
      <c r="CJ6" s="296" t="str">
        <f t="shared" ref="CJ6:CJ50" si="51">IF(SubEle5="","",IF($B6="","",SubEle5))</f>
        <v/>
      </c>
      <c r="CK6" s="295" t="str">
        <f t="shared" ref="CK6:CK50" si="52">IF(CreditEle5="","",IF($B6="","",CreditEle5))</f>
        <v/>
      </c>
      <c r="CL6" s="300"/>
      <c r="CM6" s="297" t="str">
        <f>IF(CL6="","",IF(CL6="ร","ร",IF(CL6="มส","มส",IF(CL6&gt;=80,4,IF(CL6&gt;=75,3.5,IF(CL6&gt;=70,3,IF(CL6&gt;=65,2.5,IF(CL6&gt;=60,2,IF(CL6&gt;=55,1.5,IF(CL6&gt;=50,1,0))))))))))</f>
        <v/>
      </c>
      <c r="CN6" s="295" t="str">
        <f t="shared" ref="CN6:CN50" si="53">IF(CodeEle6="","",IF($B6="","",CodeEle6))</f>
        <v/>
      </c>
      <c r="CO6" s="296" t="str">
        <f t="shared" ref="CO6:CO50" si="54">IF(SubEle6="","",IF($B6="","",SubEle6))</f>
        <v/>
      </c>
      <c r="CP6" s="295" t="str">
        <f t="shared" ref="CP6:CP50" si="55">IF(CreditEle6="","",IF($B6="","",CreditEle6))</f>
        <v/>
      </c>
      <c r="CQ6" s="300"/>
      <c r="CR6" s="297" t="str">
        <f>IF(CQ6="","",IF(CQ6="ร","ร",IF(CQ6="มส","มส",IF(CQ6&gt;=80,4,IF(CQ6&gt;=75,3.5,IF(CQ6&gt;=70,3,IF(CQ6&gt;=65,2.5,IF(CQ6&gt;=60,2,IF(CQ6&gt;=55,1.5,IF(CQ6&gt;=50,1,0))))))))))</f>
        <v/>
      </c>
      <c r="CS6" s="295" t="str">
        <f t="shared" ref="CS6:CS50" si="56">IF(CodeEle7="","",IF($B6="","",CodeEle7))</f>
        <v/>
      </c>
      <c r="CT6" s="296" t="str">
        <f t="shared" ref="CT6:CT50" si="57">IF(SubEle7="","",IF($B6="","",SubEle7))</f>
        <v/>
      </c>
      <c r="CU6" s="295" t="str">
        <f t="shared" ref="CU6:CU50" si="58">IF(CreditEle7="","",IF($B6="","",CreditEle7))</f>
        <v/>
      </c>
      <c r="CV6" s="300"/>
      <c r="CW6" s="297" t="str">
        <f>IF(CV6="","",IF(CV6="ร","ร",IF(CV6="มส","มส",IF(CV6&gt;=80,4,IF(CV6&gt;=75,3.5,IF(CV6&gt;=70,3,IF(CV6&gt;=65,2.5,IF(CV6&gt;=60,2,IF(CV6&gt;=55,1.5,IF(CV6&gt;=50,1,0))))))))))</f>
        <v/>
      </c>
      <c r="CX6" s="295" t="str">
        <f t="shared" ref="CX6:CX50" si="59">IF(CodeEle8="","",IF($B6="","",CodeEle8))</f>
        <v/>
      </c>
      <c r="CY6" s="296" t="str">
        <f t="shared" ref="CY6:CY50" si="60">IF(SubEle8="","",IF($B6="","",SubEle8))</f>
        <v/>
      </c>
      <c r="CZ6" s="295" t="str">
        <f t="shared" ref="CZ6:CZ50" si="61">IF(CreditEle8="","",IF($B6="","",CreditEle8))</f>
        <v/>
      </c>
      <c r="DA6" s="300"/>
      <c r="DB6" s="297" t="str">
        <f>IF(DA6="","",IF(DA6="ร","ร",IF(DA6="มส","มส",IF(DA6&gt;=80,4,IF(DA6&gt;=75,3.5,IF(DA6&gt;=70,3,IF(DA6&gt;=65,2.5,IF(DA6&gt;=60,2,IF(DA6&gt;=55,1.5,IF(DA6&gt;=50,1,0))))))))))</f>
        <v/>
      </c>
      <c r="DC6" s="295" t="str">
        <f t="shared" ref="DC6:DC50" si="62">IF(CodeEle9="","",IF($B6="","",CodeEle9))</f>
        <v/>
      </c>
      <c r="DD6" s="296" t="str">
        <f t="shared" ref="DD6:DD50" si="63">IF(SubEle9="","",IF($B6="","",SubEle9))</f>
        <v/>
      </c>
      <c r="DE6" s="295" t="str">
        <f t="shared" ref="DE6:DE50" si="64">IF(CreditEle9="","",IF($B6="","",CreditEle9))</f>
        <v/>
      </c>
      <c r="DF6" s="300"/>
      <c r="DG6" s="297" t="str">
        <f>IF(DF6="","",IF(DF6="ร","ร",IF(DF6="มส","มส",IF(DF6&gt;=80,4,IF(DF6&gt;=75,3.5,IF(DF6&gt;=70,3,IF(DF6&gt;=65,2.5,IF(DF6&gt;=60,2,IF(DF6&gt;=55,1.5,IF(DF6&gt;=50,1,0))))))))))</f>
        <v/>
      </c>
      <c r="DH6" s="295" t="str">
        <f t="shared" ref="DH6:DH50" si="65">IF(CodeEle10="","",IF($B6="","",CodeEle10))</f>
        <v/>
      </c>
      <c r="DI6" s="296" t="str">
        <f t="shared" ref="DI6:DI50" si="66">IF(SubEle10="","",IF($B6="","",SubEle10))</f>
        <v/>
      </c>
      <c r="DJ6" s="295" t="str">
        <f t="shared" ref="DJ6:DJ50" si="67">IF(CreditEle10="","",IF($B6="","",CreditEle10))</f>
        <v/>
      </c>
      <c r="DK6" s="300"/>
      <c r="DL6" s="297" t="str">
        <f>IF(DK6="","",IF(DK6="ร","ร",IF(DK6="มส","มส",IF(DK6&gt;=80,4,IF(DK6&gt;=75,3.5,IF(DK6&gt;=70,3,IF(DK6&gt;=65,2.5,IF(DK6&gt;=60,2,IF(DK6&gt;=55,1.5,IF(DK6&gt;=50,1,0))))))))))</f>
        <v/>
      </c>
      <c r="DM6" s="295" t="str">
        <f t="shared" ref="DM6:DM50" si="68">IF(CodeEle11="","",IF($B6="","",CodeEle11))</f>
        <v/>
      </c>
      <c r="DN6" s="296" t="str">
        <f t="shared" ref="DN6:DN50" si="69">IF(SubEle11="","",IF($B6="","",SubEle11))</f>
        <v/>
      </c>
      <c r="DO6" s="295" t="str">
        <f t="shared" ref="DO6:DO50" si="70">IF(CreditEle11="","",IF($B6="","",CreditEle11))</f>
        <v/>
      </c>
      <c r="DP6" s="300"/>
      <c r="DQ6" s="297" t="str">
        <f>IF(DP6="","",IF(DP6="ร","ร",IF(DP6="มส","มส",IF(DP6&gt;=80,4,IF(DP6&gt;=75,3.5,IF(DP6&gt;=70,3,IF(DP6&gt;=65,2.5,IF(DP6&gt;=60,2,IF(DP6&gt;=55,1.5,IF(DP6&gt;=50,1,0))))))))))</f>
        <v/>
      </c>
      <c r="DR6" s="295" t="str">
        <f t="shared" ref="DR6:DR50" si="71">IF(CodeEle12="","",IF($B6="","",CodeEle12))</f>
        <v/>
      </c>
      <c r="DS6" s="296" t="str">
        <f t="shared" ref="DS6:DS50" si="72">IF(SubEle12="","",IF($B6="","",SubEle12))</f>
        <v/>
      </c>
      <c r="DT6" s="295" t="str">
        <f t="shared" ref="DT6:DT50" si="73">IF(CreditEle12="","",IF($B6="","",CreditEle12))</f>
        <v/>
      </c>
      <c r="DU6" s="300"/>
      <c r="DV6" s="297" t="str">
        <f>IF(DU6="","",IF(DU6="ร","ร",IF(DU6="มส","มส",IF(DU6&gt;=80,4,IF(DU6&gt;=75,3.5,IF(DU6&gt;=70,3,IF(DU6&gt;=65,2.5,IF(DU6&gt;=60,2,IF(DU6&gt;=55,1.5,IF(DU6&gt;=50,1,0))))))))))</f>
        <v/>
      </c>
      <c r="DW6" s="295" t="str">
        <f>IF('1.ข้อมูลเบื้องต้น'!$B$32="","",IF($B6="","",'1.ข้อมูลเบื้องต้น'!$B$32))</f>
        <v/>
      </c>
      <c r="DX6" s="296" t="str">
        <f>IF('1.ข้อมูลเบื้องต้น'!$C$32="","",IF($B6="","",'1.ข้อมูลเบื้องต้น'!$C$32))</f>
        <v/>
      </c>
      <c r="DY6" s="295" t="str">
        <f>IF('1.ข้อมูลเบื้องต้น'!$D$32="","",IF($B6="","",'1.ข้อมูลเบื้องต้น'!$D$32))</f>
        <v/>
      </c>
      <c r="DZ6" s="300"/>
      <c r="EA6" s="297" t="str">
        <f>IF(DZ6="","",IF(DZ6="ร","ร",IF(DZ6="มส","มส",IF(DZ6&gt;=80,4,IF(DZ6&gt;=75,3.5,IF(DZ6&gt;=70,3,IF(DZ6&gt;=65,2.5,IF(DZ6&gt;=60,2,IF(DZ6&gt;=55,1.5,IF(DZ6&gt;=50,1,0))))))))))</f>
        <v/>
      </c>
      <c r="EB6" s="386" t="str">
        <f>IF('6.1ประกาศผลปลายภาค'!AW9="","",'6.1ประกาศผลปลายภาค'!AW9)</f>
        <v/>
      </c>
      <c r="EC6" s="382" t="str">
        <f>IF('2.ชื่อนักเรียน'!R11="มส","มส",IF('2.ชื่อนักเรียน'!R11="ย้าย","ย้าย",IF('2.ชื่อนักเรียน'!R11="ร","ร",IF(EB6="","",RANK(EB6,$EB$6:$EB$50,0)))))</f>
        <v/>
      </c>
      <c r="ED6" s="388"/>
      <c r="EE6" s="388"/>
      <c r="EF6" s="388"/>
      <c r="EG6" s="388"/>
      <c r="EH6" s="295" t="str">
        <f>IF('2.ชื่อนักเรียน'!R11="มส","ไม่ผ่าน",IF('2.ชื่อนักเรียน'!R11="ย้าย","ย้าย",IF(COUNTA(ED6:EG6)&lt;4,"",IF(AND(ED6="ผ",EE6="ผ",EF6="ผ",EG6="ผ"),"ผ่าน","ไม่ผ่าน"))))</f>
        <v/>
      </c>
      <c r="EI6" s="300"/>
      <c r="EK6" s="456" t="str">
        <f t="shared" ref="EK6:EK50" si="74">IF($J6=",มส","มส",IF($D6="","",IF($EK$3="","",IF($EK$3="SBMLD",SUM($BR6,$BW6,$CB6,$CG6,$CL6,$CQ6,$CV6,$DA6,$DF6,$DK6,$DP6,$DU6),$BR6))))</f>
        <v/>
      </c>
      <c r="EL6" s="457" t="str">
        <f t="shared" ref="EL6:EL50" si="75">IF(EK6="","",IF(EK6="ร","ร",IF(EK6="มส","มส",IF(EK6&gt;=80,4,IF(EK6&gt;=75,3.5,IF(EK6&gt;=70,3,IF(EK6&gt;=65,2.5,IF(EK6&gt;=60,2,IF(EK6&gt;=55,1.5,IF(EK6&gt;=50,1,0))))))))))</f>
        <v/>
      </c>
      <c r="EM6" s="456" t="str">
        <f t="shared" ref="EM6:EM50" si="76">IF($J6=",มส","มส",IF($D6="","",IF($EM$3="","",IF($EM$3="SBMLD",SUM($BW6,$CB6,$CG6,$CL6,$CQ6,$CV6,$DA6,$DF6,$DK6,$DP6,$DU6),$BW6))))</f>
        <v/>
      </c>
      <c r="EN6" s="457" t="str">
        <f t="shared" ref="EN6:EN50" si="77">IF(EM6="","",IF(EM6="ร","ร",IF(EM6="มส","มส",IF(EM6&gt;=80,4,IF(EM6&gt;=75,3.5,IF(EM6&gt;=70,3,IF(EM6&gt;=65,2.5,IF(EM6&gt;=60,2,IF(EM6&gt;=55,1.5,IF(EM6&gt;=50,1,0))))))))))</f>
        <v/>
      </c>
      <c r="EO6" s="456" t="str">
        <f t="shared" ref="EO6:EO50" si="78">IF($J6=",มส","มส",IF($D6="","",IF($EO$3="","",IF($EO$3="SBMLD",SUM($CB6,$CG6,$CL6,$CQ6,$CV6,$DA6,$DF6,$DK6,$DP6,$DU6),$CB6))))</f>
        <v/>
      </c>
      <c r="EP6" s="457" t="str">
        <f t="shared" ref="EP6:EP50" si="79">IF(EO6="","",IF(EO6="ร","ร",IF(EO6="มส","มส",IF(EO6&gt;=80,4,IF(EO6&gt;=75,3.5,IF(EO6&gt;=70,3,IF(EO6&gt;=65,2.5,IF(EO6&gt;=60,2,IF(EO6&gt;=55,1.5,IF(EO6&gt;=50,1,0))))))))))</f>
        <v/>
      </c>
      <c r="EQ6" s="458" t="str">
        <f>IF($J6=",มส","มส",IF($D6="","",IF($EQ$3="","",IF($EQ$3="SBMLD",SUM($CG6,$CL6,$CQ6,$CV6,$DA6,$DF6,$DK6,$DP6,$DU6,$DZ6),$CG6))))</f>
        <v/>
      </c>
      <c r="ER6" s="457" t="str">
        <f>IF(EQ6="","",IF(EQ6="ร","ร",IF(EQ6="มส","มส",IF(EQ6&gt;=80,4,IF(EQ6&gt;=75,3.5,IF(EQ6&gt;=70,3,IF(EQ6&gt;=65,2.5,IF(EQ6&gt;=60,2,IF(EQ6&gt;=55,1.5,IF(EQ6&gt;=50,1,0))))))))))</f>
        <v/>
      </c>
      <c r="ES6" s="458" t="str">
        <f t="shared" ref="ES6:ES50" si="80">IF($J6=",มส","มส",IF($D6="","",IF($ES$3="","",IF($ES$3="SBMLD",SUM($CL6,$CQ6,$CV6,$DA6,$DF6,$DK6,$DP6,$DU6),$CL6))))</f>
        <v/>
      </c>
      <c r="ET6" s="457" t="str">
        <f t="shared" ref="ET6:ET50" si="81">IF(ES6="","",IF(ES6="ร","ร",IF(ES6="มส","มส",IF(ES6&gt;=80,4,IF(ES6&gt;=75,3.5,IF(ES6&gt;=70,3,IF(ES6&gt;=65,2.5,IF(ES6&gt;=60,2,IF(ES6&gt;=55,1.5,IF(ES6&gt;=50,1,0))))))))))</f>
        <v/>
      </c>
    </row>
    <row r="7" spans="1:150" s="14" customFormat="1" ht="21" x14ac:dyDescent="0.4">
      <c r="A7" s="295">
        <v>2</v>
      </c>
      <c r="B7" s="295" t="str">
        <f>IF('2.ชื่อนักเรียน'!E12="","",CONCATENATE('2.ชื่อนักเรียน'!E12,'2.ชื่อนักเรียน'!F12,'2.ชื่อนักเรียน'!G12,'2.ชื่อนักเรียน'!H12,'2.ชื่อนักเรียน'!I12,'2.ชื่อนักเรียน'!J12,'2.ชื่อนักเรียน'!K12,'2.ชื่อนักเรียน'!L12,'2.ชื่อนักเรียน'!M12,'2.ชื่อนักเรียน'!N12,'2.ชื่อนักเรียน'!O12,'2.ชื่อนักเรียน'!P12,'2.ชื่อนักเรียน'!Q12,))</f>
        <v/>
      </c>
      <c r="C7" s="295" t="str">
        <f>IF(IDstu2="","",IDstu2)</f>
        <v/>
      </c>
      <c r="D7" s="497" t="str">
        <f>CONCATENATE(TRIM(Name2),"  ",Surname2)</f>
        <v xml:space="preserve">  </v>
      </c>
      <c r="E7" s="297" t="str">
        <f t="shared" si="0"/>
        <v/>
      </c>
      <c r="F7" s="295" t="str">
        <f t="shared" si="1"/>
        <v/>
      </c>
      <c r="G7" s="295" t="str">
        <f t="shared" si="2"/>
        <v/>
      </c>
      <c r="H7" s="296" t="str">
        <f t="shared" si="3"/>
        <v/>
      </c>
      <c r="I7" s="295" t="str">
        <f t="shared" si="4"/>
        <v/>
      </c>
      <c r="J7" s="300"/>
      <c r="K7" s="297" t="str">
        <f t="shared" ref="K7:K50" si="82">IF(J7="","",IF(J7="ร","ร",IF(J7="มส","มส",IF(J7&gt;=80,4,IF(J7&gt;=75,3.5,IF(J7&gt;=70,3,IF(J7&gt;=65,2.5,IF(J7&gt;=60,2,IF(J7&gt;=55,1.5,IF(J7&gt;=50,1,0))))))))))</f>
        <v/>
      </c>
      <c r="L7" s="295" t="str">
        <f t="shared" si="5"/>
        <v/>
      </c>
      <c r="M7" s="296" t="str">
        <f t="shared" si="6"/>
        <v/>
      </c>
      <c r="N7" s="295" t="str">
        <f t="shared" si="7"/>
        <v/>
      </c>
      <c r="O7" s="508"/>
      <c r="P7" s="297" t="str">
        <f t="shared" ref="P7:P50" si="83">IF(O7="","",IF(O7="ร","ร",IF(O7="มส","มส",IF(O7&gt;=80,4,IF(O7&gt;=75,3.5,IF(O7&gt;=70,3,IF(O7&gt;=65,2.5,IF(O7&gt;=60,2,IF(O7&gt;=55,1.5,IF(O7&gt;=50,1,0))))))))))</f>
        <v/>
      </c>
      <c r="Q7" s="295" t="str">
        <f t="shared" si="8"/>
        <v/>
      </c>
      <c r="R7" s="296" t="str">
        <f t="shared" si="9"/>
        <v/>
      </c>
      <c r="S7" s="295" t="str">
        <f t="shared" si="10"/>
        <v/>
      </c>
      <c r="T7" s="300"/>
      <c r="U7" s="297" t="str">
        <f>IF(T7="","",IF(T7="ร","ร",IF(T7="มส","มส",IF(T7&gt;=80,4,IF(T7&gt;=75,3.5,IF(T7&gt;=70,3,IF(T7&gt;=65,2.5,IF(T7&gt;=60,2,IF(T7&gt;=55,1.5,IF(T7&gt;=50,1,0))))))))))</f>
        <v/>
      </c>
      <c r="V7" s="295" t="str">
        <f t="shared" si="11"/>
        <v/>
      </c>
      <c r="W7" s="296" t="str">
        <f t="shared" si="12"/>
        <v/>
      </c>
      <c r="X7" s="295" t="str">
        <f t="shared" si="13"/>
        <v/>
      </c>
      <c r="Y7" s="300"/>
      <c r="Z7" s="297" t="str">
        <f t="shared" ref="Z7:Z50" si="84">IF(Y7="","",IF(Y7="ร","ร",IF(Y7="มส","มส",IF(Y7&gt;=80,4,IF(Y7&gt;=75,3.5,IF(Y7&gt;=70,3,IF(Y7&gt;=65,2.5,IF(Y7&gt;=60,2,IF(Y7&gt;=55,1.5,IF(Y7&gt;=50,1,0))))))))))</f>
        <v/>
      </c>
      <c r="AA7" s="295" t="str">
        <f t="shared" si="14"/>
        <v/>
      </c>
      <c r="AB7" s="296" t="str">
        <f t="shared" si="15"/>
        <v/>
      </c>
      <c r="AC7" s="295" t="str">
        <f t="shared" si="16"/>
        <v/>
      </c>
      <c r="AD7" s="300"/>
      <c r="AE7" s="297" t="str">
        <f t="shared" ref="AE7:AE50" si="85">IF(AD7="","",IF(AD7="ร","ร",IF(AD7="มส","มส",IF(AD7&gt;=80,4,IF(AD7&gt;=75,3.5,IF(AD7&gt;=70,3,IF(AD7&gt;=65,2.5,IF(AD7&gt;=60,2,IF(AD7&gt;=55,1.5,IF(AD7&gt;=50,1,0))))))))))</f>
        <v/>
      </c>
      <c r="AF7" s="295" t="str">
        <f t="shared" si="17"/>
        <v/>
      </c>
      <c r="AG7" s="296" t="str">
        <f t="shared" si="18"/>
        <v/>
      </c>
      <c r="AH7" s="295" t="str">
        <f t="shared" si="19"/>
        <v/>
      </c>
      <c r="AI7" s="300"/>
      <c r="AJ7" s="297" t="str">
        <f t="shared" ref="AJ7:AJ50" si="86">IF(AI7="","",IF(AI7="ร","ร",IF(AI7="มส","มส",IF(AI7&gt;=80,4,IF(AI7&gt;=75,3.5,IF(AI7&gt;=70,3,IF(AI7&gt;=65,2.5,IF(AI7&gt;=60,2,IF(AI7&gt;=55,1.5,IF(AI7&gt;=50,1,0))))))))))</f>
        <v/>
      </c>
      <c r="AK7" s="295" t="str">
        <f t="shared" si="20"/>
        <v/>
      </c>
      <c r="AL7" s="296" t="str">
        <f t="shared" si="21"/>
        <v/>
      </c>
      <c r="AM7" s="295" t="str">
        <f t="shared" si="22"/>
        <v/>
      </c>
      <c r="AN7" s="300"/>
      <c r="AO7" s="297" t="str">
        <f t="shared" ref="AO7:AO50" si="87">IF(AN7="","",IF(AN7="ร","ร",IF(AN7="มส","มส",IF(AN7&gt;=80,4,IF(AN7&gt;=75,3.5,IF(AN7&gt;=70,3,IF(AN7&gt;=65,2.5,IF(AN7&gt;=60,2,IF(AN7&gt;=55,1.5,IF(AN7&gt;=50,1,0))))))))))</f>
        <v/>
      </c>
      <c r="AP7" s="295" t="str">
        <f t="shared" si="23"/>
        <v/>
      </c>
      <c r="AQ7" s="296" t="str">
        <f t="shared" si="24"/>
        <v/>
      </c>
      <c r="AR7" s="295" t="str">
        <f t="shared" si="25"/>
        <v/>
      </c>
      <c r="AS7" s="300"/>
      <c r="AT7" s="297" t="str">
        <f t="shared" ref="AT7:AT50" si="88">IF(AS7="","",IF(AS7="ร","ร",IF(AS7="มส","มส",IF(AS7&gt;=80,4,IF(AS7&gt;=75,3.5,IF(AS7&gt;=70,3,IF(AS7&gt;=65,2.5,IF(AS7&gt;=60,2,IF(AS7&gt;=55,1.5,IF(AS7&gt;=50,1,0))))))))))</f>
        <v/>
      </c>
      <c r="AU7" s="295" t="str">
        <f t="shared" si="26"/>
        <v/>
      </c>
      <c r="AV7" s="296" t="str">
        <f t="shared" si="27"/>
        <v/>
      </c>
      <c r="AW7" s="295" t="str">
        <f t="shared" si="28"/>
        <v/>
      </c>
      <c r="AX7" s="300"/>
      <c r="AY7" s="297" t="str">
        <f t="shared" ref="AY7:AY50" si="89">IF(AX7="","",IF(AX7="ร","ร",IF(AX7="มส","มส",IF(AX7&gt;=80,4,IF(AX7&gt;=75,3.5,IF(AX7&gt;=70,3,IF(AX7&gt;=65,2.5,IF(AX7&gt;=60,2,IF(AX7&gt;=55,1.5,IF(AX7&gt;=50,1,0))))))))))</f>
        <v/>
      </c>
      <c r="AZ7" s="295" t="str">
        <f t="shared" si="29"/>
        <v/>
      </c>
      <c r="BA7" s="296" t="str">
        <f t="shared" si="30"/>
        <v/>
      </c>
      <c r="BB7" s="295" t="str">
        <f t="shared" si="31"/>
        <v/>
      </c>
      <c r="BC7" s="300"/>
      <c r="BD7" s="297" t="str">
        <f t="shared" ref="BD7:BD50" si="90">IF(BC7="","",IF(BC7="ร","ร",IF(BC7="มส","มส",IF(BC7&gt;=80,4,IF(BC7&gt;=75,3.5,IF(BC7&gt;=70,3,IF(BC7&gt;=65,2.5,IF(BC7&gt;=60,2,IF(BC7&gt;=55,1.5,IF(BC7&gt;=50,1,0))))))))))</f>
        <v/>
      </c>
      <c r="BE7" s="295" t="str">
        <f t="shared" si="32"/>
        <v/>
      </c>
      <c r="BF7" s="296" t="str">
        <f t="shared" si="33"/>
        <v/>
      </c>
      <c r="BG7" s="295" t="str">
        <f t="shared" si="34"/>
        <v/>
      </c>
      <c r="BH7" s="300"/>
      <c r="BI7" s="297" t="str">
        <f t="shared" ref="BI7:BI50" si="91">IF(BH7="","",IF(BH7="ร","ร",IF(BH7="มส","มส",IF(BH7&gt;=80,4,IF(BH7&gt;=75,3.5,IF(BH7&gt;=70,3,IF(BH7&gt;=65,2.5,IF(BH7&gt;=60,2,IF(BH7&gt;=55,1.5,IF(BH7&gt;=50,1,0))))))))))</f>
        <v/>
      </c>
      <c r="BJ7" s="295" t="str">
        <f t="shared" si="35"/>
        <v/>
      </c>
      <c r="BK7" s="296" t="str">
        <f t="shared" si="36"/>
        <v/>
      </c>
      <c r="BL7" s="295" t="str">
        <f t="shared" si="37"/>
        <v/>
      </c>
      <c r="BM7" s="300"/>
      <c r="BN7" s="297" t="str">
        <f t="shared" ref="BN7:BN50" si="92">IF(BM7="","",IF(BM7="ร","ร",IF(BM7="มส","มส",IF(BM7&gt;=80,4,IF(BM7&gt;=75,3.5,IF(BM7&gt;=70,3,IF(BM7&gt;=65,2.5,IF(BM7&gt;=60,2,IF(BM7&gt;=55,1.5,IF(BM7&gt;=50,1,0))))))))))</f>
        <v/>
      </c>
      <c r="BO7" s="295" t="str">
        <f t="shared" si="38"/>
        <v/>
      </c>
      <c r="BP7" s="296" t="str">
        <f t="shared" si="39"/>
        <v/>
      </c>
      <c r="BQ7" s="295" t="str">
        <f t="shared" si="40"/>
        <v/>
      </c>
      <c r="BR7" s="300"/>
      <c r="BS7" s="297" t="str">
        <f t="shared" ref="BS7:BS50" si="93">IF(BR7="","",IF(BR7="ร","ร",IF(BR7="มส","มส",IF(BR7&gt;=80,4,IF(BR7&gt;=75,3.5,IF(BR7&gt;=70,3,IF(BR7&gt;=65,2.5,IF(BR7&gt;=60,2,IF(BR7&gt;=55,1.5,IF(BR7&gt;=50,1,0))))))))))</f>
        <v/>
      </c>
      <c r="BT7" s="295" t="str">
        <f t="shared" si="41"/>
        <v/>
      </c>
      <c r="BU7" s="296" t="str">
        <f t="shared" si="42"/>
        <v/>
      </c>
      <c r="BV7" s="295" t="str">
        <f t="shared" si="43"/>
        <v/>
      </c>
      <c r="BW7" s="300"/>
      <c r="BX7" s="297" t="str">
        <f t="shared" ref="BX7:BX50" si="94">IF(BW7="","",IF(BW7="ร","ร",IF(BW7="มส","มส",IF(BW7&gt;=80,4,IF(BW7&gt;=75,3.5,IF(BW7&gt;=70,3,IF(BW7&gt;=65,2.5,IF(BW7&gt;=60,2,IF(BW7&gt;=55,1.5,IF(BW7&gt;=50,1,0))))))))))</f>
        <v/>
      </c>
      <c r="BY7" s="295" t="str">
        <f t="shared" si="44"/>
        <v/>
      </c>
      <c r="BZ7" s="296" t="str">
        <f t="shared" si="45"/>
        <v/>
      </c>
      <c r="CA7" s="295" t="str">
        <f t="shared" si="46"/>
        <v/>
      </c>
      <c r="CB7" s="300"/>
      <c r="CC7" s="297" t="str">
        <f t="shared" ref="CC7:CC50" si="95">IF(CB7="","",IF(CB7="ร","ร",IF(CB7="มส","มส",IF(CB7&gt;=80,4,IF(CB7&gt;=75,3.5,IF(CB7&gt;=70,3,IF(CB7&gt;=65,2.5,IF(CB7&gt;=60,2,IF(CB7&gt;=55,1.5,IF(CB7&gt;=50,1,0))))))))))</f>
        <v/>
      </c>
      <c r="CD7" s="295" t="str">
        <f t="shared" si="47"/>
        <v/>
      </c>
      <c r="CE7" s="296" t="str">
        <f t="shared" si="48"/>
        <v/>
      </c>
      <c r="CF7" s="295" t="str">
        <f t="shared" si="49"/>
        <v/>
      </c>
      <c r="CG7" s="300"/>
      <c r="CH7" s="297" t="str">
        <f t="shared" ref="CH7:CH50" si="96">IF(CG7="","",IF(CG7="ร","ร",IF(CG7="มส","มส",IF(CG7&gt;=80,4,IF(CG7&gt;=75,3.5,IF(CG7&gt;=70,3,IF(CG7&gt;=65,2.5,IF(CG7&gt;=60,2,IF(CG7&gt;=55,1.5,IF(CG7&gt;=50,1,0))))))))))</f>
        <v/>
      </c>
      <c r="CI7" s="295" t="str">
        <f t="shared" si="50"/>
        <v/>
      </c>
      <c r="CJ7" s="296" t="str">
        <f t="shared" si="51"/>
        <v/>
      </c>
      <c r="CK7" s="295" t="str">
        <f t="shared" si="52"/>
        <v/>
      </c>
      <c r="CL7" s="300"/>
      <c r="CM7" s="297" t="str">
        <f t="shared" ref="CM7:CM50" si="97">IF(CL7="","",IF(CL7="ร","ร",IF(CL7="มส","มส",IF(CL7&gt;=80,4,IF(CL7&gt;=75,3.5,IF(CL7&gt;=70,3,IF(CL7&gt;=65,2.5,IF(CL7&gt;=60,2,IF(CL7&gt;=55,1.5,IF(CL7&gt;=50,1,0))))))))))</f>
        <v/>
      </c>
      <c r="CN7" s="295" t="str">
        <f t="shared" si="53"/>
        <v/>
      </c>
      <c r="CO7" s="296" t="str">
        <f t="shared" si="54"/>
        <v/>
      </c>
      <c r="CP7" s="295" t="str">
        <f t="shared" si="55"/>
        <v/>
      </c>
      <c r="CQ7" s="300"/>
      <c r="CR7" s="297" t="str">
        <f t="shared" ref="CR7:CR50" si="98">IF(CQ7="","",IF(CQ7="ร","ร",IF(CQ7="มส","มส",IF(CQ7&gt;=80,4,IF(CQ7&gt;=75,3.5,IF(CQ7&gt;=70,3,IF(CQ7&gt;=65,2.5,IF(CQ7&gt;=60,2,IF(CQ7&gt;=55,1.5,IF(CQ7&gt;=50,1,0))))))))))</f>
        <v/>
      </c>
      <c r="CS7" s="295" t="str">
        <f t="shared" si="56"/>
        <v/>
      </c>
      <c r="CT7" s="296" t="str">
        <f t="shared" si="57"/>
        <v/>
      </c>
      <c r="CU7" s="295" t="str">
        <f t="shared" si="58"/>
        <v/>
      </c>
      <c r="CV7" s="300"/>
      <c r="CW7" s="297" t="str">
        <f t="shared" ref="CW7:CW50" si="99">IF(CV7="","",IF(CV7="ร","ร",IF(CV7="มส","มส",IF(CV7&gt;=80,4,IF(CV7&gt;=75,3.5,IF(CV7&gt;=70,3,IF(CV7&gt;=65,2.5,IF(CV7&gt;=60,2,IF(CV7&gt;=55,1.5,IF(CV7&gt;=50,1,0))))))))))</f>
        <v/>
      </c>
      <c r="CX7" s="295" t="str">
        <f t="shared" si="59"/>
        <v/>
      </c>
      <c r="CY7" s="296" t="str">
        <f t="shared" si="60"/>
        <v/>
      </c>
      <c r="CZ7" s="295" t="str">
        <f t="shared" si="61"/>
        <v/>
      </c>
      <c r="DA7" s="300"/>
      <c r="DB7" s="297" t="str">
        <f t="shared" ref="DB7:DB50" si="100">IF(DA7="","",IF(DA7="ร","ร",IF(DA7="มส","มส",IF(DA7&gt;=80,4,IF(DA7&gt;=75,3.5,IF(DA7&gt;=70,3,IF(DA7&gt;=65,2.5,IF(DA7&gt;=60,2,IF(DA7&gt;=55,1.5,IF(DA7&gt;=50,1,0))))))))))</f>
        <v/>
      </c>
      <c r="DC7" s="295" t="str">
        <f t="shared" si="62"/>
        <v/>
      </c>
      <c r="DD7" s="296" t="str">
        <f t="shared" si="63"/>
        <v/>
      </c>
      <c r="DE7" s="295" t="str">
        <f t="shared" si="64"/>
        <v/>
      </c>
      <c r="DF7" s="300"/>
      <c r="DG7" s="297" t="str">
        <f t="shared" ref="DG7:DG50" si="101">IF(DF7="","",IF(DF7="ร","ร",IF(DF7="มส","มส",IF(DF7&gt;=80,4,IF(DF7&gt;=75,3.5,IF(DF7&gt;=70,3,IF(DF7&gt;=65,2.5,IF(DF7&gt;=60,2,IF(DF7&gt;=55,1.5,IF(DF7&gt;=50,1,0))))))))))</f>
        <v/>
      </c>
      <c r="DH7" s="295" t="str">
        <f t="shared" si="65"/>
        <v/>
      </c>
      <c r="DI7" s="296" t="str">
        <f t="shared" si="66"/>
        <v/>
      </c>
      <c r="DJ7" s="295" t="str">
        <f t="shared" si="67"/>
        <v/>
      </c>
      <c r="DK7" s="300"/>
      <c r="DL7" s="297" t="str">
        <f t="shared" ref="DL7:DL50" si="102">IF(DK7="","",IF(DK7="ร","ร",IF(DK7="มส","มส",IF(DK7&gt;=80,4,IF(DK7&gt;=75,3.5,IF(DK7&gt;=70,3,IF(DK7&gt;=65,2.5,IF(DK7&gt;=60,2,IF(DK7&gt;=55,1.5,IF(DK7&gt;=50,1,0))))))))))</f>
        <v/>
      </c>
      <c r="DM7" s="295" t="str">
        <f t="shared" si="68"/>
        <v/>
      </c>
      <c r="DN7" s="296" t="str">
        <f t="shared" si="69"/>
        <v/>
      </c>
      <c r="DO7" s="295" t="str">
        <f t="shared" si="70"/>
        <v/>
      </c>
      <c r="DP7" s="300"/>
      <c r="DQ7" s="297" t="str">
        <f t="shared" ref="DQ7:DQ50" si="103">IF(DP7="","",IF(DP7="ร","ร",IF(DP7="มส","มส",IF(DP7&gt;=80,4,IF(DP7&gt;=75,3.5,IF(DP7&gt;=70,3,IF(DP7&gt;=65,2.5,IF(DP7&gt;=60,2,IF(DP7&gt;=55,1.5,IF(DP7&gt;=50,1,0))))))))))</f>
        <v/>
      </c>
      <c r="DR7" s="295" t="str">
        <f t="shared" si="71"/>
        <v/>
      </c>
      <c r="DS7" s="296" t="str">
        <f t="shared" si="72"/>
        <v/>
      </c>
      <c r="DT7" s="295" t="str">
        <f t="shared" si="73"/>
        <v/>
      </c>
      <c r="DU7" s="300"/>
      <c r="DV7" s="297" t="str">
        <f t="shared" ref="DV7:DV50" si="104">IF(DU7="","",IF(DU7="ร","ร",IF(DU7="มส","มส",IF(DU7&gt;=80,4,IF(DU7&gt;=75,3.5,IF(DU7&gt;=70,3,IF(DU7&gt;=65,2.5,IF(DU7&gt;=60,2,IF(DU7&gt;=55,1.5,IF(DU7&gt;=50,1,0))))))))))</f>
        <v/>
      </c>
      <c r="DW7" s="295" t="str">
        <f>IF('1.ข้อมูลเบื้องต้น'!$B$32="","",IF($B7="","",'1.ข้อมูลเบื้องต้น'!$B$32))</f>
        <v/>
      </c>
      <c r="DX7" s="296" t="str">
        <f>IF('1.ข้อมูลเบื้องต้น'!$C$32="","",IF($B7="","",'1.ข้อมูลเบื้องต้น'!$C$32))</f>
        <v/>
      </c>
      <c r="DY7" s="295" t="str">
        <f>IF('1.ข้อมูลเบื้องต้น'!$D$32="","",IF($B7="","",'1.ข้อมูลเบื้องต้น'!$D$32))</f>
        <v/>
      </c>
      <c r="DZ7" s="300"/>
      <c r="EA7" s="297" t="str">
        <f t="shared" ref="EA7:EA50" si="105">IF(DZ7="","",IF(DZ7="ร","ร",IF(DZ7="มส","มส",IF(DZ7&gt;=80,4,IF(DZ7&gt;=75,3.5,IF(DZ7&gt;=70,3,IF(DZ7&gt;=65,2.5,IF(DZ7&gt;=60,2,IF(DZ7&gt;=55,1.5,IF(DZ7&gt;=50,1,0))))))))))</f>
        <v/>
      </c>
      <c r="EB7" s="386" t="str">
        <f>IF('6.1ประกาศผลปลายภาค'!AW10="","",'6.1ประกาศผลปลายภาค'!AW10)</f>
        <v/>
      </c>
      <c r="EC7" s="382" t="str">
        <f>IF('2.ชื่อนักเรียน'!R12="มส","มส",IF('2.ชื่อนักเรียน'!R12="ย้าย","ย้าย",IF('2.ชื่อนักเรียน'!R12="ร","ร",IF(EB7="","",RANK(EB7,$EB$6:$EB$50,0)))))</f>
        <v/>
      </c>
      <c r="ED7" s="388"/>
      <c r="EE7" s="388"/>
      <c r="EF7" s="388"/>
      <c r="EG7" s="388"/>
      <c r="EH7" s="295" t="str">
        <f>IF('2.ชื่อนักเรียน'!R12="มส","ไม่ผ่าน",IF('2.ชื่อนักเรียน'!R12="ย้าย","ย้าย",IF(COUNTA(ED7:EG7)&lt;4,"",IF(AND(ED7="ผ",EE7="ผ",EF7="ผ",EG7="ผ"),"ผ่าน","ไม่ผ่าน"))))</f>
        <v/>
      </c>
      <c r="EI7" s="300"/>
      <c r="EK7" s="459" t="str">
        <f t="shared" si="74"/>
        <v/>
      </c>
      <c r="EL7" s="460" t="str">
        <f t="shared" si="75"/>
        <v/>
      </c>
      <c r="EM7" s="461" t="str">
        <f t="shared" si="76"/>
        <v/>
      </c>
      <c r="EN7" s="460" t="str">
        <f t="shared" si="77"/>
        <v/>
      </c>
      <c r="EO7" s="461" t="str">
        <f t="shared" si="78"/>
        <v/>
      </c>
      <c r="EP7" s="460" t="str">
        <f t="shared" si="79"/>
        <v/>
      </c>
      <c r="EQ7" s="461" t="str">
        <f t="shared" ref="EQ7:EQ50" si="106">IF($J7=",มส","มส",IF($D7="","",IF($EQ$3="","",IF($EQ$3="SBMLD",SUM($CG7,$CL7,$CQ7,$CV7,$DA7,$DF7,$DK7,$DP7,$DU7,$DZ7),$CG7))))</f>
        <v/>
      </c>
      <c r="ER7" s="460" t="str">
        <f t="shared" ref="ER7:ER50" si="107">IF(EQ7="","",IF(EQ7="ร","ร",IF(EQ7="มส","มส",IF(EQ7&gt;=80,4,IF(EQ7&gt;=75,3.5,IF(EQ7&gt;=70,3,IF(EQ7&gt;=65,2.5,IF(EQ7&gt;=60,2,IF(EQ7&gt;=55,1.5,IF(EQ7&gt;=50,1,0))))))))))</f>
        <v/>
      </c>
      <c r="ES7" s="461" t="str">
        <f t="shared" si="80"/>
        <v/>
      </c>
      <c r="ET7" s="460" t="str">
        <f t="shared" si="81"/>
        <v/>
      </c>
    </row>
    <row r="8" spans="1:150" s="14" customFormat="1" ht="21" x14ac:dyDescent="0.4">
      <c r="A8" s="295">
        <v>3</v>
      </c>
      <c r="B8" s="295" t="str">
        <f>IF('2.ชื่อนักเรียน'!E13="","",CONCATENATE('2.ชื่อนักเรียน'!E13,'2.ชื่อนักเรียน'!F13,'2.ชื่อนักเรียน'!G13,'2.ชื่อนักเรียน'!H13,'2.ชื่อนักเรียน'!I13,'2.ชื่อนักเรียน'!J13,'2.ชื่อนักเรียน'!K13,'2.ชื่อนักเรียน'!L13,'2.ชื่อนักเรียน'!M13,'2.ชื่อนักเรียน'!N13,'2.ชื่อนักเรียน'!O13,'2.ชื่อนักเรียน'!P13,'2.ชื่อนักเรียน'!Q13,))</f>
        <v/>
      </c>
      <c r="C8" s="295" t="str">
        <f>IF(IDstu3="","",IDstu3)</f>
        <v/>
      </c>
      <c r="D8" s="497" t="str">
        <f>CONCATENATE(TRIM(Name3),"  ",Surname3)</f>
        <v xml:space="preserve">  </v>
      </c>
      <c r="E8" s="297" t="str">
        <f t="shared" si="0"/>
        <v/>
      </c>
      <c r="F8" s="295" t="str">
        <f t="shared" si="1"/>
        <v/>
      </c>
      <c r="G8" s="295" t="str">
        <f t="shared" si="2"/>
        <v/>
      </c>
      <c r="H8" s="296" t="str">
        <f t="shared" si="3"/>
        <v/>
      </c>
      <c r="I8" s="295" t="str">
        <f t="shared" si="4"/>
        <v/>
      </c>
      <c r="J8" s="300"/>
      <c r="K8" s="297" t="str">
        <f t="shared" si="82"/>
        <v/>
      </c>
      <c r="L8" s="295" t="str">
        <f t="shared" si="5"/>
        <v/>
      </c>
      <c r="M8" s="296" t="str">
        <f t="shared" si="6"/>
        <v/>
      </c>
      <c r="N8" s="295" t="str">
        <f t="shared" si="7"/>
        <v/>
      </c>
      <c r="O8" s="508"/>
      <c r="P8" s="297" t="str">
        <f t="shared" si="83"/>
        <v/>
      </c>
      <c r="Q8" s="295" t="str">
        <f t="shared" si="8"/>
        <v/>
      </c>
      <c r="R8" s="296" t="str">
        <f t="shared" si="9"/>
        <v/>
      </c>
      <c r="S8" s="295" t="str">
        <f t="shared" si="10"/>
        <v/>
      </c>
      <c r="T8" s="300"/>
      <c r="U8" s="297" t="str">
        <f t="shared" ref="U8:U50" si="108">IF(T8="","",IF(T8="ร","ร",IF(T8="มส","มส",IF(T8&gt;=80,4,IF(T8&gt;=75,3.5,IF(T8&gt;=70,3,IF(T8&gt;=65,2.5,IF(T8&gt;=60,2,IF(T8&gt;=55,1.5,IF(T8&gt;=50,1,0))))))))))</f>
        <v/>
      </c>
      <c r="V8" s="295" t="str">
        <f t="shared" si="11"/>
        <v/>
      </c>
      <c r="W8" s="296" t="str">
        <f t="shared" si="12"/>
        <v/>
      </c>
      <c r="X8" s="295" t="str">
        <f t="shared" si="13"/>
        <v/>
      </c>
      <c r="Y8" s="300"/>
      <c r="Z8" s="297" t="str">
        <f t="shared" si="84"/>
        <v/>
      </c>
      <c r="AA8" s="295" t="str">
        <f t="shared" si="14"/>
        <v/>
      </c>
      <c r="AB8" s="296" t="str">
        <f t="shared" si="15"/>
        <v/>
      </c>
      <c r="AC8" s="295" t="str">
        <f t="shared" si="16"/>
        <v/>
      </c>
      <c r="AD8" s="300"/>
      <c r="AE8" s="297" t="str">
        <f t="shared" si="85"/>
        <v/>
      </c>
      <c r="AF8" s="295" t="str">
        <f t="shared" si="17"/>
        <v/>
      </c>
      <c r="AG8" s="296" t="str">
        <f t="shared" si="18"/>
        <v/>
      </c>
      <c r="AH8" s="295" t="str">
        <f t="shared" si="19"/>
        <v/>
      </c>
      <c r="AI8" s="300"/>
      <c r="AJ8" s="297" t="str">
        <f t="shared" si="86"/>
        <v/>
      </c>
      <c r="AK8" s="295" t="str">
        <f t="shared" si="20"/>
        <v/>
      </c>
      <c r="AL8" s="296" t="str">
        <f t="shared" si="21"/>
        <v/>
      </c>
      <c r="AM8" s="295" t="str">
        <f t="shared" si="22"/>
        <v/>
      </c>
      <c r="AN8" s="300"/>
      <c r="AO8" s="297" t="str">
        <f t="shared" si="87"/>
        <v/>
      </c>
      <c r="AP8" s="295" t="str">
        <f t="shared" si="23"/>
        <v/>
      </c>
      <c r="AQ8" s="296" t="str">
        <f t="shared" si="24"/>
        <v/>
      </c>
      <c r="AR8" s="295" t="str">
        <f t="shared" si="25"/>
        <v/>
      </c>
      <c r="AS8" s="300"/>
      <c r="AT8" s="297" t="str">
        <f t="shared" si="88"/>
        <v/>
      </c>
      <c r="AU8" s="295" t="str">
        <f t="shared" si="26"/>
        <v/>
      </c>
      <c r="AV8" s="296" t="str">
        <f t="shared" si="27"/>
        <v/>
      </c>
      <c r="AW8" s="295" t="str">
        <f t="shared" si="28"/>
        <v/>
      </c>
      <c r="AX8" s="300"/>
      <c r="AY8" s="297" t="str">
        <f t="shared" si="89"/>
        <v/>
      </c>
      <c r="AZ8" s="295" t="str">
        <f t="shared" si="29"/>
        <v/>
      </c>
      <c r="BA8" s="296" t="str">
        <f t="shared" si="30"/>
        <v/>
      </c>
      <c r="BB8" s="295" t="str">
        <f t="shared" si="31"/>
        <v/>
      </c>
      <c r="BC8" s="300"/>
      <c r="BD8" s="297" t="str">
        <f t="shared" si="90"/>
        <v/>
      </c>
      <c r="BE8" s="295" t="str">
        <f t="shared" si="32"/>
        <v/>
      </c>
      <c r="BF8" s="296" t="str">
        <f t="shared" si="33"/>
        <v/>
      </c>
      <c r="BG8" s="295" t="str">
        <f t="shared" si="34"/>
        <v/>
      </c>
      <c r="BH8" s="300"/>
      <c r="BI8" s="297" t="str">
        <f t="shared" si="91"/>
        <v/>
      </c>
      <c r="BJ8" s="295" t="str">
        <f t="shared" si="35"/>
        <v/>
      </c>
      <c r="BK8" s="296" t="str">
        <f t="shared" si="36"/>
        <v/>
      </c>
      <c r="BL8" s="295" t="str">
        <f t="shared" si="37"/>
        <v/>
      </c>
      <c r="BM8" s="300"/>
      <c r="BN8" s="297" t="str">
        <f t="shared" si="92"/>
        <v/>
      </c>
      <c r="BO8" s="295" t="str">
        <f t="shared" si="38"/>
        <v/>
      </c>
      <c r="BP8" s="296" t="str">
        <f t="shared" si="39"/>
        <v/>
      </c>
      <c r="BQ8" s="295" t="str">
        <f t="shared" si="40"/>
        <v/>
      </c>
      <c r="BR8" s="300"/>
      <c r="BS8" s="297" t="str">
        <f t="shared" si="93"/>
        <v/>
      </c>
      <c r="BT8" s="295" t="str">
        <f t="shared" si="41"/>
        <v/>
      </c>
      <c r="BU8" s="296" t="str">
        <f t="shared" si="42"/>
        <v/>
      </c>
      <c r="BV8" s="295" t="str">
        <f t="shared" si="43"/>
        <v/>
      </c>
      <c r="BW8" s="300"/>
      <c r="BX8" s="297" t="str">
        <f t="shared" si="94"/>
        <v/>
      </c>
      <c r="BY8" s="295" t="str">
        <f t="shared" si="44"/>
        <v/>
      </c>
      <c r="BZ8" s="296" t="str">
        <f t="shared" si="45"/>
        <v/>
      </c>
      <c r="CA8" s="295" t="str">
        <f t="shared" si="46"/>
        <v/>
      </c>
      <c r="CB8" s="300"/>
      <c r="CC8" s="297" t="str">
        <f t="shared" si="95"/>
        <v/>
      </c>
      <c r="CD8" s="295" t="str">
        <f t="shared" si="47"/>
        <v/>
      </c>
      <c r="CE8" s="296" t="str">
        <f t="shared" si="48"/>
        <v/>
      </c>
      <c r="CF8" s="295" t="str">
        <f t="shared" si="49"/>
        <v/>
      </c>
      <c r="CG8" s="300"/>
      <c r="CH8" s="297" t="str">
        <f t="shared" si="96"/>
        <v/>
      </c>
      <c r="CI8" s="295" t="str">
        <f t="shared" si="50"/>
        <v/>
      </c>
      <c r="CJ8" s="296" t="str">
        <f t="shared" si="51"/>
        <v/>
      </c>
      <c r="CK8" s="295" t="str">
        <f t="shared" si="52"/>
        <v/>
      </c>
      <c r="CL8" s="300"/>
      <c r="CM8" s="297" t="str">
        <f t="shared" si="97"/>
        <v/>
      </c>
      <c r="CN8" s="295" t="str">
        <f t="shared" si="53"/>
        <v/>
      </c>
      <c r="CO8" s="296" t="str">
        <f t="shared" si="54"/>
        <v/>
      </c>
      <c r="CP8" s="295" t="str">
        <f t="shared" si="55"/>
        <v/>
      </c>
      <c r="CQ8" s="300"/>
      <c r="CR8" s="297" t="str">
        <f t="shared" si="98"/>
        <v/>
      </c>
      <c r="CS8" s="295" t="str">
        <f t="shared" si="56"/>
        <v/>
      </c>
      <c r="CT8" s="296" t="str">
        <f t="shared" si="57"/>
        <v/>
      </c>
      <c r="CU8" s="295" t="str">
        <f t="shared" si="58"/>
        <v/>
      </c>
      <c r="CV8" s="300"/>
      <c r="CW8" s="297" t="str">
        <f t="shared" si="99"/>
        <v/>
      </c>
      <c r="CX8" s="295" t="str">
        <f t="shared" si="59"/>
        <v/>
      </c>
      <c r="CY8" s="296" t="str">
        <f t="shared" si="60"/>
        <v/>
      </c>
      <c r="CZ8" s="295" t="str">
        <f t="shared" si="61"/>
        <v/>
      </c>
      <c r="DA8" s="300"/>
      <c r="DB8" s="297" t="str">
        <f t="shared" si="100"/>
        <v/>
      </c>
      <c r="DC8" s="295" t="str">
        <f t="shared" si="62"/>
        <v/>
      </c>
      <c r="DD8" s="296" t="str">
        <f t="shared" si="63"/>
        <v/>
      </c>
      <c r="DE8" s="295" t="str">
        <f t="shared" si="64"/>
        <v/>
      </c>
      <c r="DF8" s="300"/>
      <c r="DG8" s="297" t="str">
        <f t="shared" si="101"/>
        <v/>
      </c>
      <c r="DH8" s="295" t="str">
        <f t="shared" si="65"/>
        <v/>
      </c>
      <c r="DI8" s="296" t="str">
        <f t="shared" si="66"/>
        <v/>
      </c>
      <c r="DJ8" s="295" t="str">
        <f t="shared" si="67"/>
        <v/>
      </c>
      <c r="DK8" s="300"/>
      <c r="DL8" s="297" t="str">
        <f t="shared" si="102"/>
        <v/>
      </c>
      <c r="DM8" s="295" t="str">
        <f t="shared" si="68"/>
        <v/>
      </c>
      <c r="DN8" s="296" t="str">
        <f t="shared" si="69"/>
        <v/>
      </c>
      <c r="DO8" s="295" t="str">
        <f t="shared" si="70"/>
        <v/>
      </c>
      <c r="DP8" s="300"/>
      <c r="DQ8" s="297" t="str">
        <f t="shared" si="103"/>
        <v/>
      </c>
      <c r="DR8" s="295" t="str">
        <f t="shared" si="71"/>
        <v/>
      </c>
      <c r="DS8" s="296" t="str">
        <f t="shared" si="72"/>
        <v/>
      </c>
      <c r="DT8" s="295" t="str">
        <f t="shared" si="73"/>
        <v/>
      </c>
      <c r="DU8" s="300"/>
      <c r="DV8" s="297" t="str">
        <f t="shared" si="104"/>
        <v/>
      </c>
      <c r="DW8" s="295" t="str">
        <f>IF('1.ข้อมูลเบื้องต้น'!$B$32="","",IF($B8="","",'1.ข้อมูลเบื้องต้น'!$B$32))</f>
        <v/>
      </c>
      <c r="DX8" s="296" t="str">
        <f>IF('1.ข้อมูลเบื้องต้น'!$C$32="","",IF($B8="","",'1.ข้อมูลเบื้องต้น'!$C$32))</f>
        <v/>
      </c>
      <c r="DY8" s="295" t="str">
        <f>IF('1.ข้อมูลเบื้องต้น'!$D$32="","",IF($B8="","",'1.ข้อมูลเบื้องต้น'!$D$32))</f>
        <v/>
      </c>
      <c r="DZ8" s="300"/>
      <c r="EA8" s="297" t="str">
        <f t="shared" si="105"/>
        <v/>
      </c>
      <c r="EB8" s="386" t="str">
        <f>IF('6.1ประกาศผลปลายภาค'!AW11="","",'6.1ประกาศผลปลายภาค'!AW11)</f>
        <v/>
      </c>
      <c r="EC8" s="382" t="str">
        <f>IF('2.ชื่อนักเรียน'!R13="มส","มส",IF('2.ชื่อนักเรียน'!R13="ย้าย","ย้าย",IF('2.ชื่อนักเรียน'!R13="ร","ร",IF(EB8="","",RANK(EB8,$EB$6:$EB$50,0)))))</f>
        <v/>
      </c>
      <c r="ED8" s="388"/>
      <c r="EE8" s="388"/>
      <c r="EF8" s="388"/>
      <c r="EG8" s="388"/>
      <c r="EH8" s="295" t="str">
        <f>IF('2.ชื่อนักเรียน'!R13="มส","ไม่ผ่าน",IF('2.ชื่อนักเรียน'!R13="ย้าย","ย้าย",IF(COUNTA(ED8:EG8)&lt;4,"",IF(AND(ED8="ผ",EE8="ผ",EF8="ผ",EG8="ผ"),"ผ่าน","ไม่ผ่าน"))))</f>
        <v/>
      </c>
      <c r="EI8" s="300"/>
      <c r="EK8" s="459" t="str">
        <f t="shared" si="74"/>
        <v/>
      </c>
      <c r="EL8" s="460" t="str">
        <f t="shared" si="75"/>
        <v/>
      </c>
      <c r="EM8" s="461" t="str">
        <f t="shared" si="76"/>
        <v/>
      </c>
      <c r="EN8" s="460" t="str">
        <f t="shared" si="77"/>
        <v/>
      </c>
      <c r="EO8" s="461" t="str">
        <f t="shared" si="78"/>
        <v/>
      </c>
      <c r="EP8" s="460" t="str">
        <f t="shared" si="79"/>
        <v/>
      </c>
      <c r="EQ8" s="461" t="str">
        <f t="shared" si="106"/>
        <v/>
      </c>
      <c r="ER8" s="460" t="str">
        <f t="shared" si="107"/>
        <v/>
      </c>
      <c r="ES8" s="461" t="str">
        <f t="shared" si="80"/>
        <v/>
      </c>
      <c r="ET8" s="460" t="str">
        <f t="shared" si="81"/>
        <v/>
      </c>
    </row>
    <row r="9" spans="1:150" s="14" customFormat="1" ht="21" x14ac:dyDescent="0.4">
      <c r="A9" s="295">
        <v>4</v>
      </c>
      <c r="B9" s="295" t="str">
        <f>IF('2.ชื่อนักเรียน'!E14="","",CONCATENATE('2.ชื่อนักเรียน'!E14,'2.ชื่อนักเรียน'!F14,'2.ชื่อนักเรียน'!G14,'2.ชื่อนักเรียน'!H14,'2.ชื่อนักเรียน'!I14,'2.ชื่อนักเรียน'!J14,'2.ชื่อนักเรียน'!K14,'2.ชื่อนักเรียน'!L14,'2.ชื่อนักเรียน'!M14,'2.ชื่อนักเรียน'!N14,'2.ชื่อนักเรียน'!O14,'2.ชื่อนักเรียน'!P14,'2.ชื่อนักเรียน'!Q14,))</f>
        <v/>
      </c>
      <c r="C9" s="295" t="str">
        <f>IF(IDstu4="","",IDstu4)</f>
        <v/>
      </c>
      <c r="D9" s="497" t="str">
        <f>CONCATENATE(TRIM(Name4),"  ",Surname4)</f>
        <v xml:space="preserve">  </v>
      </c>
      <c r="E9" s="297" t="str">
        <f t="shared" si="0"/>
        <v/>
      </c>
      <c r="F9" s="295" t="str">
        <f t="shared" si="1"/>
        <v/>
      </c>
      <c r="G9" s="295" t="str">
        <f t="shared" si="2"/>
        <v/>
      </c>
      <c r="H9" s="296" t="str">
        <f t="shared" si="3"/>
        <v/>
      </c>
      <c r="I9" s="295" t="str">
        <f t="shared" si="4"/>
        <v/>
      </c>
      <c r="J9" s="300"/>
      <c r="K9" s="297" t="str">
        <f t="shared" si="82"/>
        <v/>
      </c>
      <c r="L9" s="295" t="str">
        <f t="shared" si="5"/>
        <v/>
      </c>
      <c r="M9" s="296" t="str">
        <f t="shared" si="6"/>
        <v/>
      </c>
      <c r="N9" s="295" t="str">
        <f t="shared" si="7"/>
        <v/>
      </c>
      <c r="O9" s="508"/>
      <c r="P9" s="297" t="str">
        <f t="shared" si="83"/>
        <v/>
      </c>
      <c r="Q9" s="295" t="str">
        <f t="shared" si="8"/>
        <v/>
      </c>
      <c r="R9" s="296" t="str">
        <f t="shared" si="9"/>
        <v/>
      </c>
      <c r="S9" s="295" t="str">
        <f t="shared" si="10"/>
        <v/>
      </c>
      <c r="T9" s="300"/>
      <c r="U9" s="297" t="str">
        <f t="shared" si="108"/>
        <v/>
      </c>
      <c r="V9" s="295" t="str">
        <f t="shared" si="11"/>
        <v/>
      </c>
      <c r="W9" s="296" t="str">
        <f t="shared" si="12"/>
        <v/>
      </c>
      <c r="X9" s="295" t="str">
        <f t="shared" si="13"/>
        <v/>
      </c>
      <c r="Y9" s="300"/>
      <c r="Z9" s="297" t="str">
        <f t="shared" si="84"/>
        <v/>
      </c>
      <c r="AA9" s="295" t="str">
        <f t="shared" si="14"/>
        <v/>
      </c>
      <c r="AB9" s="296" t="str">
        <f t="shared" si="15"/>
        <v/>
      </c>
      <c r="AC9" s="295" t="str">
        <f t="shared" si="16"/>
        <v/>
      </c>
      <c r="AD9" s="300"/>
      <c r="AE9" s="297" t="str">
        <f t="shared" si="85"/>
        <v/>
      </c>
      <c r="AF9" s="295" t="str">
        <f t="shared" si="17"/>
        <v/>
      </c>
      <c r="AG9" s="296" t="str">
        <f t="shared" si="18"/>
        <v/>
      </c>
      <c r="AH9" s="295" t="str">
        <f t="shared" si="19"/>
        <v/>
      </c>
      <c r="AI9" s="300"/>
      <c r="AJ9" s="297" t="str">
        <f t="shared" si="86"/>
        <v/>
      </c>
      <c r="AK9" s="295" t="str">
        <f t="shared" si="20"/>
        <v/>
      </c>
      <c r="AL9" s="296" t="str">
        <f t="shared" si="21"/>
        <v/>
      </c>
      <c r="AM9" s="295" t="str">
        <f t="shared" si="22"/>
        <v/>
      </c>
      <c r="AN9" s="300"/>
      <c r="AO9" s="297" t="str">
        <f t="shared" si="87"/>
        <v/>
      </c>
      <c r="AP9" s="295" t="str">
        <f t="shared" si="23"/>
        <v/>
      </c>
      <c r="AQ9" s="296" t="str">
        <f t="shared" si="24"/>
        <v/>
      </c>
      <c r="AR9" s="295" t="str">
        <f t="shared" si="25"/>
        <v/>
      </c>
      <c r="AS9" s="300"/>
      <c r="AT9" s="297" t="str">
        <f t="shared" si="88"/>
        <v/>
      </c>
      <c r="AU9" s="295" t="str">
        <f t="shared" si="26"/>
        <v/>
      </c>
      <c r="AV9" s="296" t="str">
        <f t="shared" si="27"/>
        <v/>
      </c>
      <c r="AW9" s="295" t="str">
        <f t="shared" si="28"/>
        <v/>
      </c>
      <c r="AX9" s="300"/>
      <c r="AY9" s="297" t="str">
        <f t="shared" si="89"/>
        <v/>
      </c>
      <c r="AZ9" s="295" t="str">
        <f t="shared" si="29"/>
        <v/>
      </c>
      <c r="BA9" s="296" t="str">
        <f t="shared" si="30"/>
        <v/>
      </c>
      <c r="BB9" s="295" t="str">
        <f t="shared" si="31"/>
        <v/>
      </c>
      <c r="BC9" s="300"/>
      <c r="BD9" s="297" t="str">
        <f t="shared" si="90"/>
        <v/>
      </c>
      <c r="BE9" s="295" t="str">
        <f t="shared" si="32"/>
        <v/>
      </c>
      <c r="BF9" s="296" t="str">
        <f t="shared" si="33"/>
        <v/>
      </c>
      <c r="BG9" s="295" t="str">
        <f t="shared" si="34"/>
        <v/>
      </c>
      <c r="BH9" s="300"/>
      <c r="BI9" s="297" t="str">
        <f t="shared" si="91"/>
        <v/>
      </c>
      <c r="BJ9" s="295" t="str">
        <f t="shared" si="35"/>
        <v/>
      </c>
      <c r="BK9" s="296" t="str">
        <f t="shared" si="36"/>
        <v/>
      </c>
      <c r="BL9" s="295" t="str">
        <f t="shared" si="37"/>
        <v/>
      </c>
      <c r="BM9" s="300"/>
      <c r="BN9" s="297" t="str">
        <f t="shared" si="92"/>
        <v/>
      </c>
      <c r="BO9" s="295" t="str">
        <f t="shared" si="38"/>
        <v/>
      </c>
      <c r="BP9" s="296" t="str">
        <f t="shared" si="39"/>
        <v/>
      </c>
      <c r="BQ9" s="295" t="str">
        <f t="shared" si="40"/>
        <v/>
      </c>
      <c r="BR9" s="300"/>
      <c r="BS9" s="297" t="str">
        <f t="shared" si="93"/>
        <v/>
      </c>
      <c r="BT9" s="295" t="str">
        <f t="shared" si="41"/>
        <v/>
      </c>
      <c r="BU9" s="296" t="str">
        <f t="shared" si="42"/>
        <v/>
      </c>
      <c r="BV9" s="295" t="str">
        <f t="shared" si="43"/>
        <v/>
      </c>
      <c r="BW9" s="300"/>
      <c r="BX9" s="297" t="str">
        <f t="shared" si="94"/>
        <v/>
      </c>
      <c r="BY9" s="295" t="str">
        <f t="shared" si="44"/>
        <v/>
      </c>
      <c r="BZ9" s="296" t="str">
        <f t="shared" si="45"/>
        <v/>
      </c>
      <c r="CA9" s="295" t="str">
        <f t="shared" si="46"/>
        <v/>
      </c>
      <c r="CB9" s="300"/>
      <c r="CC9" s="297" t="str">
        <f t="shared" si="95"/>
        <v/>
      </c>
      <c r="CD9" s="295" t="str">
        <f t="shared" si="47"/>
        <v/>
      </c>
      <c r="CE9" s="296" t="str">
        <f t="shared" si="48"/>
        <v/>
      </c>
      <c r="CF9" s="295" t="str">
        <f t="shared" si="49"/>
        <v/>
      </c>
      <c r="CG9" s="300"/>
      <c r="CH9" s="297" t="str">
        <f t="shared" si="96"/>
        <v/>
      </c>
      <c r="CI9" s="295" t="str">
        <f t="shared" si="50"/>
        <v/>
      </c>
      <c r="CJ9" s="296" t="str">
        <f t="shared" si="51"/>
        <v/>
      </c>
      <c r="CK9" s="295" t="str">
        <f t="shared" si="52"/>
        <v/>
      </c>
      <c r="CL9" s="300"/>
      <c r="CM9" s="297" t="str">
        <f t="shared" si="97"/>
        <v/>
      </c>
      <c r="CN9" s="295" t="str">
        <f t="shared" si="53"/>
        <v/>
      </c>
      <c r="CO9" s="296" t="str">
        <f t="shared" si="54"/>
        <v/>
      </c>
      <c r="CP9" s="295" t="str">
        <f t="shared" si="55"/>
        <v/>
      </c>
      <c r="CQ9" s="300"/>
      <c r="CR9" s="297" t="str">
        <f t="shared" si="98"/>
        <v/>
      </c>
      <c r="CS9" s="295" t="str">
        <f t="shared" si="56"/>
        <v/>
      </c>
      <c r="CT9" s="296" t="str">
        <f t="shared" si="57"/>
        <v/>
      </c>
      <c r="CU9" s="295" t="str">
        <f t="shared" si="58"/>
        <v/>
      </c>
      <c r="CV9" s="300"/>
      <c r="CW9" s="297" t="str">
        <f t="shared" si="99"/>
        <v/>
      </c>
      <c r="CX9" s="295" t="str">
        <f t="shared" si="59"/>
        <v/>
      </c>
      <c r="CY9" s="296" t="str">
        <f t="shared" si="60"/>
        <v/>
      </c>
      <c r="CZ9" s="295" t="str">
        <f t="shared" si="61"/>
        <v/>
      </c>
      <c r="DA9" s="300"/>
      <c r="DB9" s="297" t="str">
        <f t="shared" si="100"/>
        <v/>
      </c>
      <c r="DC9" s="295" t="str">
        <f t="shared" si="62"/>
        <v/>
      </c>
      <c r="DD9" s="296" t="str">
        <f t="shared" si="63"/>
        <v/>
      </c>
      <c r="DE9" s="295" t="str">
        <f t="shared" si="64"/>
        <v/>
      </c>
      <c r="DF9" s="300"/>
      <c r="DG9" s="297" t="str">
        <f t="shared" si="101"/>
        <v/>
      </c>
      <c r="DH9" s="295" t="str">
        <f t="shared" si="65"/>
        <v/>
      </c>
      <c r="DI9" s="296" t="str">
        <f t="shared" si="66"/>
        <v/>
      </c>
      <c r="DJ9" s="295" t="str">
        <f t="shared" si="67"/>
        <v/>
      </c>
      <c r="DK9" s="300"/>
      <c r="DL9" s="297" t="str">
        <f t="shared" si="102"/>
        <v/>
      </c>
      <c r="DM9" s="295" t="str">
        <f t="shared" si="68"/>
        <v/>
      </c>
      <c r="DN9" s="296" t="str">
        <f t="shared" si="69"/>
        <v/>
      </c>
      <c r="DO9" s="295" t="str">
        <f t="shared" si="70"/>
        <v/>
      </c>
      <c r="DP9" s="300"/>
      <c r="DQ9" s="297" t="str">
        <f t="shared" si="103"/>
        <v/>
      </c>
      <c r="DR9" s="295" t="str">
        <f t="shared" si="71"/>
        <v/>
      </c>
      <c r="DS9" s="296" t="str">
        <f t="shared" si="72"/>
        <v/>
      </c>
      <c r="DT9" s="295" t="str">
        <f t="shared" si="73"/>
        <v/>
      </c>
      <c r="DU9" s="300"/>
      <c r="DV9" s="297" t="str">
        <f t="shared" si="104"/>
        <v/>
      </c>
      <c r="DW9" s="295" t="str">
        <f>IF('1.ข้อมูลเบื้องต้น'!$B$32="","",IF($B9="","",'1.ข้อมูลเบื้องต้น'!$B$32))</f>
        <v/>
      </c>
      <c r="DX9" s="296" t="str">
        <f>IF('1.ข้อมูลเบื้องต้น'!$C$32="","",IF($B9="","",'1.ข้อมูลเบื้องต้น'!$C$32))</f>
        <v/>
      </c>
      <c r="DY9" s="295" t="str">
        <f>IF('1.ข้อมูลเบื้องต้น'!$D$32="","",IF($B9="","",'1.ข้อมูลเบื้องต้น'!$D$32))</f>
        <v/>
      </c>
      <c r="DZ9" s="300"/>
      <c r="EA9" s="297" t="str">
        <f t="shared" si="105"/>
        <v/>
      </c>
      <c r="EB9" s="386" t="str">
        <f>IF('6.1ประกาศผลปลายภาค'!AW12="","",'6.1ประกาศผลปลายภาค'!AW12)</f>
        <v/>
      </c>
      <c r="EC9" s="382" t="str">
        <f>IF('2.ชื่อนักเรียน'!R14="มส","มส",IF('2.ชื่อนักเรียน'!R14="ย้าย","ย้าย",IF('2.ชื่อนักเรียน'!R14="ร","ร",IF(EB9="","",RANK(EB9,$EB$6:$EB$50,0)))))</f>
        <v/>
      </c>
      <c r="ED9" s="388"/>
      <c r="EE9" s="388"/>
      <c r="EF9" s="388"/>
      <c r="EG9" s="388"/>
      <c r="EH9" s="295" t="str">
        <f>IF('2.ชื่อนักเรียน'!R14="มส","ไม่ผ่าน",IF('2.ชื่อนักเรียน'!R14="ย้าย","ย้าย",IF(COUNTA(ED9:EG9)&lt;4,"",IF(AND(ED9="ผ",EE9="ผ",EF9="ผ",EG9="ผ"),"ผ่าน","ไม่ผ่าน"))))</f>
        <v/>
      </c>
      <c r="EI9" s="300"/>
      <c r="EK9" s="459" t="str">
        <f t="shared" si="74"/>
        <v/>
      </c>
      <c r="EL9" s="460" t="str">
        <f t="shared" si="75"/>
        <v/>
      </c>
      <c r="EM9" s="461" t="str">
        <f t="shared" si="76"/>
        <v/>
      </c>
      <c r="EN9" s="460" t="str">
        <f t="shared" si="77"/>
        <v/>
      </c>
      <c r="EO9" s="461" t="str">
        <f t="shared" si="78"/>
        <v/>
      </c>
      <c r="EP9" s="460" t="str">
        <f t="shared" si="79"/>
        <v/>
      </c>
      <c r="EQ9" s="461" t="str">
        <f t="shared" si="106"/>
        <v/>
      </c>
      <c r="ER9" s="460" t="str">
        <f t="shared" si="107"/>
        <v/>
      </c>
      <c r="ES9" s="461" t="str">
        <f t="shared" si="80"/>
        <v/>
      </c>
      <c r="ET9" s="460" t="str">
        <f t="shared" si="81"/>
        <v/>
      </c>
    </row>
    <row r="10" spans="1:150" s="14" customFormat="1" ht="21.6" thickBot="1" x14ac:dyDescent="0.45">
      <c r="A10" s="295">
        <v>5</v>
      </c>
      <c r="B10" s="295" t="str">
        <f>IF('2.ชื่อนักเรียน'!E15="","",CONCATENATE('2.ชื่อนักเรียน'!E15,'2.ชื่อนักเรียน'!F15,'2.ชื่อนักเรียน'!G15,'2.ชื่อนักเรียน'!H15,'2.ชื่อนักเรียน'!I15,'2.ชื่อนักเรียน'!J15,'2.ชื่อนักเรียน'!K15,'2.ชื่อนักเรียน'!L15,'2.ชื่อนักเรียน'!M15,'2.ชื่อนักเรียน'!N15,'2.ชื่อนักเรียน'!O15,'2.ชื่อนักเรียน'!P15,'2.ชื่อนักเรียน'!Q15,))</f>
        <v/>
      </c>
      <c r="C10" s="295" t="str">
        <f>IF(IDstu5="","",IDstu5)</f>
        <v/>
      </c>
      <c r="D10" s="497" t="str">
        <f>CONCATENATE(TRIM(Name5),"  ",Surname5)</f>
        <v xml:space="preserve">  </v>
      </c>
      <c r="E10" s="297" t="str">
        <f t="shared" si="0"/>
        <v/>
      </c>
      <c r="F10" s="295" t="str">
        <f t="shared" si="1"/>
        <v/>
      </c>
      <c r="G10" s="295" t="str">
        <f t="shared" si="2"/>
        <v/>
      </c>
      <c r="H10" s="296" t="str">
        <f t="shared" si="3"/>
        <v/>
      </c>
      <c r="I10" s="295" t="str">
        <f t="shared" si="4"/>
        <v/>
      </c>
      <c r="J10" s="300"/>
      <c r="K10" s="297" t="str">
        <f t="shared" si="82"/>
        <v/>
      </c>
      <c r="L10" s="295" t="str">
        <f t="shared" si="5"/>
        <v/>
      </c>
      <c r="M10" s="296" t="str">
        <f t="shared" si="6"/>
        <v/>
      </c>
      <c r="N10" s="295" t="str">
        <f t="shared" si="7"/>
        <v/>
      </c>
      <c r="O10" s="508"/>
      <c r="P10" s="297" t="str">
        <f t="shared" si="83"/>
        <v/>
      </c>
      <c r="Q10" s="295" t="str">
        <f t="shared" si="8"/>
        <v/>
      </c>
      <c r="R10" s="296" t="str">
        <f t="shared" si="9"/>
        <v/>
      </c>
      <c r="S10" s="295" t="str">
        <f t="shared" si="10"/>
        <v/>
      </c>
      <c r="T10" s="300"/>
      <c r="U10" s="297" t="str">
        <f t="shared" si="108"/>
        <v/>
      </c>
      <c r="V10" s="295" t="str">
        <f t="shared" si="11"/>
        <v/>
      </c>
      <c r="W10" s="296" t="str">
        <f t="shared" si="12"/>
        <v/>
      </c>
      <c r="X10" s="295" t="str">
        <f t="shared" si="13"/>
        <v/>
      </c>
      <c r="Y10" s="300"/>
      <c r="Z10" s="297" t="str">
        <f t="shared" si="84"/>
        <v/>
      </c>
      <c r="AA10" s="295" t="str">
        <f t="shared" si="14"/>
        <v/>
      </c>
      <c r="AB10" s="296" t="str">
        <f t="shared" si="15"/>
        <v/>
      </c>
      <c r="AC10" s="295" t="str">
        <f t="shared" si="16"/>
        <v/>
      </c>
      <c r="AD10" s="300"/>
      <c r="AE10" s="297" t="str">
        <f t="shared" si="85"/>
        <v/>
      </c>
      <c r="AF10" s="295" t="str">
        <f t="shared" si="17"/>
        <v/>
      </c>
      <c r="AG10" s="296" t="str">
        <f t="shared" si="18"/>
        <v/>
      </c>
      <c r="AH10" s="295" t="str">
        <f t="shared" si="19"/>
        <v/>
      </c>
      <c r="AI10" s="300"/>
      <c r="AJ10" s="297" t="str">
        <f t="shared" si="86"/>
        <v/>
      </c>
      <c r="AK10" s="295" t="str">
        <f t="shared" si="20"/>
        <v/>
      </c>
      <c r="AL10" s="296" t="str">
        <f t="shared" si="21"/>
        <v/>
      </c>
      <c r="AM10" s="295" t="str">
        <f t="shared" si="22"/>
        <v/>
      </c>
      <c r="AN10" s="300"/>
      <c r="AO10" s="297" t="str">
        <f t="shared" si="87"/>
        <v/>
      </c>
      <c r="AP10" s="295" t="str">
        <f t="shared" si="23"/>
        <v/>
      </c>
      <c r="AQ10" s="296" t="str">
        <f t="shared" si="24"/>
        <v/>
      </c>
      <c r="AR10" s="295" t="str">
        <f t="shared" si="25"/>
        <v/>
      </c>
      <c r="AS10" s="300"/>
      <c r="AT10" s="297" t="str">
        <f t="shared" si="88"/>
        <v/>
      </c>
      <c r="AU10" s="295" t="str">
        <f t="shared" si="26"/>
        <v/>
      </c>
      <c r="AV10" s="296" t="str">
        <f t="shared" si="27"/>
        <v/>
      </c>
      <c r="AW10" s="295" t="str">
        <f t="shared" si="28"/>
        <v/>
      </c>
      <c r="AX10" s="300"/>
      <c r="AY10" s="297" t="str">
        <f t="shared" si="89"/>
        <v/>
      </c>
      <c r="AZ10" s="295" t="str">
        <f t="shared" si="29"/>
        <v/>
      </c>
      <c r="BA10" s="296" t="str">
        <f t="shared" si="30"/>
        <v/>
      </c>
      <c r="BB10" s="295" t="str">
        <f t="shared" si="31"/>
        <v/>
      </c>
      <c r="BC10" s="300"/>
      <c r="BD10" s="297" t="str">
        <f t="shared" si="90"/>
        <v/>
      </c>
      <c r="BE10" s="295" t="str">
        <f t="shared" si="32"/>
        <v/>
      </c>
      <c r="BF10" s="296" t="str">
        <f t="shared" si="33"/>
        <v/>
      </c>
      <c r="BG10" s="295" t="str">
        <f t="shared" si="34"/>
        <v/>
      </c>
      <c r="BH10" s="300"/>
      <c r="BI10" s="297" t="str">
        <f t="shared" si="91"/>
        <v/>
      </c>
      <c r="BJ10" s="295" t="str">
        <f t="shared" si="35"/>
        <v/>
      </c>
      <c r="BK10" s="296" t="str">
        <f t="shared" si="36"/>
        <v/>
      </c>
      <c r="BL10" s="295" t="str">
        <f t="shared" si="37"/>
        <v/>
      </c>
      <c r="BM10" s="300"/>
      <c r="BN10" s="297" t="str">
        <f t="shared" si="92"/>
        <v/>
      </c>
      <c r="BO10" s="295" t="str">
        <f t="shared" si="38"/>
        <v/>
      </c>
      <c r="BP10" s="296" t="str">
        <f t="shared" si="39"/>
        <v/>
      </c>
      <c r="BQ10" s="295" t="str">
        <f t="shared" si="40"/>
        <v/>
      </c>
      <c r="BR10" s="300"/>
      <c r="BS10" s="297" t="str">
        <f t="shared" si="93"/>
        <v/>
      </c>
      <c r="BT10" s="295" t="str">
        <f t="shared" si="41"/>
        <v/>
      </c>
      <c r="BU10" s="296" t="str">
        <f t="shared" si="42"/>
        <v/>
      </c>
      <c r="BV10" s="295" t="str">
        <f t="shared" si="43"/>
        <v/>
      </c>
      <c r="BW10" s="300"/>
      <c r="BX10" s="297" t="str">
        <f t="shared" si="94"/>
        <v/>
      </c>
      <c r="BY10" s="295" t="str">
        <f t="shared" si="44"/>
        <v/>
      </c>
      <c r="BZ10" s="296" t="str">
        <f t="shared" si="45"/>
        <v/>
      </c>
      <c r="CA10" s="295" t="str">
        <f t="shared" si="46"/>
        <v/>
      </c>
      <c r="CB10" s="300"/>
      <c r="CC10" s="297" t="str">
        <f t="shared" si="95"/>
        <v/>
      </c>
      <c r="CD10" s="295" t="str">
        <f t="shared" si="47"/>
        <v/>
      </c>
      <c r="CE10" s="296" t="str">
        <f t="shared" si="48"/>
        <v/>
      </c>
      <c r="CF10" s="295" t="str">
        <f t="shared" si="49"/>
        <v/>
      </c>
      <c r="CG10" s="300"/>
      <c r="CH10" s="297" t="str">
        <f t="shared" si="96"/>
        <v/>
      </c>
      <c r="CI10" s="295" t="str">
        <f t="shared" si="50"/>
        <v/>
      </c>
      <c r="CJ10" s="296" t="str">
        <f t="shared" si="51"/>
        <v/>
      </c>
      <c r="CK10" s="295" t="str">
        <f t="shared" si="52"/>
        <v/>
      </c>
      <c r="CL10" s="300"/>
      <c r="CM10" s="297" t="str">
        <f t="shared" si="97"/>
        <v/>
      </c>
      <c r="CN10" s="295" t="str">
        <f t="shared" si="53"/>
        <v/>
      </c>
      <c r="CO10" s="296" t="str">
        <f t="shared" si="54"/>
        <v/>
      </c>
      <c r="CP10" s="295" t="str">
        <f t="shared" si="55"/>
        <v/>
      </c>
      <c r="CQ10" s="300"/>
      <c r="CR10" s="297" t="str">
        <f t="shared" si="98"/>
        <v/>
      </c>
      <c r="CS10" s="295" t="str">
        <f t="shared" si="56"/>
        <v/>
      </c>
      <c r="CT10" s="296" t="str">
        <f t="shared" si="57"/>
        <v/>
      </c>
      <c r="CU10" s="295" t="str">
        <f t="shared" si="58"/>
        <v/>
      </c>
      <c r="CV10" s="300"/>
      <c r="CW10" s="297" t="str">
        <f t="shared" si="99"/>
        <v/>
      </c>
      <c r="CX10" s="295" t="str">
        <f t="shared" si="59"/>
        <v/>
      </c>
      <c r="CY10" s="296" t="str">
        <f t="shared" si="60"/>
        <v/>
      </c>
      <c r="CZ10" s="295" t="str">
        <f t="shared" si="61"/>
        <v/>
      </c>
      <c r="DA10" s="300"/>
      <c r="DB10" s="297" t="str">
        <f t="shared" si="100"/>
        <v/>
      </c>
      <c r="DC10" s="295" t="str">
        <f t="shared" si="62"/>
        <v/>
      </c>
      <c r="DD10" s="296" t="str">
        <f t="shared" si="63"/>
        <v/>
      </c>
      <c r="DE10" s="295" t="str">
        <f t="shared" si="64"/>
        <v/>
      </c>
      <c r="DF10" s="300"/>
      <c r="DG10" s="297" t="str">
        <f t="shared" si="101"/>
        <v/>
      </c>
      <c r="DH10" s="295" t="str">
        <f t="shared" si="65"/>
        <v/>
      </c>
      <c r="DI10" s="296" t="str">
        <f t="shared" si="66"/>
        <v/>
      </c>
      <c r="DJ10" s="295" t="str">
        <f t="shared" si="67"/>
        <v/>
      </c>
      <c r="DK10" s="300"/>
      <c r="DL10" s="297" t="str">
        <f t="shared" si="102"/>
        <v/>
      </c>
      <c r="DM10" s="295" t="str">
        <f t="shared" si="68"/>
        <v/>
      </c>
      <c r="DN10" s="296" t="str">
        <f t="shared" si="69"/>
        <v/>
      </c>
      <c r="DO10" s="295" t="str">
        <f t="shared" si="70"/>
        <v/>
      </c>
      <c r="DP10" s="300"/>
      <c r="DQ10" s="297" t="str">
        <f t="shared" si="103"/>
        <v/>
      </c>
      <c r="DR10" s="295" t="str">
        <f t="shared" si="71"/>
        <v/>
      </c>
      <c r="DS10" s="296" t="str">
        <f t="shared" si="72"/>
        <v/>
      </c>
      <c r="DT10" s="295" t="str">
        <f t="shared" si="73"/>
        <v/>
      </c>
      <c r="DU10" s="300"/>
      <c r="DV10" s="297" t="str">
        <f t="shared" si="104"/>
        <v/>
      </c>
      <c r="DW10" s="295" t="str">
        <f>IF('1.ข้อมูลเบื้องต้น'!$B$32="","",IF($B10="","",'1.ข้อมูลเบื้องต้น'!$B$32))</f>
        <v/>
      </c>
      <c r="DX10" s="296" t="str">
        <f>IF('1.ข้อมูลเบื้องต้น'!$C$32="","",IF($B10="","",'1.ข้อมูลเบื้องต้น'!$C$32))</f>
        <v/>
      </c>
      <c r="DY10" s="295" t="str">
        <f>IF('1.ข้อมูลเบื้องต้น'!$D$32="","",IF($B10="","",'1.ข้อมูลเบื้องต้น'!$D$32))</f>
        <v/>
      </c>
      <c r="DZ10" s="300"/>
      <c r="EA10" s="297" t="str">
        <f t="shared" si="105"/>
        <v/>
      </c>
      <c r="EB10" s="386" t="str">
        <f>IF('6.1ประกาศผลปลายภาค'!AW13="","",'6.1ประกาศผลปลายภาค'!AW13)</f>
        <v/>
      </c>
      <c r="EC10" s="382" t="str">
        <f>IF('2.ชื่อนักเรียน'!R15="มส","มส",IF('2.ชื่อนักเรียน'!R15="ย้าย","ย้าย",IF('2.ชื่อนักเรียน'!R15="ร","ร",IF(EB10="","",RANK(EB10,$EB$6:$EB$50,0)))))</f>
        <v/>
      </c>
      <c r="ED10" s="388"/>
      <c r="EE10" s="388"/>
      <c r="EF10" s="388"/>
      <c r="EG10" s="388"/>
      <c r="EH10" s="295" t="str">
        <f>IF('2.ชื่อนักเรียน'!R15="มส","ไม่ผ่าน",IF('2.ชื่อนักเรียน'!R15="ย้าย","ย้าย",IF(COUNTA(ED10:EG10)&lt;4,"",IF(AND(ED10="ผ",EE10="ผ",EF10="ผ",EG10="ผ"),"ผ่าน","ไม่ผ่าน"))))</f>
        <v/>
      </c>
      <c r="EI10" s="300"/>
      <c r="EK10" s="462" t="str">
        <f t="shared" si="74"/>
        <v/>
      </c>
      <c r="EL10" s="463" t="str">
        <f t="shared" si="75"/>
        <v/>
      </c>
      <c r="EM10" s="464" t="str">
        <f t="shared" si="76"/>
        <v/>
      </c>
      <c r="EN10" s="463" t="str">
        <f t="shared" si="77"/>
        <v/>
      </c>
      <c r="EO10" s="464" t="str">
        <f t="shared" si="78"/>
        <v/>
      </c>
      <c r="EP10" s="463" t="str">
        <f t="shared" si="79"/>
        <v/>
      </c>
      <c r="EQ10" s="464" t="str">
        <f t="shared" si="106"/>
        <v/>
      </c>
      <c r="ER10" s="463" t="str">
        <f t="shared" si="107"/>
        <v/>
      </c>
      <c r="ES10" s="464" t="str">
        <f t="shared" si="80"/>
        <v/>
      </c>
      <c r="ET10" s="463" t="str">
        <f t="shared" si="81"/>
        <v/>
      </c>
    </row>
    <row r="11" spans="1:150" s="14" customFormat="1" ht="21.6" thickTop="1" x14ac:dyDescent="0.4">
      <c r="A11" s="295">
        <v>6</v>
      </c>
      <c r="B11" s="295" t="str">
        <f>IF('2.ชื่อนักเรียน'!E16="","",CONCATENATE('2.ชื่อนักเรียน'!E16,'2.ชื่อนักเรียน'!F16,'2.ชื่อนักเรียน'!G16,'2.ชื่อนักเรียน'!H16,'2.ชื่อนักเรียน'!I16,'2.ชื่อนักเรียน'!J16,'2.ชื่อนักเรียน'!K16,'2.ชื่อนักเรียน'!L16,'2.ชื่อนักเรียน'!M16,'2.ชื่อนักเรียน'!N16,'2.ชื่อนักเรียน'!O16,'2.ชื่อนักเรียน'!P16,'2.ชื่อนักเรียน'!Q16,))</f>
        <v/>
      </c>
      <c r="C11" s="295" t="str">
        <f>IF(IDstu6="","",IDstu6)</f>
        <v/>
      </c>
      <c r="D11" s="497" t="str">
        <f>CONCATENATE(TRIM(Name6),"  ",Surname6)</f>
        <v xml:space="preserve">  </v>
      </c>
      <c r="E11" s="297" t="str">
        <f t="shared" si="0"/>
        <v/>
      </c>
      <c r="F11" s="295" t="str">
        <f t="shared" si="1"/>
        <v/>
      </c>
      <c r="G11" s="295" t="str">
        <f t="shared" si="2"/>
        <v/>
      </c>
      <c r="H11" s="296" t="str">
        <f t="shared" si="3"/>
        <v/>
      </c>
      <c r="I11" s="295" t="str">
        <f t="shared" si="4"/>
        <v/>
      </c>
      <c r="J11" s="300"/>
      <c r="K11" s="297" t="str">
        <f t="shared" si="82"/>
        <v/>
      </c>
      <c r="L11" s="295" t="str">
        <f t="shared" si="5"/>
        <v/>
      </c>
      <c r="M11" s="296" t="str">
        <f t="shared" si="6"/>
        <v/>
      </c>
      <c r="N11" s="295" t="str">
        <f t="shared" si="7"/>
        <v/>
      </c>
      <c r="O11" s="508"/>
      <c r="P11" s="297" t="str">
        <f t="shared" si="83"/>
        <v/>
      </c>
      <c r="Q11" s="295" t="str">
        <f t="shared" si="8"/>
        <v/>
      </c>
      <c r="R11" s="296" t="str">
        <f t="shared" si="9"/>
        <v/>
      </c>
      <c r="S11" s="295" t="str">
        <f t="shared" si="10"/>
        <v/>
      </c>
      <c r="T11" s="300"/>
      <c r="U11" s="297" t="str">
        <f t="shared" si="108"/>
        <v/>
      </c>
      <c r="V11" s="295" t="str">
        <f t="shared" si="11"/>
        <v/>
      </c>
      <c r="W11" s="296" t="str">
        <f t="shared" si="12"/>
        <v/>
      </c>
      <c r="X11" s="295" t="str">
        <f t="shared" si="13"/>
        <v/>
      </c>
      <c r="Y11" s="300"/>
      <c r="Z11" s="297" t="str">
        <f t="shared" si="84"/>
        <v/>
      </c>
      <c r="AA11" s="295" t="str">
        <f t="shared" si="14"/>
        <v/>
      </c>
      <c r="AB11" s="296" t="str">
        <f t="shared" si="15"/>
        <v/>
      </c>
      <c r="AC11" s="295" t="str">
        <f t="shared" si="16"/>
        <v/>
      </c>
      <c r="AD11" s="300"/>
      <c r="AE11" s="297" t="str">
        <f t="shared" si="85"/>
        <v/>
      </c>
      <c r="AF11" s="295" t="str">
        <f t="shared" si="17"/>
        <v/>
      </c>
      <c r="AG11" s="296" t="str">
        <f t="shared" si="18"/>
        <v/>
      </c>
      <c r="AH11" s="295" t="str">
        <f t="shared" si="19"/>
        <v/>
      </c>
      <c r="AI11" s="300"/>
      <c r="AJ11" s="297" t="str">
        <f t="shared" si="86"/>
        <v/>
      </c>
      <c r="AK11" s="295" t="str">
        <f t="shared" si="20"/>
        <v/>
      </c>
      <c r="AL11" s="296" t="str">
        <f t="shared" si="21"/>
        <v/>
      </c>
      <c r="AM11" s="295" t="str">
        <f t="shared" si="22"/>
        <v/>
      </c>
      <c r="AN11" s="300"/>
      <c r="AO11" s="297" t="str">
        <f t="shared" si="87"/>
        <v/>
      </c>
      <c r="AP11" s="295" t="str">
        <f t="shared" si="23"/>
        <v/>
      </c>
      <c r="AQ11" s="296" t="str">
        <f t="shared" si="24"/>
        <v/>
      </c>
      <c r="AR11" s="295" t="str">
        <f t="shared" si="25"/>
        <v/>
      </c>
      <c r="AS11" s="300"/>
      <c r="AT11" s="297" t="str">
        <f t="shared" si="88"/>
        <v/>
      </c>
      <c r="AU11" s="295" t="str">
        <f t="shared" si="26"/>
        <v/>
      </c>
      <c r="AV11" s="296" t="str">
        <f t="shared" si="27"/>
        <v/>
      </c>
      <c r="AW11" s="295" t="str">
        <f t="shared" si="28"/>
        <v/>
      </c>
      <c r="AX11" s="300"/>
      <c r="AY11" s="297" t="str">
        <f t="shared" si="89"/>
        <v/>
      </c>
      <c r="AZ11" s="295" t="str">
        <f t="shared" si="29"/>
        <v/>
      </c>
      <c r="BA11" s="296" t="str">
        <f t="shared" si="30"/>
        <v/>
      </c>
      <c r="BB11" s="295" t="str">
        <f t="shared" si="31"/>
        <v/>
      </c>
      <c r="BC11" s="300"/>
      <c r="BD11" s="297" t="str">
        <f t="shared" si="90"/>
        <v/>
      </c>
      <c r="BE11" s="295" t="str">
        <f t="shared" si="32"/>
        <v/>
      </c>
      <c r="BF11" s="296" t="str">
        <f t="shared" si="33"/>
        <v/>
      </c>
      <c r="BG11" s="295" t="str">
        <f t="shared" si="34"/>
        <v/>
      </c>
      <c r="BH11" s="300"/>
      <c r="BI11" s="297" t="str">
        <f t="shared" si="91"/>
        <v/>
      </c>
      <c r="BJ11" s="295" t="str">
        <f t="shared" si="35"/>
        <v/>
      </c>
      <c r="BK11" s="296" t="str">
        <f t="shared" si="36"/>
        <v/>
      </c>
      <c r="BL11" s="295" t="str">
        <f t="shared" si="37"/>
        <v/>
      </c>
      <c r="BM11" s="300"/>
      <c r="BN11" s="297" t="str">
        <f t="shared" si="92"/>
        <v/>
      </c>
      <c r="BO11" s="295" t="str">
        <f t="shared" si="38"/>
        <v/>
      </c>
      <c r="BP11" s="296" t="str">
        <f t="shared" si="39"/>
        <v/>
      </c>
      <c r="BQ11" s="295" t="str">
        <f t="shared" si="40"/>
        <v/>
      </c>
      <c r="BR11" s="300"/>
      <c r="BS11" s="297" t="str">
        <f t="shared" si="93"/>
        <v/>
      </c>
      <c r="BT11" s="295" t="str">
        <f t="shared" si="41"/>
        <v/>
      </c>
      <c r="BU11" s="296" t="str">
        <f t="shared" si="42"/>
        <v/>
      </c>
      <c r="BV11" s="295" t="str">
        <f t="shared" si="43"/>
        <v/>
      </c>
      <c r="BW11" s="300"/>
      <c r="BX11" s="297" t="str">
        <f t="shared" si="94"/>
        <v/>
      </c>
      <c r="BY11" s="295" t="str">
        <f t="shared" si="44"/>
        <v/>
      </c>
      <c r="BZ11" s="296" t="str">
        <f t="shared" si="45"/>
        <v/>
      </c>
      <c r="CA11" s="295" t="str">
        <f t="shared" si="46"/>
        <v/>
      </c>
      <c r="CB11" s="300"/>
      <c r="CC11" s="297" t="str">
        <f t="shared" si="95"/>
        <v/>
      </c>
      <c r="CD11" s="295" t="str">
        <f t="shared" si="47"/>
        <v/>
      </c>
      <c r="CE11" s="296" t="str">
        <f t="shared" si="48"/>
        <v/>
      </c>
      <c r="CF11" s="295" t="str">
        <f t="shared" si="49"/>
        <v/>
      </c>
      <c r="CG11" s="300"/>
      <c r="CH11" s="297" t="str">
        <f t="shared" si="96"/>
        <v/>
      </c>
      <c r="CI11" s="295" t="str">
        <f t="shared" si="50"/>
        <v/>
      </c>
      <c r="CJ11" s="296" t="str">
        <f t="shared" si="51"/>
        <v/>
      </c>
      <c r="CK11" s="295" t="str">
        <f t="shared" si="52"/>
        <v/>
      </c>
      <c r="CL11" s="300"/>
      <c r="CM11" s="297" t="str">
        <f t="shared" si="97"/>
        <v/>
      </c>
      <c r="CN11" s="295" t="str">
        <f t="shared" si="53"/>
        <v/>
      </c>
      <c r="CO11" s="296" t="str">
        <f t="shared" si="54"/>
        <v/>
      </c>
      <c r="CP11" s="295" t="str">
        <f t="shared" si="55"/>
        <v/>
      </c>
      <c r="CQ11" s="300"/>
      <c r="CR11" s="297" t="str">
        <f t="shared" si="98"/>
        <v/>
      </c>
      <c r="CS11" s="295" t="str">
        <f t="shared" si="56"/>
        <v/>
      </c>
      <c r="CT11" s="296" t="str">
        <f t="shared" si="57"/>
        <v/>
      </c>
      <c r="CU11" s="295" t="str">
        <f t="shared" si="58"/>
        <v/>
      </c>
      <c r="CV11" s="300"/>
      <c r="CW11" s="297" t="str">
        <f t="shared" si="99"/>
        <v/>
      </c>
      <c r="CX11" s="295" t="str">
        <f t="shared" si="59"/>
        <v/>
      </c>
      <c r="CY11" s="296" t="str">
        <f t="shared" si="60"/>
        <v/>
      </c>
      <c r="CZ11" s="295" t="str">
        <f t="shared" si="61"/>
        <v/>
      </c>
      <c r="DA11" s="300"/>
      <c r="DB11" s="297" t="str">
        <f t="shared" si="100"/>
        <v/>
      </c>
      <c r="DC11" s="295" t="str">
        <f t="shared" si="62"/>
        <v/>
      </c>
      <c r="DD11" s="296" t="str">
        <f t="shared" si="63"/>
        <v/>
      </c>
      <c r="DE11" s="295" t="str">
        <f t="shared" si="64"/>
        <v/>
      </c>
      <c r="DF11" s="300"/>
      <c r="DG11" s="297" t="str">
        <f t="shared" si="101"/>
        <v/>
      </c>
      <c r="DH11" s="295" t="str">
        <f t="shared" si="65"/>
        <v/>
      </c>
      <c r="DI11" s="296" t="str">
        <f t="shared" si="66"/>
        <v/>
      </c>
      <c r="DJ11" s="295" t="str">
        <f t="shared" si="67"/>
        <v/>
      </c>
      <c r="DK11" s="300"/>
      <c r="DL11" s="297" t="str">
        <f t="shared" si="102"/>
        <v/>
      </c>
      <c r="DM11" s="295" t="str">
        <f t="shared" si="68"/>
        <v/>
      </c>
      <c r="DN11" s="296" t="str">
        <f t="shared" si="69"/>
        <v/>
      </c>
      <c r="DO11" s="295" t="str">
        <f t="shared" si="70"/>
        <v/>
      </c>
      <c r="DP11" s="300"/>
      <c r="DQ11" s="297" t="str">
        <f t="shared" si="103"/>
        <v/>
      </c>
      <c r="DR11" s="295" t="str">
        <f t="shared" si="71"/>
        <v/>
      </c>
      <c r="DS11" s="296" t="str">
        <f t="shared" si="72"/>
        <v/>
      </c>
      <c r="DT11" s="295" t="str">
        <f t="shared" si="73"/>
        <v/>
      </c>
      <c r="DU11" s="300"/>
      <c r="DV11" s="297" t="str">
        <f t="shared" si="104"/>
        <v/>
      </c>
      <c r="DW11" s="295" t="str">
        <f>IF('1.ข้อมูลเบื้องต้น'!$B$32="","",IF($B11="","",'1.ข้อมูลเบื้องต้น'!$B$32))</f>
        <v/>
      </c>
      <c r="DX11" s="296" t="str">
        <f>IF('1.ข้อมูลเบื้องต้น'!$C$32="","",IF($B11="","",'1.ข้อมูลเบื้องต้น'!$C$32))</f>
        <v/>
      </c>
      <c r="DY11" s="295" t="str">
        <f>IF('1.ข้อมูลเบื้องต้น'!$D$32="","",IF($B11="","",'1.ข้อมูลเบื้องต้น'!$D$32))</f>
        <v/>
      </c>
      <c r="DZ11" s="300"/>
      <c r="EA11" s="297" t="str">
        <f t="shared" si="105"/>
        <v/>
      </c>
      <c r="EB11" s="386" t="str">
        <f>IF('6.1ประกาศผลปลายภาค'!AW14="","",'6.1ประกาศผลปลายภาค'!AW14)</f>
        <v/>
      </c>
      <c r="EC11" s="382" t="str">
        <f>IF('2.ชื่อนักเรียน'!R16="มส","มส",IF('2.ชื่อนักเรียน'!R16="ย้าย","ย้าย",IF('2.ชื่อนักเรียน'!R16="ร","ร",IF(EB11="","",RANK(EB11,$EB$6:$EB$50,0)))))</f>
        <v/>
      </c>
      <c r="ED11" s="388"/>
      <c r="EE11" s="388"/>
      <c r="EF11" s="388"/>
      <c r="EG11" s="388"/>
      <c r="EH11" s="295" t="str">
        <f>IF('2.ชื่อนักเรียน'!R16="มส","ไม่ผ่าน",IF('2.ชื่อนักเรียน'!R16="ย้าย","ย้าย",IF(COUNTA(ED11:EG11)&lt;4,"",IF(AND(ED11="ผ",EE11="ผ",EF11="ผ",EG11="ผ"),"ผ่าน","ไม่ผ่าน"))))</f>
        <v/>
      </c>
      <c r="EI11" s="300"/>
      <c r="EK11" s="465" t="str">
        <f t="shared" si="74"/>
        <v/>
      </c>
      <c r="EL11" s="466" t="str">
        <f t="shared" si="75"/>
        <v/>
      </c>
      <c r="EM11" s="467" t="str">
        <f t="shared" si="76"/>
        <v/>
      </c>
      <c r="EN11" s="466" t="str">
        <f t="shared" si="77"/>
        <v/>
      </c>
      <c r="EO11" s="467" t="str">
        <f t="shared" si="78"/>
        <v/>
      </c>
      <c r="EP11" s="466" t="str">
        <f t="shared" si="79"/>
        <v/>
      </c>
      <c r="EQ11" s="467" t="str">
        <f t="shared" si="106"/>
        <v/>
      </c>
      <c r="ER11" s="466" t="str">
        <f t="shared" si="107"/>
        <v/>
      </c>
      <c r="ES11" s="467" t="str">
        <f t="shared" si="80"/>
        <v/>
      </c>
      <c r="ET11" s="466" t="str">
        <f t="shared" si="81"/>
        <v/>
      </c>
    </row>
    <row r="12" spans="1:150" s="14" customFormat="1" ht="21" x14ac:dyDescent="0.4">
      <c r="A12" s="295">
        <v>7</v>
      </c>
      <c r="B12" s="295" t="str">
        <f>IF('2.ชื่อนักเรียน'!E17="","",CONCATENATE('2.ชื่อนักเรียน'!E17,'2.ชื่อนักเรียน'!F17,'2.ชื่อนักเรียน'!G17,'2.ชื่อนักเรียน'!H17,'2.ชื่อนักเรียน'!I17,'2.ชื่อนักเรียน'!J17,'2.ชื่อนักเรียน'!K17,'2.ชื่อนักเรียน'!L17,'2.ชื่อนักเรียน'!M17,'2.ชื่อนักเรียน'!N17,'2.ชื่อนักเรียน'!O17,'2.ชื่อนักเรียน'!P17,'2.ชื่อนักเรียน'!Q17,))</f>
        <v/>
      </c>
      <c r="C12" s="295" t="str">
        <f>IF(IDstu7="","",IDstu7)</f>
        <v/>
      </c>
      <c r="D12" s="497" t="str">
        <f>CONCATENATE(TRIM(Name7),"  ",Surname7)</f>
        <v xml:space="preserve">  </v>
      </c>
      <c r="E12" s="297" t="str">
        <f t="shared" si="0"/>
        <v/>
      </c>
      <c r="F12" s="295" t="str">
        <f t="shared" si="1"/>
        <v/>
      </c>
      <c r="G12" s="295" t="str">
        <f t="shared" si="2"/>
        <v/>
      </c>
      <c r="H12" s="296" t="str">
        <f t="shared" si="3"/>
        <v/>
      </c>
      <c r="I12" s="295" t="str">
        <f t="shared" si="4"/>
        <v/>
      </c>
      <c r="J12" s="300"/>
      <c r="K12" s="297" t="str">
        <f t="shared" si="82"/>
        <v/>
      </c>
      <c r="L12" s="295" t="str">
        <f t="shared" si="5"/>
        <v/>
      </c>
      <c r="M12" s="296" t="str">
        <f t="shared" si="6"/>
        <v/>
      </c>
      <c r="N12" s="295" t="str">
        <f t="shared" si="7"/>
        <v/>
      </c>
      <c r="O12" s="508"/>
      <c r="P12" s="297" t="str">
        <f t="shared" si="83"/>
        <v/>
      </c>
      <c r="Q12" s="295" t="str">
        <f t="shared" si="8"/>
        <v/>
      </c>
      <c r="R12" s="296" t="str">
        <f t="shared" si="9"/>
        <v/>
      </c>
      <c r="S12" s="295" t="str">
        <f t="shared" si="10"/>
        <v/>
      </c>
      <c r="T12" s="300"/>
      <c r="U12" s="297" t="str">
        <f t="shared" si="108"/>
        <v/>
      </c>
      <c r="V12" s="295" t="str">
        <f t="shared" si="11"/>
        <v/>
      </c>
      <c r="W12" s="296" t="str">
        <f t="shared" si="12"/>
        <v/>
      </c>
      <c r="X12" s="295" t="str">
        <f t="shared" si="13"/>
        <v/>
      </c>
      <c r="Y12" s="300"/>
      <c r="Z12" s="297" t="str">
        <f t="shared" si="84"/>
        <v/>
      </c>
      <c r="AA12" s="295" t="str">
        <f t="shared" si="14"/>
        <v/>
      </c>
      <c r="AB12" s="296" t="str">
        <f t="shared" si="15"/>
        <v/>
      </c>
      <c r="AC12" s="295" t="str">
        <f t="shared" si="16"/>
        <v/>
      </c>
      <c r="AD12" s="300"/>
      <c r="AE12" s="297" t="str">
        <f t="shared" si="85"/>
        <v/>
      </c>
      <c r="AF12" s="295" t="str">
        <f t="shared" si="17"/>
        <v/>
      </c>
      <c r="AG12" s="296" t="str">
        <f t="shared" si="18"/>
        <v/>
      </c>
      <c r="AH12" s="295" t="str">
        <f t="shared" si="19"/>
        <v/>
      </c>
      <c r="AI12" s="300"/>
      <c r="AJ12" s="297" t="str">
        <f t="shared" si="86"/>
        <v/>
      </c>
      <c r="AK12" s="295" t="str">
        <f t="shared" si="20"/>
        <v/>
      </c>
      <c r="AL12" s="296" t="str">
        <f t="shared" si="21"/>
        <v/>
      </c>
      <c r="AM12" s="295" t="str">
        <f t="shared" si="22"/>
        <v/>
      </c>
      <c r="AN12" s="300"/>
      <c r="AO12" s="297" t="str">
        <f t="shared" si="87"/>
        <v/>
      </c>
      <c r="AP12" s="295" t="str">
        <f t="shared" si="23"/>
        <v/>
      </c>
      <c r="AQ12" s="296" t="str">
        <f t="shared" si="24"/>
        <v/>
      </c>
      <c r="AR12" s="295" t="str">
        <f t="shared" si="25"/>
        <v/>
      </c>
      <c r="AS12" s="300"/>
      <c r="AT12" s="297" t="str">
        <f t="shared" si="88"/>
        <v/>
      </c>
      <c r="AU12" s="295" t="str">
        <f t="shared" si="26"/>
        <v/>
      </c>
      <c r="AV12" s="296" t="str">
        <f t="shared" si="27"/>
        <v/>
      </c>
      <c r="AW12" s="295" t="str">
        <f t="shared" si="28"/>
        <v/>
      </c>
      <c r="AX12" s="300"/>
      <c r="AY12" s="297" t="str">
        <f t="shared" si="89"/>
        <v/>
      </c>
      <c r="AZ12" s="295" t="str">
        <f t="shared" si="29"/>
        <v/>
      </c>
      <c r="BA12" s="296" t="str">
        <f t="shared" si="30"/>
        <v/>
      </c>
      <c r="BB12" s="295" t="str">
        <f t="shared" si="31"/>
        <v/>
      </c>
      <c r="BC12" s="300"/>
      <c r="BD12" s="297" t="str">
        <f t="shared" si="90"/>
        <v/>
      </c>
      <c r="BE12" s="295" t="str">
        <f t="shared" si="32"/>
        <v/>
      </c>
      <c r="BF12" s="296" t="str">
        <f t="shared" si="33"/>
        <v/>
      </c>
      <c r="BG12" s="295" t="str">
        <f t="shared" si="34"/>
        <v/>
      </c>
      <c r="BH12" s="300"/>
      <c r="BI12" s="297" t="str">
        <f t="shared" si="91"/>
        <v/>
      </c>
      <c r="BJ12" s="295" t="str">
        <f t="shared" si="35"/>
        <v/>
      </c>
      <c r="BK12" s="296" t="str">
        <f t="shared" si="36"/>
        <v/>
      </c>
      <c r="BL12" s="295" t="str">
        <f t="shared" si="37"/>
        <v/>
      </c>
      <c r="BM12" s="300"/>
      <c r="BN12" s="297" t="str">
        <f t="shared" si="92"/>
        <v/>
      </c>
      <c r="BO12" s="295" t="str">
        <f t="shared" si="38"/>
        <v/>
      </c>
      <c r="BP12" s="296" t="str">
        <f t="shared" si="39"/>
        <v/>
      </c>
      <c r="BQ12" s="295" t="str">
        <f t="shared" si="40"/>
        <v/>
      </c>
      <c r="BR12" s="300"/>
      <c r="BS12" s="297" t="str">
        <f t="shared" si="93"/>
        <v/>
      </c>
      <c r="BT12" s="295" t="str">
        <f t="shared" si="41"/>
        <v/>
      </c>
      <c r="BU12" s="296" t="str">
        <f t="shared" si="42"/>
        <v/>
      </c>
      <c r="BV12" s="295" t="str">
        <f t="shared" si="43"/>
        <v/>
      </c>
      <c r="BW12" s="300"/>
      <c r="BX12" s="297" t="str">
        <f t="shared" si="94"/>
        <v/>
      </c>
      <c r="BY12" s="295" t="str">
        <f t="shared" si="44"/>
        <v/>
      </c>
      <c r="BZ12" s="296" t="str">
        <f t="shared" si="45"/>
        <v/>
      </c>
      <c r="CA12" s="295" t="str">
        <f t="shared" si="46"/>
        <v/>
      </c>
      <c r="CB12" s="300"/>
      <c r="CC12" s="297" t="str">
        <f t="shared" si="95"/>
        <v/>
      </c>
      <c r="CD12" s="295" t="str">
        <f t="shared" si="47"/>
        <v/>
      </c>
      <c r="CE12" s="296" t="str">
        <f t="shared" si="48"/>
        <v/>
      </c>
      <c r="CF12" s="295" t="str">
        <f t="shared" si="49"/>
        <v/>
      </c>
      <c r="CG12" s="300"/>
      <c r="CH12" s="297" t="str">
        <f t="shared" si="96"/>
        <v/>
      </c>
      <c r="CI12" s="295" t="str">
        <f t="shared" si="50"/>
        <v/>
      </c>
      <c r="CJ12" s="296" t="str">
        <f t="shared" si="51"/>
        <v/>
      </c>
      <c r="CK12" s="295" t="str">
        <f t="shared" si="52"/>
        <v/>
      </c>
      <c r="CL12" s="300"/>
      <c r="CM12" s="297" t="str">
        <f t="shared" si="97"/>
        <v/>
      </c>
      <c r="CN12" s="295" t="str">
        <f t="shared" si="53"/>
        <v/>
      </c>
      <c r="CO12" s="296" t="str">
        <f t="shared" si="54"/>
        <v/>
      </c>
      <c r="CP12" s="295" t="str">
        <f t="shared" si="55"/>
        <v/>
      </c>
      <c r="CQ12" s="300"/>
      <c r="CR12" s="297" t="str">
        <f t="shared" si="98"/>
        <v/>
      </c>
      <c r="CS12" s="295" t="str">
        <f t="shared" si="56"/>
        <v/>
      </c>
      <c r="CT12" s="296" t="str">
        <f t="shared" si="57"/>
        <v/>
      </c>
      <c r="CU12" s="295" t="str">
        <f t="shared" si="58"/>
        <v/>
      </c>
      <c r="CV12" s="300"/>
      <c r="CW12" s="297" t="str">
        <f t="shared" si="99"/>
        <v/>
      </c>
      <c r="CX12" s="295" t="str">
        <f t="shared" si="59"/>
        <v/>
      </c>
      <c r="CY12" s="296" t="str">
        <f t="shared" si="60"/>
        <v/>
      </c>
      <c r="CZ12" s="295" t="str">
        <f t="shared" si="61"/>
        <v/>
      </c>
      <c r="DA12" s="300"/>
      <c r="DB12" s="297" t="str">
        <f t="shared" si="100"/>
        <v/>
      </c>
      <c r="DC12" s="295" t="str">
        <f t="shared" si="62"/>
        <v/>
      </c>
      <c r="DD12" s="296" t="str">
        <f t="shared" si="63"/>
        <v/>
      </c>
      <c r="DE12" s="295" t="str">
        <f t="shared" si="64"/>
        <v/>
      </c>
      <c r="DF12" s="300"/>
      <c r="DG12" s="297" t="str">
        <f t="shared" si="101"/>
        <v/>
      </c>
      <c r="DH12" s="295" t="str">
        <f t="shared" si="65"/>
        <v/>
      </c>
      <c r="DI12" s="296" t="str">
        <f t="shared" si="66"/>
        <v/>
      </c>
      <c r="DJ12" s="295" t="str">
        <f t="shared" si="67"/>
        <v/>
      </c>
      <c r="DK12" s="300"/>
      <c r="DL12" s="297" t="str">
        <f t="shared" si="102"/>
        <v/>
      </c>
      <c r="DM12" s="295" t="str">
        <f t="shared" si="68"/>
        <v/>
      </c>
      <c r="DN12" s="296" t="str">
        <f t="shared" si="69"/>
        <v/>
      </c>
      <c r="DO12" s="295" t="str">
        <f t="shared" si="70"/>
        <v/>
      </c>
      <c r="DP12" s="300"/>
      <c r="DQ12" s="297" t="str">
        <f t="shared" si="103"/>
        <v/>
      </c>
      <c r="DR12" s="295" t="str">
        <f t="shared" si="71"/>
        <v/>
      </c>
      <c r="DS12" s="296" t="str">
        <f t="shared" si="72"/>
        <v/>
      </c>
      <c r="DT12" s="295" t="str">
        <f t="shared" si="73"/>
        <v/>
      </c>
      <c r="DU12" s="300"/>
      <c r="DV12" s="297" t="str">
        <f t="shared" si="104"/>
        <v/>
      </c>
      <c r="DW12" s="295" t="str">
        <f>IF('1.ข้อมูลเบื้องต้น'!$B$32="","",IF($B12="","",'1.ข้อมูลเบื้องต้น'!$B$32))</f>
        <v/>
      </c>
      <c r="DX12" s="296" t="str">
        <f>IF('1.ข้อมูลเบื้องต้น'!$C$32="","",IF($B12="","",'1.ข้อมูลเบื้องต้น'!$C$32))</f>
        <v/>
      </c>
      <c r="DY12" s="295" t="str">
        <f>IF('1.ข้อมูลเบื้องต้น'!$D$32="","",IF($B12="","",'1.ข้อมูลเบื้องต้น'!$D$32))</f>
        <v/>
      </c>
      <c r="DZ12" s="300"/>
      <c r="EA12" s="297" t="str">
        <f t="shared" si="105"/>
        <v/>
      </c>
      <c r="EB12" s="386" t="str">
        <f>IF('6.1ประกาศผลปลายภาค'!AW15="","",'6.1ประกาศผลปลายภาค'!AW15)</f>
        <v/>
      </c>
      <c r="EC12" s="382" t="str">
        <f>IF('2.ชื่อนักเรียน'!R17="มส","มส",IF('2.ชื่อนักเรียน'!R17="ย้าย","ย้าย",IF('2.ชื่อนักเรียน'!R17="ร","ร",IF(EB12="","",RANK(EB12,$EB$6:$EB$50,0)))))</f>
        <v/>
      </c>
      <c r="ED12" s="388"/>
      <c r="EE12" s="388"/>
      <c r="EF12" s="388"/>
      <c r="EG12" s="388"/>
      <c r="EH12" s="295" t="str">
        <f>IF('2.ชื่อนักเรียน'!R17="มส","ไม่ผ่าน",IF('2.ชื่อนักเรียน'!R17="ย้าย","ย้าย",IF(COUNTA(ED12:EG12)&lt;4,"",IF(AND(ED12="ผ",EE12="ผ",EF12="ผ",EG12="ผ"),"ผ่าน","ไม่ผ่าน"))))</f>
        <v/>
      </c>
      <c r="EI12" s="300"/>
      <c r="EK12" s="459" t="str">
        <f t="shared" si="74"/>
        <v/>
      </c>
      <c r="EL12" s="460" t="str">
        <f t="shared" si="75"/>
        <v/>
      </c>
      <c r="EM12" s="461" t="str">
        <f t="shared" si="76"/>
        <v/>
      </c>
      <c r="EN12" s="460" t="str">
        <f t="shared" si="77"/>
        <v/>
      </c>
      <c r="EO12" s="461" t="str">
        <f t="shared" si="78"/>
        <v/>
      </c>
      <c r="EP12" s="460" t="str">
        <f t="shared" si="79"/>
        <v/>
      </c>
      <c r="EQ12" s="461" t="str">
        <f t="shared" si="106"/>
        <v/>
      </c>
      <c r="ER12" s="460" t="str">
        <f t="shared" si="107"/>
        <v/>
      </c>
      <c r="ES12" s="461" t="str">
        <f t="shared" si="80"/>
        <v/>
      </c>
      <c r="ET12" s="460" t="str">
        <f t="shared" si="81"/>
        <v/>
      </c>
    </row>
    <row r="13" spans="1:150" s="14" customFormat="1" ht="21" x14ac:dyDescent="0.4">
      <c r="A13" s="295">
        <v>8</v>
      </c>
      <c r="B13" s="295" t="str">
        <f>IF('2.ชื่อนักเรียน'!E18="","",CONCATENATE('2.ชื่อนักเรียน'!E18,'2.ชื่อนักเรียน'!F18,'2.ชื่อนักเรียน'!G18,'2.ชื่อนักเรียน'!H18,'2.ชื่อนักเรียน'!I18,'2.ชื่อนักเรียน'!J18,'2.ชื่อนักเรียน'!K18,'2.ชื่อนักเรียน'!L18,'2.ชื่อนักเรียน'!M18,'2.ชื่อนักเรียน'!N18,'2.ชื่อนักเรียน'!O18,'2.ชื่อนักเรียน'!P18,'2.ชื่อนักเรียน'!Q18,))</f>
        <v/>
      </c>
      <c r="C13" s="295" t="str">
        <f>IF(IDstu8="","",IDstu8)</f>
        <v/>
      </c>
      <c r="D13" s="497" t="str">
        <f>CONCATENATE(TRIM(Name8),"  ",Surname8)</f>
        <v xml:space="preserve">  </v>
      </c>
      <c r="E13" s="297" t="str">
        <f t="shared" si="0"/>
        <v/>
      </c>
      <c r="F13" s="295" t="str">
        <f t="shared" si="1"/>
        <v/>
      </c>
      <c r="G13" s="295" t="str">
        <f t="shared" si="2"/>
        <v/>
      </c>
      <c r="H13" s="296" t="str">
        <f t="shared" si="3"/>
        <v/>
      </c>
      <c r="I13" s="295" t="str">
        <f t="shared" si="4"/>
        <v/>
      </c>
      <c r="J13" s="300"/>
      <c r="K13" s="297" t="str">
        <f t="shared" si="82"/>
        <v/>
      </c>
      <c r="L13" s="295" t="str">
        <f t="shared" si="5"/>
        <v/>
      </c>
      <c r="M13" s="296" t="str">
        <f t="shared" si="6"/>
        <v/>
      </c>
      <c r="N13" s="295" t="str">
        <f t="shared" si="7"/>
        <v/>
      </c>
      <c r="O13" s="508"/>
      <c r="P13" s="297" t="str">
        <f t="shared" si="83"/>
        <v/>
      </c>
      <c r="Q13" s="295" t="str">
        <f t="shared" si="8"/>
        <v/>
      </c>
      <c r="R13" s="296" t="str">
        <f t="shared" si="9"/>
        <v/>
      </c>
      <c r="S13" s="295" t="str">
        <f t="shared" si="10"/>
        <v/>
      </c>
      <c r="T13" s="300"/>
      <c r="U13" s="297" t="str">
        <f t="shared" si="108"/>
        <v/>
      </c>
      <c r="V13" s="295" t="str">
        <f t="shared" si="11"/>
        <v/>
      </c>
      <c r="W13" s="296" t="str">
        <f t="shared" si="12"/>
        <v/>
      </c>
      <c r="X13" s="295" t="str">
        <f t="shared" si="13"/>
        <v/>
      </c>
      <c r="Y13" s="300"/>
      <c r="Z13" s="297" t="str">
        <f t="shared" si="84"/>
        <v/>
      </c>
      <c r="AA13" s="295" t="str">
        <f t="shared" si="14"/>
        <v/>
      </c>
      <c r="AB13" s="296" t="str">
        <f t="shared" si="15"/>
        <v/>
      </c>
      <c r="AC13" s="295" t="str">
        <f t="shared" si="16"/>
        <v/>
      </c>
      <c r="AD13" s="300"/>
      <c r="AE13" s="297" t="str">
        <f t="shared" si="85"/>
        <v/>
      </c>
      <c r="AF13" s="295" t="str">
        <f t="shared" si="17"/>
        <v/>
      </c>
      <c r="AG13" s="296" t="str">
        <f t="shared" si="18"/>
        <v/>
      </c>
      <c r="AH13" s="295" t="str">
        <f t="shared" si="19"/>
        <v/>
      </c>
      <c r="AI13" s="300"/>
      <c r="AJ13" s="297" t="str">
        <f t="shared" si="86"/>
        <v/>
      </c>
      <c r="AK13" s="295" t="str">
        <f t="shared" si="20"/>
        <v/>
      </c>
      <c r="AL13" s="296" t="str">
        <f t="shared" si="21"/>
        <v/>
      </c>
      <c r="AM13" s="295" t="str">
        <f t="shared" si="22"/>
        <v/>
      </c>
      <c r="AN13" s="300"/>
      <c r="AO13" s="297" t="str">
        <f t="shared" si="87"/>
        <v/>
      </c>
      <c r="AP13" s="295" t="str">
        <f t="shared" si="23"/>
        <v/>
      </c>
      <c r="AQ13" s="296" t="str">
        <f t="shared" si="24"/>
        <v/>
      </c>
      <c r="AR13" s="295" t="str">
        <f t="shared" si="25"/>
        <v/>
      </c>
      <c r="AS13" s="300"/>
      <c r="AT13" s="297" t="str">
        <f t="shared" si="88"/>
        <v/>
      </c>
      <c r="AU13" s="295" t="str">
        <f t="shared" si="26"/>
        <v/>
      </c>
      <c r="AV13" s="296" t="str">
        <f t="shared" si="27"/>
        <v/>
      </c>
      <c r="AW13" s="295" t="str">
        <f t="shared" si="28"/>
        <v/>
      </c>
      <c r="AX13" s="300"/>
      <c r="AY13" s="297" t="str">
        <f t="shared" si="89"/>
        <v/>
      </c>
      <c r="AZ13" s="295" t="str">
        <f t="shared" si="29"/>
        <v/>
      </c>
      <c r="BA13" s="296" t="str">
        <f t="shared" si="30"/>
        <v/>
      </c>
      <c r="BB13" s="295" t="str">
        <f t="shared" si="31"/>
        <v/>
      </c>
      <c r="BC13" s="300"/>
      <c r="BD13" s="297" t="str">
        <f t="shared" si="90"/>
        <v/>
      </c>
      <c r="BE13" s="295" t="str">
        <f t="shared" si="32"/>
        <v/>
      </c>
      <c r="BF13" s="296" t="str">
        <f t="shared" si="33"/>
        <v/>
      </c>
      <c r="BG13" s="295" t="str">
        <f t="shared" si="34"/>
        <v/>
      </c>
      <c r="BH13" s="300"/>
      <c r="BI13" s="297" t="str">
        <f t="shared" si="91"/>
        <v/>
      </c>
      <c r="BJ13" s="295" t="str">
        <f t="shared" si="35"/>
        <v/>
      </c>
      <c r="BK13" s="296" t="str">
        <f t="shared" si="36"/>
        <v/>
      </c>
      <c r="BL13" s="295" t="str">
        <f t="shared" si="37"/>
        <v/>
      </c>
      <c r="BM13" s="300"/>
      <c r="BN13" s="297" t="str">
        <f t="shared" si="92"/>
        <v/>
      </c>
      <c r="BO13" s="295" t="str">
        <f t="shared" si="38"/>
        <v/>
      </c>
      <c r="BP13" s="296" t="str">
        <f t="shared" si="39"/>
        <v/>
      </c>
      <c r="BQ13" s="295" t="str">
        <f t="shared" si="40"/>
        <v/>
      </c>
      <c r="BR13" s="300"/>
      <c r="BS13" s="297" t="str">
        <f t="shared" si="93"/>
        <v/>
      </c>
      <c r="BT13" s="295" t="str">
        <f t="shared" si="41"/>
        <v/>
      </c>
      <c r="BU13" s="296" t="str">
        <f t="shared" si="42"/>
        <v/>
      </c>
      <c r="BV13" s="295" t="str">
        <f t="shared" si="43"/>
        <v/>
      </c>
      <c r="BW13" s="300"/>
      <c r="BX13" s="297" t="str">
        <f t="shared" si="94"/>
        <v/>
      </c>
      <c r="BY13" s="295" t="str">
        <f t="shared" si="44"/>
        <v/>
      </c>
      <c r="BZ13" s="296" t="str">
        <f t="shared" si="45"/>
        <v/>
      </c>
      <c r="CA13" s="295" t="str">
        <f t="shared" si="46"/>
        <v/>
      </c>
      <c r="CB13" s="300"/>
      <c r="CC13" s="297" t="str">
        <f t="shared" si="95"/>
        <v/>
      </c>
      <c r="CD13" s="295" t="str">
        <f t="shared" si="47"/>
        <v/>
      </c>
      <c r="CE13" s="296" t="str">
        <f t="shared" si="48"/>
        <v/>
      </c>
      <c r="CF13" s="295" t="str">
        <f t="shared" si="49"/>
        <v/>
      </c>
      <c r="CG13" s="300"/>
      <c r="CH13" s="297" t="str">
        <f t="shared" si="96"/>
        <v/>
      </c>
      <c r="CI13" s="295" t="str">
        <f t="shared" si="50"/>
        <v/>
      </c>
      <c r="CJ13" s="296" t="str">
        <f t="shared" si="51"/>
        <v/>
      </c>
      <c r="CK13" s="295" t="str">
        <f t="shared" si="52"/>
        <v/>
      </c>
      <c r="CL13" s="300"/>
      <c r="CM13" s="297" t="str">
        <f t="shared" si="97"/>
        <v/>
      </c>
      <c r="CN13" s="295" t="str">
        <f t="shared" si="53"/>
        <v/>
      </c>
      <c r="CO13" s="296" t="str">
        <f t="shared" si="54"/>
        <v/>
      </c>
      <c r="CP13" s="295" t="str">
        <f t="shared" si="55"/>
        <v/>
      </c>
      <c r="CQ13" s="300"/>
      <c r="CR13" s="297" t="str">
        <f t="shared" si="98"/>
        <v/>
      </c>
      <c r="CS13" s="295" t="str">
        <f t="shared" si="56"/>
        <v/>
      </c>
      <c r="CT13" s="296" t="str">
        <f t="shared" si="57"/>
        <v/>
      </c>
      <c r="CU13" s="295" t="str">
        <f t="shared" si="58"/>
        <v/>
      </c>
      <c r="CV13" s="300"/>
      <c r="CW13" s="297" t="str">
        <f t="shared" si="99"/>
        <v/>
      </c>
      <c r="CX13" s="295" t="str">
        <f t="shared" si="59"/>
        <v/>
      </c>
      <c r="CY13" s="296" t="str">
        <f t="shared" si="60"/>
        <v/>
      </c>
      <c r="CZ13" s="295" t="str">
        <f t="shared" si="61"/>
        <v/>
      </c>
      <c r="DA13" s="300"/>
      <c r="DB13" s="297" t="str">
        <f t="shared" si="100"/>
        <v/>
      </c>
      <c r="DC13" s="295" t="str">
        <f t="shared" si="62"/>
        <v/>
      </c>
      <c r="DD13" s="296" t="str">
        <f t="shared" si="63"/>
        <v/>
      </c>
      <c r="DE13" s="295" t="str">
        <f t="shared" si="64"/>
        <v/>
      </c>
      <c r="DF13" s="300"/>
      <c r="DG13" s="297" t="str">
        <f t="shared" si="101"/>
        <v/>
      </c>
      <c r="DH13" s="295" t="str">
        <f t="shared" si="65"/>
        <v/>
      </c>
      <c r="DI13" s="296" t="str">
        <f t="shared" si="66"/>
        <v/>
      </c>
      <c r="DJ13" s="295" t="str">
        <f t="shared" si="67"/>
        <v/>
      </c>
      <c r="DK13" s="300"/>
      <c r="DL13" s="297" t="str">
        <f t="shared" si="102"/>
        <v/>
      </c>
      <c r="DM13" s="295" t="str">
        <f t="shared" si="68"/>
        <v/>
      </c>
      <c r="DN13" s="296" t="str">
        <f t="shared" si="69"/>
        <v/>
      </c>
      <c r="DO13" s="295" t="str">
        <f t="shared" si="70"/>
        <v/>
      </c>
      <c r="DP13" s="300"/>
      <c r="DQ13" s="297" t="str">
        <f t="shared" si="103"/>
        <v/>
      </c>
      <c r="DR13" s="295" t="str">
        <f t="shared" si="71"/>
        <v/>
      </c>
      <c r="DS13" s="296" t="str">
        <f t="shared" si="72"/>
        <v/>
      </c>
      <c r="DT13" s="295" t="str">
        <f t="shared" si="73"/>
        <v/>
      </c>
      <c r="DU13" s="300"/>
      <c r="DV13" s="297" t="str">
        <f t="shared" si="104"/>
        <v/>
      </c>
      <c r="DW13" s="295" t="str">
        <f>IF('1.ข้อมูลเบื้องต้น'!$B$32="","",IF($B13="","",'1.ข้อมูลเบื้องต้น'!$B$32))</f>
        <v/>
      </c>
      <c r="DX13" s="296" t="str">
        <f>IF('1.ข้อมูลเบื้องต้น'!$C$32="","",IF($B13="","",'1.ข้อมูลเบื้องต้น'!$C$32))</f>
        <v/>
      </c>
      <c r="DY13" s="295" t="str">
        <f>IF('1.ข้อมูลเบื้องต้น'!$D$32="","",IF($B13="","",'1.ข้อมูลเบื้องต้น'!$D$32))</f>
        <v/>
      </c>
      <c r="DZ13" s="300"/>
      <c r="EA13" s="297" t="str">
        <f t="shared" si="105"/>
        <v/>
      </c>
      <c r="EB13" s="386" t="str">
        <f>IF('6.1ประกาศผลปลายภาค'!AW16="","",'6.1ประกาศผลปลายภาค'!AW16)</f>
        <v/>
      </c>
      <c r="EC13" s="382" t="str">
        <f>IF('2.ชื่อนักเรียน'!R18="มส","มส",IF('2.ชื่อนักเรียน'!R18="ย้าย","ย้าย",IF('2.ชื่อนักเรียน'!R18="ร","ร",IF(EB13="","",RANK(EB13,$EB$6:$EB$50,0)))))</f>
        <v/>
      </c>
      <c r="ED13" s="388"/>
      <c r="EE13" s="388"/>
      <c r="EF13" s="388"/>
      <c r="EG13" s="388"/>
      <c r="EH13" s="295" t="str">
        <f>IF('2.ชื่อนักเรียน'!R18="มส","ไม่ผ่าน",IF('2.ชื่อนักเรียน'!R18="ย้าย","ย้าย",IF(COUNTA(ED13:EG13)&lt;4,"",IF(AND(ED13="ผ",EE13="ผ",EF13="ผ",EG13="ผ"),"ผ่าน","ไม่ผ่าน"))))</f>
        <v/>
      </c>
      <c r="EI13" s="300"/>
      <c r="EK13" s="459" t="str">
        <f t="shared" si="74"/>
        <v/>
      </c>
      <c r="EL13" s="460" t="str">
        <f t="shared" si="75"/>
        <v/>
      </c>
      <c r="EM13" s="461" t="str">
        <f t="shared" si="76"/>
        <v/>
      </c>
      <c r="EN13" s="460" t="str">
        <f t="shared" si="77"/>
        <v/>
      </c>
      <c r="EO13" s="461" t="str">
        <f t="shared" si="78"/>
        <v/>
      </c>
      <c r="EP13" s="460" t="str">
        <f t="shared" si="79"/>
        <v/>
      </c>
      <c r="EQ13" s="461" t="str">
        <f t="shared" si="106"/>
        <v/>
      </c>
      <c r="ER13" s="460" t="str">
        <f t="shared" si="107"/>
        <v/>
      </c>
      <c r="ES13" s="461" t="str">
        <f t="shared" si="80"/>
        <v/>
      </c>
      <c r="ET13" s="460" t="str">
        <f t="shared" si="81"/>
        <v/>
      </c>
    </row>
    <row r="14" spans="1:150" s="14" customFormat="1" ht="21" x14ac:dyDescent="0.4">
      <c r="A14" s="295">
        <v>9</v>
      </c>
      <c r="B14" s="295" t="str">
        <f>IF('2.ชื่อนักเรียน'!E19="","",CONCATENATE('2.ชื่อนักเรียน'!E19,'2.ชื่อนักเรียน'!F19,'2.ชื่อนักเรียน'!G19,'2.ชื่อนักเรียน'!H19,'2.ชื่อนักเรียน'!I19,'2.ชื่อนักเรียน'!J19,'2.ชื่อนักเรียน'!K19,'2.ชื่อนักเรียน'!L19,'2.ชื่อนักเรียน'!M19,'2.ชื่อนักเรียน'!N19,'2.ชื่อนักเรียน'!O19,'2.ชื่อนักเรียน'!P19,'2.ชื่อนักเรียน'!Q19,))</f>
        <v/>
      </c>
      <c r="C14" s="295" t="str">
        <f>IF(IDstu9="","",IDstu9)</f>
        <v/>
      </c>
      <c r="D14" s="497" t="str">
        <f>CONCATENATE(TRIM(Name9),"  ",Surname9)</f>
        <v xml:space="preserve">  </v>
      </c>
      <c r="E14" s="297" t="str">
        <f t="shared" si="0"/>
        <v/>
      </c>
      <c r="F14" s="295" t="str">
        <f t="shared" si="1"/>
        <v/>
      </c>
      <c r="G14" s="295" t="str">
        <f t="shared" si="2"/>
        <v/>
      </c>
      <c r="H14" s="296" t="str">
        <f t="shared" si="3"/>
        <v/>
      </c>
      <c r="I14" s="295" t="str">
        <f t="shared" si="4"/>
        <v/>
      </c>
      <c r="J14" s="300"/>
      <c r="K14" s="297" t="str">
        <f t="shared" si="82"/>
        <v/>
      </c>
      <c r="L14" s="295" t="str">
        <f t="shared" si="5"/>
        <v/>
      </c>
      <c r="M14" s="296" t="str">
        <f t="shared" si="6"/>
        <v/>
      </c>
      <c r="N14" s="295" t="str">
        <f t="shared" si="7"/>
        <v/>
      </c>
      <c r="O14" s="508"/>
      <c r="P14" s="297" t="str">
        <f t="shared" si="83"/>
        <v/>
      </c>
      <c r="Q14" s="295" t="str">
        <f t="shared" si="8"/>
        <v/>
      </c>
      <c r="R14" s="296" t="str">
        <f t="shared" si="9"/>
        <v/>
      </c>
      <c r="S14" s="295" t="str">
        <f t="shared" si="10"/>
        <v/>
      </c>
      <c r="T14" s="300"/>
      <c r="U14" s="297" t="str">
        <f t="shared" si="108"/>
        <v/>
      </c>
      <c r="V14" s="295" t="str">
        <f t="shared" si="11"/>
        <v/>
      </c>
      <c r="W14" s="296" t="str">
        <f t="shared" si="12"/>
        <v/>
      </c>
      <c r="X14" s="295" t="str">
        <f t="shared" si="13"/>
        <v/>
      </c>
      <c r="Y14" s="300"/>
      <c r="Z14" s="297" t="str">
        <f t="shared" si="84"/>
        <v/>
      </c>
      <c r="AA14" s="295" t="str">
        <f t="shared" si="14"/>
        <v/>
      </c>
      <c r="AB14" s="296" t="str">
        <f t="shared" si="15"/>
        <v/>
      </c>
      <c r="AC14" s="295" t="str">
        <f t="shared" si="16"/>
        <v/>
      </c>
      <c r="AD14" s="300"/>
      <c r="AE14" s="297" t="str">
        <f t="shared" si="85"/>
        <v/>
      </c>
      <c r="AF14" s="295" t="str">
        <f t="shared" si="17"/>
        <v/>
      </c>
      <c r="AG14" s="296" t="str">
        <f t="shared" si="18"/>
        <v/>
      </c>
      <c r="AH14" s="295" t="str">
        <f t="shared" si="19"/>
        <v/>
      </c>
      <c r="AI14" s="300"/>
      <c r="AJ14" s="297" t="str">
        <f t="shared" si="86"/>
        <v/>
      </c>
      <c r="AK14" s="295" t="str">
        <f t="shared" si="20"/>
        <v/>
      </c>
      <c r="AL14" s="296" t="str">
        <f t="shared" si="21"/>
        <v/>
      </c>
      <c r="AM14" s="295" t="str">
        <f t="shared" si="22"/>
        <v/>
      </c>
      <c r="AN14" s="300"/>
      <c r="AO14" s="297" t="str">
        <f t="shared" si="87"/>
        <v/>
      </c>
      <c r="AP14" s="295" t="str">
        <f t="shared" si="23"/>
        <v/>
      </c>
      <c r="AQ14" s="296" t="str">
        <f t="shared" si="24"/>
        <v/>
      </c>
      <c r="AR14" s="295" t="str">
        <f t="shared" si="25"/>
        <v/>
      </c>
      <c r="AS14" s="300"/>
      <c r="AT14" s="297" t="str">
        <f t="shared" si="88"/>
        <v/>
      </c>
      <c r="AU14" s="295" t="str">
        <f t="shared" si="26"/>
        <v/>
      </c>
      <c r="AV14" s="296" t="str">
        <f t="shared" si="27"/>
        <v/>
      </c>
      <c r="AW14" s="295" t="str">
        <f t="shared" si="28"/>
        <v/>
      </c>
      <c r="AX14" s="300"/>
      <c r="AY14" s="297" t="str">
        <f t="shared" si="89"/>
        <v/>
      </c>
      <c r="AZ14" s="295" t="str">
        <f t="shared" si="29"/>
        <v/>
      </c>
      <c r="BA14" s="296" t="str">
        <f t="shared" si="30"/>
        <v/>
      </c>
      <c r="BB14" s="295" t="str">
        <f t="shared" si="31"/>
        <v/>
      </c>
      <c r="BC14" s="300"/>
      <c r="BD14" s="297" t="str">
        <f t="shared" si="90"/>
        <v/>
      </c>
      <c r="BE14" s="295" t="str">
        <f t="shared" si="32"/>
        <v/>
      </c>
      <c r="BF14" s="296" t="str">
        <f t="shared" si="33"/>
        <v/>
      </c>
      <c r="BG14" s="295" t="str">
        <f t="shared" si="34"/>
        <v/>
      </c>
      <c r="BH14" s="300"/>
      <c r="BI14" s="297" t="str">
        <f t="shared" si="91"/>
        <v/>
      </c>
      <c r="BJ14" s="295" t="str">
        <f t="shared" si="35"/>
        <v/>
      </c>
      <c r="BK14" s="296" t="str">
        <f t="shared" si="36"/>
        <v/>
      </c>
      <c r="BL14" s="295" t="str">
        <f t="shared" si="37"/>
        <v/>
      </c>
      <c r="BM14" s="300"/>
      <c r="BN14" s="297" t="str">
        <f t="shared" si="92"/>
        <v/>
      </c>
      <c r="BO14" s="295" t="str">
        <f t="shared" si="38"/>
        <v/>
      </c>
      <c r="BP14" s="296" t="str">
        <f t="shared" si="39"/>
        <v/>
      </c>
      <c r="BQ14" s="295" t="str">
        <f t="shared" si="40"/>
        <v/>
      </c>
      <c r="BR14" s="300"/>
      <c r="BS14" s="297" t="str">
        <f t="shared" si="93"/>
        <v/>
      </c>
      <c r="BT14" s="295" t="str">
        <f t="shared" si="41"/>
        <v/>
      </c>
      <c r="BU14" s="296" t="str">
        <f t="shared" si="42"/>
        <v/>
      </c>
      <c r="BV14" s="295" t="str">
        <f t="shared" si="43"/>
        <v/>
      </c>
      <c r="BW14" s="300"/>
      <c r="BX14" s="297" t="str">
        <f t="shared" si="94"/>
        <v/>
      </c>
      <c r="BY14" s="295" t="str">
        <f t="shared" si="44"/>
        <v/>
      </c>
      <c r="BZ14" s="296" t="str">
        <f t="shared" si="45"/>
        <v/>
      </c>
      <c r="CA14" s="295" t="str">
        <f t="shared" si="46"/>
        <v/>
      </c>
      <c r="CB14" s="300"/>
      <c r="CC14" s="297" t="str">
        <f t="shared" si="95"/>
        <v/>
      </c>
      <c r="CD14" s="295" t="str">
        <f t="shared" si="47"/>
        <v/>
      </c>
      <c r="CE14" s="296" t="str">
        <f t="shared" si="48"/>
        <v/>
      </c>
      <c r="CF14" s="295" t="str">
        <f t="shared" si="49"/>
        <v/>
      </c>
      <c r="CG14" s="300"/>
      <c r="CH14" s="297" t="str">
        <f t="shared" si="96"/>
        <v/>
      </c>
      <c r="CI14" s="295" t="str">
        <f t="shared" si="50"/>
        <v/>
      </c>
      <c r="CJ14" s="296" t="str">
        <f t="shared" si="51"/>
        <v/>
      </c>
      <c r="CK14" s="295" t="str">
        <f t="shared" si="52"/>
        <v/>
      </c>
      <c r="CL14" s="300"/>
      <c r="CM14" s="297" t="str">
        <f t="shared" si="97"/>
        <v/>
      </c>
      <c r="CN14" s="295" t="str">
        <f t="shared" si="53"/>
        <v/>
      </c>
      <c r="CO14" s="296" t="str">
        <f t="shared" si="54"/>
        <v/>
      </c>
      <c r="CP14" s="295" t="str">
        <f t="shared" si="55"/>
        <v/>
      </c>
      <c r="CQ14" s="300"/>
      <c r="CR14" s="297" t="str">
        <f t="shared" si="98"/>
        <v/>
      </c>
      <c r="CS14" s="295" t="str">
        <f t="shared" si="56"/>
        <v/>
      </c>
      <c r="CT14" s="296" t="str">
        <f t="shared" si="57"/>
        <v/>
      </c>
      <c r="CU14" s="295" t="str">
        <f t="shared" si="58"/>
        <v/>
      </c>
      <c r="CV14" s="300"/>
      <c r="CW14" s="297" t="str">
        <f t="shared" si="99"/>
        <v/>
      </c>
      <c r="CX14" s="295" t="str">
        <f t="shared" si="59"/>
        <v/>
      </c>
      <c r="CY14" s="296" t="str">
        <f t="shared" si="60"/>
        <v/>
      </c>
      <c r="CZ14" s="295" t="str">
        <f t="shared" si="61"/>
        <v/>
      </c>
      <c r="DA14" s="300"/>
      <c r="DB14" s="297" t="str">
        <f t="shared" si="100"/>
        <v/>
      </c>
      <c r="DC14" s="295" t="str">
        <f t="shared" si="62"/>
        <v/>
      </c>
      <c r="DD14" s="296" t="str">
        <f t="shared" si="63"/>
        <v/>
      </c>
      <c r="DE14" s="295" t="str">
        <f t="shared" si="64"/>
        <v/>
      </c>
      <c r="DF14" s="300"/>
      <c r="DG14" s="297" t="str">
        <f t="shared" si="101"/>
        <v/>
      </c>
      <c r="DH14" s="295" t="str">
        <f t="shared" si="65"/>
        <v/>
      </c>
      <c r="DI14" s="296" t="str">
        <f t="shared" si="66"/>
        <v/>
      </c>
      <c r="DJ14" s="295" t="str">
        <f t="shared" si="67"/>
        <v/>
      </c>
      <c r="DK14" s="300"/>
      <c r="DL14" s="297" t="str">
        <f t="shared" si="102"/>
        <v/>
      </c>
      <c r="DM14" s="295" t="str">
        <f t="shared" si="68"/>
        <v/>
      </c>
      <c r="DN14" s="296" t="str">
        <f t="shared" si="69"/>
        <v/>
      </c>
      <c r="DO14" s="295" t="str">
        <f t="shared" si="70"/>
        <v/>
      </c>
      <c r="DP14" s="300"/>
      <c r="DQ14" s="297" t="str">
        <f t="shared" si="103"/>
        <v/>
      </c>
      <c r="DR14" s="295" t="str">
        <f t="shared" si="71"/>
        <v/>
      </c>
      <c r="DS14" s="296" t="str">
        <f t="shared" si="72"/>
        <v/>
      </c>
      <c r="DT14" s="295" t="str">
        <f t="shared" si="73"/>
        <v/>
      </c>
      <c r="DU14" s="300"/>
      <c r="DV14" s="297" t="str">
        <f t="shared" si="104"/>
        <v/>
      </c>
      <c r="DW14" s="295" t="str">
        <f>IF('1.ข้อมูลเบื้องต้น'!$B$32="","",IF($B14="","",'1.ข้อมูลเบื้องต้น'!$B$32))</f>
        <v/>
      </c>
      <c r="DX14" s="296" t="str">
        <f>IF('1.ข้อมูลเบื้องต้น'!$C$32="","",IF($B14="","",'1.ข้อมูลเบื้องต้น'!$C$32))</f>
        <v/>
      </c>
      <c r="DY14" s="295" t="str">
        <f>IF('1.ข้อมูลเบื้องต้น'!$D$32="","",IF($B14="","",'1.ข้อมูลเบื้องต้น'!$D$32))</f>
        <v/>
      </c>
      <c r="DZ14" s="300"/>
      <c r="EA14" s="297" t="str">
        <f t="shared" si="105"/>
        <v/>
      </c>
      <c r="EB14" s="386" t="str">
        <f>IF('6.1ประกาศผลปลายภาค'!AW17="","",'6.1ประกาศผลปลายภาค'!AW17)</f>
        <v/>
      </c>
      <c r="EC14" s="382" t="str">
        <f>IF('2.ชื่อนักเรียน'!R19="มส","มส",IF('2.ชื่อนักเรียน'!R19="ย้าย","ย้าย",IF('2.ชื่อนักเรียน'!R19="ร","ร",IF(EB14="","",RANK(EB14,$EB$6:$EB$50,0)))))</f>
        <v/>
      </c>
      <c r="ED14" s="388"/>
      <c r="EE14" s="388"/>
      <c r="EF14" s="388"/>
      <c r="EG14" s="388"/>
      <c r="EH14" s="295" t="str">
        <f>IF('2.ชื่อนักเรียน'!R19="มส","ไม่ผ่าน",IF('2.ชื่อนักเรียน'!R19="ย้าย","ย้าย",IF(COUNTA(ED14:EG14)&lt;4,"",IF(AND(ED14="ผ",EE14="ผ",EF14="ผ",EG14="ผ"),"ผ่าน","ไม่ผ่าน"))))</f>
        <v/>
      </c>
      <c r="EI14" s="300"/>
      <c r="EK14" s="459" t="str">
        <f t="shared" si="74"/>
        <v/>
      </c>
      <c r="EL14" s="460" t="str">
        <f t="shared" si="75"/>
        <v/>
      </c>
      <c r="EM14" s="461" t="str">
        <f t="shared" si="76"/>
        <v/>
      </c>
      <c r="EN14" s="460" t="str">
        <f t="shared" si="77"/>
        <v/>
      </c>
      <c r="EO14" s="461" t="str">
        <f t="shared" si="78"/>
        <v/>
      </c>
      <c r="EP14" s="460" t="str">
        <f t="shared" si="79"/>
        <v/>
      </c>
      <c r="EQ14" s="461" t="str">
        <f t="shared" si="106"/>
        <v/>
      </c>
      <c r="ER14" s="460" t="str">
        <f t="shared" si="107"/>
        <v/>
      </c>
      <c r="ES14" s="461" t="str">
        <f t="shared" si="80"/>
        <v/>
      </c>
      <c r="ET14" s="460" t="str">
        <f t="shared" si="81"/>
        <v/>
      </c>
    </row>
    <row r="15" spans="1:150" s="14" customFormat="1" ht="21.6" thickBot="1" x14ac:dyDescent="0.45">
      <c r="A15" s="295">
        <v>10</v>
      </c>
      <c r="B15" s="295" t="str">
        <f>IF('2.ชื่อนักเรียน'!E20="","",CONCATENATE('2.ชื่อนักเรียน'!E20,'2.ชื่อนักเรียน'!F20,'2.ชื่อนักเรียน'!G20,'2.ชื่อนักเรียน'!H20,'2.ชื่อนักเรียน'!I20,'2.ชื่อนักเรียน'!J20,'2.ชื่อนักเรียน'!K20,'2.ชื่อนักเรียน'!L20,'2.ชื่อนักเรียน'!M20,'2.ชื่อนักเรียน'!N20,'2.ชื่อนักเรียน'!O20,'2.ชื่อนักเรียน'!P20,'2.ชื่อนักเรียน'!Q20,))</f>
        <v/>
      </c>
      <c r="C15" s="295" t="str">
        <f>IF(IDstu10="","",IDstu10)</f>
        <v/>
      </c>
      <c r="D15" s="497" t="str">
        <f>CONCATENATE(TRIM(Name10),"  ",Surname10)</f>
        <v xml:space="preserve">  </v>
      </c>
      <c r="E15" s="297" t="str">
        <f t="shared" si="0"/>
        <v/>
      </c>
      <c r="F15" s="295" t="str">
        <f t="shared" si="1"/>
        <v/>
      </c>
      <c r="G15" s="295" t="str">
        <f t="shared" si="2"/>
        <v/>
      </c>
      <c r="H15" s="296" t="str">
        <f t="shared" si="3"/>
        <v/>
      </c>
      <c r="I15" s="295" t="str">
        <f t="shared" si="4"/>
        <v/>
      </c>
      <c r="J15" s="300"/>
      <c r="K15" s="297" t="str">
        <f t="shared" si="82"/>
        <v/>
      </c>
      <c r="L15" s="295" t="str">
        <f t="shared" si="5"/>
        <v/>
      </c>
      <c r="M15" s="296" t="str">
        <f t="shared" si="6"/>
        <v/>
      </c>
      <c r="N15" s="295" t="str">
        <f t="shared" si="7"/>
        <v/>
      </c>
      <c r="O15" s="508"/>
      <c r="P15" s="297" t="str">
        <f t="shared" si="83"/>
        <v/>
      </c>
      <c r="Q15" s="295" t="str">
        <f t="shared" si="8"/>
        <v/>
      </c>
      <c r="R15" s="296" t="str">
        <f t="shared" si="9"/>
        <v/>
      </c>
      <c r="S15" s="295" t="str">
        <f t="shared" si="10"/>
        <v/>
      </c>
      <c r="T15" s="300"/>
      <c r="U15" s="297" t="str">
        <f t="shared" si="108"/>
        <v/>
      </c>
      <c r="V15" s="295" t="str">
        <f t="shared" si="11"/>
        <v/>
      </c>
      <c r="W15" s="296" t="str">
        <f t="shared" si="12"/>
        <v/>
      </c>
      <c r="X15" s="295" t="str">
        <f t="shared" si="13"/>
        <v/>
      </c>
      <c r="Y15" s="300"/>
      <c r="Z15" s="297" t="str">
        <f t="shared" si="84"/>
        <v/>
      </c>
      <c r="AA15" s="295" t="str">
        <f t="shared" si="14"/>
        <v/>
      </c>
      <c r="AB15" s="296" t="str">
        <f t="shared" si="15"/>
        <v/>
      </c>
      <c r="AC15" s="295" t="str">
        <f t="shared" si="16"/>
        <v/>
      </c>
      <c r="AD15" s="300"/>
      <c r="AE15" s="297" t="str">
        <f t="shared" si="85"/>
        <v/>
      </c>
      <c r="AF15" s="295" t="str">
        <f t="shared" si="17"/>
        <v/>
      </c>
      <c r="AG15" s="296" t="str">
        <f t="shared" si="18"/>
        <v/>
      </c>
      <c r="AH15" s="295" t="str">
        <f t="shared" si="19"/>
        <v/>
      </c>
      <c r="AI15" s="300"/>
      <c r="AJ15" s="297" t="str">
        <f t="shared" si="86"/>
        <v/>
      </c>
      <c r="AK15" s="295" t="str">
        <f t="shared" si="20"/>
        <v/>
      </c>
      <c r="AL15" s="296" t="str">
        <f t="shared" si="21"/>
        <v/>
      </c>
      <c r="AM15" s="295" t="str">
        <f t="shared" si="22"/>
        <v/>
      </c>
      <c r="AN15" s="300"/>
      <c r="AO15" s="297" t="str">
        <f t="shared" si="87"/>
        <v/>
      </c>
      <c r="AP15" s="295" t="str">
        <f t="shared" si="23"/>
        <v/>
      </c>
      <c r="AQ15" s="296" t="str">
        <f t="shared" si="24"/>
        <v/>
      </c>
      <c r="AR15" s="295" t="str">
        <f t="shared" si="25"/>
        <v/>
      </c>
      <c r="AS15" s="300"/>
      <c r="AT15" s="297" t="str">
        <f t="shared" si="88"/>
        <v/>
      </c>
      <c r="AU15" s="295" t="str">
        <f t="shared" si="26"/>
        <v/>
      </c>
      <c r="AV15" s="296" t="str">
        <f t="shared" si="27"/>
        <v/>
      </c>
      <c r="AW15" s="295" t="str">
        <f t="shared" si="28"/>
        <v/>
      </c>
      <c r="AX15" s="300"/>
      <c r="AY15" s="297" t="str">
        <f t="shared" si="89"/>
        <v/>
      </c>
      <c r="AZ15" s="295" t="str">
        <f t="shared" si="29"/>
        <v/>
      </c>
      <c r="BA15" s="296" t="str">
        <f t="shared" si="30"/>
        <v/>
      </c>
      <c r="BB15" s="295" t="str">
        <f t="shared" si="31"/>
        <v/>
      </c>
      <c r="BC15" s="300"/>
      <c r="BD15" s="297" t="str">
        <f t="shared" si="90"/>
        <v/>
      </c>
      <c r="BE15" s="295" t="str">
        <f t="shared" si="32"/>
        <v/>
      </c>
      <c r="BF15" s="296" t="str">
        <f t="shared" si="33"/>
        <v/>
      </c>
      <c r="BG15" s="295" t="str">
        <f t="shared" si="34"/>
        <v/>
      </c>
      <c r="BH15" s="300"/>
      <c r="BI15" s="297" t="str">
        <f t="shared" si="91"/>
        <v/>
      </c>
      <c r="BJ15" s="295" t="str">
        <f t="shared" si="35"/>
        <v/>
      </c>
      <c r="BK15" s="296" t="str">
        <f t="shared" si="36"/>
        <v/>
      </c>
      <c r="BL15" s="295" t="str">
        <f t="shared" si="37"/>
        <v/>
      </c>
      <c r="BM15" s="300"/>
      <c r="BN15" s="297" t="str">
        <f t="shared" si="92"/>
        <v/>
      </c>
      <c r="BO15" s="295" t="str">
        <f t="shared" si="38"/>
        <v/>
      </c>
      <c r="BP15" s="296" t="str">
        <f t="shared" si="39"/>
        <v/>
      </c>
      <c r="BQ15" s="295" t="str">
        <f t="shared" si="40"/>
        <v/>
      </c>
      <c r="BR15" s="300"/>
      <c r="BS15" s="297" t="str">
        <f t="shared" si="93"/>
        <v/>
      </c>
      <c r="BT15" s="295" t="str">
        <f t="shared" si="41"/>
        <v/>
      </c>
      <c r="BU15" s="296" t="str">
        <f t="shared" si="42"/>
        <v/>
      </c>
      <c r="BV15" s="295" t="str">
        <f t="shared" si="43"/>
        <v/>
      </c>
      <c r="BW15" s="300"/>
      <c r="BX15" s="297" t="str">
        <f t="shared" si="94"/>
        <v/>
      </c>
      <c r="BY15" s="295" t="str">
        <f t="shared" si="44"/>
        <v/>
      </c>
      <c r="BZ15" s="296" t="str">
        <f t="shared" si="45"/>
        <v/>
      </c>
      <c r="CA15" s="295" t="str">
        <f t="shared" si="46"/>
        <v/>
      </c>
      <c r="CB15" s="300"/>
      <c r="CC15" s="297" t="str">
        <f t="shared" si="95"/>
        <v/>
      </c>
      <c r="CD15" s="295" t="str">
        <f t="shared" si="47"/>
        <v/>
      </c>
      <c r="CE15" s="296" t="str">
        <f t="shared" si="48"/>
        <v/>
      </c>
      <c r="CF15" s="295" t="str">
        <f t="shared" si="49"/>
        <v/>
      </c>
      <c r="CG15" s="300"/>
      <c r="CH15" s="297" t="str">
        <f t="shared" si="96"/>
        <v/>
      </c>
      <c r="CI15" s="295" t="str">
        <f t="shared" si="50"/>
        <v/>
      </c>
      <c r="CJ15" s="296" t="str">
        <f t="shared" si="51"/>
        <v/>
      </c>
      <c r="CK15" s="295" t="str">
        <f t="shared" si="52"/>
        <v/>
      </c>
      <c r="CL15" s="300"/>
      <c r="CM15" s="297" t="str">
        <f t="shared" si="97"/>
        <v/>
      </c>
      <c r="CN15" s="295" t="str">
        <f t="shared" si="53"/>
        <v/>
      </c>
      <c r="CO15" s="296" t="str">
        <f t="shared" si="54"/>
        <v/>
      </c>
      <c r="CP15" s="295" t="str">
        <f t="shared" si="55"/>
        <v/>
      </c>
      <c r="CQ15" s="300"/>
      <c r="CR15" s="297" t="str">
        <f t="shared" si="98"/>
        <v/>
      </c>
      <c r="CS15" s="295" t="str">
        <f t="shared" si="56"/>
        <v/>
      </c>
      <c r="CT15" s="296" t="str">
        <f t="shared" si="57"/>
        <v/>
      </c>
      <c r="CU15" s="295" t="str">
        <f t="shared" si="58"/>
        <v/>
      </c>
      <c r="CV15" s="300"/>
      <c r="CW15" s="297" t="str">
        <f t="shared" si="99"/>
        <v/>
      </c>
      <c r="CX15" s="295" t="str">
        <f t="shared" si="59"/>
        <v/>
      </c>
      <c r="CY15" s="296" t="str">
        <f t="shared" si="60"/>
        <v/>
      </c>
      <c r="CZ15" s="295" t="str">
        <f t="shared" si="61"/>
        <v/>
      </c>
      <c r="DA15" s="300"/>
      <c r="DB15" s="297" t="str">
        <f t="shared" si="100"/>
        <v/>
      </c>
      <c r="DC15" s="295" t="str">
        <f t="shared" si="62"/>
        <v/>
      </c>
      <c r="DD15" s="296" t="str">
        <f t="shared" si="63"/>
        <v/>
      </c>
      <c r="DE15" s="295" t="str">
        <f t="shared" si="64"/>
        <v/>
      </c>
      <c r="DF15" s="300"/>
      <c r="DG15" s="297" t="str">
        <f t="shared" si="101"/>
        <v/>
      </c>
      <c r="DH15" s="295" t="str">
        <f t="shared" si="65"/>
        <v/>
      </c>
      <c r="DI15" s="296" t="str">
        <f t="shared" si="66"/>
        <v/>
      </c>
      <c r="DJ15" s="295" t="str">
        <f t="shared" si="67"/>
        <v/>
      </c>
      <c r="DK15" s="300"/>
      <c r="DL15" s="297" t="str">
        <f t="shared" si="102"/>
        <v/>
      </c>
      <c r="DM15" s="295" t="str">
        <f t="shared" si="68"/>
        <v/>
      </c>
      <c r="DN15" s="296" t="str">
        <f t="shared" si="69"/>
        <v/>
      </c>
      <c r="DO15" s="295" t="str">
        <f t="shared" si="70"/>
        <v/>
      </c>
      <c r="DP15" s="300"/>
      <c r="DQ15" s="297" t="str">
        <f t="shared" si="103"/>
        <v/>
      </c>
      <c r="DR15" s="295" t="str">
        <f t="shared" si="71"/>
        <v/>
      </c>
      <c r="DS15" s="296" t="str">
        <f t="shared" si="72"/>
        <v/>
      </c>
      <c r="DT15" s="295" t="str">
        <f t="shared" si="73"/>
        <v/>
      </c>
      <c r="DU15" s="300"/>
      <c r="DV15" s="297" t="str">
        <f t="shared" si="104"/>
        <v/>
      </c>
      <c r="DW15" s="295" t="str">
        <f>IF('1.ข้อมูลเบื้องต้น'!$B$32="","",IF($B15="","",'1.ข้อมูลเบื้องต้น'!$B$32))</f>
        <v/>
      </c>
      <c r="DX15" s="296" t="str">
        <f>IF('1.ข้อมูลเบื้องต้น'!$C$32="","",IF($B15="","",'1.ข้อมูลเบื้องต้น'!$C$32))</f>
        <v/>
      </c>
      <c r="DY15" s="295" t="str">
        <f>IF('1.ข้อมูลเบื้องต้น'!$D$32="","",IF($B15="","",'1.ข้อมูลเบื้องต้น'!$D$32))</f>
        <v/>
      </c>
      <c r="DZ15" s="300"/>
      <c r="EA15" s="297" t="str">
        <f t="shared" si="105"/>
        <v/>
      </c>
      <c r="EB15" s="386" t="str">
        <f>IF('6.1ประกาศผลปลายภาค'!AW18="","",'6.1ประกาศผลปลายภาค'!AW18)</f>
        <v/>
      </c>
      <c r="EC15" s="382" t="str">
        <f>IF('2.ชื่อนักเรียน'!R20="มส","มส",IF('2.ชื่อนักเรียน'!R20="ย้าย","ย้าย",IF('2.ชื่อนักเรียน'!R20="ร","ร",IF(EB15="","",RANK(EB15,$EB$6:$EB$50,0)))))</f>
        <v/>
      </c>
      <c r="ED15" s="388"/>
      <c r="EE15" s="388"/>
      <c r="EF15" s="388"/>
      <c r="EG15" s="388"/>
      <c r="EH15" s="295" t="str">
        <f>IF('2.ชื่อนักเรียน'!R20="มส","ไม่ผ่าน",IF('2.ชื่อนักเรียน'!R20="ย้าย","ย้าย",IF(COUNTA(ED15:EG15)&lt;4,"",IF(AND(ED15="ผ",EE15="ผ",EF15="ผ",EG15="ผ"),"ผ่าน","ไม่ผ่าน"))))</f>
        <v/>
      </c>
      <c r="EI15" s="300"/>
      <c r="EK15" s="462" t="str">
        <f t="shared" si="74"/>
        <v/>
      </c>
      <c r="EL15" s="463" t="str">
        <f t="shared" si="75"/>
        <v/>
      </c>
      <c r="EM15" s="464" t="str">
        <f t="shared" si="76"/>
        <v/>
      </c>
      <c r="EN15" s="463" t="str">
        <f t="shared" si="77"/>
        <v/>
      </c>
      <c r="EO15" s="464" t="str">
        <f t="shared" si="78"/>
        <v/>
      </c>
      <c r="EP15" s="463" t="str">
        <f t="shared" si="79"/>
        <v/>
      </c>
      <c r="EQ15" s="464" t="str">
        <f t="shared" si="106"/>
        <v/>
      </c>
      <c r="ER15" s="463" t="str">
        <f t="shared" si="107"/>
        <v/>
      </c>
      <c r="ES15" s="464" t="str">
        <f t="shared" si="80"/>
        <v/>
      </c>
      <c r="ET15" s="463" t="str">
        <f t="shared" si="81"/>
        <v/>
      </c>
    </row>
    <row r="16" spans="1:150" s="14" customFormat="1" ht="21.6" thickTop="1" x14ac:dyDescent="0.4">
      <c r="A16" s="295">
        <v>11</v>
      </c>
      <c r="B16" s="295" t="str">
        <f>IF('2.ชื่อนักเรียน'!E21="","",CONCATENATE('2.ชื่อนักเรียน'!E21,'2.ชื่อนักเรียน'!F21,'2.ชื่อนักเรียน'!G21,'2.ชื่อนักเรียน'!H21,'2.ชื่อนักเรียน'!I21,'2.ชื่อนักเรียน'!J21,'2.ชื่อนักเรียน'!K21,'2.ชื่อนักเรียน'!L21,'2.ชื่อนักเรียน'!M21,'2.ชื่อนักเรียน'!N21,'2.ชื่อนักเรียน'!O21,'2.ชื่อนักเรียน'!P21,'2.ชื่อนักเรียน'!Q21,))</f>
        <v/>
      </c>
      <c r="C16" s="295" t="str">
        <f>IF(IDstu11="","",IDstu11)</f>
        <v/>
      </c>
      <c r="D16" s="497" t="str">
        <f>CONCATENATE(TRIM(Name11),"  ",Surname11)</f>
        <v xml:space="preserve">  </v>
      </c>
      <c r="E16" s="297" t="str">
        <f t="shared" si="0"/>
        <v/>
      </c>
      <c r="F16" s="295" t="str">
        <f t="shared" si="1"/>
        <v/>
      </c>
      <c r="G16" s="295" t="str">
        <f t="shared" si="2"/>
        <v/>
      </c>
      <c r="H16" s="296" t="str">
        <f t="shared" si="3"/>
        <v/>
      </c>
      <c r="I16" s="295" t="str">
        <f t="shared" si="4"/>
        <v/>
      </c>
      <c r="J16" s="300"/>
      <c r="K16" s="297" t="str">
        <f t="shared" si="82"/>
        <v/>
      </c>
      <c r="L16" s="295" t="str">
        <f t="shared" si="5"/>
        <v/>
      </c>
      <c r="M16" s="296" t="str">
        <f t="shared" si="6"/>
        <v/>
      </c>
      <c r="N16" s="295" t="str">
        <f t="shared" si="7"/>
        <v/>
      </c>
      <c r="O16" s="508"/>
      <c r="P16" s="297" t="str">
        <f t="shared" si="83"/>
        <v/>
      </c>
      <c r="Q16" s="295" t="str">
        <f t="shared" si="8"/>
        <v/>
      </c>
      <c r="R16" s="296" t="str">
        <f t="shared" si="9"/>
        <v/>
      </c>
      <c r="S16" s="295" t="str">
        <f t="shared" si="10"/>
        <v/>
      </c>
      <c r="T16" s="300"/>
      <c r="U16" s="297" t="str">
        <f>IF(T16="","",IF(T16="ร","ร",IF(T16="มส","มส",IF(T16&gt;=80,4,IF(T16&gt;=75,3.5,IF(T16&gt;=70,3,IF(T16&gt;=65,2.5,IF(T16&gt;=60,2,IF(T16&gt;=55,1.5,IF(T16&gt;=50,1,0))))))))))</f>
        <v/>
      </c>
      <c r="V16" s="295" t="str">
        <f t="shared" si="11"/>
        <v/>
      </c>
      <c r="W16" s="296" t="str">
        <f t="shared" si="12"/>
        <v/>
      </c>
      <c r="X16" s="295" t="str">
        <f t="shared" si="13"/>
        <v/>
      </c>
      <c r="Y16" s="300"/>
      <c r="Z16" s="297" t="str">
        <f t="shared" si="84"/>
        <v/>
      </c>
      <c r="AA16" s="295" t="str">
        <f t="shared" si="14"/>
        <v/>
      </c>
      <c r="AB16" s="296" t="str">
        <f t="shared" si="15"/>
        <v/>
      </c>
      <c r="AC16" s="295" t="str">
        <f t="shared" si="16"/>
        <v/>
      </c>
      <c r="AD16" s="300"/>
      <c r="AE16" s="297" t="str">
        <f t="shared" si="85"/>
        <v/>
      </c>
      <c r="AF16" s="295" t="str">
        <f t="shared" si="17"/>
        <v/>
      </c>
      <c r="AG16" s="296" t="str">
        <f t="shared" si="18"/>
        <v/>
      </c>
      <c r="AH16" s="295" t="str">
        <f t="shared" si="19"/>
        <v/>
      </c>
      <c r="AI16" s="300"/>
      <c r="AJ16" s="297" t="str">
        <f t="shared" si="86"/>
        <v/>
      </c>
      <c r="AK16" s="295" t="str">
        <f t="shared" si="20"/>
        <v/>
      </c>
      <c r="AL16" s="296" t="str">
        <f t="shared" si="21"/>
        <v/>
      </c>
      <c r="AM16" s="295" t="str">
        <f t="shared" si="22"/>
        <v/>
      </c>
      <c r="AN16" s="300"/>
      <c r="AO16" s="297" t="str">
        <f t="shared" si="87"/>
        <v/>
      </c>
      <c r="AP16" s="295" t="str">
        <f t="shared" si="23"/>
        <v/>
      </c>
      <c r="AQ16" s="296" t="str">
        <f t="shared" si="24"/>
        <v/>
      </c>
      <c r="AR16" s="295" t="str">
        <f t="shared" si="25"/>
        <v/>
      </c>
      <c r="AS16" s="300"/>
      <c r="AT16" s="297" t="str">
        <f t="shared" si="88"/>
        <v/>
      </c>
      <c r="AU16" s="295" t="str">
        <f t="shared" si="26"/>
        <v/>
      </c>
      <c r="AV16" s="296" t="str">
        <f t="shared" si="27"/>
        <v/>
      </c>
      <c r="AW16" s="295" t="str">
        <f t="shared" si="28"/>
        <v/>
      </c>
      <c r="AX16" s="300"/>
      <c r="AY16" s="297" t="str">
        <f t="shared" si="89"/>
        <v/>
      </c>
      <c r="AZ16" s="295" t="str">
        <f t="shared" si="29"/>
        <v/>
      </c>
      <c r="BA16" s="296" t="str">
        <f t="shared" si="30"/>
        <v/>
      </c>
      <c r="BB16" s="295" t="str">
        <f t="shared" si="31"/>
        <v/>
      </c>
      <c r="BC16" s="300"/>
      <c r="BD16" s="297" t="str">
        <f t="shared" si="90"/>
        <v/>
      </c>
      <c r="BE16" s="295" t="str">
        <f t="shared" si="32"/>
        <v/>
      </c>
      <c r="BF16" s="296" t="str">
        <f t="shared" si="33"/>
        <v/>
      </c>
      <c r="BG16" s="295" t="str">
        <f t="shared" si="34"/>
        <v/>
      </c>
      <c r="BH16" s="300"/>
      <c r="BI16" s="297" t="str">
        <f t="shared" si="91"/>
        <v/>
      </c>
      <c r="BJ16" s="295" t="str">
        <f t="shared" si="35"/>
        <v/>
      </c>
      <c r="BK16" s="296" t="str">
        <f t="shared" si="36"/>
        <v/>
      </c>
      <c r="BL16" s="295" t="str">
        <f t="shared" si="37"/>
        <v/>
      </c>
      <c r="BM16" s="300"/>
      <c r="BN16" s="297" t="str">
        <f t="shared" si="92"/>
        <v/>
      </c>
      <c r="BO16" s="295" t="str">
        <f t="shared" si="38"/>
        <v/>
      </c>
      <c r="BP16" s="296" t="str">
        <f t="shared" si="39"/>
        <v/>
      </c>
      <c r="BQ16" s="295" t="str">
        <f t="shared" si="40"/>
        <v/>
      </c>
      <c r="BR16" s="300"/>
      <c r="BS16" s="297" t="str">
        <f t="shared" si="93"/>
        <v/>
      </c>
      <c r="BT16" s="295" t="str">
        <f t="shared" si="41"/>
        <v/>
      </c>
      <c r="BU16" s="296" t="str">
        <f t="shared" si="42"/>
        <v/>
      </c>
      <c r="BV16" s="295" t="str">
        <f t="shared" si="43"/>
        <v/>
      </c>
      <c r="BW16" s="300"/>
      <c r="BX16" s="297" t="str">
        <f t="shared" si="94"/>
        <v/>
      </c>
      <c r="BY16" s="295" t="str">
        <f t="shared" si="44"/>
        <v/>
      </c>
      <c r="BZ16" s="296" t="str">
        <f t="shared" si="45"/>
        <v/>
      </c>
      <c r="CA16" s="295" t="str">
        <f t="shared" si="46"/>
        <v/>
      </c>
      <c r="CB16" s="300"/>
      <c r="CC16" s="297" t="str">
        <f t="shared" si="95"/>
        <v/>
      </c>
      <c r="CD16" s="295" t="str">
        <f t="shared" si="47"/>
        <v/>
      </c>
      <c r="CE16" s="296" t="str">
        <f t="shared" si="48"/>
        <v/>
      </c>
      <c r="CF16" s="295" t="str">
        <f t="shared" si="49"/>
        <v/>
      </c>
      <c r="CG16" s="300"/>
      <c r="CH16" s="297" t="str">
        <f t="shared" si="96"/>
        <v/>
      </c>
      <c r="CI16" s="295" t="str">
        <f t="shared" si="50"/>
        <v/>
      </c>
      <c r="CJ16" s="296" t="str">
        <f t="shared" si="51"/>
        <v/>
      </c>
      <c r="CK16" s="295" t="str">
        <f t="shared" si="52"/>
        <v/>
      </c>
      <c r="CL16" s="300"/>
      <c r="CM16" s="297" t="str">
        <f t="shared" si="97"/>
        <v/>
      </c>
      <c r="CN16" s="295" t="str">
        <f t="shared" si="53"/>
        <v/>
      </c>
      <c r="CO16" s="296" t="str">
        <f t="shared" si="54"/>
        <v/>
      </c>
      <c r="CP16" s="295" t="str">
        <f t="shared" si="55"/>
        <v/>
      </c>
      <c r="CQ16" s="300"/>
      <c r="CR16" s="297" t="str">
        <f t="shared" si="98"/>
        <v/>
      </c>
      <c r="CS16" s="295" t="str">
        <f t="shared" si="56"/>
        <v/>
      </c>
      <c r="CT16" s="296" t="str">
        <f t="shared" si="57"/>
        <v/>
      </c>
      <c r="CU16" s="295" t="str">
        <f t="shared" si="58"/>
        <v/>
      </c>
      <c r="CV16" s="300"/>
      <c r="CW16" s="297" t="str">
        <f t="shared" si="99"/>
        <v/>
      </c>
      <c r="CX16" s="295" t="str">
        <f t="shared" si="59"/>
        <v/>
      </c>
      <c r="CY16" s="296" t="str">
        <f t="shared" si="60"/>
        <v/>
      </c>
      <c r="CZ16" s="295" t="str">
        <f t="shared" si="61"/>
        <v/>
      </c>
      <c r="DA16" s="300"/>
      <c r="DB16" s="297" t="str">
        <f t="shared" si="100"/>
        <v/>
      </c>
      <c r="DC16" s="295" t="str">
        <f t="shared" si="62"/>
        <v/>
      </c>
      <c r="DD16" s="296" t="str">
        <f t="shared" si="63"/>
        <v/>
      </c>
      <c r="DE16" s="295" t="str">
        <f t="shared" si="64"/>
        <v/>
      </c>
      <c r="DF16" s="300"/>
      <c r="DG16" s="297" t="str">
        <f t="shared" si="101"/>
        <v/>
      </c>
      <c r="DH16" s="295" t="str">
        <f t="shared" si="65"/>
        <v/>
      </c>
      <c r="DI16" s="296" t="str">
        <f t="shared" si="66"/>
        <v/>
      </c>
      <c r="DJ16" s="295" t="str">
        <f t="shared" si="67"/>
        <v/>
      </c>
      <c r="DK16" s="300"/>
      <c r="DL16" s="297" t="str">
        <f t="shared" si="102"/>
        <v/>
      </c>
      <c r="DM16" s="295" t="str">
        <f t="shared" si="68"/>
        <v/>
      </c>
      <c r="DN16" s="296" t="str">
        <f t="shared" si="69"/>
        <v/>
      </c>
      <c r="DO16" s="295" t="str">
        <f t="shared" si="70"/>
        <v/>
      </c>
      <c r="DP16" s="300"/>
      <c r="DQ16" s="297" t="str">
        <f t="shared" si="103"/>
        <v/>
      </c>
      <c r="DR16" s="295" t="str">
        <f t="shared" si="71"/>
        <v/>
      </c>
      <c r="DS16" s="296" t="str">
        <f t="shared" si="72"/>
        <v/>
      </c>
      <c r="DT16" s="295" t="str">
        <f t="shared" si="73"/>
        <v/>
      </c>
      <c r="DU16" s="300"/>
      <c r="DV16" s="297" t="str">
        <f t="shared" si="104"/>
        <v/>
      </c>
      <c r="DW16" s="295" t="str">
        <f>IF('1.ข้อมูลเบื้องต้น'!$B$32="","",IF($B16="","",'1.ข้อมูลเบื้องต้น'!$B$32))</f>
        <v/>
      </c>
      <c r="DX16" s="296" t="str">
        <f>IF('1.ข้อมูลเบื้องต้น'!$C$32="","",IF($B16="","",'1.ข้อมูลเบื้องต้น'!$C$32))</f>
        <v/>
      </c>
      <c r="DY16" s="295" t="str">
        <f>IF('1.ข้อมูลเบื้องต้น'!$D$32="","",IF($B16="","",'1.ข้อมูลเบื้องต้น'!$D$32))</f>
        <v/>
      </c>
      <c r="DZ16" s="300"/>
      <c r="EA16" s="297" t="str">
        <f t="shared" si="105"/>
        <v/>
      </c>
      <c r="EB16" s="386" t="str">
        <f>IF('6.1ประกาศผลปลายภาค'!AW19="","",'6.1ประกาศผลปลายภาค'!AW19)</f>
        <v/>
      </c>
      <c r="EC16" s="382" t="str">
        <f>IF('2.ชื่อนักเรียน'!R21="มส","มส",IF('2.ชื่อนักเรียน'!R21="ย้าย","ย้าย",IF('2.ชื่อนักเรียน'!R21="ร","ร",IF(EB16="","",RANK(EB16,$EB$6:$EB$50,0)))))</f>
        <v/>
      </c>
      <c r="ED16" s="388"/>
      <c r="EE16" s="388"/>
      <c r="EF16" s="388"/>
      <c r="EG16" s="388"/>
      <c r="EH16" s="295" t="str">
        <f>IF('2.ชื่อนักเรียน'!R21="มส","ไม่ผ่าน",IF('2.ชื่อนักเรียน'!R21="ย้าย","ย้าย",IF(COUNTA(ED16:EG16)&lt;4,"",IF(AND(ED16="ผ",EE16="ผ",EF16="ผ",EG16="ผ"),"ผ่าน","ไม่ผ่าน"))))</f>
        <v/>
      </c>
      <c r="EI16" s="300"/>
      <c r="EK16" s="465" t="str">
        <f t="shared" si="74"/>
        <v/>
      </c>
      <c r="EL16" s="466" t="str">
        <f t="shared" si="75"/>
        <v/>
      </c>
      <c r="EM16" s="467" t="str">
        <f t="shared" si="76"/>
        <v/>
      </c>
      <c r="EN16" s="466" t="str">
        <f t="shared" si="77"/>
        <v/>
      </c>
      <c r="EO16" s="467" t="str">
        <f t="shared" si="78"/>
        <v/>
      </c>
      <c r="EP16" s="466" t="str">
        <f t="shared" si="79"/>
        <v/>
      </c>
      <c r="EQ16" s="467" t="str">
        <f t="shared" si="106"/>
        <v/>
      </c>
      <c r="ER16" s="466" t="str">
        <f t="shared" si="107"/>
        <v/>
      </c>
      <c r="ES16" s="467" t="str">
        <f t="shared" si="80"/>
        <v/>
      </c>
      <c r="ET16" s="466" t="str">
        <f t="shared" si="81"/>
        <v/>
      </c>
    </row>
    <row r="17" spans="1:150" s="14" customFormat="1" ht="21" x14ac:dyDescent="0.4">
      <c r="A17" s="295">
        <v>12</v>
      </c>
      <c r="B17" s="295" t="str">
        <f>IF('2.ชื่อนักเรียน'!E22="","",CONCATENATE('2.ชื่อนักเรียน'!E22,'2.ชื่อนักเรียน'!F22,'2.ชื่อนักเรียน'!G22,'2.ชื่อนักเรียน'!H22,'2.ชื่อนักเรียน'!I22,'2.ชื่อนักเรียน'!J22,'2.ชื่อนักเรียน'!K22,'2.ชื่อนักเรียน'!L22,'2.ชื่อนักเรียน'!M22,'2.ชื่อนักเรียน'!N22,'2.ชื่อนักเรียน'!O22,'2.ชื่อนักเรียน'!P22,'2.ชื่อนักเรียน'!Q22,))</f>
        <v/>
      </c>
      <c r="C17" s="295" t="str">
        <f>IF(IDstu12="","",IDstu12)</f>
        <v/>
      </c>
      <c r="D17" s="497" t="str">
        <f>CONCATENATE(TRIM(Name12),"  ",Surname12)</f>
        <v xml:space="preserve">  </v>
      </c>
      <c r="E17" s="297" t="str">
        <f t="shared" si="0"/>
        <v/>
      </c>
      <c r="F17" s="295" t="str">
        <f t="shared" si="1"/>
        <v/>
      </c>
      <c r="G17" s="295" t="str">
        <f t="shared" si="2"/>
        <v/>
      </c>
      <c r="H17" s="296" t="str">
        <f t="shared" si="3"/>
        <v/>
      </c>
      <c r="I17" s="295" t="str">
        <f t="shared" si="4"/>
        <v/>
      </c>
      <c r="J17" s="300"/>
      <c r="K17" s="297" t="str">
        <f t="shared" si="82"/>
        <v/>
      </c>
      <c r="L17" s="295" t="str">
        <f t="shared" si="5"/>
        <v/>
      </c>
      <c r="M17" s="296" t="str">
        <f t="shared" si="6"/>
        <v/>
      </c>
      <c r="N17" s="295" t="str">
        <f t="shared" si="7"/>
        <v/>
      </c>
      <c r="O17" s="508"/>
      <c r="P17" s="297" t="str">
        <f t="shared" si="83"/>
        <v/>
      </c>
      <c r="Q17" s="295" t="str">
        <f t="shared" si="8"/>
        <v/>
      </c>
      <c r="R17" s="296" t="str">
        <f t="shared" si="9"/>
        <v/>
      </c>
      <c r="S17" s="295" t="str">
        <f t="shared" si="10"/>
        <v/>
      </c>
      <c r="T17" s="300"/>
      <c r="U17" s="297" t="str">
        <f t="shared" si="108"/>
        <v/>
      </c>
      <c r="V17" s="295" t="str">
        <f t="shared" si="11"/>
        <v/>
      </c>
      <c r="W17" s="296" t="str">
        <f t="shared" si="12"/>
        <v/>
      </c>
      <c r="X17" s="295" t="str">
        <f t="shared" si="13"/>
        <v/>
      </c>
      <c r="Y17" s="300"/>
      <c r="Z17" s="297" t="str">
        <f t="shared" si="84"/>
        <v/>
      </c>
      <c r="AA17" s="295" t="str">
        <f t="shared" si="14"/>
        <v/>
      </c>
      <c r="AB17" s="296" t="str">
        <f t="shared" si="15"/>
        <v/>
      </c>
      <c r="AC17" s="295" t="str">
        <f t="shared" si="16"/>
        <v/>
      </c>
      <c r="AD17" s="300"/>
      <c r="AE17" s="297" t="str">
        <f t="shared" si="85"/>
        <v/>
      </c>
      <c r="AF17" s="295" t="str">
        <f t="shared" si="17"/>
        <v/>
      </c>
      <c r="AG17" s="296" t="str">
        <f t="shared" si="18"/>
        <v/>
      </c>
      <c r="AH17" s="295" t="str">
        <f t="shared" si="19"/>
        <v/>
      </c>
      <c r="AI17" s="300"/>
      <c r="AJ17" s="297" t="str">
        <f t="shared" si="86"/>
        <v/>
      </c>
      <c r="AK17" s="295" t="str">
        <f t="shared" si="20"/>
        <v/>
      </c>
      <c r="AL17" s="296" t="str">
        <f t="shared" si="21"/>
        <v/>
      </c>
      <c r="AM17" s="295" t="str">
        <f t="shared" si="22"/>
        <v/>
      </c>
      <c r="AN17" s="300"/>
      <c r="AO17" s="297" t="str">
        <f t="shared" si="87"/>
        <v/>
      </c>
      <c r="AP17" s="295" t="str">
        <f t="shared" si="23"/>
        <v/>
      </c>
      <c r="AQ17" s="296" t="str">
        <f t="shared" si="24"/>
        <v/>
      </c>
      <c r="AR17" s="295" t="str">
        <f t="shared" si="25"/>
        <v/>
      </c>
      <c r="AS17" s="300"/>
      <c r="AT17" s="297" t="str">
        <f t="shared" si="88"/>
        <v/>
      </c>
      <c r="AU17" s="295" t="str">
        <f t="shared" si="26"/>
        <v/>
      </c>
      <c r="AV17" s="296" t="str">
        <f t="shared" si="27"/>
        <v/>
      </c>
      <c r="AW17" s="295" t="str">
        <f t="shared" si="28"/>
        <v/>
      </c>
      <c r="AX17" s="300"/>
      <c r="AY17" s="297" t="str">
        <f t="shared" si="89"/>
        <v/>
      </c>
      <c r="AZ17" s="295" t="str">
        <f t="shared" si="29"/>
        <v/>
      </c>
      <c r="BA17" s="296" t="str">
        <f t="shared" si="30"/>
        <v/>
      </c>
      <c r="BB17" s="295" t="str">
        <f t="shared" si="31"/>
        <v/>
      </c>
      <c r="BC17" s="300"/>
      <c r="BD17" s="297" t="str">
        <f t="shared" si="90"/>
        <v/>
      </c>
      <c r="BE17" s="295" t="str">
        <f t="shared" si="32"/>
        <v/>
      </c>
      <c r="BF17" s="296" t="str">
        <f t="shared" si="33"/>
        <v/>
      </c>
      <c r="BG17" s="295" t="str">
        <f t="shared" si="34"/>
        <v/>
      </c>
      <c r="BH17" s="300"/>
      <c r="BI17" s="297" t="str">
        <f t="shared" si="91"/>
        <v/>
      </c>
      <c r="BJ17" s="295" t="str">
        <f t="shared" si="35"/>
        <v/>
      </c>
      <c r="BK17" s="296" t="str">
        <f t="shared" si="36"/>
        <v/>
      </c>
      <c r="BL17" s="295" t="str">
        <f t="shared" si="37"/>
        <v/>
      </c>
      <c r="BM17" s="300"/>
      <c r="BN17" s="297" t="str">
        <f t="shared" si="92"/>
        <v/>
      </c>
      <c r="BO17" s="295" t="str">
        <f t="shared" si="38"/>
        <v/>
      </c>
      <c r="BP17" s="296" t="str">
        <f t="shared" si="39"/>
        <v/>
      </c>
      <c r="BQ17" s="295" t="str">
        <f t="shared" si="40"/>
        <v/>
      </c>
      <c r="BR17" s="300"/>
      <c r="BS17" s="297" t="str">
        <f t="shared" si="93"/>
        <v/>
      </c>
      <c r="BT17" s="295" t="str">
        <f t="shared" si="41"/>
        <v/>
      </c>
      <c r="BU17" s="296" t="str">
        <f t="shared" si="42"/>
        <v/>
      </c>
      <c r="BV17" s="295" t="str">
        <f t="shared" si="43"/>
        <v/>
      </c>
      <c r="BW17" s="300"/>
      <c r="BX17" s="297" t="str">
        <f t="shared" si="94"/>
        <v/>
      </c>
      <c r="BY17" s="295" t="str">
        <f t="shared" si="44"/>
        <v/>
      </c>
      <c r="BZ17" s="296" t="str">
        <f t="shared" si="45"/>
        <v/>
      </c>
      <c r="CA17" s="295" t="str">
        <f t="shared" si="46"/>
        <v/>
      </c>
      <c r="CB17" s="300"/>
      <c r="CC17" s="297" t="str">
        <f t="shared" si="95"/>
        <v/>
      </c>
      <c r="CD17" s="295" t="str">
        <f t="shared" si="47"/>
        <v/>
      </c>
      <c r="CE17" s="296" t="str">
        <f t="shared" si="48"/>
        <v/>
      </c>
      <c r="CF17" s="295" t="str">
        <f t="shared" si="49"/>
        <v/>
      </c>
      <c r="CG17" s="300"/>
      <c r="CH17" s="297" t="str">
        <f t="shared" si="96"/>
        <v/>
      </c>
      <c r="CI17" s="295" t="str">
        <f t="shared" si="50"/>
        <v/>
      </c>
      <c r="CJ17" s="296" t="str">
        <f t="shared" si="51"/>
        <v/>
      </c>
      <c r="CK17" s="295" t="str">
        <f t="shared" si="52"/>
        <v/>
      </c>
      <c r="CL17" s="300"/>
      <c r="CM17" s="297" t="str">
        <f t="shared" si="97"/>
        <v/>
      </c>
      <c r="CN17" s="295" t="str">
        <f t="shared" si="53"/>
        <v/>
      </c>
      <c r="CO17" s="296" t="str">
        <f t="shared" si="54"/>
        <v/>
      </c>
      <c r="CP17" s="295" t="str">
        <f t="shared" si="55"/>
        <v/>
      </c>
      <c r="CQ17" s="300"/>
      <c r="CR17" s="297" t="str">
        <f t="shared" si="98"/>
        <v/>
      </c>
      <c r="CS17" s="295" t="str">
        <f t="shared" si="56"/>
        <v/>
      </c>
      <c r="CT17" s="296" t="str">
        <f t="shared" si="57"/>
        <v/>
      </c>
      <c r="CU17" s="295" t="str">
        <f t="shared" si="58"/>
        <v/>
      </c>
      <c r="CV17" s="300"/>
      <c r="CW17" s="297" t="str">
        <f t="shared" si="99"/>
        <v/>
      </c>
      <c r="CX17" s="295" t="str">
        <f t="shared" si="59"/>
        <v/>
      </c>
      <c r="CY17" s="296" t="str">
        <f t="shared" si="60"/>
        <v/>
      </c>
      <c r="CZ17" s="295" t="str">
        <f t="shared" si="61"/>
        <v/>
      </c>
      <c r="DA17" s="300"/>
      <c r="DB17" s="297" t="str">
        <f t="shared" si="100"/>
        <v/>
      </c>
      <c r="DC17" s="295" t="str">
        <f t="shared" si="62"/>
        <v/>
      </c>
      <c r="DD17" s="296" t="str">
        <f t="shared" si="63"/>
        <v/>
      </c>
      <c r="DE17" s="295" t="str">
        <f t="shared" si="64"/>
        <v/>
      </c>
      <c r="DF17" s="300"/>
      <c r="DG17" s="297" t="str">
        <f t="shared" si="101"/>
        <v/>
      </c>
      <c r="DH17" s="295" t="str">
        <f t="shared" si="65"/>
        <v/>
      </c>
      <c r="DI17" s="296" t="str">
        <f t="shared" si="66"/>
        <v/>
      </c>
      <c r="DJ17" s="295" t="str">
        <f t="shared" si="67"/>
        <v/>
      </c>
      <c r="DK17" s="300"/>
      <c r="DL17" s="297" t="str">
        <f t="shared" si="102"/>
        <v/>
      </c>
      <c r="DM17" s="295" t="str">
        <f t="shared" si="68"/>
        <v/>
      </c>
      <c r="DN17" s="296" t="str">
        <f t="shared" si="69"/>
        <v/>
      </c>
      <c r="DO17" s="295" t="str">
        <f t="shared" si="70"/>
        <v/>
      </c>
      <c r="DP17" s="300"/>
      <c r="DQ17" s="297" t="str">
        <f t="shared" si="103"/>
        <v/>
      </c>
      <c r="DR17" s="295" t="str">
        <f t="shared" si="71"/>
        <v/>
      </c>
      <c r="DS17" s="296" t="str">
        <f t="shared" si="72"/>
        <v/>
      </c>
      <c r="DT17" s="295" t="str">
        <f t="shared" si="73"/>
        <v/>
      </c>
      <c r="DU17" s="300"/>
      <c r="DV17" s="297" t="str">
        <f t="shared" si="104"/>
        <v/>
      </c>
      <c r="DW17" s="295" t="str">
        <f>IF('1.ข้อมูลเบื้องต้น'!$B$32="","",IF($B17="","",'1.ข้อมูลเบื้องต้น'!$B$32))</f>
        <v/>
      </c>
      <c r="DX17" s="296" t="str">
        <f>IF('1.ข้อมูลเบื้องต้น'!$C$32="","",IF($B17="","",'1.ข้อมูลเบื้องต้น'!$C$32))</f>
        <v/>
      </c>
      <c r="DY17" s="295" t="str">
        <f>IF('1.ข้อมูลเบื้องต้น'!$D$32="","",IF($B17="","",'1.ข้อมูลเบื้องต้น'!$D$32))</f>
        <v/>
      </c>
      <c r="DZ17" s="300"/>
      <c r="EA17" s="297" t="str">
        <f t="shared" si="105"/>
        <v/>
      </c>
      <c r="EB17" s="386" t="str">
        <f>IF('6.1ประกาศผลปลายภาค'!AW20="","",'6.1ประกาศผลปลายภาค'!AW20)</f>
        <v/>
      </c>
      <c r="EC17" s="382" t="str">
        <f>IF('2.ชื่อนักเรียน'!R22="มส","มส",IF('2.ชื่อนักเรียน'!R22="ย้าย","ย้าย",IF('2.ชื่อนักเรียน'!R22="ร","ร",IF(EB17="","",RANK(EB17,$EB$6:$EB$50,0)))))</f>
        <v/>
      </c>
      <c r="ED17" s="388"/>
      <c r="EE17" s="388"/>
      <c r="EF17" s="388"/>
      <c r="EG17" s="388"/>
      <c r="EH17" s="295" t="str">
        <f>IF('2.ชื่อนักเรียน'!R22="มส","ไม่ผ่าน",IF('2.ชื่อนักเรียน'!R22="ย้าย","ย้าย",IF(COUNTA(ED17:EG17)&lt;4,"",IF(AND(ED17="ผ",EE17="ผ",EF17="ผ",EG17="ผ"),"ผ่าน","ไม่ผ่าน"))))</f>
        <v/>
      </c>
      <c r="EI17" s="300"/>
      <c r="EK17" s="459" t="str">
        <f t="shared" si="74"/>
        <v/>
      </c>
      <c r="EL17" s="460" t="str">
        <f t="shared" si="75"/>
        <v/>
      </c>
      <c r="EM17" s="461" t="str">
        <f t="shared" si="76"/>
        <v/>
      </c>
      <c r="EN17" s="460" t="str">
        <f t="shared" si="77"/>
        <v/>
      </c>
      <c r="EO17" s="461" t="str">
        <f t="shared" si="78"/>
        <v/>
      </c>
      <c r="EP17" s="460" t="str">
        <f t="shared" si="79"/>
        <v/>
      </c>
      <c r="EQ17" s="461" t="str">
        <f t="shared" si="106"/>
        <v/>
      </c>
      <c r="ER17" s="460" t="str">
        <f t="shared" si="107"/>
        <v/>
      </c>
      <c r="ES17" s="461" t="str">
        <f t="shared" si="80"/>
        <v/>
      </c>
      <c r="ET17" s="460" t="str">
        <f t="shared" si="81"/>
        <v/>
      </c>
    </row>
    <row r="18" spans="1:150" s="14" customFormat="1" ht="21" x14ac:dyDescent="0.4">
      <c r="A18" s="295">
        <v>13</v>
      </c>
      <c r="B18" s="295" t="str">
        <f>IF('2.ชื่อนักเรียน'!E23="","",CONCATENATE('2.ชื่อนักเรียน'!E23,'2.ชื่อนักเรียน'!F23,'2.ชื่อนักเรียน'!G23,'2.ชื่อนักเรียน'!H23,'2.ชื่อนักเรียน'!I23,'2.ชื่อนักเรียน'!J23,'2.ชื่อนักเรียน'!K23,'2.ชื่อนักเรียน'!L23,'2.ชื่อนักเรียน'!M23,'2.ชื่อนักเรียน'!N23,'2.ชื่อนักเรียน'!O23,'2.ชื่อนักเรียน'!P23,'2.ชื่อนักเรียน'!Q23,))</f>
        <v/>
      </c>
      <c r="C18" s="295" t="str">
        <f>IF(IDstu13="","",IDstu13)</f>
        <v/>
      </c>
      <c r="D18" s="497" t="str">
        <f>CONCATENATE(TRIM(Name13),"  ",Surname13)</f>
        <v xml:space="preserve">  </v>
      </c>
      <c r="E18" s="297" t="str">
        <f t="shared" si="0"/>
        <v/>
      </c>
      <c r="F18" s="295" t="str">
        <f t="shared" si="1"/>
        <v/>
      </c>
      <c r="G18" s="295" t="str">
        <f t="shared" si="2"/>
        <v/>
      </c>
      <c r="H18" s="296" t="str">
        <f t="shared" si="3"/>
        <v/>
      </c>
      <c r="I18" s="295" t="str">
        <f t="shared" si="4"/>
        <v/>
      </c>
      <c r="J18" s="300"/>
      <c r="K18" s="297" t="str">
        <f t="shared" si="82"/>
        <v/>
      </c>
      <c r="L18" s="295" t="str">
        <f t="shared" si="5"/>
        <v/>
      </c>
      <c r="M18" s="296" t="str">
        <f t="shared" si="6"/>
        <v/>
      </c>
      <c r="N18" s="295" t="str">
        <f t="shared" si="7"/>
        <v/>
      </c>
      <c r="O18" s="508"/>
      <c r="P18" s="297" t="str">
        <f t="shared" si="83"/>
        <v/>
      </c>
      <c r="Q18" s="295" t="str">
        <f t="shared" si="8"/>
        <v/>
      </c>
      <c r="R18" s="296" t="str">
        <f t="shared" si="9"/>
        <v/>
      </c>
      <c r="S18" s="295" t="str">
        <f t="shared" si="10"/>
        <v/>
      </c>
      <c r="T18" s="300"/>
      <c r="U18" s="297" t="str">
        <f t="shared" si="108"/>
        <v/>
      </c>
      <c r="V18" s="295" t="str">
        <f t="shared" si="11"/>
        <v/>
      </c>
      <c r="W18" s="296" t="str">
        <f t="shared" si="12"/>
        <v/>
      </c>
      <c r="X18" s="295" t="str">
        <f t="shared" si="13"/>
        <v/>
      </c>
      <c r="Y18" s="300"/>
      <c r="Z18" s="297" t="str">
        <f t="shared" si="84"/>
        <v/>
      </c>
      <c r="AA18" s="295" t="str">
        <f t="shared" si="14"/>
        <v/>
      </c>
      <c r="AB18" s="296" t="str">
        <f t="shared" si="15"/>
        <v/>
      </c>
      <c r="AC18" s="295" t="str">
        <f t="shared" si="16"/>
        <v/>
      </c>
      <c r="AD18" s="300"/>
      <c r="AE18" s="297" t="str">
        <f t="shared" si="85"/>
        <v/>
      </c>
      <c r="AF18" s="295" t="str">
        <f t="shared" si="17"/>
        <v/>
      </c>
      <c r="AG18" s="296" t="str">
        <f t="shared" si="18"/>
        <v/>
      </c>
      <c r="AH18" s="295" t="str">
        <f t="shared" si="19"/>
        <v/>
      </c>
      <c r="AI18" s="300"/>
      <c r="AJ18" s="297" t="str">
        <f t="shared" si="86"/>
        <v/>
      </c>
      <c r="AK18" s="295" t="str">
        <f t="shared" si="20"/>
        <v/>
      </c>
      <c r="AL18" s="296" t="str">
        <f t="shared" si="21"/>
        <v/>
      </c>
      <c r="AM18" s="295" t="str">
        <f t="shared" si="22"/>
        <v/>
      </c>
      <c r="AN18" s="300"/>
      <c r="AO18" s="297" t="str">
        <f t="shared" si="87"/>
        <v/>
      </c>
      <c r="AP18" s="295" t="str">
        <f t="shared" si="23"/>
        <v/>
      </c>
      <c r="AQ18" s="296" t="str">
        <f t="shared" si="24"/>
        <v/>
      </c>
      <c r="AR18" s="295" t="str">
        <f t="shared" si="25"/>
        <v/>
      </c>
      <c r="AS18" s="300"/>
      <c r="AT18" s="297" t="str">
        <f t="shared" si="88"/>
        <v/>
      </c>
      <c r="AU18" s="295" t="str">
        <f t="shared" si="26"/>
        <v/>
      </c>
      <c r="AV18" s="296" t="str">
        <f t="shared" si="27"/>
        <v/>
      </c>
      <c r="AW18" s="295" t="str">
        <f t="shared" si="28"/>
        <v/>
      </c>
      <c r="AX18" s="300"/>
      <c r="AY18" s="297" t="str">
        <f t="shared" si="89"/>
        <v/>
      </c>
      <c r="AZ18" s="295" t="str">
        <f t="shared" si="29"/>
        <v/>
      </c>
      <c r="BA18" s="296" t="str">
        <f t="shared" si="30"/>
        <v/>
      </c>
      <c r="BB18" s="295" t="str">
        <f t="shared" si="31"/>
        <v/>
      </c>
      <c r="BC18" s="300"/>
      <c r="BD18" s="297" t="str">
        <f t="shared" si="90"/>
        <v/>
      </c>
      <c r="BE18" s="295" t="str">
        <f t="shared" si="32"/>
        <v/>
      </c>
      <c r="BF18" s="296" t="str">
        <f t="shared" si="33"/>
        <v/>
      </c>
      <c r="BG18" s="295" t="str">
        <f t="shared" si="34"/>
        <v/>
      </c>
      <c r="BH18" s="300"/>
      <c r="BI18" s="297" t="str">
        <f t="shared" si="91"/>
        <v/>
      </c>
      <c r="BJ18" s="295" t="str">
        <f t="shared" si="35"/>
        <v/>
      </c>
      <c r="BK18" s="296" t="str">
        <f t="shared" si="36"/>
        <v/>
      </c>
      <c r="BL18" s="295" t="str">
        <f t="shared" si="37"/>
        <v/>
      </c>
      <c r="BM18" s="300"/>
      <c r="BN18" s="297" t="str">
        <f t="shared" si="92"/>
        <v/>
      </c>
      <c r="BO18" s="295" t="str">
        <f t="shared" si="38"/>
        <v/>
      </c>
      <c r="BP18" s="296" t="str">
        <f t="shared" si="39"/>
        <v/>
      </c>
      <c r="BQ18" s="295" t="str">
        <f t="shared" si="40"/>
        <v/>
      </c>
      <c r="BR18" s="300"/>
      <c r="BS18" s="297" t="str">
        <f t="shared" si="93"/>
        <v/>
      </c>
      <c r="BT18" s="295" t="str">
        <f t="shared" si="41"/>
        <v/>
      </c>
      <c r="BU18" s="296" t="str">
        <f t="shared" si="42"/>
        <v/>
      </c>
      <c r="BV18" s="295" t="str">
        <f t="shared" si="43"/>
        <v/>
      </c>
      <c r="BW18" s="300"/>
      <c r="BX18" s="297" t="str">
        <f t="shared" si="94"/>
        <v/>
      </c>
      <c r="BY18" s="295" t="str">
        <f t="shared" si="44"/>
        <v/>
      </c>
      <c r="BZ18" s="296" t="str">
        <f t="shared" si="45"/>
        <v/>
      </c>
      <c r="CA18" s="295" t="str">
        <f t="shared" si="46"/>
        <v/>
      </c>
      <c r="CB18" s="300"/>
      <c r="CC18" s="297" t="str">
        <f t="shared" si="95"/>
        <v/>
      </c>
      <c r="CD18" s="295" t="str">
        <f t="shared" si="47"/>
        <v/>
      </c>
      <c r="CE18" s="296" t="str">
        <f t="shared" si="48"/>
        <v/>
      </c>
      <c r="CF18" s="295" t="str">
        <f t="shared" si="49"/>
        <v/>
      </c>
      <c r="CG18" s="300"/>
      <c r="CH18" s="297" t="str">
        <f t="shared" si="96"/>
        <v/>
      </c>
      <c r="CI18" s="295" t="str">
        <f t="shared" si="50"/>
        <v/>
      </c>
      <c r="CJ18" s="296" t="str">
        <f t="shared" si="51"/>
        <v/>
      </c>
      <c r="CK18" s="295" t="str">
        <f t="shared" si="52"/>
        <v/>
      </c>
      <c r="CL18" s="300"/>
      <c r="CM18" s="297" t="str">
        <f t="shared" si="97"/>
        <v/>
      </c>
      <c r="CN18" s="295" t="str">
        <f t="shared" si="53"/>
        <v/>
      </c>
      <c r="CO18" s="296" t="str">
        <f t="shared" si="54"/>
        <v/>
      </c>
      <c r="CP18" s="295" t="str">
        <f t="shared" si="55"/>
        <v/>
      </c>
      <c r="CQ18" s="300"/>
      <c r="CR18" s="297" t="str">
        <f t="shared" si="98"/>
        <v/>
      </c>
      <c r="CS18" s="295" t="str">
        <f t="shared" si="56"/>
        <v/>
      </c>
      <c r="CT18" s="296" t="str">
        <f t="shared" si="57"/>
        <v/>
      </c>
      <c r="CU18" s="295" t="str">
        <f t="shared" si="58"/>
        <v/>
      </c>
      <c r="CV18" s="300"/>
      <c r="CW18" s="297" t="str">
        <f t="shared" si="99"/>
        <v/>
      </c>
      <c r="CX18" s="295" t="str">
        <f t="shared" si="59"/>
        <v/>
      </c>
      <c r="CY18" s="296" t="str">
        <f t="shared" si="60"/>
        <v/>
      </c>
      <c r="CZ18" s="295" t="str">
        <f t="shared" si="61"/>
        <v/>
      </c>
      <c r="DA18" s="300"/>
      <c r="DB18" s="297" t="str">
        <f t="shared" si="100"/>
        <v/>
      </c>
      <c r="DC18" s="295" t="str">
        <f t="shared" si="62"/>
        <v/>
      </c>
      <c r="DD18" s="296" t="str">
        <f t="shared" si="63"/>
        <v/>
      </c>
      <c r="DE18" s="295" t="str">
        <f t="shared" si="64"/>
        <v/>
      </c>
      <c r="DF18" s="300"/>
      <c r="DG18" s="297" t="str">
        <f t="shared" si="101"/>
        <v/>
      </c>
      <c r="DH18" s="295" t="str">
        <f t="shared" si="65"/>
        <v/>
      </c>
      <c r="DI18" s="296" t="str">
        <f t="shared" si="66"/>
        <v/>
      </c>
      <c r="DJ18" s="295" t="str">
        <f t="shared" si="67"/>
        <v/>
      </c>
      <c r="DK18" s="300"/>
      <c r="DL18" s="297" t="str">
        <f t="shared" si="102"/>
        <v/>
      </c>
      <c r="DM18" s="295" t="str">
        <f t="shared" si="68"/>
        <v/>
      </c>
      <c r="DN18" s="296" t="str">
        <f t="shared" si="69"/>
        <v/>
      </c>
      <c r="DO18" s="295" t="str">
        <f t="shared" si="70"/>
        <v/>
      </c>
      <c r="DP18" s="300"/>
      <c r="DQ18" s="297" t="str">
        <f t="shared" si="103"/>
        <v/>
      </c>
      <c r="DR18" s="295" t="str">
        <f t="shared" si="71"/>
        <v/>
      </c>
      <c r="DS18" s="296" t="str">
        <f t="shared" si="72"/>
        <v/>
      </c>
      <c r="DT18" s="295" t="str">
        <f t="shared" si="73"/>
        <v/>
      </c>
      <c r="DU18" s="300"/>
      <c r="DV18" s="297" t="str">
        <f t="shared" si="104"/>
        <v/>
      </c>
      <c r="DW18" s="295" t="str">
        <f>IF('1.ข้อมูลเบื้องต้น'!$B$32="","",IF($B18="","",'1.ข้อมูลเบื้องต้น'!$B$32))</f>
        <v/>
      </c>
      <c r="DX18" s="296" t="str">
        <f>IF('1.ข้อมูลเบื้องต้น'!$C$32="","",IF($B18="","",'1.ข้อมูลเบื้องต้น'!$C$32))</f>
        <v/>
      </c>
      <c r="DY18" s="295" t="str">
        <f>IF('1.ข้อมูลเบื้องต้น'!$D$32="","",IF($B18="","",'1.ข้อมูลเบื้องต้น'!$D$32))</f>
        <v/>
      </c>
      <c r="DZ18" s="300"/>
      <c r="EA18" s="297" t="str">
        <f t="shared" si="105"/>
        <v/>
      </c>
      <c r="EB18" s="386" t="str">
        <f>IF('6.1ประกาศผลปลายภาค'!AW21="","",'6.1ประกาศผลปลายภาค'!AW21)</f>
        <v/>
      </c>
      <c r="EC18" s="382" t="str">
        <f>IF('2.ชื่อนักเรียน'!R23="มส","มส",IF('2.ชื่อนักเรียน'!R23="ย้าย","ย้าย",IF('2.ชื่อนักเรียน'!R23="ร","ร",IF(EB18="","",RANK(EB18,$EB$6:$EB$50,0)))))</f>
        <v/>
      </c>
      <c r="ED18" s="388"/>
      <c r="EE18" s="388"/>
      <c r="EF18" s="388"/>
      <c r="EG18" s="388"/>
      <c r="EH18" s="295" t="str">
        <f>IF('2.ชื่อนักเรียน'!R23="มส","ไม่ผ่าน",IF('2.ชื่อนักเรียน'!R23="ย้าย","ย้าย",IF(COUNTA(ED18:EG18)&lt;4,"",IF(AND(ED18="ผ",EE18="ผ",EF18="ผ",EG18="ผ"),"ผ่าน","ไม่ผ่าน"))))</f>
        <v/>
      </c>
      <c r="EI18" s="300"/>
      <c r="EK18" s="459" t="str">
        <f t="shared" si="74"/>
        <v/>
      </c>
      <c r="EL18" s="460" t="str">
        <f t="shared" si="75"/>
        <v/>
      </c>
      <c r="EM18" s="461" t="str">
        <f t="shared" si="76"/>
        <v/>
      </c>
      <c r="EN18" s="460" t="str">
        <f t="shared" si="77"/>
        <v/>
      </c>
      <c r="EO18" s="461" t="str">
        <f t="shared" si="78"/>
        <v/>
      </c>
      <c r="EP18" s="460" t="str">
        <f t="shared" si="79"/>
        <v/>
      </c>
      <c r="EQ18" s="461" t="str">
        <f t="shared" si="106"/>
        <v/>
      </c>
      <c r="ER18" s="460" t="str">
        <f t="shared" si="107"/>
        <v/>
      </c>
      <c r="ES18" s="461" t="str">
        <f t="shared" si="80"/>
        <v/>
      </c>
      <c r="ET18" s="460" t="str">
        <f t="shared" si="81"/>
        <v/>
      </c>
    </row>
    <row r="19" spans="1:150" s="14" customFormat="1" ht="21" x14ac:dyDescent="0.4">
      <c r="A19" s="295">
        <v>14</v>
      </c>
      <c r="B19" s="295" t="str">
        <f>IF('2.ชื่อนักเรียน'!E24="","",CONCATENATE('2.ชื่อนักเรียน'!E24,'2.ชื่อนักเรียน'!F24,'2.ชื่อนักเรียน'!G24,'2.ชื่อนักเรียน'!H24,'2.ชื่อนักเรียน'!I24,'2.ชื่อนักเรียน'!J24,'2.ชื่อนักเรียน'!K24,'2.ชื่อนักเรียน'!L24,'2.ชื่อนักเรียน'!M24,'2.ชื่อนักเรียน'!N24,'2.ชื่อนักเรียน'!O24,'2.ชื่อนักเรียน'!P24,'2.ชื่อนักเรียน'!Q24,))</f>
        <v/>
      </c>
      <c r="C19" s="295" t="str">
        <f>IF(IDstu14="","",IDstu14)</f>
        <v/>
      </c>
      <c r="D19" s="497" t="str">
        <f>CONCATENATE(TRIM(Name14),"  ",Surname14)</f>
        <v xml:space="preserve">  </v>
      </c>
      <c r="E19" s="297" t="str">
        <f t="shared" si="0"/>
        <v/>
      </c>
      <c r="F19" s="295" t="str">
        <f t="shared" si="1"/>
        <v/>
      </c>
      <c r="G19" s="295" t="str">
        <f t="shared" si="2"/>
        <v/>
      </c>
      <c r="H19" s="296" t="str">
        <f t="shared" si="3"/>
        <v/>
      </c>
      <c r="I19" s="295" t="str">
        <f t="shared" si="4"/>
        <v/>
      </c>
      <c r="J19" s="300"/>
      <c r="K19" s="297" t="str">
        <f t="shared" si="82"/>
        <v/>
      </c>
      <c r="L19" s="295" t="str">
        <f t="shared" si="5"/>
        <v/>
      </c>
      <c r="M19" s="296" t="str">
        <f t="shared" si="6"/>
        <v/>
      </c>
      <c r="N19" s="295" t="str">
        <f t="shared" si="7"/>
        <v/>
      </c>
      <c r="O19" s="508"/>
      <c r="P19" s="297" t="str">
        <f t="shared" si="83"/>
        <v/>
      </c>
      <c r="Q19" s="295" t="str">
        <f t="shared" si="8"/>
        <v/>
      </c>
      <c r="R19" s="296" t="str">
        <f t="shared" si="9"/>
        <v/>
      </c>
      <c r="S19" s="295" t="str">
        <f t="shared" si="10"/>
        <v/>
      </c>
      <c r="T19" s="300"/>
      <c r="U19" s="297" t="str">
        <f t="shared" si="108"/>
        <v/>
      </c>
      <c r="V19" s="295" t="str">
        <f t="shared" si="11"/>
        <v/>
      </c>
      <c r="W19" s="296" t="str">
        <f t="shared" si="12"/>
        <v/>
      </c>
      <c r="X19" s="295" t="str">
        <f t="shared" si="13"/>
        <v/>
      </c>
      <c r="Y19" s="300"/>
      <c r="Z19" s="297" t="str">
        <f t="shared" si="84"/>
        <v/>
      </c>
      <c r="AA19" s="295" t="str">
        <f t="shared" si="14"/>
        <v/>
      </c>
      <c r="AB19" s="296" t="str">
        <f t="shared" si="15"/>
        <v/>
      </c>
      <c r="AC19" s="295" t="str">
        <f t="shared" si="16"/>
        <v/>
      </c>
      <c r="AD19" s="300"/>
      <c r="AE19" s="297" t="str">
        <f t="shared" si="85"/>
        <v/>
      </c>
      <c r="AF19" s="295" t="str">
        <f t="shared" si="17"/>
        <v/>
      </c>
      <c r="AG19" s="296" t="str">
        <f t="shared" si="18"/>
        <v/>
      </c>
      <c r="AH19" s="295" t="str">
        <f t="shared" si="19"/>
        <v/>
      </c>
      <c r="AI19" s="300"/>
      <c r="AJ19" s="297" t="str">
        <f t="shared" si="86"/>
        <v/>
      </c>
      <c r="AK19" s="295" t="str">
        <f t="shared" si="20"/>
        <v/>
      </c>
      <c r="AL19" s="296" t="str">
        <f t="shared" si="21"/>
        <v/>
      </c>
      <c r="AM19" s="295" t="str">
        <f t="shared" si="22"/>
        <v/>
      </c>
      <c r="AN19" s="300"/>
      <c r="AO19" s="297" t="str">
        <f t="shared" si="87"/>
        <v/>
      </c>
      <c r="AP19" s="295" t="str">
        <f t="shared" si="23"/>
        <v/>
      </c>
      <c r="AQ19" s="296" t="str">
        <f t="shared" si="24"/>
        <v/>
      </c>
      <c r="AR19" s="295" t="str">
        <f t="shared" si="25"/>
        <v/>
      </c>
      <c r="AS19" s="300"/>
      <c r="AT19" s="297" t="str">
        <f t="shared" si="88"/>
        <v/>
      </c>
      <c r="AU19" s="295" t="str">
        <f t="shared" si="26"/>
        <v/>
      </c>
      <c r="AV19" s="296" t="str">
        <f t="shared" si="27"/>
        <v/>
      </c>
      <c r="AW19" s="295" t="str">
        <f t="shared" si="28"/>
        <v/>
      </c>
      <c r="AX19" s="300"/>
      <c r="AY19" s="297" t="str">
        <f t="shared" si="89"/>
        <v/>
      </c>
      <c r="AZ19" s="295" t="str">
        <f t="shared" si="29"/>
        <v/>
      </c>
      <c r="BA19" s="296" t="str">
        <f t="shared" si="30"/>
        <v/>
      </c>
      <c r="BB19" s="295" t="str">
        <f t="shared" si="31"/>
        <v/>
      </c>
      <c r="BC19" s="300"/>
      <c r="BD19" s="297" t="str">
        <f t="shared" si="90"/>
        <v/>
      </c>
      <c r="BE19" s="295" t="str">
        <f t="shared" si="32"/>
        <v/>
      </c>
      <c r="BF19" s="296" t="str">
        <f t="shared" si="33"/>
        <v/>
      </c>
      <c r="BG19" s="295" t="str">
        <f t="shared" si="34"/>
        <v/>
      </c>
      <c r="BH19" s="300"/>
      <c r="BI19" s="297" t="str">
        <f t="shared" si="91"/>
        <v/>
      </c>
      <c r="BJ19" s="295" t="str">
        <f t="shared" si="35"/>
        <v/>
      </c>
      <c r="BK19" s="296" t="str">
        <f t="shared" si="36"/>
        <v/>
      </c>
      <c r="BL19" s="295" t="str">
        <f t="shared" si="37"/>
        <v/>
      </c>
      <c r="BM19" s="300"/>
      <c r="BN19" s="297" t="str">
        <f t="shared" si="92"/>
        <v/>
      </c>
      <c r="BO19" s="295" t="str">
        <f t="shared" si="38"/>
        <v/>
      </c>
      <c r="BP19" s="296" t="str">
        <f t="shared" si="39"/>
        <v/>
      </c>
      <c r="BQ19" s="295" t="str">
        <f t="shared" si="40"/>
        <v/>
      </c>
      <c r="BR19" s="300"/>
      <c r="BS19" s="297" t="str">
        <f t="shared" si="93"/>
        <v/>
      </c>
      <c r="BT19" s="295" t="str">
        <f t="shared" si="41"/>
        <v/>
      </c>
      <c r="BU19" s="296" t="str">
        <f t="shared" si="42"/>
        <v/>
      </c>
      <c r="BV19" s="295" t="str">
        <f t="shared" si="43"/>
        <v/>
      </c>
      <c r="BW19" s="300"/>
      <c r="BX19" s="297" t="str">
        <f t="shared" si="94"/>
        <v/>
      </c>
      <c r="BY19" s="295" t="str">
        <f t="shared" si="44"/>
        <v/>
      </c>
      <c r="BZ19" s="296" t="str">
        <f t="shared" si="45"/>
        <v/>
      </c>
      <c r="CA19" s="295" t="str">
        <f t="shared" si="46"/>
        <v/>
      </c>
      <c r="CB19" s="300"/>
      <c r="CC19" s="297" t="str">
        <f t="shared" si="95"/>
        <v/>
      </c>
      <c r="CD19" s="295" t="str">
        <f t="shared" si="47"/>
        <v/>
      </c>
      <c r="CE19" s="296" t="str">
        <f t="shared" si="48"/>
        <v/>
      </c>
      <c r="CF19" s="295" t="str">
        <f t="shared" si="49"/>
        <v/>
      </c>
      <c r="CG19" s="300"/>
      <c r="CH19" s="297" t="str">
        <f t="shared" si="96"/>
        <v/>
      </c>
      <c r="CI19" s="295" t="str">
        <f t="shared" si="50"/>
        <v/>
      </c>
      <c r="CJ19" s="296" t="str">
        <f t="shared" si="51"/>
        <v/>
      </c>
      <c r="CK19" s="295" t="str">
        <f t="shared" si="52"/>
        <v/>
      </c>
      <c r="CL19" s="300"/>
      <c r="CM19" s="297" t="str">
        <f t="shared" si="97"/>
        <v/>
      </c>
      <c r="CN19" s="295" t="str">
        <f t="shared" si="53"/>
        <v/>
      </c>
      <c r="CO19" s="296" t="str">
        <f t="shared" si="54"/>
        <v/>
      </c>
      <c r="CP19" s="295" t="str">
        <f t="shared" si="55"/>
        <v/>
      </c>
      <c r="CQ19" s="300"/>
      <c r="CR19" s="297" t="str">
        <f t="shared" si="98"/>
        <v/>
      </c>
      <c r="CS19" s="295" t="str">
        <f t="shared" si="56"/>
        <v/>
      </c>
      <c r="CT19" s="296" t="str">
        <f t="shared" si="57"/>
        <v/>
      </c>
      <c r="CU19" s="295" t="str">
        <f t="shared" si="58"/>
        <v/>
      </c>
      <c r="CV19" s="300"/>
      <c r="CW19" s="297" t="str">
        <f t="shared" si="99"/>
        <v/>
      </c>
      <c r="CX19" s="295" t="str">
        <f t="shared" si="59"/>
        <v/>
      </c>
      <c r="CY19" s="296" t="str">
        <f t="shared" si="60"/>
        <v/>
      </c>
      <c r="CZ19" s="295" t="str">
        <f t="shared" si="61"/>
        <v/>
      </c>
      <c r="DA19" s="300"/>
      <c r="DB19" s="297" t="str">
        <f t="shared" si="100"/>
        <v/>
      </c>
      <c r="DC19" s="295" t="str">
        <f t="shared" si="62"/>
        <v/>
      </c>
      <c r="DD19" s="296" t="str">
        <f t="shared" si="63"/>
        <v/>
      </c>
      <c r="DE19" s="295" t="str">
        <f t="shared" si="64"/>
        <v/>
      </c>
      <c r="DF19" s="300"/>
      <c r="DG19" s="297" t="str">
        <f t="shared" si="101"/>
        <v/>
      </c>
      <c r="DH19" s="295" t="str">
        <f t="shared" si="65"/>
        <v/>
      </c>
      <c r="DI19" s="296" t="str">
        <f t="shared" si="66"/>
        <v/>
      </c>
      <c r="DJ19" s="295" t="str">
        <f t="shared" si="67"/>
        <v/>
      </c>
      <c r="DK19" s="300"/>
      <c r="DL19" s="297" t="str">
        <f t="shared" si="102"/>
        <v/>
      </c>
      <c r="DM19" s="295" t="str">
        <f t="shared" si="68"/>
        <v/>
      </c>
      <c r="DN19" s="296" t="str">
        <f t="shared" si="69"/>
        <v/>
      </c>
      <c r="DO19" s="295" t="str">
        <f t="shared" si="70"/>
        <v/>
      </c>
      <c r="DP19" s="300"/>
      <c r="DQ19" s="297" t="str">
        <f t="shared" si="103"/>
        <v/>
      </c>
      <c r="DR19" s="295" t="str">
        <f t="shared" si="71"/>
        <v/>
      </c>
      <c r="DS19" s="296" t="str">
        <f t="shared" si="72"/>
        <v/>
      </c>
      <c r="DT19" s="295" t="str">
        <f t="shared" si="73"/>
        <v/>
      </c>
      <c r="DU19" s="300"/>
      <c r="DV19" s="297" t="str">
        <f t="shared" si="104"/>
        <v/>
      </c>
      <c r="DW19" s="295" t="str">
        <f>IF('1.ข้อมูลเบื้องต้น'!$B$32="","",IF($B19="","",'1.ข้อมูลเบื้องต้น'!$B$32))</f>
        <v/>
      </c>
      <c r="DX19" s="296" t="str">
        <f>IF('1.ข้อมูลเบื้องต้น'!$C$32="","",IF($B19="","",'1.ข้อมูลเบื้องต้น'!$C$32))</f>
        <v/>
      </c>
      <c r="DY19" s="295" t="str">
        <f>IF('1.ข้อมูลเบื้องต้น'!$D$32="","",IF($B19="","",'1.ข้อมูลเบื้องต้น'!$D$32))</f>
        <v/>
      </c>
      <c r="DZ19" s="300"/>
      <c r="EA19" s="297" t="str">
        <f t="shared" si="105"/>
        <v/>
      </c>
      <c r="EB19" s="386" t="str">
        <f>IF('6.1ประกาศผลปลายภาค'!AW22="","",'6.1ประกาศผลปลายภาค'!AW22)</f>
        <v/>
      </c>
      <c r="EC19" s="382" t="str">
        <f>IF('2.ชื่อนักเรียน'!R24="มส","มส",IF('2.ชื่อนักเรียน'!R24="ย้าย","ย้าย",IF('2.ชื่อนักเรียน'!R24="ร","ร",IF(EB19="","",RANK(EB19,$EB$6:$EB$50,0)))))</f>
        <v/>
      </c>
      <c r="ED19" s="388"/>
      <c r="EE19" s="388"/>
      <c r="EF19" s="388"/>
      <c r="EG19" s="388"/>
      <c r="EH19" s="295" t="str">
        <f>IF('2.ชื่อนักเรียน'!R24="มส","ไม่ผ่าน",IF('2.ชื่อนักเรียน'!R24="ย้าย","ย้าย",IF(COUNTA(ED19:EG19)&lt;4,"",IF(AND(ED19="ผ",EE19="ผ",EF19="ผ",EG19="ผ"),"ผ่าน","ไม่ผ่าน"))))</f>
        <v/>
      </c>
      <c r="EI19" s="300"/>
      <c r="EK19" s="459" t="str">
        <f t="shared" si="74"/>
        <v/>
      </c>
      <c r="EL19" s="460" t="str">
        <f t="shared" si="75"/>
        <v/>
      </c>
      <c r="EM19" s="461" t="str">
        <f t="shared" si="76"/>
        <v/>
      </c>
      <c r="EN19" s="460" t="str">
        <f t="shared" si="77"/>
        <v/>
      </c>
      <c r="EO19" s="461" t="str">
        <f t="shared" si="78"/>
        <v/>
      </c>
      <c r="EP19" s="460" t="str">
        <f t="shared" si="79"/>
        <v/>
      </c>
      <c r="EQ19" s="461" t="str">
        <f t="shared" si="106"/>
        <v/>
      </c>
      <c r="ER19" s="460" t="str">
        <f t="shared" si="107"/>
        <v/>
      </c>
      <c r="ES19" s="461" t="str">
        <f t="shared" si="80"/>
        <v/>
      </c>
      <c r="ET19" s="460" t="str">
        <f t="shared" si="81"/>
        <v/>
      </c>
    </row>
    <row r="20" spans="1:150" s="14" customFormat="1" ht="21.6" thickBot="1" x14ac:dyDescent="0.45">
      <c r="A20" s="295">
        <v>15</v>
      </c>
      <c r="B20" s="295" t="str">
        <f>IF('2.ชื่อนักเรียน'!E25="","",CONCATENATE('2.ชื่อนักเรียน'!E25,'2.ชื่อนักเรียน'!F25,'2.ชื่อนักเรียน'!G25,'2.ชื่อนักเรียน'!H25,'2.ชื่อนักเรียน'!I25,'2.ชื่อนักเรียน'!J25,'2.ชื่อนักเรียน'!K25,'2.ชื่อนักเรียน'!L25,'2.ชื่อนักเรียน'!M25,'2.ชื่อนักเรียน'!N25,'2.ชื่อนักเรียน'!O25,'2.ชื่อนักเรียน'!P25,'2.ชื่อนักเรียน'!Q25,))</f>
        <v/>
      </c>
      <c r="C20" s="295" t="str">
        <f>IF(IDstu15="","",IDstu15)</f>
        <v/>
      </c>
      <c r="D20" s="497" t="str">
        <f>CONCATENATE(TRIM(Name15),"  ",Surname15)</f>
        <v xml:space="preserve">  </v>
      </c>
      <c r="E20" s="297" t="str">
        <f t="shared" si="0"/>
        <v/>
      </c>
      <c r="F20" s="295" t="str">
        <f t="shared" si="1"/>
        <v/>
      </c>
      <c r="G20" s="295" t="str">
        <f t="shared" si="2"/>
        <v/>
      </c>
      <c r="H20" s="296" t="str">
        <f t="shared" si="3"/>
        <v/>
      </c>
      <c r="I20" s="295" t="str">
        <f t="shared" si="4"/>
        <v/>
      </c>
      <c r="J20" s="300"/>
      <c r="K20" s="297" t="str">
        <f t="shared" si="82"/>
        <v/>
      </c>
      <c r="L20" s="295" t="str">
        <f t="shared" si="5"/>
        <v/>
      </c>
      <c r="M20" s="296" t="str">
        <f t="shared" si="6"/>
        <v/>
      </c>
      <c r="N20" s="295" t="str">
        <f t="shared" si="7"/>
        <v/>
      </c>
      <c r="O20" s="508"/>
      <c r="P20" s="297" t="str">
        <f t="shared" si="83"/>
        <v/>
      </c>
      <c r="Q20" s="295" t="str">
        <f t="shared" si="8"/>
        <v/>
      </c>
      <c r="R20" s="296" t="str">
        <f t="shared" si="9"/>
        <v/>
      </c>
      <c r="S20" s="295" t="str">
        <f t="shared" si="10"/>
        <v/>
      </c>
      <c r="T20" s="300"/>
      <c r="U20" s="297" t="str">
        <f t="shared" si="108"/>
        <v/>
      </c>
      <c r="V20" s="295" t="str">
        <f t="shared" si="11"/>
        <v/>
      </c>
      <c r="W20" s="296" t="str">
        <f t="shared" si="12"/>
        <v/>
      </c>
      <c r="X20" s="295" t="str">
        <f t="shared" si="13"/>
        <v/>
      </c>
      <c r="Y20" s="300"/>
      <c r="Z20" s="297" t="str">
        <f t="shared" si="84"/>
        <v/>
      </c>
      <c r="AA20" s="295" t="str">
        <f t="shared" si="14"/>
        <v/>
      </c>
      <c r="AB20" s="296" t="str">
        <f t="shared" si="15"/>
        <v/>
      </c>
      <c r="AC20" s="295" t="str">
        <f t="shared" si="16"/>
        <v/>
      </c>
      <c r="AD20" s="300"/>
      <c r="AE20" s="297" t="str">
        <f t="shared" si="85"/>
        <v/>
      </c>
      <c r="AF20" s="295" t="str">
        <f t="shared" si="17"/>
        <v/>
      </c>
      <c r="AG20" s="296" t="str">
        <f t="shared" si="18"/>
        <v/>
      </c>
      <c r="AH20" s="295" t="str">
        <f t="shared" si="19"/>
        <v/>
      </c>
      <c r="AI20" s="300"/>
      <c r="AJ20" s="297" t="str">
        <f t="shared" si="86"/>
        <v/>
      </c>
      <c r="AK20" s="295" t="str">
        <f t="shared" si="20"/>
        <v/>
      </c>
      <c r="AL20" s="296" t="str">
        <f t="shared" si="21"/>
        <v/>
      </c>
      <c r="AM20" s="295" t="str">
        <f t="shared" si="22"/>
        <v/>
      </c>
      <c r="AN20" s="300"/>
      <c r="AO20" s="297" t="str">
        <f t="shared" si="87"/>
        <v/>
      </c>
      <c r="AP20" s="295" t="str">
        <f t="shared" si="23"/>
        <v/>
      </c>
      <c r="AQ20" s="296" t="str">
        <f t="shared" si="24"/>
        <v/>
      </c>
      <c r="AR20" s="295" t="str">
        <f t="shared" si="25"/>
        <v/>
      </c>
      <c r="AS20" s="300"/>
      <c r="AT20" s="297" t="str">
        <f t="shared" si="88"/>
        <v/>
      </c>
      <c r="AU20" s="295" t="str">
        <f t="shared" si="26"/>
        <v/>
      </c>
      <c r="AV20" s="296" t="str">
        <f t="shared" si="27"/>
        <v/>
      </c>
      <c r="AW20" s="295" t="str">
        <f t="shared" si="28"/>
        <v/>
      </c>
      <c r="AX20" s="300"/>
      <c r="AY20" s="297" t="str">
        <f t="shared" si="89"/>
        <v/>
      </c>
      <c r="AZ20" s="295" t="str">
        <f t="shared" si="29"/>
        <v/>
      </c>
      <c r="BA20" s="296" t="str">
        <f t="shared" si="30"/>
        <v/>
      </c>
      <c r="BB20" s="295" t="str">
        <f t="shared" si="31"/>
        <v/>
      </c>
      <c r="BC20" s="300"/>
      <c r="BD20" s="297" t="str">
        <f t="shared" si="90"/>
        <v/>
      </c>
      <c r="BE20" s="295" t="str">
        <f t="shared" si="32"/>
        <v/>
      </c>
      <c r="BF20" s="296" t="str">
        <f t="shared" si="33"/>
        <v/>
      </c>
      <c r="BG20" s="295" t="str">
        <f t="shared" si="34"/>
        <v/>
      </c>
      <c r="BH20" s="300"/>
      <c r="BI20" s="297" t="str">
        <f t="shared" si="91"/>
        <v/>
      </c>
      <c r="BJ20" s="295" t="str">
        <f t="shared" si="35"/>
        <v/>
      </c>
      <c r="BK20" s="296" t="str">
        <f t="shared" si="36"/>
        <v/>
      </c>
      <c r="BL20" s="295" t="str">
        <f t="shared" si="37"/>
        <v/>
      </c>
      <c r="BM20" s="300"/>
      <c r="BN20" s="297" t="str">
        <f t="shared" si="92"/>
        <v/>
      </c>
      <c r="BO20" s="295" t="str">
        <f t="shared" si="38"/>
        <v/>
      </c>
      <c r="BP20" s="296" t="str">
        <f t="shared" si="39"/>
        <v/>
      </c>
      <c r="BQ20" s="295" t="str">
        <f t="shared" si="40"/>
        <v/>
      </c>
      <c r="BR20" s="300"/>
      <c r="BS20" s="297" t="str">
        <f t="shared" si="93"/>
        <v/>
      </c>
      <c r="BT20" s="295" t="str">
        <f t="shared" si="41"/>
        <v/>
      </c>
      <c r="BU20" s="296" t="str">
        <f t="shared" si="42"/>
        <v/>
      </c>
      <c r="BV20" s="295" t="str">
        <f t="shared" si="43"/>
        <v/>
      </c>
      <c r="BW20" s="300"/>
      <c r="BX20" s="297" t="str">
        <f t="shared" si="94"/>
        <v/>
      </c>
      <c r="BY20" s="295" t="str">
        <f t="shared" si="44"/>
        <v/>
      </c>
      <c r="BZ20" s="296" t="str">
        <f t="shared" si="45"/>
        <v/>
      </c>
      <c r="CA20" s="295" t="str">
        <f t="shared" si="46"/>
        <v/>
      </c>
      <c r="CB20" s="300"/>
      <c r="CC20" s="297" t="str">
        <f t="shared" si="95"/>
        <v/>
      </c>
      <c r="CD20" s="295" t="str">
        <f t="shared" si="47"/>
        <v/>
      </c>
      <c r="CE20" s="296" t="str">
        <f t="shared" si="48"/>
        <v/>
      </c>
      <c r="CF20" s="295" t="str">
        <f t="shared" si="49"/>
        <v/>
      </c>
      <c r="CG20" s="300"/>
      <c r="CH20" s="297" t="str">
        <f t="shared" si="96"/>
        <v/>
      </c>
      <c r="CI20" s="295" t="str">
        <f t="shared" si="50"/>
        <v/>
      </c>
      <c r="CJ20" s="296" t="str">
        <f t="shared" si="51"/>
        <v/>
      </c>
      <c r="CK20" s="295" t="str">
        <f t="shared" si="52"/>
        <v/>
      </c>
      <c r="CL20" s="300"/>
      <c r="CM20" s="297" t="str">
        <f t="shared" si="97"/>
        <v/>
      </c>
      <c r="CN20" s="295" t="str">
        <f t="shared" si="53"/>
        <v/>
      </c>
      <c r="CO20" s="296" t="str">
        <f t="shared" si="54"/>
        <v/>
      </c>
      <c r="CP20" s="295" t="str">
        <f t="shared" si="55"/>
        <v/>
      </c>
      <c r="CQ20" s="300"/>
      <c r="CR20" s="297" t="str">
        <f t="shared" si="98"/>
        <v/>
      </c>
      <c r="CS20" s="295" t="str">
        <f t="shared" si="56"/>
        <v/>
      </c>
      <c r="CT20" s="296" t="str">
        <f t="shared" si="57"/>
        <v/>
      </c>
      <c r="CU20" s="295" t="str">
        <f t="shared" si="58"/>
        <v/>
      </c>
      <c r="CV20" s="300"/>
      <c r="CW20" s="297" t="str">
        <f t="shared" si="99"/>
        <v/>
      </c>
      <c r="CX20" s="295" t="str">
        <f t="shared" si="59"/>
        <v/>
      </c>
      <c r="CY20" s="296" t="str">
        <f t="shared" si="60"/>
        <v/>
      </c>
      <c r="CZ20" s="295" t="str">
        <f t="shared" si="61"/>
        <v/>
      </c>
      <c r="DA20" s="300"/>
      <c r="DB20" s="297" t="str">
        <f t="shared" si="100"/>
        <v/>
      </c>
      <c r="DC20" s="295" t="str">
        <f t="shared" si="62"/>
        <v/>
      </c>
      <c r="DD20" s="296" t="str">
        <f t="shared" si="63"/>
        <v/>
      </c>
      <c r="DE20" s="295" t="str">
        <f t="shared" si="64"/>
        <v/>
      </c>
      <c r="DF20" s="300"/>
      <c r="DG20" s="297" t="str">
        <f t="shared" si="101"/>
        <v/>
      </c>
      <c r="DH20" s="295" t="str">
        <f t="shared" si="65"/>
        <v/>
      </c>
      <c r="DI20" s="296" t="str">
        <f t="shared" si="66"/>
        <v/>
      </c>
      <c r="DJ20" s="295" t="str">
        <f t="shared" si="67"/>
        <v/>
      </c>
      <c r="DK20" s="300"/>
      <c r="DL20" s="297" t="str">
        <f t="shared" si="102"/>
        <v/>
      </c>
      <c r="DM20" s="295" t="str">
        <f t="shared" si="68"/>
        <v/>
      </c>
      <c r="DN20" s="296" t="str">
        <f t="shared" si="69"/>
        <v/>
      </c>
      <c r="DO20" s="295" t="str">
        <f t="shared" si="70"/>
        <v/>
      </c>
      <c r="DP20" s="300"/>
      <c r="DQ20" s="297" t="str">
        <f t="shared" si="103"/>
        <v/>
      </c>
      <c r="DR20" s="295" t="str">
        <f t="shared" si="71"/>
        <v/>
      </c>
      <c r="DS20" s="296" t="str">
        <f t="shared" si="72"/>
        <v/>
      </c>
      <c r="DT20" s="295" t="str">
        <f t="shared" si="73"/>
        <v/>
      </c>
      <c r="DU20" s="300"/>
      <c r="DV20" s="297" t="str">
        <f t="shared" si="104"/>
        <v/>
      </c>
      <c r="DW20" s="295" t="str">
        <f>IF('1.ข้อมูลเบื้องต้น'!$B$32="","",IF($B20="","",'1.ข้อมูลเบื้องต้น'!$B$32))</f>
        <v/>
      </c>
      <c r="DX20" s="296" t="str">
        <f>IF('1.ข้อมูลเบื้องต้น'!$C$32="","",IF($B20="","",'1.ข้อมูลเบื้องต้น'!$C$32))</f>
        <v/>
      </c>
      <c r="DY20" s="295" t="str">
        <f>IF('1.ข้อมูลเบื้องต้น'!$D$32="","",IF($B20="","",'1.ข้อมูลเบื้องต้น'!$D$32))</f>
        <v/>
      </c>
      <c r="DZ20" s="300"/>
      <c r="EA20" s="297" t="str">
        <f t="shared" si="105"/>
        <v/>
      </c>
      <c r="EB20" s="386" t="str">
        <f>IF('6.1ประกาศผลปลายภาค'!AW23="","",'6.1ประกาศผลปลายภาค'!AW23)</f>
        <v/>
      </c>
      <c r="EC20" s="382" t="str">
        <f>IF('2.ชื่อนักเรียน'!R25="มส","มส",IF('2.ชื่อนักเรียน'!R25="ย้าย","ย้าย",IF('2.ชื่อนักเรียน'!R25="ร","ร",IF(EB20="","",RANK(EB20,$EB$6:$EB$50,0)))))</f>
        <v/>
      </c>
      <c r="ED20" s="388"/>
      <c r="EE20" s="388"/>
      <c r="EF20" s="388"/>
      <c r="EG20" s="388"/>
      <c r="EH20" s="295" t="str">
        <f>IF('2.ชื่อนักเรียน'!R25="มส","ไม่ผ่าน",IF('2.ชื่อนักเรียน'!R25="ย้าย","ย้าย",IF(COUNTA(ED20:EG20)&lt;4,"",IF(AND(ED20="ผ",EE20="ผ",EF20="ผ",EG20="ผ"),"ผ่าน","ไม่ผ่าน"))))</f>
        <v/>
      </c>
      <c r="EI20" s="300"/>
      <c r="EK20" s="462" t="str">
        <f t="shared" si="74"/>
        <v/>
      </c>
      <c r="EL20" s="463" t="str">
        <f t="shared" si="75"/>
        <v/>
      </c>
      <c r="EM20" s="464" t="str">
        <f t="shared" si="76"/>
        <v/>
      </c>
      <c r="EN20" s="463" t="str">
        <f t="shared" si="77"/>
        <v/>
      </c>
      <c r="EO20" s="464" t="str">
        <f t="shared" si="78"/>
        <v/>
      </c>
      <c r="EP20" s="463" t="str">
        <f t="shared" si="79"/>
        <v/>
      </c>
      <c r="EQ20" s="464" t="str">
        <f t="shared" si="106"/>
        <v/>
      </c>
      <c r="ER20" s="463" t="str">
        <f t="shared" si="107"/>
        <v/>
      </c>
      <c r="ES20" s="464" t="str">
        <f t="shared" si="80"/>
        <v/>
      </c>
      <c r="ET20" s="463" t="str">
        <f t="shared" si="81"/>
        <v/>
      </c>
    </row>
    <row r="21" spans="1:150" s="14" customFormat="1" ht="21.6" thickTop="1" x14ac:dyDescent="0.4">
      <c r="A21" s="295">
        <v>16</v>
      </c>
      <c r="B21" s="295" t="str">
        <f>IF('2.ชื่อนักเรียน'!E26="","",CONCATENATE('2.ชื่อนักเรียน'!E26,'2.ชื่อนักเรียน'!F26,'2.ชื่อนักเรียน'!G26,'2.ชื่อนักเรียน'!H26,'2.ชื่อนักเรียน'!I26,'2.ชื่อนักเรียน'!J26,'2.ชื่อนักเรียน'!K26,'2.ชื่อนักเรียน'!L26,'2.ชื่อนักเรียน'!M26,'2.ชื่อนักเรียน'!N26,'2.ชื่อนักเรียน'!O26,'2.ชื่อนักเรียน'!P26,'2.ชื่อนักเรียน'!Q26,))</f>
        <v/>
      </c>
      <c r="C21" s="295" t="str">
        <f>IF(IDstu16="","",IDstu16)</f>
        <v/>
      </c>
      <c r="D21" s="497" t="str">
        <f>CONCATENATE(TRIM(Name16),"  ",Surname16)</f>
        <v xml:space="preserve">  </v>
      </c>
      <c r="E21" s="297" t="str">
        <f t="shared" si="0"/>
        <v/>
      </c>
      <c r="F21" s="295" t="str">
        <f t="shared" si="1"/>
        <v/>
      </c>
      <c r="G21" s="295" t="str">
        <f t="shared" si="2"/>
        <v/>
      </c>
      <c r="H21" s="296" t="str">
        <f t="shared" si="3"/>
        <v/>
      </c>
      <c r="I21" s="295" t="str">
        <f t="shared" si="4"/>
        <v/>
      </c>
      <c r="J21" s="300"/>
      <c r="K21" s="297" t="str">
        <f t="shared" si="82"/>
        <v/>
      </c>
      <c r="L21" s="295" t="str">
        <f t="shared" si="5"/>
        <v/>
      </c>
      <c r="M21" s="296" t="str">
        <f t="shared" si="6"/>
        <v/>
      </c>
      <c r="N21" s="295" t="str">
        <f t="shared" si="7"/>
        <v/>
      </c>
      <c r="O21" s="508"/>
      <c r="P21" s="297" t="str">
        <f t="shared" si="83"/>
        <v/>
      </c>
      <c r="Q21" s="295" t="str">
        <f t="shared" si="8"/>
        <v/>
      </c>
      <c r="R21" s="296" t="str">
        <f t="shared" si="9"/>
        <v/>
      </c>
      <c r="S21" s="295" t="str">
        <f t="shared" si="10"/>
        <v/>
      </c>
      <c r="T21" s="300"/>
      <c r="U21" s="297" t="str">
        <f t="shared" si="108"/>
        <v/>
      </c>
      <c r="V21" s="295" t="str">
        <f t="shared" si="11"/>
        <v/>
      </c>
      <c r="W21" s="296" t="str">
        <f t="shared" si="12"/>
        <v/>
      </c>
      <c r="X21" s="295" t="str">
        <f t="shared" si="13"/>
        <v/>
      </c>
      <c r="Y21" s="300"/>
      <c r="Z21" s="297" t="str">
        <f t="shared" si="84"/>
        <v/>
      </c>
      <c r="AA21" s="295" t="str">
        <f t="shared" si="14"/>
        <v/>
      </c>
      <c r="AB21" s="296" t="str">
        <f t="shared" si="15"/>
        <v/>
      </c>
      <c r="AC21" s="295" t="str">
        <f t="shared" si="16"/>
        <v/>
      </c>
      <c r="AD21" s="300"/>
      <c r="AE21" s="297" t="str">
        <f t="shared" si="85"/>
        <v/>
      </c>
      <c r="AF21" s="295" t="str">
        <f t="shared" si="17"/>
        <v/>
      </c>
      <c r="AG21" s="296" t="str">
        <f t="shared" si="18"/>
        <v/>
      </c>
      <c r="AH21" s="295" t="str">
        <f t="shared" si="19"/>
        <v/>
      </c>
      <c r="AI21" s="300"/>
      <c r="AJ21" s="297" t="str">
        <f t="shared" si="86"/>
        <v/>
      </c>
      <c r="AK21" s="295" t="str">
        <f t="shared" si="20"/>
        <v/>
      </c>
      <c r="AL21" s="296" t="str">
        <f t="shared" si="21"/>
        <v/>
      </c>
      <c r="AM21" s="295" t="str">
        <f t="shared" si="22"/>
        <v/>
      </c>
      <c r="AN21" s="300"/>
      <c r="AO21" s="297" t="str">
        <f t="shared" si="87"/>
        <v/>
      </c>
      <c r="AP21" s="295" t="str">
        <f t="shared" si="23"/>
        <v/>
      </c>
      <c r="AQ21" s="296" t="str">
        <f t="shared" si="24"/>
        <v/>
      </c>
      <c r="AR21" s="295" t="str">
        <f t="shared" si="25"/>
        <v/>
      </c>
      <c r="AS21" s="300"/>
      <c r="AT21" s="297" t="str">
        <f t="shared" si="88"/>
        <v/>
      </c>
      <c r="AU21" s="295" t="str">
        <f t="shared" si="26"/>
        <v/>
      </c>
      <c r="AV21" s="296" t="str">
        <f t="shared" si="27"/>
        <v/>
      </c>
      <c r="AW21" s="295" t="str">
        <f t="shared" si="28"/>
        <v/>
      </c>
      <c r="AX21" s="300"/>
      <c r="AY21" s="297" t="str">
        <f t="shared" si="89"/>
        <v/>
      </c>
      <c r="AZ21" s="295" t="str">
        <f t="shared" si="29"/>
        <v/>
      </c>
      <c r="BA21" s="296" t="str">
        <f t="shared" si="30"/>
        <v/>
      </c>
      <c r="BB21" s="295" t="str">
        <f t="shared" si="31"/>
        <v/>
      </c>
      <c r="BC21" s="300"/>
      <c r="BD21" s="297" t="str">
        <f t="shared" si="90"/>
        <v/>
      </c>
      <c r="BE21" s="295" t="str">
        <f t="shared" si="32"/>
        <v/>
      </c>
      <c r="BF21" s="296" t="str">
        <f t="shared" si="33"/>
        <v/>
      </c>
      <c r="BG21" s="295" t="str">
        <f t="shared" si="34"/>
        <v/>
      </c>
      <c r="BH21" s="300"/>
      <c r="BI21" s="297" t="str">
        <f t="shared" si="91"/>
        <v/>
      </c>
      <c r="BJ21" s="295" t="str">
        <f t="shared" si="35"/>
        <v/>
      </c>
      <c r="BK21" s="296" t="str">
        <f t="shared" si="36"/>
        <v/>
      </c>
      <c r="BL21" s="295" t="str">
        <f t="shared" si="37"/>
        <v/>
      </c>
      <c r="BM21" s="300"/>
      <c r="BN21" s="297" t="str">
        <f t="shared" si="92"/>
        <v/>
      </c>
      <c r="BO21" s="295" t="str">
        <f t="shared" si="38"/>
        <v/>
      </c>
      <c r="BP21" s="296" t="str">
        <f t="shared" si="39"/>
        <v/>
      </c>
      <c r="BQ21" s="295" t="str">
        <f t="shared" si="40"/>
        <v/>
      </c>
      <c r="BR21" s="300"/>
      <c r="BS21" s="297" t="str">
        <f t="shared" si="93"/>
        <v/>
      </c>
      <c r="BT21" s="295" t="str">
        <f t="shared" si="41"/>
        <v/>
      </c>
      <c r="BU21" s="296" t="str">
        <f t="shared" si="42"/>
        <v/>
      </c>
      <c r="BV21" s="295" t="str">
        <f t="shared" si="43"/>
        <v/>
      </c>
      <c r="BW21" s="300"/>
      <c r="BX21" s="297" t="str">
        <f t="shared" si="94"/>
        <v/>
      </c>
      <c r="BY21" s="295" t="str">
        <f t="shared" si="44"/>
        <v/>
      </c>
      <c r="BZ21" s="296" t="str">
        <f t="shared" si="45"/>
        <v/>
      </c>
      <c r="CA21" s="295" t="str">
        <f t="shared" si="46"/>
        <v/>
      </c>
      <c r="CB21" s="300"/>
      <c r="CC21" s="297" t="str">
        <f t="shared" si="95"/>
        <v/>
      </c>
      <c r="CD21" s="295" t="str">
        <f t="shared" si="47"/>
        <v/>
      </c>
      <c r="CE21" s="296" t="str">
        <f t="shared" si="48"/>
        <v/>
      </c>
      <c r="CF21" s="295" t="str">
        <f t="shared" si="49"/>
        <v/>
      </c>
      <c r="CG21" s="300"/>
      <c r="CH21" s="297" t="str">
        <f t="shared" si="96"/>
        <v/>
      </c>
      <c r="CI21" s="295" t="str">
        <f t="shared" si="50"/>
        <v/>
      </c>
      <c r="CJ21" s="296" t="str">
        <f t="shared" si="51"/>
        <v/>
      </c>
      <c r="CK21" s="295" t="str">
        <f t="shared" si="52"/>
        <v/>
      </c>
      <c r="CL21" s="300"/>
      <c r="CM21" s="297" t="str">
        <f t="shared" si="97"/>
        <v/>
      </c>
      <c r="CN21" s="295" t="str">
        <f t="shared" si="53"/>
        <v/>
      </c>
      <c r="CO21" s="296" t="str">
        <f t="shared" si="54"/>
        <v/>
      </c>
      <c r="CP21" s="295" t="str">
        <f t="shared" si="55"/>
        <v/>
      </c>
      <c r="CQ21" s="300"/>
      <c r="CR21" s="297" t="str">
        <f t="shared" si="98"/>
        <v/>
      </c>
      <c r="CS21" s="295" t="str">
        <f t="shared" si="56"/>
        <v/>
      </c>
      <c r="CT21" s="296" t="str">
        <f t="shared" si="57"/>
        <v/>
      </c>
      <c r="CU21" s="295" t="str">
        <f t="shared" si="58"/>
        <v/>
      </c>
      <c r="CV21" s="300"/>
      <c r="CW21" s="297" t="str">
        <f t="shared" si="99"/>
        <v/>
      </c>
      <c r="CX21" s="295" t="str">
        <f t="shared" si="59"/>
        <v/>
      </c>
      <c r="CY21" s="296" t="str">
        <f t="shared" si="60"/>
        <v/>
      </c>
      <c r="CZ21" s="295" t="str">
        <f t="shared" si="61"/>
        <v/>
      </c>
      <c r="DA21" s="300"/>
      <c r="DB21" s="297" t="str">
        <f t="shared" si="100"/>
        <v/>
      </c>
      <c r="DC21" s="295" t="str">
        <f t="shared" si="62"/>
        <v/>
      </c>
      <c r="DD21" s="296" t="str">
        <f t="shared" si="63"/>
        <v/>
      </c>
      <c r="DE21" s="295" t="str">
        <f t="shared" si="64"/>
        <v/>
      </c>
      <c r="DF21" s="300"/>
      <c r="DG21" s="297" t="str">
        <f t="shared" si="101"/>
        <v/>
      </c>
      <c r="DH21" s="295" t="str">
        <f t="shared" si="65"/>
        <v/>
      </c>
      <c r="DI21" s="296" t="str">
        <f t="shared" si="66"/>
        <v/>
      </c>
      <c r="DJ21" s="295" t="str">
        <f t="shared" si="67"/>
        <v/>
      </c>
      <c r="DK21" s="300"/>
      <c r="DL21" s="297" t="str">
        <f t="shared" si="102"/>
        <v/>
      </c>
      <c r="DM21" s="295" t="str">
        <f t="shared" si="68"/>
        <v/>
      </c>
      <c r="DN21" s="296" t="str">
        <f t="shared" si="69"/>
        <v/>
      </c>
      <c r="DO21" s="295" t="str">
        <f t="shared" si="70"/>
        <v/>
      </c>
      <c r="DP21" s="300"/>
      <c r="DQ21" s="297" t="str">
        <f t="shared" si="103"/>
        <v/>
      </c>
      <c r="DR21" s="295" t="str">
        <f t="shared" si="71"/>
        <v/>
      </c>
      <c r="DS21" s="296" t="str">
        <f t="shared" si="72"/>
        <v/>
      </c>
      <c r="DT21" s="295" t="str">
        <f t="shared" si="73"/>
        <v/>
      </c>
      <c r="DU21" s="300"/>
      <c r="DV21" s="297" t="str">
        <f t="shared" si="104"/>
        <v/>
      </c>
      <c r="DW21" s="295" t="str">
        <f>IF('1.ข้อมูลเบื้องต้น'!$B$32="","",IF($B21="","",'1.ข้อมูลเบื้องต้น'!$B$32))</f>
        <v/>
      </c>
      <c r="DX21" s="296" t="str">
        <f>IF('1.ข้อมูลเบื้องต้น'!$C$32="","",IF($B21="","",'1.ข้อมูลเบื้องต้น'!$C$32))</f>
        <v/>
      </c>
      <c r="DY21" s="295" t="str">
        <f>IF('1.ข้อมูลเบื้องต้น'!$D$32="","",IF($B21="","",'1.ข้อมูลเบื้องต้น'!$D$32))</f>
        <v/>
      </c>
      <c r="DZ21" s="300"/>
      <c r="EA21" s="297" t="str">
        <f t="shared" si="105"/>
        <v/>
      </c>
      <c r="EB21" s="386" t="str">
        <f>IF('6.1ประกาศผลปลายภาค'!AW24="","",'6.1ประกาศผลปลายภาค'!AW24)</f>
        <v/>
      </c>
      <c r="EC21" s="382" t="str">
        <f>IF('2.ชื่อนักเรียน'!R26="มส","มส",IF('2.ชื่อนักเรียน'!R26="ย้าย","ย้าย",IF('2.ชื่อนักเรียน'!R26="ร","ร",IF(EB21="","",RANK(EB21,$EB$6:$EB$50,0)))))</f>
        <v/>
      </c>
      <c r="ED21" s="388"/>
      <c r="EE21" s="388"/>
      <c r="EF21" s="388"/>
      <c r="EG21" s="388"/>
      <c r="EH21" s="295" t="str">
        <f>IF('2.ชื่อนักเรียน'!R26="มส","ไม่ผ่าน",IF('2.ชื่อนักเรียน'!R26="ย้าย","ย้าย",IF(COUNTA(ED21:EG21)&lt;4,"",IF(AND(ED21="ผ",EE21="ผ",EF21="ผ",EG21="ผ"),"ผ่าน","ไม่ผ่าน"))))</f>
        <v/>
      </c>
      <c r="EI21" s="300"/>
      <c r="EK21" s="465" t="str">
        <f t="shared" si="74"/>
        <v/>
      </c>
      <c r="EL21" s="466" t="str">
        <f t="shared" si="75"/>
        <v/>
      </c>
      <c r="EM21" s="467" t="str">
        <f t="shared" si="76"/>
        <v/>
      </c>
      <c r="EN21" s="466" t="str">
        <f t="shared" si="77"/>
        <v/>
      </c>
      <c r="EO21" s="467" t="str">
        <f t="shared" si="78"/>
        <v/>
      </c>
      <c r="EP21" s="466" t="str">
        <f t="shared" si="79"/>
        <v/>
      </c>
      <c r="EQ21" s="467" t="str">
        <f t="shared" si="106"/>
        <v/>
      </c>
      <c r="ER21" s="466" t="str">
        <f t="shared" si="107"/>
        <v/>
      </c>
      <c r="ES21" s="467" t="str">
        <f t="shared" si="80"/>
        <v/>
      </c>
      <c r="ET21" s="466" t="str">
        <f t="shared" si="81"/>
        <v/>
      </c>
    </row>
    <row r="22" spans="1:150" s="14" customFormat="1" ht="21" x14ac:dyDescent="0.4">
      <c r="A22" s="295">
        <v>17</v>
      </c>
      <c r="B22" s="295" t="str">
        <f>IF('2.ชื่อนักเรียน'!E27="","",CONCATENATE('2.ชื่อนักเรียน'!E27,'2.ชื่อนักเรียน'!F27,'2.ชื่อนักเรียน'!G27,'2.ชื่อนักเรียน'!H27,'2.ชื่อนักเรียน'!I27,'2.ชื่อนักเรียน'!J27,'2.ชื่อนักเรียน'!K27,'2.ชื่อนักเรียน'!L27,'2.ชื่อนักเรียน'!M27,'2.ชื่อนักเรียน'!N27,'2.ชื่อนักเรียน'!O27,'2.ชื่อนักเรียน'!P27,'2.ชื่อนักเรียน'!Q27,))</f>
        <v/>
      </c>
      <c r="C22" s="295" t="str">
        <f>IF(IDstu17="","",IDstu17)</f>
        <v/>
      </c>
      <c r="D22" s="497" t="str">
        <f>CONCATENATE(TRIM(Name17),"  ",Surname17)</f>
        <v xml:space="preserve">  </v>
      </c>
      <c r="E22" s="297" t="str">
        <f t="shared" si="0"/>
        <v/>
      </c>
      <c r="F22" s="295" t="str">
        <f t="shared" si="1"/>
        <v/>
      </c>
      <c r="G22" s="295" t="str">
        <f t="shared" si="2"/>
        <v/>
      </c>
      <c r="H22" s="296" t="str">
        <f t="shared" si="3"/>
        <v/>
      </c>
      <c r="I22" s="295" t="str">
        <f t="shared" si="4"/>
        <v/>
      </c>
      <c r="J22" s="300"/>
      <c r="K22" s="297" t="str">
        <f t="shared" si="82"/>
        <v/>
      </c>
      <c r="L22" s="295" t="str">
        <f t="shared" si="5"/>
        <v/>
      </c>
      <c r="M22" s="296" t="str">
        <f t="shared" si="6"/>
        <v/>
      </c>
      <c r="N22" s="295" t="str">
        <f t="shared" si="7"/>
        <v/>
      </c>
      <c r="O22" s="508"/>
      <c r="P22" s="297" t="str">
        <f t="shared" si="83"/>
        <v/>
      </c>
      <c r="Q22" s="295" t="str">
        <f t="shared" si="8"/>
        <v/>
      </c>
      <c r="R22" s="296" t="str">
        <f t="shared" si="9"/>
        <v/>
      </c>
      <c r="S22" s="295" t="str">
        <f t="shared" si="10"/>
        <v/>
      </c>
      <c r="T22" s="300"/>
      <c r="U22" s="297" t="str">
        <f t="shared" si="108"/>
        <v/>
      </c>
      <c r="V22" s="295" t="str">
        <f t="shared" si="11"/>
        <v/>
      </c>
      <c r="W22" s="296" t="str">
        <f t="shared" si="12"/>
        <v/>
      </c>
      <c r="X22" s="295" t="str">
        <f t="shared" si="13"/>
        <v/>
      </c>
      <c r="Y22" s="300"/>
      <c r="Z22" s="297" t="str">
        <f t="shared" si="84"/>
        <v/>
      </c>
      <c r="AA22" s="295" t="str">
        <f t="shared" si="14"/>
        <v/>
      </c>
      <c r="AB22" s="296" t="str">
        <f t="shared" si="15"/>
        <v/>
      </c>
      <c r="AC22" s="295" t="str">
        <f t="shared" si="16"/>
        <v/>
      </c>
      <c r="AD22" s="300"/>
      <c r="AE22" s="297" t="str">
        <f t="shared" si="85"/>
        <v/>
      </c>
      <c r="AF22" s="295" t="str">
        <f t="shared" si="17"/>
        <v/>
      </c>
      <c r="AG22" s="296" t="str">
        <f t="shared" si="18"/>
        <v/>
      </c>
      <c r="AH22" s="295" t="str">
        <f t="shared" si="19"/>
        <v/>
      </c>
      <c r="AI22" s="300"/>
      <c r="AJ22" s="297" t="str">
        <f t="shared" si="86"/>
        <v/>
      </c>
      <c r="AK22" s="295" t="str">
        <f t="shared" si="20"/>
        <v/>
      </c>
      <c r="AL22" s="296" t="str">
        <f t="shared" si="21"/>
        <v/>
      </c>
      <c r="AM22" s="295" t="str">
        <f t="shared" si="22"/>
        <v/>
      </c>
      <c r="AN22" s="300"/>
      <c r="AO22" s="297" t="str">
        <f t="shared" si="87"/>
        <v/>
      </c>
      <c r="AP22" s="295" t="str">
        <f t="shared" si="23"/>
        <v/>
      </c>
      <c r="AQ22" s="296" t="str">
        <f t="shared" si="24"/>
        <v/>
      </c>
      <c r="AR22" s="295" t="str">
        <f t="shared" si="25"/>
        <v/>
      </c>
      <c r="AS22" s="300"/>
      <c r="AT22" s="297" t="str">
        <f t="shared" si="88"/>
        <v/>
      </c>
      <c r="AU22" s="295" t="str">
        <f t="shared" si="26"/>
        <v/>
      </c>
      <c r="AV22" s="296" t="str">
        <f t="shared" si="27"/>
        <v/>
      </c>
      <c r="AW22" s="295" t="str">
        <f t="shared" si="28"/>
        <v/>
      </c>
      <c r="AX22" s="300"/>
      <c r="AY22" s="297" t="str">
        <f t="shared" si="89"/>
        <v/>
      </c>
      <c r="AZ22" s="295" t="str">
        <f t="shared" si="29"/>
        <v/>
      </c>
      <c r="BA22" s="296" t="str">
        <f t="shared" si="30"/>
        <v/>
      </c>
      <c r="BB22" s="295" t="str">
        <f t="shared" si="31"/>
        <v/>
      </c>
      <c r="BC22" s="300"/>
      <c r="BD22" s="297" t="str">
        <f t="shared" si="90"/>
        <v/>
      </c>
      <c r="BE22" s="295" t="str">
        <f t="shared" si="32"/>
        <v/>
      </c>
      <c r="BF22" s="296" t="str">
        <f t="shared" si="33"/>
        <v/>
      </c>
      <c r="BG22" s="295" t="str">
        <f t="shared" si="34"/>
        <v/>
      </c>
      <c r="BH22" s="300"/>
      <c r="BI22" s="297" t="str">
        <f t="shared" si="91"/>
        <v/>
      </c>
      <c r="BJ22" s="295" t="str">
        <f t="shared" si="35"/>
        <v/>
      </c>
      <c r="BK22" s="296" t="str">
        <f t="shared" si="36"/>
        <v/>
      </c>
      <c r="BL22" s="295" t="str">
        <f t="shared" si="37"/>
        <v/>
      </c>
      <c r="BM22" s="300"/>
      <c r="BN22" s="297" t="str">
        <f t="shared" si="92"/>
        <v/>
      </c>
      <c r="BO22" s="295" t="str">
        <f t="shared" si="38"/>
        <v/>
      </c>
      <c r="BP22" s="296" t="str">
        <f t="shared" si="39"/>
        <v/>
      </c>
      <c r="BQ22" s="295" t="str">
        <f t="shared" si="40"/>
        <v/>
      </c>
      <c r="BR22" s="300"/>
      <c r="BS22" s="297" t="str">
        <f t="shared" si="93"/>
        <v/>
      </c>
      <c r="BT22" s="295" t="str">
        <f t="shared" si="41"/>
        <v/>
      </c>
      <c r="BU22" s="296" t="str">
        <f t="shared" si="42"/>
        <v/>
      </c>
      <c r="BV22" s="295" t="str">
        <f t="shared" si="43"/>
        <v/>
      </c>
      <c r="BW22" s="300"/>
      <c r="BX22" s="297" t="str">
        <f t="shared" si="94"/>
        <v/>
      </c>
      <c r="BY22" s="295" t="str">
        <f t="shared" si="44"/>
        <v/>
      </c>
      <c r="BZ22" s="296" t="str">
        <f t="shared" si="45"/>
        <v/>
      </c>
      <c r="CA22" s="295" t="str">
        <f t="shared" si="46"/>
        <v/>
      </c>
      <c r="CB22" s="300"/>
      <c r="CC22" s="297" t="str">
        <f t="shared" si="95"/>
        <v/>
      </c>
      <c r="CD22" s="295" t="str">
        <f t="shared" si="47"/>
        <v/>
      </c>
      <c r="CE22" s="296" t="str">
        <f t="shared" si="48"/>
        <v/>
      </c>
      <c r="CF22" s="295" t="str">
        <f t="shared" si="49"/>
        <v/>
      </c>
      <c r="CG22" s="300"/>
      <c r="CH22" s="297" t="str">
        <f t="shared" si="96"/>
        <v/>
      </c>
      <c r="CI22" s="295" t="str">
        <f t="shared" si="50"/>
        <v/>
      </c>
      <c r="CJ22" s="296" t="str">
        <f t="shared" si="51"/>
        <v/>
      </c>
      <c r="CK22" s="295" t="str">
        <f t="shared" si="52"/>
        <v/>
      </c>
      <c r="CL22" s="300"/>
      <c r="CM22" s="297" t="str">
        <f t="shared" si="97"/>
        <v/>
      </c>
      <c r="CN22" s="295" t="str">
        <f t="shared" si="53"/>
        <v/>
      </c>
      <c r="CO22" s="296" t="str">
        <f t="shared" si="54"/>
        <v/>
      </c>
      <c r="CP22" s="295" t="str">
        <f t="shared" si="55"/>
        <v/>
      </c>
      <c r="CQ22" s="300"/>
      <c r="CR22" s="297" t="str">
        <f t="shared" si="98"/>
        <v/>
      </c>
      <c r="CS22" s="295" t="str">
        <f t="shared" si="56"/>
        <v/>
      </c>
      <c r="CT22" s="296" t="str">
        <f t="shared" si="57"/>
        <v/>
      </c>
      <c r="CU22" s="295" t="str">
        <f t="shared" si="58"/>
        <v/>
      </c>
      <c r="CV22" s="300"/>
      <c r="CW22" s="297" t="str">
        <f t="shared" si="99"/>
        <v/>
      </c>
      <c r="CX22" s="295" t="str">
        <f t="shared" si="59"/>
        <v/>
      </c>
      <c r="CY22" s="296" t="str">
        <f t="shared" si="60"/>
        <v/>
      </c>
      <c r="CZ22" s="295" t="str">
        <f t="shared" si="61"/>
        <v/>
      </c>
      <c r="DA22" s="300"/>
      <c r="DB22" s="297" t="str">
        <f t="shared" si="100"/>
        <v/>
      </c>
      <c r="DC22" s="295" t="str">
        <f t="shared" si="62"/>
        <v/>
      </c>
      <c r="DD22" s="296" t="str">
        <f t="shared" si="63"/>
        <v/>
      </c>
      <c r="DE22" s="295" t="str">
        <f t="shared" si="64"/>
        <v/>
      </c>
      <c r="DF22" s="300"/>
      <c r="DG22" s="297" t="str">
        <f t="shared" si="101"/>
        <v/>
      </c>
      <c r="DH22" s="295" t="str">
        <f t="shared" si="65"/>
        <v/>
      </c>
      <c r="DI22" s="296" t="str">
        <f t="shared" si="66"/>
        <v/>
      </c>
      <c r="DJ22" s="295" t="str">
        <f t="shared" si="67"/>
        <v/>
      </c>
      <c r="DK22" s="300"/>
      <c r="DL22" s="297" t="str">
        <f t="shared" si="102"/>
        <v/>
      </c>
      <c r="DM22" s="295" t="str">
        <f t="shared" si="68"/>
        <v/>
      </c>
      <c r="DN22" s="296" t="str">
        <f t="shared" si="69"/>
        <v/>
      </c>
      <c r="DO22" s="295" t="str">
        <f t="shared" si="70"/>
        <v/>
      </c>
      <c r="DP22" s="300"/>
      <c r="DQ22" s="297" t="str">
        <f t="shared" si="103"/>
        <v/>
      </c>
      <c r="DR22" s="295" t="str">
        <f t="shared" si="71"/>
        <v/>
      </c>
      <c r="DS22" s="296" t="str">
        <f t="shared" si="72"/>
        <v/>
      </c>
      <c r="DT22" s="295" t="str">
        <f t="shared" si="73"/>
        <v/>
      </c>
      <c r="DU22" s="300"/>
      <c r="DV22" s="297" t="str">
        <f t="shared" si="104"/>
        <v/>
      </c>
      <c r="DW22" s="295" t="str">
        <f>IF('1.ข้อมูลเบื้องต้น'!$B$32="","",IF($B22="","",'1.ข้อมูลเบื้องต้น'!$B$32))</f>
        <v/>
      </c>
      <c r="DX22" s="296" t="str">
        <f>IF('1.ข้อมูลเบื้องต้น'!$C$32="","",IF($B22="","",'1.ข้อมูลเบื้องต้น'!$C$32))</f>
        <v/>
      </c>
      <c r="DY22" s="295" t="str">
        <f>IF('1.ข้อมูลเบื้องต้น'!$D$32="","",IF($B22="","",'1.ข้อมูลเบื้องต้น'!$D$32))</f>
        <v/>
      </c>
      <c r="DZ22" s="300"/>
      <c r="EA22" s="297" t="str">
        <f t="shared" si="105"/>
        <v/>
      </c>
      <c r="EB22" s="386" t="str">
        <f>IF('6.1ประกาศผลปลายภาค'!AW25="","",'6.1ประกาศผลปลายภาค'!AW25)</f>
        <v/>
      </c>
      <c r="EC22" s="382" t="str">
        <f>IF('2.ชื่อนักเรียน'!R27="มส","มส",IF('2.ชื่อนักเรียน'!R27="ย้าย","ย้าย",IF('2.ชื่อนักเรียน'!R27="ร","ร",IF(EB22="","",RANK(EB22,$EB$6:$EB$50,0)))))</f>
        <v/>
      </c>
      <c r="ED22" s="388"/>
      <c r="EE22" s="388"/>
      <c r="EF22" s="388"/>
      <c r="EG22" s="388"/>
      <c r="EH22" s="295" t="str">
        <f>IF('2.ชื่อนักเรียน'!R27="มส","ไม่ผ่าน",IF('2.ชื่อนักเรียน'!R27="ย้าย","ย้าย",IF(COUNTA(ED22:EG22)&lt;4,"",IF(AND(ED22="ผ",EE22="ผ",EF22="ผ",EG22="ผ"),"ผ่าน","ไม่ผ่าน"))))</f>
        <v/>
      </c>
      <c r="EI22" s="300"/>
      <c r="EK22" s="459" t="str">
        <f t="shared" si="74"/>
        <v/>
      </c>
      <c r="EL22" s="460" t="str">
        <f t="shared" si="75"/>
        <v/>
      </c>
      <c r="EM22" s="461" t="str">
        <f t="shared" si="76"/>
        <v/>
      </c>
      <c r="EN22" s="460" t="str">
        <f t="shared" si="77"/>
        <v/>
      </c>
      <c r="EO22" s="461" t="str">
        <f t="shared" si="78"/>
        <v/>
      </c>
      <c r="EP22" s="460" t="str">
        <f t="shared" si="79"/>
        <v/>
      </c>
      <c r="EQ22" s="461" t="str">
        <f t="shared" si="106"/>
        <v/>
      </c>
      <c r="ER22" s="460" t="str">
        <f t="shared" si="107"/>
        <v/>
      </c>
      <c r="ES22" s="461" t="str">
        <f t="shared" si="80"/>
        <v/>
      </c>
      <c r="ET22" s="460" t="str">
        <f t="shared" si="81"/>
        <v/>
      </c>
    </row>
    <row r="23" spans="1:150" s="14" customFormat="1" ht="21" x14ac:dyDescent="0.4">
      <c r="A23" s="295">
        <v>18</v>
      </c>
      <c r="B23" s="295" t="str">
        <f>IF('2.ชื่อนักเรียน'!E28="","",CONCATENATE('2.ชื่อนักเรียน'!E28,'2.ชื่อนักเรียน'!F28,'2.ชื่อนักเรียน'!G28,'2.ชื่อนักเรียน'!H28,'2.ชื่อนักเรียน'!I28,'2.ชื่อนักเรียน'!J28,'2.ชื่อนักเรียน'!K28,'2.ชื่อนักเรียน'!L28,'2.ชื่อนักเรียน'!M28,'2.ชื่อนักเรียน'!N28,'2.ชื่อนักเรียน'!O28,'2.ชื่อนักเรียน'!P28,'2.ชื่อนักเรียน'!Q28,))</f>
        <v/>
      </c>
      <c r="C23" s="295" t="str">
        <f>IF(IDstu18="","",IDstu18)</f>
        <v/>
      </c>
      <c r="D23" s="497" t="str">
        <f>CONCATENATE(TRIM(Name18),"  ",Surname18)</f>
        <v xml:space="preserve">  </v>
      </c>
      <c r="E23" s="297" t="str">
        <f t="shared" si="0"/>
        <v/>
      </c>
      <c r="F23" s="295" t="str">
        <f t="shared" si="1"/>
        <v/>
      </c>
      <c r="G23" s="295" t="str">
        <f t="shared" si="2"/>
        <v/>
      </c>
      <c r="H23" s="296" t="str">
        <f t="shared" si="3"/>
        <v/>
      </c>
      <c r="I23" s="295" t="str">
        <f t="shared" si="4"/>
        <v/>
      </c>
      <c r="J23" s="300"/>
      <c r="K23" s="297" t="str">
        <f t="shared" si="82"/>
        <v/>
      </c>
      <c r="L23" s="295" t="str">
        <f t="shared" si="5"/>
        <v/>
      </c>
      <c r="M23" s="296" t="str">
        <f t="shared" si="6"/>
        <v/>
      </c>
      <c r="N23" s="295" t="str">
        <f t="shared" si="7"/>
        <v/>
      </c>
      <c r="O23" s="508"/>
      <c r="P23" s="297" t="str">
        <f t="shared" si="83"/>
        <v/>
      </c>
      <c r="Q23" s="295" t="str">
        <f t="shared" si="8"/>
        <v/>
      </c>
      <c r="R23" s="296" t="str">
        <f t="shared" si="9"/>
        <v/>
      </c>
      <c r="S23" s="295" t="str">
        <f t="shared" si="10"/>
        <v/>
      </c>
      <c r="T23" s="300"/>
      <c r="U23" s="297" t="str">
        <f t="shared" si="108"/>
        <v/>
      </c>
      <c r="V23" s="295" t="str">
        <f t="shared" si="11"/>
        <v/>
      </c>
      <c r="W23" s="296" t="str">
        <f t="shared" si="12"/>
        <v/>
      </c>
      <c r="X23" s="295" t="str">
        <f t="shared" si="13"/>
        <v/>
      </c>
      <c r="Y23" s="300"/>
      <c r="Z23" s="297" t="str">
        <f t="shared" si="84"/>
        <v/>
      </c>
      <c r="AA23" s="295" t="str">
        <f t="shared" si="14"/>
        <v/>
      </c>
      <c r="AB23" s="296" t="str">
        <f t="shared" si="15"/>
        <v/>
      </c>
      <c r="AC23" s="295" t="str">
        <f t="shared" si="16"/>
        <v/>
      </c>
      <c r="AD23" s="300"/>
      <c r="AE23" s="297" t="str">
        <f t="shared" si="85"/>
        <v/>
      </c>
      <c r="AF23" s="295" t="str">
        <f t="shared" si="17"/>
        <v/>
      </c>
      <c r="AG23" s="296" t="str">
        <f t="shared" si="18"/>
        <v/>
      </c>
      <c r="AH23" s="295" t="str">
        <f t="shared" si="19"/>
        <v/>
      </c>
      <c r="AI23" s="300"/>
      <c r="AJ23" s="297" t="str">
        <f t="shared" si="86"/>
        <v/>
      </c>
      <c r="AK23" s="295" t="str">
        <f t="shared" si="20"/>
        <v/>
      </c>
      <c r="AL23" s="296" t="str">
        <f t="shared" si="21"/>
        <v/>
      </c>
      <c r="AM23" s="295" t="str">
        <f t="shared" si="22"/>
        <v/>
      </c>
      <c r="AN23" s="300"/>
      <c r="AO23" s="297" t="str">
        <f t="shared" si="87"/>
        <v/>
      </c>
      <c r="AP23" s="295" t="str">
        <f t="shared" si="23"/>
        <v/>
      </c>
      <c r="AQ23" s="296" t="str">
        <f t="shared" si="24"/>
        <v/>
      </c>
      <c r="AR23" s="295" t="str">
        <f t="shared" si="25"/>
        <v/>
      </c>
      <c r="AS23" s="300"/>
      <c r="AT23" s="297" t="str">
        <f t="shared" si="88"/>
        <v/>
      </c>
      <c r="AU23" s="295" t="str">
        <f t="shared" si="26"/>
        <v/>
      </c>
      <c r="AV23" s="296" t="str">
        <f t="shared" si="27"/>
        <v/>
      </c>
      <c r="AW23" s="295" t="str">
        <f t="shared" si="28"/>
        <v/>
      </c>
      <c r="AX23" s="300"/>
      <c r="AY23" s="297" t="str">
        <f t="shared" si="89"/>
        <v/>
      </c>
      <c r="AZ23" s="295" t="str">
        <f t="shared" si="29"/>
        <v/>
      </c>
      <c r="BA23" s="296" t="str">
        <f t="shared" si="30"/>
        <v/>
      </c>
      <c r="BB23" s="295" t="str">
        <f t="shared" si="31"/>
        <v/>
      </c>
      <c r="BC23" s="300"/>
      <c r="BD23" s="297" t="str">
        <f t="shared" si="90"/>
        <v/>
      </c>
      <c r="BE23" s="295" t="str">
        <f t="shared" si="32"/>
        <v/>
      </c>
      <c r="BF23" s="296" t="str">
        <f t="shared" si="33"/>
        <v/>
      </c>
      <c r="BG23" s="295" t="str">
        <f t="shared" si="34"/>
        <v/>
      </c>
      <c r="BH23" s="300"/>
      <c r="BI23" s="297" t="str">
        <f t="shared" si="91"/>
        <v/>
      </c>
      <c r="BJ23" s="295" t="str">
        <f t="shared" si="35"/>
        <v/>
      </c>
      <c r="BK23" s="296" t="str">
        <f t="shared" si="36"/>
        <v/>
      </c>
      <c r="BL23" s="295" t="str">
        <f t="shared" si="37"/>
        <v/>
      </c>
      <c r="BM23" s="300"/>
      <c r="BN23" s="297" t="str">
        <f t="shared" si="92"/>
        <v/>
      </c>
      <c r="BO23" s="295" t="str">
        <f t="shared" si="38"/>
        <v/>
      </c>
      <c r="BP23" s="296" t="str">
        <f t="shared" si="39"/>
        <v/>
      </c>
      <c r="BQ23" s="295" t="str">
        <f t="shared" si="40"/>
        <v/>
      </c>
      <c r="BR23" s="300"/>
      <c r="BS23" s="297" t="str">
        <f t="shared" si="93"/>
        <v/>
      </c>
      <c r="BT23" s="295" t="str">
        <f t="shared" si="41"/>
        <v/>
      </c>
      <c r="BU23" s="296" t="str">
        <f t="shared" si="42"/>
        <v/>
      </c>
      <c r="BV23" s="295" t="str">
        <f t="shared" si="43"/>
        <v/>
      </c>
      <c r="BW23" s="300"/>
      <c r="BX23" s="297" t="str">
        <f t="shared" si="94"/>
        <v/>
      </c>
      <c r="BY23" s="295" t="str">
        <f t="shared" si="44"/>
        <v/>
      </c>
      <c r="BZ23" s="296" t="str">
        <f t="shared" si="45"/>
        <v/>
      </c>
      <c r="CA23" s="295" t="str">
        <f t="shared" si="46"/>
        <v/>
      </c>
      <c r="CB23" s="300"/>
      <c r="CC23" s="297" t="str">
        <f t="shared" si="95"/>
        <v/>
      </c>
      <c r="CD23" s="295" t="str">
        <f t="shared" si="47"/>
        <v/>
      </c>
      <c r="CE23" s="296" t="str">
        <f t="shared" si="48"/>
        <v/>
      </c>
      <c r="CF23" s="295" t="str">
        <f t="shared" si="49"/>
        <v/>
      </c>
      <c r="CG23" s="300"/>
      <c r="CH23" s="297" t="str">
        <f t="shared" si="96"/>
        <v/>
      </c>
      <c r="CI23" s="295" t="str">
        <f t="shared" si="50"/>
        <v/>
      </c>
      <c r="CJ23" s="296" t="str">
        <f t="shared" si="51"/>
        <v/>
      </c>
      <c r="CK23" s="295" t="str">
        <f t="shared" si="52"/>
        <v/>
      </c>
      <c r="CL23" s="300"/>
      <c r="CM23" s="297" t="str">
        <f t="shared" si="97"/>
        <v/>
      </c>
      <c r="CN23" s="295" t="str">
        <f t="shared" si="53"/>
        <v/>
      </c>
      <c r="CO23" s="296" t="str">
        <f t="shared" si="54"/>
        <v/>
      </c>
      <c r="CP23" s="295" t="str">
        <f t="shared" si="55"/>
        <v/>
      </c>
      <c r="CQ23" s="300"/>
      <c r="CR23" s="297" t="str">
        <f t="shared" si="98"/>
        <v/>
      </c>
      <c r="CS23" s="295" t="str">
        <f t="shared" si="56"/>
        <v/>
      </c>
      <c r="CT23" s="296" t="str">
        <f t="shared" si="57"/>
        <v/>
      </c>
      <c r="CU23" s="295" t="str">
        <f t="shared" si="58"/>
        <v/>
      </c>
      <c r="CV23" s="300"/>
      <c r="CW23" s="297" t="str">
        <f t="shared" si="99"/>
        <v/>
      </c>
      <c r="CX23" s="295" t="str">
        <f t="shared" si="59"/>
        <v/>
      </c>
      <c r="CY23" s="296" t="str">
        <f t="shared" si="60"/>
        <v/>
      </c>
      <c r="CZ23" s="295" t="str">
        <f t="shared" si="61"/>
        <v/>
      </c>
      <c r="DA23" s="300"/>
      <c r="DB23" s="297" t="str">
        <f t="shared" si="100"/>
        <v/>
      </c>
      <c r="DC23" s="295" t="str">
        <f t="shared" si="62"/>
        <v/>
      </c>
      <c r="DD23" s="296" t="str">
        <f t="shared" si="63"/>
        <v/>
      </c>
      <c r="DE23" s="295" t="str">
        <f t="shared" si="64"/>
        <v/>
      </c>
      <c r="DF23" s="300"/>
      <c r="DG23" s="297" t="str">
        <f t="shared" si="101"/>
        <v/>
      </c>
      <c r="DH23" s="295" t="str">
        <f t="shared" si="65"/>
        <v/>
      </c>
      <c r="DI23" s="296" t="str">
        <f t="shared" si="66"/>
        <v/>
      </c>
      <c r="DJ23" s="295" t="str">
        <f t="shared" si="67"/>
        <v/>
      </c>
      <c r="DK23" s="300"/>
      <c r="DL23" s="297" t="str">
        <f t="shared" si="102"/>
        <v/>
      </c>
      <c r="DM23" s="295" t="str">
        <f t="shared" si="68"/>
        <v/>
      </c>
      <c r="DN23" s="296" t="str">
        <f t="shared" si="69"/>
        <v/>
      </c>
      <c r="DO23" s="295" t="str">
        <f t="shared" si="70"/>
        <v/>
      </c>
      <c r="DP23" s="300"/>
      <c r="DQ23" s="297" t="str">
        <f t="shared" si="103"/>
        <v/>
      </c>
      <c r="DR23" s="295" t="str">
        <f t="shared" si="71"/>
        <v/>
      </c>
      <c r="DS23" s="296" t="str">
        <f t="shared" si="72"/>
        <v/>
      </c>
      <c r="DT23" s="295" t="str">
        <f t="shared" si="73"/>
        <v/>
      </c>
      <c r="DU23" s="300"/>
      <c r="DV23" s="297" t="str">
        <f t="shared" si="104"/>
        <v/>
      </c>
      <c r="DW23" s="295" t="str">
        <f>IF('1.ข้อมูลเบื้องต้น'!$B$32="","",IF($B23="","",'1.ข้อมูลเบื้องต้น'!$B$32))</f>
        <v/>
      </c>
      <c r="DX23" s="296" t="str">
        <f>IF('1.ข้อมูลเบื้องต้น'!$C$32="","",IF($B23="","",'1.ข้อมูลเบื้องต้น'!$C$32))</f>
        <v/>
      </c>
      <c r="DY23" s="295" t="str">
        <f>IF('1.ข้อมูลเบื้องต้น'!$D$32="","",IF($B23="","",'1.ข้อมูลเบื้องต้น'!$D$32))</f>
        <v/>
      </c>
      <c r="DZ23" s="300"/>
      <c r="EA23" s="297" t="str">
        <f t="shared" si="105"/>
        <v/>
      </c>
      <c r="EB23" s="386" t="str">
        <f>IF('6.1ประกาศผลปลายภาค'!AW26="","",'6.1ประกาศผลปลายภาค'!AW26)</f>
        <v/>
      </c>
      <c r="EC23" s="382" t="str">
        <f>IF('2.ชื่อนักเรียน'!R28="มส","มส",IF('2.ชื่อนักเรียน'!R28="ย้าย","ย้าย",IF('2.ชื่อนักเรียน'!R28="ร","ร",IF(EB23="","",RANK(EB23,$EB$6:$EB$50,0)))))</f>
        <v/>
      </c>
      <c r="ED23" s="388"/>
      <c r="EE23" s="388"/>
      <c r="EF23" s="388"/>
      <c r="EG23" s="388"/>
      <c r="EH23" s="295" t="str">
        <f>IF('2.ชื่อนักเรียน'!R28="มส","ไม่ผ่าน",IF('2.ชื่อนักเรียน'!R28="ย้าย","ย้าย",IF(COUNTA(ED23:EG23)&lt;4,"",IF(AND(ED23="ผ",EE23="ผ",EF23="ผ",EG23="ผ"),"ผ่าน","ไม่ผ่าน"))))</f>
        <v/>
      </c>
      <c r="EI23" s="300"/>
      <c r="EK23" s="459" t="str">
        <f t="shared" si="74"/>
        <v/>
      </c>
      <c r="EL23" s="460" t="str">
        <f t="shared" si="75"/>
        <v/>
      </c>
      <c r="EM23" s="461" t="str">
        <f t="shared" si="76"/>
        <v/>
      </c>
      <c r="EN23" s="460" t="str">
        <f t="shared" si="77"/>
        <v/>
      </c>
      <c r="EO23" s="461" t="str">
        <f t="shared" si="78"/>
        <v/>
      </c>
      <c r="EP23" s="460" t="str">
        <f t="shared" si="79"/>
        <v/>
      </c>
      <c r="EQ23" s="461" t="str">
        <f t="shared" si="106"/>
        <v/>
      </c>
      <c r="ER23" s="460" t="str">
        <f t="shared" si="107"/>
        <v/>
      </c>
      <c r="ES23" s="461" t="str">
        <f t="shared" si="80"/>
        <v/>
      </c>
      <c r="ET23" s="460" t="str">
        <f t="shared" si="81"/>
        <v/>
      </c>
    </row>
    <row r="24" spans="1:150" s="14" customFormat="1" ht="21" x14ac:dyDescent="0.4">
      <c r="A24" s="295">
        <v>19</v>
      </c>
      <c r="B24" s="295" t="str">
        <f>IF('2.ชื่อนักเรียน'!E29="","",CONCATENATE('2.ชื่อนักเรียน'!E29,'2.ชื่อนักเรียน'!F29,'2.ชื่อนักเรียน'!G29,'2.ชื่อนักเรียน'!H29,'2.ชื่อนักเรียน'!I29,'2.ชื่อนักเรียน'!J29,'2.ชื่อนักเรียน'!K29,'2.ชื่อนักเรียน'!L29,'2.ชื่อนักเรียน'!M29,'2.ชื่อนักเรียน'!N29,'2.ชื่อนักเรียน'!O29,'2.ชื่อนักเรียน'!P29,'2.ชื่อนักเรียน'!Q29,))</f>
        <v/>
      </c>
      <c r="C24" s="295" t="str">
        <f>IF(IDstu19="","",IDstu19)</f>
        <v/>
      </c>
      <c r="D24" s="497" t="str">
        <f>CONCATENATE(TRIM(Name19),"  ",Surname19)</f>
        <v xml:space="preserve">  </v>
      </c>
      <c r="E24" s="297" t="str">
        <f t="shared" si="0"/>
        <v/>
      </c>
      <c r="F24" s="295" t="str">
        <f t="shared" si="1"/>
        <v/>
      </c>
      <c r="G24" s="295" t="str">
        <f t="shared" si="2"/>
        <v/>
      </c>
      <c r="H24" s="296" t="str">
        <f t="shared" si="3"/>
        <v/>
      </c>
      <c r="I24" s="295" t="str">
        <f t="shared" si="4"/>
        <v/>
      </c>
      <c r="J24" s="300"/>
      <c r="K24" s="297" t="str">
        <f t="shared" si="82"/>
        <v/>
      </c>
      <c r="L24" s="295" t="str">
        <f t="shared" si="5"/>
        <v/>
      </c>
      <c r="M24" s="296" t="str">
        <f t="shared" si="6"/>
        <v/>
      </c>
      <c r="N24" s="295" t="str">
        <f t="shared" si="7"/>
        <v/>
      </c>
      <c r="O24" s="508"/>
      <c r="P24" s="297" t="str">
        <f t="shared" si="83"/>
        <v/>
      </c>
      <c r="Q24" s="295" t="str">
        <f t="shared" si="8"/>
        <v/>
      </c>
      <c r="R24" s="296" t="str">
        <f t="shared" si="9"/>
        <v/>
      </c>
      <c r="S24" s="295" t="str">
        <f t="shared" si="10"/>
        <v/>
      </c>
      <c r="T24" s="300"/>
      <c r="U24" s="297" t="str">
        <f t="shared" si="108"/>
        <v/>
      </c>
      <c r="V24" s="295" t="str">
        <f t="shared" si="11"/>
        <v/>
      </c>
      <c r="W24" s="296" t="str">
        <f t="shared" si="12"/>
        <v/>
      </c>
      <c r="X24" s="295" t="str">
        <f t="shared" si="13"/>
        <v/>
      </c>
      <c r="Y24" s="300"/>
      <c r="Z24" s="297" t="str">
        <f t="shared" si="84"/>
        <v/>
      </c>
      <c r="AA24" s="295" t="str">
        <f t="shared" si="14"/>
        <v/>
      </c>
      <c r="AB24" s="296" t="str">
        <f t="shared" si="15"/>
        <v/>
      </c>
      <c r="AC24" s="295" t="str">
        <f t="shared" si="16"/>
        <v/>
      </c>
      <c r="AD24" s="300"/>
      <c r="AE24" s="297" t="str">
        <f t="shared" si="85"/>
        <v/>
      </c>
      <c r="AF24" s="295" t="str">
        <f t="shared" si="17"/>
        <v/>
      </c>
      <c r="AG24" s="296" t="str">
        <f t="shared" si="18"/>
        <v/>
      </c>
      <c r="AH24" s="295" t="str">
        <f t="shared" si="19"/>
        <v/>
      </c>
      <c r="AI24" s="300"/>
      <c r="AJ24" s="297" t="str">
        <f t="shared" si="86"/>
        <v/>
      </c>
      <c r="AK24" s="295" t="str">
        <f t="shared" si="20"/>
        <v/>
      </c>
      <c r="AL24" s="296" t="str">
        <f t="shared" si="21"/>
        <v/>
      </c>
      <c r="AM24" s="295" t="str">
        <f t="shared" si="22"/>
        <v/>
      </c>
      <c r="AN24" s="300"/>
      <c r="AO24" s="297" t="str">
        <f t="shared" si="87"/>
        <v/>
      </c>
      <c r="AP24" s="295" t="str">
        <f t="shared" si="23"/>
        <v/>
      </c>
      <c r="AQ24" s="296" t="str">
        <f t="shared" si="24"/>
        <v/>
      </c>
      <c r="AR24" s="295" t="str">
        <f t="shared" si="25"/>
        <v/>
      </c>
      <c r="AS24" s="300"/>
      <c r="AT24" s="297" t="str">
        <f t="shared" si="88"/>
        <v/>
      </c>
      <c r="AU24" s="295" t="str">
        <f t="shared" si="26"/>
        <v/>
      </c>
      <c r="AV24" s="296" t="str">
        <f t="shared" si="27"/>
        <v/>
      </c>
      <c r="AW24" s="295" t="str">
        <f t="shared" si="28"/>
        <v/>
      </c>
      <c r="AX24" s="300"/>
      <c r="AY24" s="297" t="str">
        <f t="shared" si="89"/>
        <v/>
      </c>
      <c r="AZ24" s="295" t="str">
        <f t="shared" si="29"/>
        <v/>
      </c>
      <c r="BA24" s="296" t="str">
        <f t="shared" si="30"/>
        <v/>
      </c>
      <c r="BB24" s="295" t="str">
        <f t="shared" si="31"/>
        <v/>
      </c>
      <c r="BC24" s="300"/>
      <c r="BD24" s="297" t="str">
        <f t="shared" si="90"/>
        <v/>
      </c>
      <c r="BE24" s="295" t="str">
        <f t="shared" si="32"/>
        <v/>
      </c>
      <c r="BF24" s="296" t="str">
        <f t="shared" si="33"/>
        <v/>
      </c>
      <c r="BG24" s="295" t="str">
        <f t="shared" si="34"/>
        <v/>
      </c>
      <c r="BH24" s="300"/>
      <c r="BI24" s="297" t="str">
        <f t="shared" si="91"/>
        <v/>
      </c>
      <c r="BJ24" s="295" t="str">
        <f t="shared" si="35"/>
        <v/>
      </c>
      <c r="BK24" s="296" t="str">
        <f t="shared" si="36"/>
        <v/>
      </c>
      <c r="BL24" s="295" t="str">
        <f t="shared" si="37"/>
        <v/>
      </c>
      <c r="BM24" s="300"/>
      <c r="BN24" s="297" t="str">
        <f t="shared" si="92"/>
        <v/>
      </c>
      <c r="BO24" s="295" t="str">
        <f t="shared" si="38"/>
        <v/>
      </c>
      <c r="BP24" s="296" t="str">
        <f t="shared" si="39"/>
        <v/>
      </c>
      <c r="BQ24" s="295" t="str">
        <f t="shared" si="40"/>
        <v/>
      </c>
      <c r="BR24" s="300"/>
      <c r="BS24" s="297" t="str">
        <f t="shared" si="93"/>
        <v/>
      </c>
      <c r="BT24" s="295" t="str">
        <f t="shared" si="41"/>
        <v/>
      </c>
      <c r="BU24" s="296" t="str">
        <f t="shared" si="42"/>
        <v/>
      </c>
      <c r="BV24" s="295" t="str">
        <f t="shared" si="43"/>
        <v/>
      </c>
      <c r="BW24" s="300"/>
      <c r="BX24" s="297" t="str">
        <f t="shared" si="94"/>
        <v/>
      </c>
      <c r="BY24" s="295" t="str">
        <f t="shared" si="44"/>
        <v/>
      </c>
      <c r="BZ24" s="296" t="str">
        <f t="shared" si="45"/>
        <v/>
      </c>
      <c r="CA24" s="295" t="str">
        <f t="shared" si="46"/>
        <v/>
      </c>
      <c r="CB24" s="300"/>
      <c r="CC24" s="297" t="str">
        <f t="shared" si="95"/>
        <v/>
      </c>
      <c r="CD24" s="295" t="str">
        <f t="shared" si="47"/>
        <v/>
      </c>
      <c r="CE24" s="296" t="str">
        <f t="shared" si="48"/>
        <v/>
      </c>
      <c r="CF24" s="295" t="str">
        <f t="shared" si="49"/>
        <v/>
      </c>
      <c r="CG24" s="300"/>
      <c r="CH24" s="297" t="str">
        <f t="shared" si="96"/>
        <v/>
      </c>
      <c r="CI24" s="295" t="str">
        <f t="shared" si="50"/>
        <v/>
      </c>
      <c r="CJ24" s="296" t="str">
        <f t="shared" si="51"/>
        <v/>
      </c>
      <c r="CK24" s="295" t="str">
        <f t="shared" si="52"/>
        <v/>
      </c>
      <c r="CL24" s="300"/>
      <c r="CM24" s="297" t="str">
        <f t="shared" si="97"/>
        <v/>
      </c>
      <c r="CN24" s="295" t="str">
        <f t="shared" si="53"/>
        <v/>
      </c>
      <c r="CO24" s="296" t="str">
        <f t="shared" si="54"/>
        <v/>
      </c>
      <c r="CP24" s="295" t="str">
        <f t="shared" si="55"/>
        <v/>
      </c>
      <c r="CQ24" s="300"/>
      <c r="CR24" s="297" t="str">
        <f t="shared" si="98"/>
        <v/>
      </c>
      <c r="CS24" s="295" t="str">
        <f t="shared" si="56"/>
        <v/>
      </c>
      <c r="CT24" s="296" t="str">
        <f t="shared" si="57"/>
        <v/>
      </c>
      <c r="CU24" s="295" t="str">
        <f t="shared" si="58"/>
        <v/>
      </c>
      <c r="CV24" s="300"/>
      <c r="CW24" s="297" t="str">
        <f t="shared" si="99"/>
        <v/>
      </c>
      <c r="CX24" s="295" t="str">
        <f t="shared" si="59"/>
        <v/>
      </c>
      <c r="CY24" s="296" t="str">
        <f t="shared" si="60"/>
        <v/>
      </c>
      <c r="CZ24" s="295" t="str">
        <f t="shared" si="61"/>
        <v/>
      </c>
      <c r="DA24" s="300"/>
      <c r="DB24" s="297" t="str">
        <f t="shared" si="100"/>
        <v/>
      </c>
      <c r="DC24" s="295" t="str">
        <f t="shared" si="62"/>
        <v/>
      </c>
      <c r="DD24" s="296" t="str">
        <f t="shared" si="63"/>
        <v/>
      </c>
      <c r="DE24" s="295" t="str">
        <f t="shared" si="64"/>
        <v/>
      </c>
      <c r="DF24" s="300"/>
      <c r="DG24" s="297" t="str">
        <f t="shared" si="101"/>
        <v/>
      </c>
      <c r="DH24" s="295" t="str">
        <f t="shared" si="65"/>
        <v/>
      </c>
      <c r="DI24" s="296" t="str">
        <f t="shared" si="66"/>
        <v/>
      </c>
      <c r="DJ24" s="295" t="str">
        <f t="shared" si="67"/>
        <v/>
      </c>
      <c r="DK24" s="300"/>
      <c r="DL24" s="297" t="str">
        <f t="shared" si="102"/>
        <v/>
      </c>
      <c r="DM24" s="295" t="str">
        <f t="shared" si="68"/>
        <v/>
      </c>
      <c r="DN24" s="296" t="str">
        <f t="shared" si="69"/>
        <v/>
      </c>
      <c r="DO24" s="295" t="str">
        <f t="shared" si="70"/>
        <v/>
      </c>
      <c r="DP24" s="300"/>
      <c r="DQ24" s="297" t="str">
        <f t="shared" si="103"/>
        <v/>
      </c>
      <c r="DR24" s="295" t="str">
        <f t="shared" si="71"/>
        <v/>
      </c>
      <c r="DS24" s="296" t="str">
        <f t="shared" si="72"/>
        <v/>
      </c>
      <c r="DT24" s="295" t="str">
        <f t="shared" si="73"/>
        <v/>
      </c>
      <c r="DU24" s="300"/>
      <c r="DV24" s="297" t="str">
        <f t="shared" si="104"/>
        <v/>
      </c>
      <c r="DW24" s="295" t="str">
        <f>IF('1.ข้อมูลเบื้องต้น'!$B$32="","",IF($B24="","",'1.ข้อมูลเบื้องต้น'!$B$32))</f>
        <v/>
      </c>
      <c r="DX24" s="296" t="str">
        <f>IF('1.ข้อมูลเบื้องต้น'!$C$32="","",IF($B24="","",'1.ข้อมูลเบื้องต้น'!$C$32))</f>
        <v/>
      </c>
      <c r="DY24" s="295" t="str">
        <f>IF('1.ข้อมูลเบื้องต้น'!$D$32="","",IF($B24="","",'1.ข้อมูลเบื้องต้น'!$D$32))</f>
        <v/>
      </c>
      <c r="DZ24" s="300"/>
      <c r="EA24" s="297" t="str">
        <f t="shared" si="105"/>
        <v/>
      </c>
      <c r="EB24" s="386" t="str">
        <f>IF('6.1ประกาศผลปลายภาค'!AW27="","",'6.1ประกาศผลปลายภาค'!AW27)</f>
        <v/>
      </c>
      <c r="EC24" s="382" t="str">
        <f>IF('2.ชื่อนักเรียน'!R29="มส","มส",IF('2.ชื่อนักเรียน'!R29="ย้าย","ย้าย",IF('2.ชื่อนักเรียน'!R29="ร","ร",IF(EB24="","",RANK(EB24,$EB$6:$EB$50,0)))))</f>
        <v/>
      </c>
      <c r="ED24" s="388"/>
      <c r="EE24" s="388"/>
      <c r="EF24" s="388"/>
      <c r="EG24" s="388"/>
      <c r="EH24" s="295" t="str">
        <f>IF('2.ชื่อนักเรียน'!R29="มส","ไม่ผ่าน",IF('2.ชื่อนักเรียน'!R29="ย้าย","ย้าย",IF(COUNTA(ED24:EG24)&lt;4,"",IF(AND(ED24="ผ",EE24="ผ",EF24="ผ",EG24="ผ"),"ผ่าน","ไม่ผ่าน"))))</f>
        <v/>
      </c>
      <c r="EI24" s="300"/>
      <c r="EK24" s="459" t="str">
        <f t="shared" si="74"/>
        <v/>
      </c>
      <c r="EL24" s="460" t="str">
        <f t="shared" si="75"/>
        <v/>
      </c>
      <c r="EM24" s="461" t="str">
        <f t="shared" si="76"/>
        <v/>
      </c>
      <c r="EN24" s="460" t="str">
        <f t="shared" si="77"/>
        <v/>
      </c>
      <c r="EO24" s="461" t="str">
        <f t="shared" si="78"/>
        <v/>
      </c>
      <c r="EP24" s="460" t="str">
        <f t="shared" si="79"/>
        <v/>
      </c>
      <c r="EQ24" s="461" t="str">
        <f t="shared" si="106"/>
        <v/>
      </c>
      <c r="ER24" s="460" t="str">
        <f t="shared" si="107"/>
        <v/>
      </c>
      <c r="ES24" s="461" t="str">
        <f t="shared" si="80"/>
        <v/>
      </c>
      <c r="ET24" s="460" t="str">
        <f t="shared" si="81"/>
        <v/>
      </c>
    </row>
    <row r="25" spans="1:150" s="14" customFormat="1" ht="21.6" thickBot="1" x14ac:dyDescent="0.45">
      <c r="A25" s="295">
        <v>20</v>
      </c>
      <c r="B25" s="295" t="str">
        <f>IF('2.ชื่อนักเรียน'!E30="","",CONCATENATE('2.ชื่อนักเรียน'!E30,'2.ชื่อนักเรียน'!F30,'2.ชื่อนักเรียน'!G30,'2.ชื่อนักเรียน'!H30,'2.ชื่อนักเรียน'!I30,'2.ชื่อนักเรียน'!J30,'2.ชื่อนักเรียน'!K30,'2.ชื่อนักเรียน'!L30,'2.ชื่อนักเรียน'!M30,'2.ชื่อนักเรียน'!N30,'2.ชื่อนักเรียน'!O30,'2.ชื่อนักเรียน'!P30,'2.ชื่อนักเรียน'!Q30,))</f>
        <v/>
      </c>
      <c r="C25" s="295" t="str">
        <f>IF(IDstu20="","",IDstu20)</f>
        <v/>
      </c>
      <c r="D25" s="497" t="str">
        <f>CONCATENATE(TRIM(Name20),"  ",Surname20)</f>
        <v xml:space="preserve">  </v>
      </c>
      <c r="E25" s="297" t="str">
        <f t="shared" si="0"/>
        <v/>
      </c>
      <c r="F25" s="295" t="str">
        <f t="shared" si="1"/>
        <v/>
      </c>
      <c r="G25" s="295" t="str">
        <f t="shared" si="2"/>
        <v/>
      </c>
      <c r="H25" s="296" t="str">
        <f t="shared" si="3"/>
        <v/>
      </c>
      <c r="I25" s="295" t="str">
        <f t="shared" si="4"/>
        <v/>
      </c>
      <c r="J25" s="300"/>
      <c r="K25" s="297" t="str">
        <f t="shared" si="82"/>
        <v/>
      </c>
      <c r="L25" s="295" t="str">
        <f t="shared" si="5"/>
        <v/>
      </c>
      <c r="M25" s="296" t="str">
        <f t="shared" si="6"/>
        <v/>
      </c>
      <c r="N25" s="295" t="str">
        <f t="shared" si="7"/>
        <v/>
      </c>
      <c r="O25" s="508"/>
      <c r="P25" s="297" t="str">
        <f t="shared" si="83"/>
        <v/>
      </c>
      <c r="Q25" s="295" t="str">
        <f t="shared" si="8"/>
        <v/>
      </c>
      <c r="R25" s="296" t="str">
        <f t="shared" si="9"/>
        <v/>
      </c>
      <c r="S25" s="295" t="str">
        <f t="shared" si="10"/>
        <v/>
      </c>
      <c r="T25" s="300"/>
      <c r="U25" s="297" t="str">
        <f t="shared" si="108"/>
        <v/>
      </c>
      <c r="V25" s="295" t="str">
        <f t="shared" si="11"/>
        <v/>
      </c>
      <c r="W25" s="296" t="str">
        <f t="shared" si="12"/>
        <v/>
      </c>
      <c r="X25" s="295" t="str">
        <f t="shared" si="13"/>
        <v/>
      </c>
      <c r="Y25" s="300"/>
      <c r="Z25" s="297" t="str">
        <f t="shared" si="84"/>
        <v/>
      </c>
      <c r="AA25" s="295" t="str">
        <f t="shared" si="14"/>
        <v/>
      </c>
      <c r="AB25" s="296" t="str">
        <f t="shared" si="15"/>
        <v/>
      </c>
      <c r="AC25" s="295" t="str">
        <f t="shared" si="16"/>
        <v/>
      </c>
      <c r="AD25" s="300"/>
      <c r="AE25" s="297" t="str">
        <f t="shared" si="85"/>
        <v/>
      </c>
      <c r="AF25" s="295" t="str">
        <f t="shared" si="17"/>
        <v/>
      </c>
      <c r="AG25" s="296" t="str">
        <f t="shared" si="18"/>
        <v/>
      </c>
      <c r="AH25" s="295" t="str">
        <f t="shared" si="19"/>
        <v/>
      </c>
      <c r="AI25" s="300"/>
      <c r="AJ25" s="297" t="str">
        <f t="shared" si="86"/>
        <v/>
      </c>
      <c r="AK25" s="295" t="str">
        <f t="shared" si="20"/>
        <v/>
      </c>
      <c r="AL25" s="296" t="str">
        <f t="shared" si="21"/>
        <v/>
      </c>
      <c r="AM25" s="295" t="str">
        <f t="shared" si="22"/>
        <v/>
      </c>
      <c r="AN25" s="300"/>
      <c r="AO25" s="297" t="str">
        <f t="shared" si="87"/>
        <v/>
      </c>
      <c r="AP25" s="295" t="str">
        <f t="shared" si="23"/>
        <v/>
      </c>
      <c r="AQ25" s="296" t="str">
        <f t="shared" si="24"/>
        <v/>
      </c>
      <c r="AR25" s="295" t="str">
        <f t="shared" si="25"/>
        <v/>
      </c>
      <c r="AS25" s="300"/>
      <c r="AT25" s="297" t="str">
        <f t="shared" si="88"/>
        <v/>
      </c>
      <c r="AU25" s="295" t="str">
        <f t="shared" si="26"/>
        <v/>
      </c>
      <c r="AV25" s="296" t="str">
        <f t="shared" si="27"/>
        <v/>
      </c>
      <c r="AW25" s="295" t="str">
        <f t="shared" si="28"/>
        <v/>
      </c>
      <c r="AX25" s="300"/>
      <c r="AY25" s="297" t="str">
        <f t="shared" si="89"/>
        <v/>
      </c>
      <c r="AZ25" s="295" t="str">
        <f t="shared" si="29"/>
        <v/>
      </c>
      <c r="BA25" s="296" t="str">
        <f t="shared" si="30"/>
        <v/>
      </c>
      <c r="BB25" s="295" t="str">
        <f t="shared" si="31"/>
        <v/>
      </c>
      <c r="BC25" s="300"/>
      <c r="BD25" s="297" t="str">
        <f t="shared" si="90"/>
        <v/>
      </c>
      <c r="BE25" s="295" t="str">
        <f t="shared" si="32"/>
        <v/>
      </c>
      <c r="BF25" s="296" t="str">
        <f t="shared" si="33"/>
        <v/>
      </c>
      <c r="BG25" s="295" t="str">
        <f t="shared" si="34"/>
        <v/>
      </c>
      <c r="BH25" s="300"/>
      <c r="BI25" s="297" t="str">
        <f t="shared" si="91"/>
        <v/>
      </c>
      <c r="BJ25" s="295" t="str">
        <f t="shared" si="35"/>
        <v/>
      </c>
      <c r="BK25" s="296" t="str">
        <f t="shared" si="36"/>
        <v/>
      </c>
      <c r="BL25" s="295" t="str">
        <f t="shared" si="37"/>
        <v/>
      </c>
      <c r="BM25" s="300"/>
      <c r="BN25" s="297" t="str">
        <f t="shared" si="92"/>
        <v/>
      </c>
      <c r="BO25" s="295" t="str">
        <f t="shared" si="38"/>
        <v/>
      </c>
      <c r="BP25" s="296" t="str">
        <f t="shared" si="39"/>
        <v/>
      </c>
      <c r="BQ25" s="295" t="str">
        <f t="shared" si="40"/>
        <v/>
      </c>
      <c r="BR25" s="300"/>
      <c r="BS25" s="297" t="str">
        <f t="shared" si="93"/>
        <v/>
      </c>
      <c r="BT25" s="295" t="str">
        <f t="shared" si="41"/>
        <v/>
      </c>
      <c r="BU25" s="296" t="str">
        <f t="shared" si="42"/>
        <v/>
      </c>
      <c r="BV25" s="295" t="str">
        <f t="shared" si="43"/>
        <v/>
      </c>
      <c r="BW25" s="300"/>
      <c r="BX25" s="297" t="str">
        <f t="shared" si="94"/>
        <v/>
      </c>
      <c r="BY25" s="295" t="str">
        <f t="shared" si="44"/>
        <v/>
      </c>
      <c r="BZ25" s="296" t="str">
        <f t="shared" si="45"/>
        <v/>
      </c>
      <c r="CA25" s="295" t="str">
        <f t="shared" si="46"/>
        <v/>
      </c>
      <c r="CB25" s="300"/>
      <c r="CC25" s="297" t="str">
        <f t="shared" si="95"/>
        <v/>
      </c>
      <c r="CD25" s="295" t="str">
        <f t="shared" si="47"/>
        <v/>
      </c>
      <c r="CE25" s="296" t="str">
        <f t="shared" si="48"/>
        <v/>
      </c>
      <c r="CF25" s="295" t="str">
        <f t="shared" si="49"/>
        <v/>
      </c>
      <c r="CG25" s="300"/>
      <c r="CH25" s="297" t="str">
        <f t="shared" si="96"/>
        <v/>
      </c>
      <c r="CI25" s="295" t="str">
        <f t="shared" si="50"/>
        <v/>
      </c>
      <c r="CJ25" s="296" t="str">
        <f t="shared" si="51"/>
        <v/>
      </c>
      <c r="CK25" s="295" t="str">
        <f t="shared" si="52"/>
        <v/>
      </c>
      <c r="CL25" s="300"/>
      <c r="CM25" s="297" t="str">
        <f t="shared" si="97"/>
        <v/>
      </c>
      <c r="CN25" s="295" t="str">
        <f t="shared" si="53"/>
        <v/>
      </c>
      <c r="CO25" s="296" t="str">
        <f t="shared" si="54"/>
        <v/>
      </c>
      <c r="CP25" s="295" t="str">
        <f t="shared" si="55"/>
        <v/>
      </c>
      <c r="CQ25" s="300"/>
      <c r="CR25" s="297" t="str">
        <f t="shared" si="98"/>
        <v/>
      </c>
      <c r="CS25" s="295" t="str">
        <f t="shared" si="56"/>
        <v/>
      </c>
      <c r="CT25" s="296" t="str">
        <f t="shared" si="57"/>
        <v/>
      </c>
      <c r="CU25" s="295" t="str">
        <f t="shared" si="58"/>
        <v/>
      </c>
      <c r="CV25" s="300"/>
      <c r="CW25" s="297" t="str">
        <f t="shared" si="99"/>
        <v/>
      </c>
      <c r="CX25" s="295" t="str">
        <f t="shared" si="59"/>
        <v/>
      </c>
      <c r="CY25" s="296" t="str">
        <f t="shared" si="60"/>
        <v/>
      </c>
      <c r="CZ25" s="295" t="str">
        <f t="shared" si="61"/>
        <v/>
      </c>
      <c r="DA25" s="300"/>
      <c r="DB25" s="297" t="str">
        <f t="shared" si="100"/>
        <v/>
      </c>
      <c r="DC25" s="295" t="str">
        <f t="shared" si="62"/>
        <v/>
      </c>
      <c r="DD25" s="296" t="str">
        <f t="shared" si="63"/>
        <v/>
      </c>
      <c r="DE25" s="295" t="str">
        <f t="shared" si="64"/>
        <v/>
      </c>
      <c r="DF25" s="300"/>
      <c r="DG25" s="297" t="str">
        <f t="shared" si="101"/>
        <v/>
      </c>
      <c r="DH25" s="295" t="str">
        <f t="shared" si="65"/>
        <v/>
      </c>
      <c r="DI25" s="296" t="str">
        <f t="shared" si="66"/>
        <v/>
      </c>
      <c r="DJ25" s="295" t="str">
        <f t="shared" si="67"/>
        <v/>
      </c>
      <c r="DK25" s="300"/>
      <c r="DL25" s="297" t="str">
        <f t="shared" si="102"/>
        <v/>
      </c>
      <c r="DM25" s="295" t="str">
        <f t="shared" si="68"/>
        <v/>
      </c>
      <c r="DN25" s="296" t="str">
        <f t="shared" si="69"/>
        <v/>
      </c>
      <c r="DO25" s="295" t="str">
        <f t="shared" si="70"/>
        <v/>
      </c>
      <c r="DP25" s="300"/>
      <c r="DQ25" s="297" t="str">
        <f t="shared" si="103"/>
        <v/>
      </c>
      <c r="DR25" s="295" t="str">
        <f t="shared" si="71"/>
        <v/>
      </c>
      <c r="DS25" s="296" t="str">
        <f t="shared" si="72"/>
        <v/>
      </c>
      <c r="DT25" s="295" t="str">
        <f t="shared" si="73"/>
        <v/>
      </c>
      <c r="DU25" s="300"/>
      <c r="DV25" s="297" t="str">
        <f t="shared" si="104"/>
        <v/>
      </c>
      <c r="DW25" s="295" t="str">
        <f>IF('1.ข้อมูลเบื้องต้น'!$B$32="","",IF($B25="","",'1.ข้อมูลเบื้องต้น'!$B$32))</f>
        <v/>
      </c>
      <c r="DX25" s="296" t="str">
        <f>IF('1.ข้อมูลเบื้องต้น'!$C$32="","",IF($B25="","",'1.ข้อมูลเบื้องต้น'!$C$32))</f>
        <v/>
      </c>
      <c r="DY25" s="295" t="str">
        <f>IF('1.ข้อมูลเบื้องต้น'!$D$32="","",IF($B25="","",'1.ข้อมูลเบื้องต้น'!$D$32))</f>
        <v/>
      </c>
      <c r="DZ25" s="300"/>
      <c r="EA25" s="297" t="str">
        <f t="shared" si="105"/>
        <v/>
      </c>
      <c r="EB25" s="386" t="str">
        <f>IF('6.1ประกาศผลปลายภาค'!AW28="","",'6.1ประกาศผลปลายภาค'!AW28)</f>
        <v/>
      </c>
      <c r="EC25" s="382" t="str">
        <f>IF('2.ชื่อนักเรียน'!R30="มส","มส",IF('2.ชื่อนักเรียน'!R30="ย้าย","ย้าย",IF('2.ชื่อนักเรียน'!R30="ร","ร",IF(EB25="","",RANK(EB25,$EB$6:$EB$50,0)))))</f>
        <v/>
      </c>
      <c r="ED25" s="388"/>
      <c r="EE25" s="388"/>
      <c r="EF25" s="388"/>
      <c r="EG25" s="388"/>
      <c r="EH25" s="295" t="str">
        <f>IF('2.ชื่อนักเรียน'!R30="มส","ไม่ผ่าน",IF('2.ชื่อนักเรียน'!R30="ย้าย","ย้าย",IF(COUNTA(ED25:EG25)&lt;4,"",IF(AND(ED25="ผ",EE25="ผ",EF25="ผ",EG25="ผ"),"ผ่าน","ไม่ผ่าน"))))</f>
        <v/>
      </c>
      <c r="EI25" s="300"/>
      <c r="EK25" s="462" t="str">
        <f t="shared" si="74"/>
        <v/>
      </c>
      <c r="EL25" s="463" t="str">
        <f t="shared" si="75"/>
        <v/>
      </c>
      <c r="EM25" s="464" t="str">
        <f t="shared" si="76"/>
        <v/>
      </c>
      <c r="EN25" s="463" t="str">
        <f t="shared" si="77"/>
        <v/>
      </c>
      <c r="EO25" s="464" t="str">
        <f t="shared" si="78"/>
        <v/>
      </c>
      <c r="EP25" s="463" t="str">
        <f t="shared" si="79"/>
        <v/>
      </c>
      <c r="EQ25" s="464" t="str">
        <f t="shared" si="106"/>
        <v/>
      </c>
      <c r="ER25" s="463" t="str">
        <f t="shared" si="107"/>
        <v/>
      </c>
      <c r="ES25" s="464" t="str">
        <f t="shared" si="80"/>
        <v/>
      </c>
      <c r="ET25" s="463" t="str">
        <f t="shared" si="81"/>
        <v/>
      </c>
    </row>
    <row r="26" spans="1:150" s="14" customFormat="1" ht="21.6" thickTop="1" x14ac:dyDescent="0.4">
      <c r="A26" s="295">
        <v>21</v>
      </c>
      <c r="B26" s="295" t="str">
        <f>IF('2.ชื่อนักเรียน'!E31="","",CONCATENATE('2.ชื่อนักเรียน'!E31,'2.ชื่อนักเรียน'!F31,'2.ชื่อนักเรียน'!G31,'2.ชื่อนักเรียน'!H31,'2.ชื่อนักเรียน'!I31,'2.ชื่อนักเรียน'!J31,'2.ชื่อนักเรียน'!K31,'2.ชื่อนักเรียน'!L31,'2.ชื่อนักเรียน'!M31,'2.ชื่อนักเรียน'!N31,'2.ชื่อนักเรียน'!O31,'2.ชื่อนักเรียน'!P31,'2.ชื่อนักเรียน'!Q31,))</f>
        <v/>
      </c>
      <c r="C26" s="295" t="str">
        <f>IF(IDstu21="","",IDstu21)</f>
        <v/>
      </c>
      <c r="D26" s="497" t="str">
        <f>CONCATENATE(TRIM(Name21),"  ",Surname21)</f>
        <v xml:space="preserve">  </v>
      </c>
      <c r="E26" s="297" t="str">
        <f t="shared" si="0"/>
        <v/>
      </c>
      <c r="F26" s="295" t="str">
        <f t="shared" si="1"/>
        <v/>
      </c>
      <c r="G26" s="295" t="str">
        <f t="shared" si="2"/>
        <v/>
      </c>
      <c r="H26" s="296" t="str">
        <f t="shared" si="3"/>
        <v/>
      </c>
      <c r="I26" s="295" t="str">
        <f t="shared" si="4"/>
        <v/>
      </c>
      <c r="J26" s="300"/>
      <c r="K26" s="297" t="str">
        <f t="shared" si="82"/>
        <v/>
      </c>
      <c r="L26" s="295" t="str">
        <f t="shared" si="5"/>
        <v/>
      </c>
      <c r="M26" s="296" t="str">
        <f t="shared" si="6"/>
        <v/>
      </c>
      <c r="N26" s="295" t="str">
        <f t="shared" si="7"/>
        <v/>
      </c>
      <c r="O26" s="508"/>
      <c r="P26" s="297" t="str">
        <f t="shared" si="83"/>
        <v/>
      </c>
      <c r="Q26" s="295" t="str">
        <f t="shared" si="8"/>
        <v/>
      </c>
      <c r="R26" s="296" t="str">
        <f t="shared" si="9"/>
        <v/>
      </c>
      <c r="S26" s="295" t="str">
        <f t="shared" si="10"/>
        <v/>
      </c>
      <c r="T26" s="300"/>
      <c r="U26" s="297" t="str">
        <f t="shared" si="108"/>
        <v/>
      </c>
      <c r="V26" s="295" t="str">
        <f t="shared" si="11"/>
        <v/>
      </c>
      <c r="W26" s="296" t="str">
        <f t="shared" si="12"/>
        <v/>
      </c>
      <c r="X26" s="295" t="str">
        <f t="shared" si="13"/>
        <v/>
      </c>
      <c r="Y26" s="300"/>
      <c r="Z26" s="297" t="str">
        <f t="shared" si="84"/>
        <v/>
      </c>
      <c r="AA26" s="295" t="str">
        <f t="shared" si="14"/>
        <v/>
      </c>
      <c r="AB26" s="296" t="str">
        <f t="shared" si="15"/>
        <v/>
      </c>
      <c r="AC26" s="295" t="str">
        <f t="shared" si="16"/>
        <v/>
      </c>
      <c r="AD26" s="300"/>
      <c r="AE26" s="297" t="str">
        <f t="shared" si="85"/>
        <v/>
      </c>
      <c r="AF26" s="295" t="str">
        <f t="shared" si="17"/>
        <v/>
      </c>
      <c r="AG26" s="296" t="str">
        <f t="shared" si="18"/>
        <v/>
      </c>
      <c r="AH26" s="295" t="str">
        <f t="shared" si="19"/>
        <v/>
      </c>
      <c r="AI26" s="300"/>
      <c r="AJ26" s="297" t="str">
        <f t="shared" si="86"/>
        <v/>
      </c>
      <c r="AK26" s="295" t="str">
        <f t="shared" si="20"/>
        <v/>
      </c>
      <c r="AL26" s="296" t="str">
        <f t="shared" si="21"/>
        <v/>
      </c>
      <c r="AM26" s="295" t="str">
        <f t="shared" si="22"/>
        <v/>
      </c>
      <c r="AN26" s="300"/>
      <c r="AO26" s="297" t="str">
        <f t="shared" si="87"/>
        <v/>
      </c>
      <c r="AP26" s="295" t="str">
        <f t="shared" si="23"/>
        <v/>
      </c>
      <c r="AQ26" s="296" t="str">
        <f t="shared" si="24"/>
        <v/>
      </c>
      <c r="AR26" s="295" t="str">
        <f t="shared" si="25"/>
        <v/>
      </c>
      <c r="AS26" s="300"/>
      <c r="AT26" s="297" t="str">
        <f t="shared" si="88"/>
        <v/>
      </c>
      <c r="AU26" s="295" t="str">
        <f t="shared" si="26"/>
        <v/>
      </c>
      <c r="AV26" s="296" t="str">
        <f t="shared" si="27"/>
        <v/>
      </c>
      <c r="AW26" s="295" t="str">
        <f t="shared" si="28"/>
        <v/>
      </c>
      <c r="AX26" s="300"/>
      <c r="AY26" s="297" t="str">
        <f t="shared" si="89"/>
        <v/>
      </c>
      <c r="AZ26" s="295" t="str">
        <f t="shared" si="29"/>
        <v/>
      </c>
      <c r="BA26" s="296" t="str">
        <f t="shared" si="30"/>
        <v/>
      </c>
      <c r="BB26" s="295" t="str">
        <f t="shared" si="31"/>
        <v/>
      </c>
      <c r="BC26" s="300"/>
      <c r="BD26" s="297" t="str">
        <f t="shared" si="90"/>
        <v/>
      </c>
      <c r="BE26" s="295" t="str">
        <f t="shared" si="32"/>
        <v/>
      </c>
      <c r="BF26" s="296" t="str">
        <f t="shared" si="33"/>
        <v/>
      </c>
      <c r="BG26" s="295" t="str">
        <f t="shared" si="34"/>
        <v/>
      </c>
      <c r="BH26" s="300"/>
      <c r="BI26" s="297" t="str">
        <f t="shared" si="91"/>
        <v/>
      </c>
      <c r="BJ26" s="295" t="str">
        <f t="shared" si="35"/>
        <v/>
      </c>
      <c r="BK26" s="296" t="str">
        <f t="shared" si="36"/>
        <v/>
      </c>
      <c r="BL26" s="295" t="str">
        <f t="shared" si="37"/>
        <v/>
      </c>
      <c r="BM26" s="300"/>
      <c r="BN26" s="297" t="str">
        <f t="shared" si="92"/>
        <v/>
      </c>
      <c r="BO26" s="295" t="str">
        <f t="shared" si="38"/>
        <v/>
      </c>
      <c r="BP26" s="296" t="str">
        <f t="shared" si="39"/>
        <v/>
      </c>
      <c r="BQ26" s="295" t="str">
        <f t="shared" si="40"/>
        <v/>
      </c>
      <c r="BR26" s="300"/>
      <c r="BS26" s="297" t="str">
        <f t="shared" si="93"/>
        <v/>
      </c>
      <c r="BT26" s="295" t="str">
        <f t="shared" si="41"/>
        <v/>
      </c>
      <c r="BU26" s="296" t="str">
        <f t="shared" si="42"/>
        <v/>
      </c>
      <c r="BV26" s="295" t="str">
        <f t="shared" si="43"/>
        <v/>
      </c>
      <c r="BW26" s="300"/>
      <c r="BX26" s="297" t="str">
        <f t="shared" si="94"/>
        <v/>
      </c>
      <c r="BY26" s="295" t="str">
        <f t="shared" si="44"/>
        <v/>
      </c>
      <c r="BZ26" s="296" t="str">
        <f t="shared" si="45"/>
        <v/>
      </c>
      <c r="CA26" s="295" t="str">
        <f t="shared" si="46"/>
        <v/>
      </c>
      <c r="CB26" s="300"/>
      <c r="CC26" s="297" t="str">
        <f t="shared" si="95"/>
        <v/>
      </c>
      <c r="CD26" s="295" t="str">
        <f t="shared" si="47"/>
        <v/>
      </c>
      <c r="CE26" s="296" t="str">
        <f t="shared" si="48"/>
        <v/>
      </c>
      <c r="CF26" s="295" t="str">
        <f t="shared" si="49"/>
        <v/>
      </c>
      <c r="CG26" s="300"/>
      <c r="CH26" s="297" t="str">
        <f t="shared" si="96"/>
        <v/>
      </c>
      <c r="CI26" s="295" t="str">
        <f t="shared" si="50"/>
        <v/>
      </c>
      <c r="CJ26" s="296" t="str">
        <f t="shared" si="51"/>
        <v/>
      </c>
      <c r="CK26" s="295" t="str">
        <f t="shared" si="52"/>
        <v/>
      </c>
      <c r="CL26" s="300"/>
      <c r="CM26" s="297" t="str">
        <f t="shared" si="97"/>
        <v/>
      </c>
      <c r="CN26" s="295" t="str">
        <f t="shared" si="53"/>
        <v/>
      </c>
      <c r="CO26" s="296" t="str">
        <f t="shared" si="54"/>
        <v/>
      </c>
      <c r="CP26" s="295" t="str">
        <f t="shared" si="55"/>
        <v/>
      </c>
      <c r="CQ26" s="300"/>
      <c r="CR26" s="297" t="str">
        <f t="shared" si="98"/>
        <v/>
      </c>
      <c r="CS26" s="295" t="str">
        <f t="shared" si="56"/>
        <v/>
      </c>
      <c r="CT26" s="296" t="str">
        <f t="shared" si="57"/>
        <v/>
      </c>
      <c r="CU26" s="295" t="str">
        <f t="shared" si="58"/>
        <v/>
      </c>
      <c r="CV26" s="300"/>
      <c r="CW26" s="297" t="str">
        <f t="shared" si="99"/>
        <v/>
      </c>
      <c r="CX26" s="295" t="str">
        <f t="shared" si="59"/>
        <v/>
      </c>
      <c r="CY26" s="296" t="str">
        <f t="shared" si="60"/>
        <v/>
      </c>
      <c r="CZ26" s="295" t="str">
        <f t="shared" si="61"/>
        <v/>
      </c>
      <c r="DA26" s="300"/>
      <c r="DB26" s="297" t="str">
        <f t="shared" si="100"/>
        <v/>
      </c>
      <c r="DC26" s="295" t="str">
        <f t="shared" si="62"/>
        <v/>
      </c>
      <c r="DD26" s="296" t="str">
        <f t="shared" si="63"/>
        <v/>
      </c>
      <c r="DE26" s="295" t="str">
        <f t="shared" si="64"/>
        <v/>
      </c>
      <c r="DF26" s="300"/>
      <c r="DG26" s="297" t="str">
        <f t="shared" si="101"/>
        <v/>
      </c>
      <c r="DH26" s="295" t="str">
        <f t="shared" si="65"/>
        <v/>
      </c>
      <c r="DI26" s="296" t="str">
        <f t="shared" si="66"/>
        <v/>
      </c>
      <c r="DJ26" s="295" t="str">
        <f t="shared" si="67"/>
        <v/>
      </c>
      <c r="DK26" s="300"/>
      <c r="DL26" s="297" t="str">
        <f t="shared" si="102"/>
        <v/>
      </c>
      <c r="DM26" s="295" t="str">
        <f t="shared" si="68"/>
        <v/>
      </c>
      <c r="DN26" s="296" t="str">
        <f t="shared" si="69"/>
        <v/>
      </c>
      <c r="DO26" s="295" t="str">
        <f t="shared" si="70"/>
        <v/>
      </c>
      <c r="DP26" s="300"/>
      <c r="DQ26" s="297" t="str">
        <f t="shared" si="103"/>
        <v/>
      </c>
      <c r="DR26" s="295" t="str">
        <f t="shared" si="71"/>
        <v/>
      </c>
      <c r="DS26" s="296" t="str">
        <f t="shared" si="72"/>
        <v/>
      </c>
      <c r="DT26" s="295" t="str">
        <f t="shared" si="73"/>
        <v/>
      </c>
      <c r="DU26" s="300"/>
      <c r="DV26" s="297" t="str">
        <f t="shared" si="104"/>
        <v/>
      </c>
      <c r="DW26" s="295" t="str">
        <f>IF('1.ข้อมูลเบื้องต้น'!$B$32="","",IF($B26="","",'1.ข้อมูลเบื้องต้น'!$B$32))</f>
        <v/>
      </c>
      <c r="DX26" s="296" t="str">
        <f>IF('1.ข้อมูลเบื้องต้น'!$C$32="","",IF($B26="","",'1.ข้อมูลเบื้องต้น'!$C$32))</f>
        <v/>
      </c>
      <c r="DY26" s="295" t="str">
        <f>IF('1.ข้อมูลเบื้องต้น'!$D$32="","",IF($B26="","",'1.ข้อมูลเบื้องต้น'!$D$32))</f>
        <v/>
      </c>
      <c r="DZ26" s="300"/>
      <c r="EA26" s="297" t="str">
        <f t="shared" si="105"/>
        <v/>
      </c>
      <c r="EB26" s="386" t="str">
        <f>IF('6.1ประกาศผลปลายภาค'!AW29="","",'6.1ประกาศผลปลายภาค'!AW29)</f>
        <v/>
      </c>
      <c r="EC26" s="382" t="str">
        <f>IF('2.ชื่อนักเรียน'!R31="มส","มส",IF('2.ชื่อนักเรียน'!R31="ย้าย","ย้าย",IF('2.ชื่อนักเรียน'!R31="ร","ร",IF(EB26="","",RANK(EB26,$EB$6:$EB$50,0)))))</f>
        <v/>
      </c>
      <c r="ED26" s="388"/>
      <c r="EE26" s="388"/>
      <c r="EF26" s="388"/>
      <c r="EG26" s="388"/>
      <c r="EH26" s="295" t="str">
        <f>IF('2.ชื่อนักเรียน'!R31="มส","ไม่ผ่าน",IF('2.ชื่อนักเรียน'!R31="ย้าย","ย้าย",IF(COUNTA(ED26:EG26)&lt;4,"",IF(AND(ED26="ผ",EE26="ผ",EF26="ผ",EG26="ผ"),"ผ่าน","ไม่ผ่าน"))))</f>
        <v/>
      </c>
      <c r="EI26" s="300"/>
      <c r="EK26" s="465" t="str">
        <f t="shared" si="74"/>
        <v/>
      </c>
      <c r="EL26" s="466" t="str">
        <f t="shared" si="75"/>
        <v/>
      </c>
      <c r="EM26" s="467" t="str">
        <f t="shared" si="76"/>
        <v/>
      </c>
      <c r="EN26" s="466" t="str">
        <f t="shared" si="77"/>
        <v/>
      </c>
      <c r="EO26" s="467" t="str">
        <f t="shared" si="78"/>
        <v/>
      </c>
      <c r="EP26" s="466" t="str">
        <f t="shared" si="79"/>
        <v/>
      </c>
      <c r="EQ26" s="467" t="str">
        <f t="shared" si="106"/>
        <v/>
      </c>
      <c r="ER26" s="466" t="str">
        <f t="shared" si="107"/>
        <v/>
      </c>
      <c r="ES26" s="467" t="str">
        <f t="shared" si="80"/>
        <v/>
      </c>
      <c r="ET26" s="466" t="str">
        <f t="shared" si="81"/>
        <v/>
      </c>
    </row>
    <row r="27" spans="1:150" s="14" customFormat="1" ht="21" x14ac:dyDescent="0.4">
      <c r="A27" s="295">
        <v>22</v>
      </c>
      <c r="B27" s="295" t="str">
        <f>IF('2.ชื่อนักเรียน'!E32="","",CONCATENATE('2.ชื่อนักเรียน'!E32,'2.ชื่อนักเรียน'!F32,'2.ชื่อนักเรียน'!G32,'2.ชื่อนักเรียน'!H32,'2.ชื่อนักเรียน'!I32,'2.ชื่อนักเรียน'!J32,'2.ชื่อนักเรียน'!K32,'2.ชื่อนักเรียน'!L32,'2.ชื่อนักเรียน'!M32,'2.ชื่อนักเรียน'!N32,'2.ชื่อนักเรียน'!O32,'2.ชื่อนักเรียน'!P32,'2.ชื่อนักเรียน'!Q32,))</f>
        <v/>
      </c>
      <c r="C27" s="295" t="str">
        <f>IF(IDstu22="","",IDstu22)</f>
        <v/>
      </c>
      <c r="D27" s="497" t="str">
        <f>CONCATENATE(TRIM(Name22),"  ",Surname22)</f>
        <v xml:space="preserve">  </v>
      </c>
      <c r="E27" s="297" t="str">
        <f t="shared" si="0"/>
        <v/>
      </c>
      <c r="F27" s="295" t="str">
        <f t="shared" si="1"/>
        <v/>
      </c>
      <c r="G27" s="295" t="str">
        <f t="shared" si="2"/>
        <v/>
      </c>
      <c r="H27" s="296" t="str">
        <f t="shared" si="3"/>
        <v/>
      </c>
      <c r="I27" s="295" t="str">
        <f t="shared" si="4"/>
        <v/>
      </c>
      <c r="J27" s="300"/>
      <c r="K27" s="297" t="str">
        <f t="shared" si="82"/>
        <v/>
      </c>
      <c r="L27" s="295" t="str">
        <f t="shared" si="5"/>
        <v/>
      </c>
      <c r="M27" s="296" t="str">
        <f t="shared" si="6"/>
        <v/>
      </c>
      <c r="N27" s="295" t="str">
        <f t="shared" si="7"/>
        <v/>
      </c>
      <c r="O27" s="508"/>
      <c r="P27" s="297" t="str">
        <f t="shared" si="83"/>
        <v/>
      </c>
      <c r="Q27" s="295" t="str">
        <f t="shared" si="8"/>
        <v/>
      </c>
      <c r="R27" s="296" t="str">
        <f t="shared" si="9"/>
        <v/>
      </c>
      <c r="S27" s="295" t="str">
        <f t="shared" si="10"/>
        <v/>
      </c>
      <c r="T27" s="300"/>
      <c r="U27" s="297" t="str">
        <f t="shared" si="108"/>
        <v/>
      </c>
      <c r="V27" s="295" t="str">
        <f t="shared" si="11"/>
        <v/>
      </c>
      <c r="W27" s="296" t="str">
        <f t="shared" si="12"/>
        <v/>
      </c>
      <c r="X27" s="295" t="str">
        <f t="shared" si="13"/>
        <v/>
      </c>
      <c r="Y27" s="300"/>
      <c r="Z27" s="297" t="str">
        <f t="shared" si="84"/>
        <v/>
      </c>
      <c r="AA27" s="295" t="str">
        <f t="shared" si="14"/>
        <v/>
      </c>
      <c r="AB27" s="296" t="str">
        <f t="shared" si="15"/>
        <v/>
      </c>
      <c r="AC27" s="295" t="str">
        <f t="shared" si="16"/>
        <v/>
      </c>
      <c r="AD27" s="300"/>
      <c r="AE27" s="297" t="str">
        <f t="shared" si="85"/>
        <v/>
      </c>
      <c r="AF27" s="295" t="str">
        <f t="shared" si="17"/>
        <v/>
      </c>
      <c r="AG27" s="296" t="str">
        <f t="shared" si="18"/>
        <v/>
      </c>
      <c r="AH27" s="295" t="str">
        <f t="shared" si="19"/>
        <v/>
      </c>
      <c r="AI27" s="300"/>
      <c r="AJ27" s="297" t="str">
        <f t="shared" si="86"/>
        <v/>
      </c>
      <c r="AK27" s="295" t="str">
        <f t="shared" si="20"/>
        <v/>
      </c>
      <c r="AL27" s="296" t="str">
        <f t="shared" si="21"/>
        <v/>
      </c>
      <c r="AM27" s="295" t="str">
        <f t="shared" si="22"/>
        <v/>
      </c>
      <c r="AN27" s="300"/>
      <c r="AO27" s="297" t="str">
        <f t="shared" si="87"/>
        <v/>
      </c>
      <c r="AP27" s="295" t="str">
        <f t="shared" si="23"/>
        <v/>
      </c>
      <c r="AQ27" s="296" t="str">
        <f t="shared" si="24"/>
        <v/>
      </c>
      <c r="AR27" s="295" t="str">
        <f t="shared" si="25"/>
        <v/>
      </c>
      <c r="AS27" s="300"/>
      <c r="AT27" s="297" t="str">
        <f t="shared" si="88"/>
        <v/>
      </c>
      <c r="AU27" s="295" t="str">
        <f t="shared" si="26"/>
        <v/>
      </c>
      <c r="AV27" s="296" t="str">
        <f t="shared" si="27"/>
        <v/>
      </c>
      <c r="AW27" s="295" t="str">
        <f t="shared" si="28"/>
        <v/>
      </c>
      <c r="AX27" s="300"/>
      <c r="AY27" s="297" t="str">
        <f t="shared" si="89"/>
        <v/>
      </c>
      <c r="AZ27" s="295" t="str">
        <f t="shared" si="29"/>
        <v/>
      </c>
      <c r="BA27" s="296" t="str">
        <f t="shared" si="30"/>
        <v/>
      </c>
      <c r="BB27" s="295" t="str">
        <f t="shared" si="31"/>
        <v/>
      </c>
      <c r="BC27" s="300"/>
      <c r="BD27" s="297" t="str">
        <f t="shared" si="90"/>
        <v/>
      </c>
      <c r="BE27" s="295" t="str">
        <f t="shared" si="32"/>
        <v/>
      </c>
      <c r="BF27" s="296" t="str">
        <f t="shared" si="33"/>
        <v/>
      </c>
      <c r="BG27" s="295" t="str">
        <f t="shared" si="34"/>
        <v/>
      </c>
      <c r="BH27" s="300"/>
      <c r="BI27" s="297" t="str">
        <f t="shared" si="91"/>
        <v/>
      </c>
      <c r="BJ27" s="295" t="str">
        <f t="shared" si="35"/>
        <v/>
      </c>
      <c r="BK27" s="296" t="str">
        <f t="shared" si="36"/>
        <v/>
      </c>
      <c r="BL27" s="295" t="str">
        <f t="shared" si="37"/>
        <v/>
      </c>
      <c r="BM27" s="300"/>
      <c r="BN27" s="297" t="str">
        <f t="shared" si="92"/>
        <v/>
      </c>
      <c r="BO27" s="295" t="str">
        <f t="shared" si="38"/>
        <v/>
      </c>
      <c r="BP27" s="296" t="str">
        <f t="shared" si="39"/>
        <v/>
      </c>
      <c r="BQ27" s="295" t="str">
        <f t="shared" si="40"/>
        <v/>
      </c>
      <c r="BR27" s="300"/>
      <c r="BS27" s="297" t="str">
        <f t="shared" si="93"/>
        <v/>
      </c>
      <c r="BT27" s="295" t="str">
        <f t="shared" si="41"/>
        <v/>
      </c>
      <c r="BU27" s="296" t="str">
        <f t="shared" si="42"/>
        <v/>
      </c>
      <c r="BV27" s="295" t="str">
        <f t="shared" si="43"/>
        <v/>
      </c>
      <c r="BW27" s="300"/>
      <c r="BX27" s="297" t="str">
        <f t="shared" si="94"/>
        <v/>
      </c>
      <c r="BY27" s="295" t="str">
        <f t="shared" si="44"/>
        <v/>
      </c>
      <c r="BZ27" s="296" t="str">
        <f t="shared" si="45"/>
        <v/>
      </c>
      <c r="CA27" s="295" t="str">
        <f t="shared" si="46"/>
        <v/>
      </c>
      <c r="CB27" s="300"/>
      <c r="CC27" s="297" t="str">
        <f t="shared" si="95"/>
        <v/>
      </c>
      <c r="CD27" s="295" t="str">
        <f t="shared" si="47"/>
        <v/>
      </c>
      <c r="CE27" s="296" t="str">
        <f t="shared" si="48"/>
        <v/>
      </c>
      <c r="CF27" s="295" t="str">
        <f t="shared" si="49"/>
        <v/>
      </c>
      <c r="CG27" s="300"/>
      <c r="CH27" s="297" t="str">
        <f t="shared" si="96"/>
        <v/>
      </c>
      <c r="CI27" s="295" t="str">
        <f t="shared" si="50"/>
        <v/>
      </c>
      <c r="CJ27" s="296" t="str">
        <f t="shared" si="51"/>
        <v/>
      </c>
      <c r="CK27" s="295" t="str">
        <f t="shared" si="52"/>
        <v/>
      </c>
      <c r="CL27" s="300"/>
      <c r="CM27" s="297" t="str">
        <f t="shared" si="97"/>
        <v/>
      </c>
      <c r="CN27" s="295" t="str">
        <f t="shared" si="53"/>
        <v/>
      </c>
      <c r="CO27" s="296" t="str">
        <f t="shared" si="54"/>
        <v/>
      </c>
      <c r="CP27" s="295" t="str">
        <f t="shared" si="55"/>
        <v/>
      </c>
      <c r="CQ27" s="300"/>
      <c r="CR27" s="297" t="str">
        <f t="shared" si="98"/>
        <v/>
      </c>
      <c r="CS27" s="295" t="str">
        <f t="shared" si="56"/>
        <v/>
      </c>
      <c r="CT27" s="296" t="str">
        <f t="shared" si="57"/>
        <v/>
      </c>
      <c r="CU27" s="295" t="str">
        <f t="shared" si="58"/>
        <v/>
      </c>
      <c r="CV27" s="300"/>
      <c r="CW27" s="297" t="str">
        <f t="shared" si="99"/>
        <v/>
      </c>
      <c r="CX27" s="295" t="str">
        <f t="shared" si="59"/>
        <v/>
      </c>
      <c r="CY27" s="296" t="str">
        <f t="shared" si="60"/>
        <v/>
      </c>
      <c r="CZ27" s="295" t="str">
        <f t="shared" si="61"/>
        <v/>
      </c>
      <c r="DA27" s="300"/>
      <c r="DB27" s="297" t="str">
        <f t="shared" si="100"/>
        <v/>
      </c>
      <c r="DC27" s="295" t="str">
        <f t="shared" si="62"/>
        <v/>
      </c>
      <c r="DD27" s="296" t="str">
        <f t="shared" si="63"/>
        <v/>
      </c>
      <c r="DE27" s="295" t="str">
        <f t="shared" si="64"/>
        <v/>
      </c>
      <c r="DF27" s="300"/>
      <c r="DG27" s="297" t="str">
        <f t="shared" si="101"/>
        <v/>
      </c>
      <c r="DH27" s="295" t="str">
        <f t="shared" si="65"/>
        <v/>
      </c>
      <c r="DI27" s="296" t="str">
        <f t="shared" si="66"/>
        <v/>
      </c>
      <c r="DJ27" s="295" t="str">
        <f t="shared" si="67"/>
        <v/>
      </c>
      <c r="DK27" s="300"/>
      <c r="DL27" s="297" t="str">
        <f t="shared" si="102"/>
        <v/>
      </c>
      <c r="DM27" s="295" t="str">
        <f t="shared" si="68"/>
        <v/>
      </c>
      <c r="DN27" s="296" t="str">
        <f t="shared" si="69"/>
        <v/>
      </c>
      <c r="DO27" s="295" t="str">
        <f t="shared" si="70"/>
        <v/>
      </c>
      <c r="DP27" s="300"/>
      <c r="DQ27" s="297" t="str">
        <f t="shared" si="103"/>
        <v/>
      </c>
      <c r="DR27" s="295" t="str">
        <f t="shared" si="71"/>
        <v/>
      </c>
      <c r="DS27" s="296" t="str">
        <f t="shared" si="72"/>
        <v/>
      </c>
      <c r="DT27" s="295" t="str">
        <f t="shared" si="73"/>
        <v/>
      </c>
      <c r="DU27" s="300"/>
      <c r="DV27" s="297" t="str">
        <f t="shared" si="104"/>
        <v/>
      </c>
      <c r="DW27" s="295" t="str">
        <f>IF('1.ข้อมูลเบื้องต้น'!$B$32="","",IF($B27="","",'1.ข้อมูลเบื้องต้น'!$B$32))</f>
        <v/>
      </c>
      <c r="DX27" s="296" t="str">
        <f>IF('1.ข้อมูลเบื้องต้น'!$C$32="","",IF($B27="","",'1.ข้อมูลเบื้องต้น'!$C$32))</f>
        <v/>
      </c>
      <c r="DY27" s="295" t="str">
        <f>IF('1.ข้อมูลเบื้องต้น'!$D$32="","",IF($B27="","",'1.ข้อมูลเบื้องต้น'!$D$32))</f>
        <v/>
      </c>
      <c r="DZ27" s="300"/>
      <c r="EA27" s="297" t="str">
        <f t="shared" si="105"/>
        <v/>
      </c>
      <c r="EB27" s="386" t="str">
        <f>IF('6.1ประกาศผลปลายภาค'!AW30="","",'6.1ประกาศผลปลายภาค'!AW30)</f>
        <v/>
      </c>
      <c r="EC27" s="382" t="str">
        <f>IF('2.ชื่อนักเรียน'!R32="มส","มส",IF('2.ชื่อนักเรียน'!R32="ย้าย","ย้าย",IF('2.ชื่อนักเรียน'!R32="ร","ร",IF(EB27="","",RANK(EB27,$EB$6:$EB$50,0)))))</f>
        <v/>
      </c>
      <c r="ED27" s="388"/>
      <c r="EE27" s="388"/>
      <c r="EF27" s="388"/>
      <c r="EG27" s="388"/>
      <c r="EH27" s="295" t="str">
        <f>IF('2.ชื่อนักเรียน'!R32="มส","ไม่ผ่าน",IF('2.ชื่อนักเรียน'!R32="ย้าย","ย้าย",IF(COUNTA(ED27:EG27)&lt;4,"",IF(AND(ED27="ผ",EE27="ผ",EF27="ผ",EG27="ผ"),"ผ่าน","ไม่ผ่าน"))))</f>
        <v/>
      </c>
      <c r="EI27" s="300"/>
      <c r="EK27" s="468" t="str">
        <f t="shared" si="74"/>
        <v/>
      </c>
      <c r="EL27" s="460" t="str">
        <f t="shared" si="75"/>
        <v/>
      </c>
      <c r="EM27" s="461" t="str">
        <f t="shared" si="76"/>
        <v/>
      </c>
      <c r="EN27" s="460" t="str">
        <f t="shared" si="77"/>
        <v/>
      </c>
      <c r="EO27" s="461" t="str">
        <f t="shared" si="78"/>
        <v/>
      </c>
      <c r="EP27" s="460" t="str">
        <f t="shared" si="79"/>
        <v/>
      </c>
      <c r="EQ27" s="461" t="str">
        <f t="shared" si="106"/>
        <v/>
      </c>
      <c r="ER27" s="460" t="str">
        <f t="shared" si="107"/>
        <v/>
      </c>
      <c r="ES27" s="461" t="str">
        <f t="shared" si="80"/>
        <v/>
      </c>
      <c r="ET27" s="460" t="str">
        <f t="shared" si="81"/>
        <v/>
      </c>
    </row>
    <row r="28" spans="1:150" s="14" customFormat="1" ht="21" x14ac:dyDescent="0.4">
      <c r="A28" s="295">
        <v>23</v>
      </c>
      <c r="B28" s="295" t="str">
        <f>IF('2.ชื่อนักเรียน'!E33="","",CONCATENATE('2.ชื่อนักเรียน'!E33,'2.ชื่อนักเรียน'!F33,'2.ชื่อนักเรียน'!G33,'2.ชื่อนักเรียน'!H33,'2.ชื่อนักเรียน'!I33,'2.ชื่อนักเรียน'!J33,'2.ชื่อนักเรียน'!K33,'2.ชื่อนักเรียน'!L33,'2.ชื่อนักเรียน'!M33,'2.ชื่อนักเรียน'!N33,'2.ชื่อนักเรียน'!O33,'2.ชื่อนักเรียน'!P33,'2.ชื่อนักเรียน'!Q33,))</f>
        <v/>
      </c>
      <c r="C28" s="295" t="str">
        <f>IF(IDstu23="","",IDstu23)</f>
        <v/>
      </c>
      <c r="D28" s="497" t="str">
        <f>CONCATENATE(TRIM(Name23),"  ",Surname23)</f>
        <v xml:space="preserve">  </v>
      </c>
      <c r="E28" s="297" t="str">
        <f t="shared" si="0"/>
        <v/>
      </c>
      <c r="F28" s="295" t="str">
        <f t="shared" si="1"/>
        <v/>
      </c>
      <c r="G28" s="295" t="str">
        <f t="shared" si="2"/>
        <v/>
      </c>
      <c r="H28" s="296" t="str">
        <f t="shared" si="3"/>
        <v/>
      </c>
      <c r="I28" s="295" t="str">
        <f t="shared" si="4"/>
        <v/>
      </c>
      <c r="J28" s="300"/>
      <c r="K28" s="297" t="str">
        <f t="shared" si="82"/>
        <v/>
      </c>
      <c r="L28" s="295" t="str">
        <f t="shared" si="5"/>
        <v/>
      </c>
      <c r="M28" s="296" t="str">
        <f t="shared" si="6"/>
        <v/>
      </c>
      <c r="N28" s="295" t="str">
        <f t="shared" si="7"/>
        <v/>
      </c>
      <c r="O28" s="508"/>
      <c r="P28" s="297" t="str">
        <f t="shared" si="83"/>
        <v/>
      </c>
      <c r="Q28" s="295" t="str">
        <f t="shared" si="8"/>
        <v/>
      </c>
      <c r="R28" s="296" t="str">
        <f t="shared" si="9"/>
        <v/>
      </c>
      <c r="S28" s="295" t="str">
        <f t="shared" si="10"/>
        <v/>
      </c>
      <c r="T28" s="300"/>
      <c r="U28" s="297" t="str">
        <f t="shared" si="108"/>
        <v/>
      </c>
      <c r="V28" s="295" t="str">
        <f t="shared" si="11"/>
        <v/>
      </c>
      <c r="W28" s="296" t="str">
        <f t="shared" si="12"/>
        <v/>
      </c>
      <c r="X28" s="295" t="str">
        <f t="shared" si="13"/>
        <v/>
      </c>
      <c r="Y28" s="300"/>
      <c r="Z28" s="297" t="str">
        <f t="shared" si="84"/>
        <v/>
      </c>
      <c r="AA28" s="295" t="str">
        <f t="shared" si="14"/>
        <v/>
      </c>
      <c r="AB28" s="296" t="str">
        <f t="shared" si="15"/>
        <v/>
      </c>
      <c r="AC28" s="295" t="str">
        <f t="shared" si="16"/>
        <v/>
      </c>
      <c r="AD28" s="300"/>
      <c r="AE28" s="297" t="str">
        <f t="shared" si="85"/>
        <v/>
      </c>
      <c r="AF28" s="295" t="str">
        <f t="shared" si="17"/>
        <v/>
      </c>
      <c r="AG28" s="296" t="str">
        <f t="shared" si="18"/>
        <v/>
      </c>
      <c r="AH28" s="295" t="str">
        <f t="shared" si="19"/>
        <v/>
      </c>
      <c r="AI28" s="300"/>
      <c r="AJ28" s="297" t="str">
        <f t="shared" si="86"/>
        <v/>
      </c>
      <c r="AK28" s="295" t="str">
        <f t="shared" si="20"/>
        <v/>
      </c>
      <c r="AL28" s="296" t="str">
        <f t="shared" si="21"/>
        <v/>
      </c>
      <c r="AM28" s="295" t="str">
        <f t="shared" si="22"/>
        <v/>
      </c>
      <c r="AN28" s="300"/>
      <c r="AO28" s="297" t="str">
        <f t="shared" si="87"/>
        <v/>
      </c>
      <c r="AP28" s="295" t="str">
        <f t="shared" si="23"/>
        <v/>
      </c>
      <c r="AQ28" s="296" t="str">
        <f t="shared" si="24"/>
        <v/>
      </c>
      <c r="AR28" s="295" t="str">
        <f t="shared" si="25"/>
        <v/>
      </c>
      <c r="AS28" s="300"/>
      <c r="AT28" s="297" t="str">
        <f t="shared" si="88"/>
        <v/>
      </c>
      <c r="AU28" s="295" t="str">
        <f t="shared" si="26"/>
        <v/>
      </c>
      <c r="AV28" s="296" t="str">
        <f t="shared" si="27"/>
        <v/>
      </c>
      <c r="AW28" s="295" t="str">
        <f t="shared" si="28"/>
        <v/>
      </c>
      <c r="AX28" s="300"/>
      <c r="AY28" s="297" t="str">
        <f t="shared" si="89"/>
        <v/>
      </c>
      <c r="AZ28" s="295" t="str">
        <f t="shared" si="29"/>
        <v/>
      </c>
      <c r="BA28" s="296" t="str">
        <f t="shared" si="30"/>
        <v/>
      </c>
      <c r="BB28" s="295" t="str">
        <f t="shared" si="31"/>
        <v/>
      </c>
      <c r="BC28" s="300"/>
      <c r="BD28" s="297" t="str">
        <f t="shared" si="90"/>
        <v/>
      </c>
      <c r="BE28" s="295" t="str">
        <f t="shared" si="32"/>
        <v/>
      </c>
      <c r="BF28" s="296" t="str">
        <f t="shared" si="33"/>
        <v/>
      </c>
      <c r="BG28" s="295" t="str">
        <f t="shared" si="34"/>
        <v/>
      </c>
      <c r="BH28" s="300"/>
      <c r="BI28" s="297" t="str">
        <f t="shared" si="91"/>
        <v/>
      </c>
      <c r="BJ28" s="295" t="str">
        <f t="shared" si="35"/>
        <v/>
      </c>
      <c r="BK28" s="296" t="str">
        <f t="shared" si="36"/>
        <v/>
      </c>
      <c r="BL28" s="295" t="str">
        <f t="shared" si="37"/>
        <v/>
      </c>
      <c r="BM28" s="300"/>
      <c r="BN28" s="297" t="str">
        <f t="shared" si="92"/>
        <v/>
      </c>
      <c r="BO28" s="295" t="str">
        <f t="shared" si="38"/>
        <v/>
      </c>
      <c r="BP28" s="296" t="str">
        <f t="shared" si="39"/>
        <v/>
      </c>
      <c r="BQ28" s="295" t="str">
        <f t="shared" si="40"/>
        <v/>
      </c>
      <c r="BR28" s="300"/>
      <c r="BS28" s="297" t="str">
        <f t="shared" si="93"/>
        <v/>
      </c>
      <c r="BT28" s="295" t="str">
        <f t="shared" si="41"/>
        <v/>
      </c>
      <c r="BU28" s="296" t="str">
        <f t="shared" si="42"/>
        <v/>
      </c>
      <c r="BV28" s="295" t="str">
        <f t="shared" si="43"/>
        <v/>
      </c>
      <c r="BW28" s="300"/>
      <c r="BX28" s="297" t="str">
        <f t="shared" si="94"/>
        <v/>
      </c>
      <c r="BY28" s="295" t="str">
        <f t="shared" si="44"/>
        <v/>
      </c>
      <c r="BZ28" s="296" t="str">
        <f t="shared" si="45"/>
        <v/>
      </c>
      <c r="CA28" s="295" t="str">
        <f t="shared" si="46"/>
        <v/>
      </c>
      <c r="CB28" s="300"/>
      <c r="CC28" s="297" t="str">
        <f t="shared" si="95"/>
        <v/>
      </c>
      <c r="CD28" s="295" t="str">
        <f t="shared" si="47"/>
        <v/>
      </c>
      <c r="CE28" s="296" t="str">
        <f t="shared" si="48"/>
        <v/>
      </c>
      <c r="CF28" s="295" t="str">
        <f t="shared" si="49"/>
        <v/>
      </c>
      <c r="CG28" s="300"/>
      <c r="CH28" s="297" t="str">
        <f t="shared" si="96"/>
        <v/>
      </c>
      <c r="CI28" s="295" t="str">
        <f t="shared" si="50"/>
        <v/>
      </c>
      <c r="CJ28" s="296" t="str">
        <f t="shared" si="51"/>
        <v/>
      </c>
      <c r="CK28" s="295" t="str">
        <f t="shared" si="52"/>
        <v/>
      </c>
      <c r="CL28" s="300"/>
      <c r="CM28" s="297" t="str">
        <f t="shared" si="97"/>
        <v/>
      </c>
      <c r="CN28" s="295" t="str">
        <f t="shared" si="53"/>
        <v/>
      </c>
      <c r="CO28" s="296" t="str">
        <f t="shared" si="54"/>
        <v/>
      </c>
      <c r="CP28" s="295" t="str">
        <f t="shared" si="55"/>
        <v/>
      </c>
      <c r="CQ28" s="300"/>
      <c r="CR28" s="297" t="str">
        <f t="shared" si="98"/>
        <v/>
      </c>
      <c r="CS28" s="295" t="str">
        <f t="shared" si="56"/>
        <v/>
      </c>
      <c r="CT28" s="296" t="str">
        <f t="shared" si="57"/>
        <v/>
      </c>
      <c r="CU28" s="295" t="str">
        <f t="shared" si="58"/>
        <v/>
      </c>
      <c r="CV28" s="300"/>
      <c r="CW28" s="297" t="str">
        <f t="shared" si="99"/>
        <v/>
      </c>
      <c r="CX28" s="295" t="str">
        <f t="shared" si="59"/>
        <v/>
      </c>
      <c r="CY28" s="296" t="str">
        <f t="shared" si="60"/>
        <v/>
      </c>
      <c r="CZ28" s="295" t="str">
        <f t="shared" si="61"/>
        <v/>
      </c>
      <c r="DA28" s="300"/>
      <c r="DB28" s="297" t="str">
        <f t="shared" si="100"/>
        <v/>
      </c>
      <c r="DC28" s="295" t="str">
        <f t="shared" si="62"/>
        <v/>
      </c>
      <c r="DD28" s="296" t="str">
        <f t="shared" si="63"/>
        <v/>
      </c>
      <c r="DE28" s="295" t="str">
        <f t="shared" si="64"/>
        <v/>
      </c>
      <c r="DF28" s="300"/>
      <c r="DG28" s="297" t="str">
        <f t="shared" si="101"/>
        <v/>
      </c>
      <c r="DH28" s="295" t="str">
        <f t="shared" si="65"/>
        <v/>
      </c>
      <c r="DI28" s="296" t="str">
        <f t="shared" si="66"/>
        <v/>
      </c>
      <c r="DJ28" s="295" t="str">
        <f t="shared" si="67"/>
        <v/>
      </c>
      <c r="DK28" s="300"/>
      <c r="DL28" s="297" t="str">
        <f t="shared" si="102"/>
        <v/>
      </c>
      <c r="DM28" s="295" t="str">
        <f t="shared" si="68"/>
        <v/>
      </c>
      <c r="DN28" s="296" t="str">
        <f t="shared" si="69"/>
        <v/>
      </c>
      <c r="DO28" s="295" t="str">
        <f t="shared" si="70"/>
        <v/>
      </c>
      <c r="DP28" s="300"/>
      <c r="DQ28" s="297" t="str">
        <f t="shared" si="103"/>
        <v/>
      </c>
      <c r="DR28" s="295" t="str">
        <f t="shared" si="71"/>
        <v/>
      </c>
      <c r="DS28" s="296" t="str">
        <f t="shared" si="72"/>
        <v/>
      </c>
      <c r="DT28" s="295" t="str">
        <f t="shared" si="73"/>
        <v/>
      </c>
      <c r="DU28" s="300"/>
      <c r="DV28" s="297" t="str">
        <f t="shared" si="104"/>
        <v/>
      </c>
      <c r="DW28" s="295" t="str">
        <f>IF('1.ข้อมูลเบื้องต้น'!$B$32="","",IF($B28="","",'1.ข้อมูลเบื้องต้น'!$B$32))</f>
        <v/>
      </c>
      <c r="DX28" s="296" t="str">
        <f>IF('1.ข้อมูลเบื้องต้น'!$C$32="","",IF($B28="","",'1.ข้อมูลเบื้องต้น'!$C$32))</f>
        <v/>
      </c>
      <c r="DY28" s="295" t="str">
        <f>IF('1.ข้อมูลเบื้องต้น'!$D$32="","",IF($B28="","",'1.ข้อมูลเบื้องต้น'!$D$32))</f>
        <v/>
      </c>
      <c r="DZ28" s="300"/>
      <c r="EA28" s="297" t="str">
        <f t="shared" si="105"/>
        <v/>
      </c>
      <c r="EB28" s="386" t="str">
        <f>IF('6.1ประกาศผลปลายภาค'!AW31="","",'6.1ประกาศผลปลายภาค'!AW31)</f>
        <v/>
      </c>
      <c r="EC28" s="382" t="str">
        <f>IF('2.ชื่อนักเรียน'!R33="มส","มส",IF('2.ชื่อนักเรียน'!R33="ย้าย","ย้าย",IF('2.ชื่อนักเรียน'!R33="ร","ร",IF(EB28="","",RANK(EB28,$EB$6:$EB$50,0)))))</f>
        <v/>
      </c>
      <c r="ED28" s="388"/>
      <c r="EE28" s="388"/>
      <c r="EF28" s="388"/>
      <c r="EG28" s="388"/>
      <c r="EH28" s="295" t="str">
        <f>IF('2.ชื่อนักเรียน'!R33="มส","ไม่ผ่าน",IF('2.ชื่อนักเรียน'!R33="ย้าย","ย้าย",IF(COUNTA(ED28:EG28)&lt;4,"",IF(AND(ED28="ผ",EE28="ผ",EF28="ผ",EG28="ผ"),"ผ่าน","ไม่ผ่าน"))))</f>
        <v/>
      </c>
      <c r="EI28" s="300"/>
      <c r="EK28" s="459" t="str">
        <f t="shared" si="74"/>
        <v/>
      </c>
      <c r="EL28" s="460" t="str">
        <f t="shared" si="75"/>
        <v/>
      </c>
      <c r="EM28" s="461" t="str">
        <f t="shared" si="76"/>
        <v/>
      </c>
      <c r="EN28" s="460" t="str">
        <f t="shared" si="77"/>
        <v/>
      </c>
      <c r="EO28" s="461" t="str">
        <f t="shared" si="78"/>
        <v/>
      </c>
      <c r="EP28" s="460" t="str">
        <f t="shared" si="79"/>
        <v/>
      </c>
      <c r="EQ28" s="461" t="str">
        <f t="shared" si="106"/>
        <v/>
      </c>
      <c r="ER28" s="460" t="str">
        <f t="shared" si="107"/>
        <v/>
      </c>
      <c r="ES28" s="461" t="str">
        <f t="shared" si="80"/>
        <v/>
      </c>
      <c r="ET28" s="460" t="str">
        <f t="shared" si="81"/>
        <v/>
      </c>
    </row>
    <row r="29" spans="1:150" s="14" customFormat="1" ht="21" x14ac:dyDescent="0.4">
      <c r="A29" s="295">
        <v>24</v>
      </c>
      <c r="B29" s="295" t="str">
        <f>IF('2.ชื่อนักเรียน'!E34="","",CONCATENATE('2.ชื่อนักเรียน'!E34,'2.ชื่อนักเรียน'!F34,'2.ชื่อนักเรียน'!G34,'2.ชื่อนักเรียน'!H34,'2.ชื่อนักเรียน'!I34,'2.ชื่อนักเรียน'!J34,'2.ชื่อนักเรียน'!K34,'2.ชื่อนักเรียน'!L34,'2.ชื่อนักเรียน'!M34,'2.ชื่อนักเรียน'!N34,'2.ชื่อนักเรียน'!O34,'2.ชื่อนักเรียน'!P34,'2.ชื่อนักเรียน'!Q34,))</f>
        <v/>
      </c>
      <c r="C29" s="295" t="str">
        <f>IF(IDstu24="","",IDstu24)</f>
        <v/>
      </c>
      <c r="D29" s="497" t="str">
        <f>CONCATENATE(TRIM(Name24),"  ",Surname24)</f>
        <v xml:space="preserve">  </v>
      </c>
      <c r="E29" s="297" t="str">
        <f t="shared" si="0"/>
        <v/>
      </c>
      <c r="F29" s="295" t="str">
        <f t="shared" si="1"/>
        <v/>
      </c>
      <c r="G29" s="295" t="str">
        <f t="shared" si="2"/>
        <v/>
      </c>
      <c r="H29" s="296" t="str">
        <f t="shared" si="3"/>
        <v/>
      </c>
      <c r="I29" s="295" t="str">
        <f t="shared" si="4"/>
        <v/>
      </c>
      <c r="J29" s="300"/>
      <c r="K29" s="297" t="str">
        <f t="shared" si="82"/>
        <v/>
      </c>
      <c r="L29" s="295" t="str">
        <f t="shared" si="5"/>
        <v/>
      </c>
      <c r="M29" s="296" t="str">
        <f t="shared" si="6"/>
        <v/>
      </c>
      <c r="N29" s="295" t="str">
        <f t="shared" si="7"/>
        <v/>
      </c>
      <c r="O29" s="508"/>
      <c r="P29" s="297" t="str">
        <f t="shared" si="83"/>
        <v/>
      </c>
      <c r="Q29" s="295" t="str">
        <f t="shared" si="8"/>
        <v/>
      </c>
      <c r="R29" s="296" t="str">
        <f t="shared" si="9"/>
        <v/>
      </c>
      <c r="S29" s="295" t="str">
        <f t="shared" si="10"/>
        <v/>
      </c>
      <c r="T29" s="300"/>
      <c r="U29" s="297" t="str">
        <f t="shared" si="108"/>
        <v/>
      </c>
      <c r="V29" s="295" t="str">
        <f t="shared" si="11"/>
        <v/>
      </c>
      <c r="W29" s="296" t="str">
        <f t="shared" si="12"/>
        <v/>
      </c>
      <c r="X29" s="295" t="str">
        <f t="shared" si="13"/>
        <v/>
      </c>
      <c r="Y29" s="300"/>
      <c r="Z29" s="297" t="str">
        <f t="shared" si="84"/>
        <v/>
      </c>
      <c r="AA29" s="295" t="str">
        <f t="shared" si="14"/>
        <v/>
      </c>
      <c r="AB29" s="296" t="str">
        <f t="shared" si="15"/>
        <v/>
      </c>
      <c r="AC29" s="295" t="str">
        <f t="shared" si="16"/>
        <v/>
      </c>
      <c r="AD29" s="300"/>
      <c r="AE29" s="297" t="str">
        <f t="shared" si="85"/>
        <v/>
      </c>
      <c r="AF29" s="295" t="str">
        <f t="shared" si="17"/>
        <v/>
      </c>
      <c r="AG29" s="296" t="str">
        <f t="shared" si="18"/>
        <v/>
      </c>
      <c r="AH29" s="295" t="str">
        <f t="shared" si="19"/>
        <v/>
      </c>
      <c r="AI29" s="300"/>
      <c r="AJ29" s="297" t="str">
        <f t="shared" si="86"/>
        <v/>
      </c>
      <c r="AK29" s="295" t="str">
        <f t="shared" si="20"/>
        <v/>
      </c>
      <c r="AL29" s="296" t="str">
        <f t="shared" si="21"/>
        <v/>
      </c>
      <c r="AM29" s="295" t="str">
        <f t="shared" si="22"/>
        <v/>
      </c>
      <c r="AN29" s="300"/>
      <c r="AO29" s="297" t="str">
        <f t="shared" si="87"/>
        <v/>
      </c>
      <c r="AP29" s="295" t="str">
        <f t="shared" si="23"/>
        <v/>
      </c>
      <c r="AQ29" s="296" t="str">
        <f t="shared" si="24"/>
        <v/>
      </c>
      <c r="AR29" s="295" t="str">
        <f t="shared" si="25"/>
        <v/>
      </c>
      <c r="AS29" s="300"/>
      <c r="AT29" s="297" t="str">
        <f t="shared" si="88"/>
        <v/>
      </c>
      <c r="AU29" s="295" t="str">
        <f t="shared" si="26"/>
        <v/>
      </c>
      <c r="AV29" s="296" t="str">
        <f t="shared" si="27"/>
        <v/>
      </c>
      <c r="AW29" s="295" t="str">
        <f t="shared" si="28"/>
        <v/>
      </c>
      <c r="AX29" s="300"/>
      <c r="AY29" s="297" t="str">
        <f t="shared" si="89"/>
        <v/>
      </c>
      <c r="AZ29" s="295" t="str">
        <f t="shared" si="29"/>
        <v/>
      </c>
      <c r="BA29" s="296" t="str">
        <f t="shared" si="30"/>
        <v/>
      </c>
      <c r="BB29" s="295" t="str">
        <f t="shared" si="31"/>
        <v/>
      </c>
      <c r="BC29" s="300"/>
      <c r="BD29" s="297" t="str">
        <f t="shared" si="90"/>
        <v/>
      </c>
      <c r="BE29" s="295" t="str">
        <f t="shared" si="32"/>
        <v/>
      </c>
      <c r="BF29" s="296" t="str">
        <f t="shared" si="33"/>
        <v/>
      </c>
      <c r="BG29" s="295" t="str">
        <f t="shared" si="34"/>
        <v/>
      </c>
      <c r="BH29" s="300"/>
      <c r="BI29" s="297" t="str">
        <f t="shared" si="91"/>
        <v/>
      </c>
      <c r="BJ29" s="295" t="str">
        <f t="shared" si="35"/>
        <v/>
      </c>
      <c r="BK29" s="296" t="str">
        <f t="shared" si="36"/>
        <v/>
      </c>
      <c r="BL29" s="295" t="str">
        <f t="shared" si="37"/>
        <v/>
      </c>
      <c r="BM29" s="300"/>
      <c r="BN29" s="297" t="str">
        <f t="shared" si="92"/>
        <v/>
      </c>
      <c r="BO29" s="295" t="str">
        <f t="shared" si="38"/>
        <v/>
      </c>
      <c r="BP29" s="296" t="str">
        <f t="shared" si="39"/>
        <v/>
      </c>
      <c r="BQ29" s="295" t="str">
        <f t="shared" si="40"/>
        <v/>
      </c>
      <c r="BR29" s="300"/>
      <c r="BS29" s="297" t="str">
        <f t="shared" si="93"/>
        <v/>
      </c>
      <c r="BT29" s="295" t="str">
        <f t="shared" si="41"/>
        <v/>
      </c>
      <c r="BU29" s="296" t="str">
        <f t="shared" si="42"/>
        <v/>
      </c>
      <c r="BV29" s="295" t="str">
        <f t="shared" si="43"/>
        <v/>
      </c>
      <c r="BW29" s="300"/>
      <c r="BX29" s="297" t="str">
        <f t="shared" si="94"/>
        <v/>
      </c>
      <c r="BY29" s="295" t="str">
        <f t="shared" si="44"/>
        <v/>
      </c>
      <c r="BZ29" s="296" t="str">
        <f t="shared" si="45"/>
        <v/>
      </c>
      <c r="CA29" s="295" t="str">
        <f t="shared" si="46"/>
        <v/>
      </c>
      <c r="CB29" s="300"/>
      <c r="CC29" s="297" t="str">
        <f t="shared" si="95"/>
        <v/>
      </c>
      <c r="CD29" s="295" t="str">
        <f t="shared" si="47"/>
        <v/>
      </c>
      <c r="CE29" s="296" t="str">
        <f t="shared" si="48"/>
        <v/>
      </c>
      <c r="CF29" s="295" t="str">
        <f t="shared" si="49"/>
        <v/>
      </c>
      <c r="CG29" s="300"/>
      <c r="CH29" s="297" t="str">
        <f t="shared" si="96"/>
        <v/>
      </c>
      <c r="CI29" s="295" t="str">
        <f t="shared" si="50"/>
        <v/>
      </c>
      <c r="CJ29" s="296" t="str">
        <f t="shared" si="51"/>
        <v/>
      </c>
      <c r="CK29" s="295" t="str">
        <f t="shared" si="52"/>
        <v/>
      </c>
      <c r="CL29" s="300"/>
      <c r="CM29" s="297" t="str">
        <f t="shared" si="97"/>
        <v/>
      </c>
      <c r="CN29" s="295" t="str">
        <f t="shared" si="53"/>
        <v/>
      </c>
      <c r="CO29" s="296" t="str">
        <f t="shared" si="54"/>
        <v/>
      </c>
      <c r="CP29" s="295" t="str">
        <f t="shared" si="55"/>
        <v/>
      </c>
      <c r="CQ29" s="300"/>
      <c r="CR29" s="297" t="str">
        <f t="shared" si="98"/>
        <v/>
      </c>
      <c r="CS29" s="295" t="str">
        <f t="shared" si="56"/>
        <v/>
      </c>
      <c r="CT29" s="296" t="str">
        <f t="shared" si="57"/>
        <v/>
      </c>
      <c r="CU29" s="295" t="str">
        <f t="shared" si="58"/>
        <v/>
      </c>
      <c r="CV29" s="300"/>
      <c r="CW29" s="297" t="str">
        <f t="shared" si="99"/>
        <v/>
      </c>
      <c r="CX29" s="295" t="str">
        <f t="shared" si="59"/>
        <v/>
      </c>
      <c r="CY29" s="296" t="str">
        <f t="shared" si="60"/>
        <v/>
      </c>
      <c r="CZ29" s="295" t="str">
        <f t="shared" si="61"/>
        <v/>
      </c>
      <c r="DA29" s="300"/>
      <c r="DB29" s="297" t="str">
        <f t="shared" si="100"/>
        <v/>
      </c>
      <c r="DC29" s="295" t="str">
        <f t="shared" si="62"/>
        <v/>
      </c>
      <c r="DD29" s="296" t="str">
        <f t="shared" si="63"/>
        <v/>
      </c>
      <c r="DE29" s="295" t="str">
        <f t="shared" si="64"/>
        <v/>
      </c>
      <c r="DF29" s="300"/>
      <c r="DG29" s="297" t="str">
        <f t="shared" si="101"/>
        <v/>
      </c>
      <c r="DH29" s="295" t="str">
        <f t="shared" si="65"/>
        <v/>
      </c>
      <c r="DI29" s="296" t="str">
        <f t="shared" si="66"/>
        <v/>
      </c>
      <c r="DJ29" s="295" t="str">
        <f t="shared" si="67"/>
        <v/>
      </c>
      <c r="DK29" s="300"/>
      <c r="DL29" s="297" t="str">
        <f t="shared" si="102"/>
        <v/>
      </c>
      <c r="DM29" s="295" t="str">
        <f t="shared" si="68"/>
        <v/>
      </c>
      <c r="DN29" s="296" t="str">
        <f t="shared" si="69"/>
        <v/>
      </c>
      <c r="DO29" s="295" t="str">
        <f t="shared" si="70"/>
        <v/>
      </c>
      <c r="DP29" s="300"/>
      <c r="DQ29" s="297" t="str">
        <f t="shared" si="103"/>
        <v/>
      </c>
      <c r="DR29" s="295" t="str">
        <f t="shared" si="71"/>
        <v/>
      </c>
      <c r="DS29" s="296" t="str">
        <f t="shared" si="72"/>
        <v/>
      </c>
      <c r="DT29" s="295" t="str">
        <f t="shared" si="73"/>
        <v/>
      </c>
      <c r="DU29" s="300"/>
      <c r="DV29" s="297" t="str">
        <f t="shared" si="104"/>
        <v/>
      </c>
      <c r="DW29" s="295" t="str">
        <f>IF('1.ข้อมูลเบื้องต้น'!$B$32="","",IF($B29="","",'1.ข้อมูลเบื้องต้น'!$B$32))</f>
        <v/>
      </c>
      <c r="DX29" s="296" t="str">
        <f>IF('1.ข้อมูลเบื้องต้น'!$C$32="","",IF($B29="","",'1.ข้อมูลเบื้องต้น'!$C$32))</f>
        <v/>
      </c>
      <c r="DY29" s="295" t="str">
        <f>IF('1.ข้อมูลเบื้องต้น'!$D$32="","",IF($B29="","",'1.ข้อมูลเบื้องต้น'!$D$32))</f>
        <v/>
      </c>
      <c r="DZ29" s="300"/>
      <c r="EA29" s="297" t="str">
        <f t="shared" si="105"/>
        <v/>
      </c>
      <c r="EB29" s="386" t="str">
        <f>IF('6.1ประกาศผลปลายภาค'!AW32="","",'6.1ประกาศผลปลายภาค'!AW32)</f>
        <v/>
      </c>
      <c r="EC29" s="382" t="str">
        <f>IF('2.ชื่อนักเรียน'!R34="มส","มส",IF('2.ชื่อนักเรียน'!R34="ย้าย","ย้าย",IF('2.ชื่อนักเรียน'!R34="ร","ร",IF(EB29="","",RANK(EB29,$EB$6:$EB$50,0)))))</f>
        <v/>
      </c>
      <c r="ED29" s="388"/>
      <c r="EE29" s="388"/>
      <c r="EF29" s="388"/>
      <c r="EG29" s="388"/>
      <c r="EH29" s="295" t="str">
        <f>IF('2.ชื่อนักเรียน'!R34="มส","ไม่ผ่าน",IF('2.ชื่อนักเรียน'!R34="ย้าย","ย้าย",IF(COUNTA(ED29:EG29)&lt;4,"",IF(AND(ED29="ผ",EE29="ผ",EF29="ผ",EG29="ผ"),"ผ่าน","ไม่ผ่าน"))))</f>
        <v/>
      </c>
      <c r="EI29" s="300"/>
      <c r="EK29" s="459" t="str">
        <f t="shared" si="74"/>
        <v/>
      </c>
      <c r="EL29" s="460" t="str">
        <f t="shared" si="75"/>
        <v/>
      </c>
      <c r="EM29" s="461" t="str">
        <f t="shared" si="76"/>
        <v/>
      </c>
      <c r="EN29" s="460" t="str">
        <f t="shared" si="77"/>
        <v/>
      </c>
      <c r="EO29" s="461" t="str">
        <f t="shared" si="78"/>
        <v/>
      </c>
      <c r="EP29" s="460" t="str">
        <f t="shared" si="79"/>
        <v/>
      </c>
      <c r="EQ29" s="461" t="str">
        <f t="shared" si="106"/>
        <v/>
      </c>
      <c r="ER29" s="460" t="str">
        <f t="shared" si="107"/>
        <v/>
      </c>
      <c r="ES29" s="461" t="str">
        <f t="shared" si="80"/>
        <v/>
      </c>
      <c r="ET29" s="460" t="str">
        <f t="shared" si="81"/>
        <v/>
      </c>
    </row>
    <row r="30" spans="1:150" s="14" customFormat="1" ht="21.6" thickBot="1" x14ac:dyDescent="0.45">
      <c r="A30" s="295">
        <v>25</v>
      </c>
      <c r="B30" s="295" t="str">
        <f>IF('2.ชื่อนักเรียน'!E35="","",CONCATENATE('2.ชื่อนักเรียน'!E35,'2.ชื่อนักเรียน'!F35,'2.ชื่อนักเรียน'!G35,'2.ชื่อนักเรียน'!H35,'2.ชื่อนักเรียน'!I35,'2.ชื่อนักเรียน'!J35,'2.ชื่อนักเรียน'!K35,'2.ชื่อนักเรียน'!L35,'2.ชื่อนักเรียน'!M35,'2.ชื่อนักเรียน'!N35,'2.ชื่อนักเรียน'!O35,'2.ชื่อนักเรียน'!P35,'2.ชื่อนักเรียน'!Q35,))</f>
        <v/>
      </c>
      <c r="C30" s="295" t="str">
        <f>IF(IDstu25="","",IDstu25)</f>
        <v/>
      </c>
      <c r="D30" s="497" t="str">
        <f>CONCATENATE(TRIM(Name25),"  ",Surname25)</f>
        <v xml:space="preserve">  </v>
      </c>
      <c r="E30" s="297" t="str">
        <f t="shared" si="0"/>
        <v/>
      </c>
      <c r="F30" s="295" t="str">
        <f t="shared" si="1"/>
        <v/>
      </c>
      <c r="G30" s="295" t="str">
        <f t="shared" si="2"/>
        <v/>
      </c>
      <c r="H30" s="296" t="str">
        <f t="shared" si="3"/>
        <v/>
      </c>
      <c r="I30" s="295" t="str">
        <f t="shared" si="4"/>
        <v/>
      </c>
      <c r="J30" s="300"/>
      <c r="K30" s="297" t="str">
        <f t="shared" si="82"/>
        <v/>
      </c>
      <c r="L30" s="295" t="str">
        <f t="shared" si="5"/>
        <v/>
      </c>
      <c r="M30" s="296" t="str">
        <f t="shared" si="6"/>
        <v/>
      </c>
      <c r="N30" s="295" t="str">
        <f t="shared" si="7"/>
        <v/>
      </c>
      <c r="O30" s="508"/>
      <c r="P30" s="297" t="str">
        <f t="shared" si="83"/>
        <v/>
      </c>
      <c r="Q30" s="295" t="str">
        <f t="shared" si="8"/>
        <v/>
      </c>
      <c r="R30" s="296" t="str">
        <f t="shared" si="9"/>
        <v/>
      </c>
      <c r="S30" s="295" t="str">
        <f t="shared" si="10"/>
        <v/>
      </c>
      <c r="T30" s="300"/>
      <c r="U30" s="297" t="str">
        <f t="shared" si="108"/>
        <v/>
      </c>
      <c r="V30" s="295" t="str">
        <f t="shared" si="11"/>
        <v/>
      </c>
      <c r="W30" s="296" t="str">
        <f t="shared" si="12"/>
        <v/>
      </c>
      <c r="X30" s="295" t="str">
        <f t="shared" si="13"/>
        <v/>
      </c>
      <c r="Y30" s="300"/>
      <c r="Z30" s="297" t="str">
        <f t="shared" si="84"/>
        <v/>
      </c>
      <c r="AA30" s="295" t="str">
        <f t="shared" si="14"/>
        <v/>
      </c>
      <c r="AB30" s="296" t="str">
        <f t="shared" si="15"/>
        <v/>
      </c>
      <c r="AC30" s="295" t="str">
        <f t="shared" si="16"/>
        <v/>
      </c>
      <c r="AD30" s="300"/>
      <c r="AE30" s="297" t="str">
        <f t="shared" si="85"/>
        <v/>
      </c>
      <c r="AF30" s="295" t="str">
        <f t="shared" si="17"/>
        <v/>
      </c>
      <c r="AG30" s="296" t="str">
        <f t="shared" si="18"/>
        <v/>
      </c>
      <c r="AH30" s="295" t="str">
        <f t="shared" si="19"/>
        <v/>
      </c>
      <c r="AI30" s="300"/>
      <c r="AJ30" s="297" t="str">
        <f t="shared" si="86"/>
        <v/>
      </c>
      <c r="AK30" s="295" t="str">
        <f t="shared" si="20"/>
        <v/>
      </c>
      <c r="AL30" s="296" t="str">
        <f t="shared" si="21"/>
        <v/>
      </c>
      <c r="AM30" s="295" t="str">
        <f t="shared" si="22"/>
        <v/>
      </c>
      <c r="AN30" s="300"/>
      <c r="AO30" s="297" t="str">
        <f t="shared" si="87"/>
        <v/>
      </c>
      <c r="AP30" s="295" t="str">
        <f t="shared" si="23"/>
        <v/>
      </c>
      <c r="AQ30" s="296" t="str">
        <f t="shared" si="24"/>
        <v/>
      </c>
      <c r="AR30" s="295" t="str">
        <f t="shared" si="25"/>
        <v/>
      </c>
      <c r="AS30" s="300"/>
      <c r="AT30" s="297" t="str">
        <f t="shared" si="88"/>
        <v/>
      </c>
      <c r="AU30" s="295" t="str">
        <f t="shared" si="26"/>
        <v/>
      </c>
      <c r="AV30" s="296" t="str">
        <f t="shared" si="27"/>
        <v/>
      </c>
      <c r="AW30" s="295" t="str">
        <f t="shared" si="28"/>
        <v/>
      </c>
      <c r="AX30" s="300"/>
      <c r="AY30" s="297" t="str">
        <f t="shared" si="89"/>
        <v/>
      </c>
      <c r="AZ30" s="295" t="str">
        <f t="shared" si="29"/>
        <v/>
      </c>
      <c r="BA30" s="296" t="str">
        <f t="shared" si="30"/>
        <v/>
      </c>
      <c r="BB30" s="295" t="str">
        <f t="shared" si="31"/>
        <v/>
      </c>
      <c r="BC30" s="300"/>
      <c r="BD30" s="297" t="str">
        <f t="shared" si="90"/>
        <v/>
      </c>
      <c r="BE30" s="295" t="str">
        <f t="shared" si="32"/>
        <v/>
      </c>
      <c r="BF30" s="296" t="str">
        <f t="shared" si="33"/>
        <v/>
      </c>
      <c r="BG30" s="295" t="str">
        <f t="shared" si="34"/>
        <v/>
      </c>
      <c r="BH30" s="300"/>
      <c r="BI30" s="297" t="str">
        <f t="shared" si="91"/>
        <v/>
      </c>
      <c r="BJ30" s="295" t="str">
        <f t="shared" si="35"/>
        <v/>
      </c>
      <c r="BK30" s="296" t="str">
        <f t="shared" si="36"/>
        <v/>
      </c>
      <c r="BL30" s="295" t="str">
        <f t="shared" si="37"/>
        <v/>
      </c>
      <c r="BM30" s="300"/>
      <c r="BN30" s="297" t="str">
        <f t="shared" si="92"/>
        <v/>
      </c>
      <c r="BO30" s="295" t="str">
        <f t="shared" si="38"/>
        <v/>
      </c>
      <c r="BP30" s="296" t="str">
        <f t="shared" si="39"/>
        <v/>
      </c>
      <c r="BQ30" s="295" t="str">
        <f t="shared" si="40"/>
        <v/>
      </c>
      <c r="BR30" s="300"/>
      <c r="BS30" s="297" t="str">
        <f t="shared" si="93"/>
        <v/>
      </c>
      <c r="BT30" s="295" t="str">
        <f t="shared" si="41"/>
        <v/>
      </c>
      <c r="BU30" s="296" t="str">
        <f t="shared" si="42"/>
        <v/>
      </c>
      <c r="BV30" s="295" t="str">
        <f t="shared" si="43"/>
        <v/>
      </c>
      <c r="BW30" s="300"/>
      <c r="BX30" s="297" t="str">
        <f t="shared" si="94"/>
        <v/>
      </c>
      <c r="BY30" s="295" t="str">
        <f t="shared" si="44"/>
        <v/>
      </c>
      <c r="BZ30" s="296" t="str">
        <f t="shared" si="45"/>
        <v/>
      </c>
      <c r="CA30" s="295" t="str">
        <f t="shared" si="46"/>
        <v/>
      </c>
      <c r="CB30" s="300"/>
      <c r="CC30" s="297" t="str">
        <f t="shared" si="95"/>
        <v/>
      </c>
      <c r="CD30" s="295" t="str">
        <f t="shared" si="47"/>
        <v/>
      </c>
      <c r="CE30" s="296" t="str">
        <f t="shared" si="48"/>
        <v/>
      </c>
      <c r="CF30" s="295" t="str">
        <f t="shared" si="49"/>
        <v/>
      </c>
      <c r="CG30" s="300"/>
      <c r="CH30" s="297" t="str">
        <f t="shared" si="96"/>
        <v/>
      </c>
      <c r="CI30" s="295" t="str">
        <f t="shared" si="50"/>
        <v/>
      </c>
      <c r="CJ30" s="296" t="str">
        <f t="shared" si="51"/>
        <v/>
      </c>
      <c r="CK30" s="295" t="str">
        <f t="shared" si="52"/>
        <v/>
      </c>
      <c r="CL30" s="300"/>
      <c r="CM30" s="297" t="str">
        <f t="shared" si="97"/>
        <v/>
      </c>
      <c r="CN30" s="295" t="str">
        <f t="shared" si="53"/>
        <v/>
      </c>
      <c r="CO30" s="296" t="str">
        <f t="shared" si="54"/>
        <v/>
      </c>
      <c r="CP30" s="295" t="str">
        <f t="shared" si="55"/>
        <v/>
      </c>
      <c r="CQ30" s="300"/>
      <c r="CR30" s="297" t="str">
        <f t="shared" si="98"/>
        <v/>
      </c>
      <c r="CS30" s="295" t="str">
        <f t="shared" si="56"/>
        <v/>
      </c>
      <c r="CT30" s="296" t="str">
        <f t="shared" si="57"/>
        <v/>
      </c>
      <c r="CU30" s="295" t="str">
        <f t="shared" si="58"/>
        <v/>
      </c>
      <c r="CV30" s="300"/>
      <c r="CW30" s="297" t="str">
        <f t="shared" si="99"/>
        <v/>
      </c>
      <c r="CX30" s="295" t="str">
        <f t="shared" si="59"/>
        <v/>
      </c>
      <c r="CY30" s="296" t="str">
        <f t="shared" si="60"/>
        <v/>
      </c>
      <c r="CZ30" s="295" t="str">
        <f t="shared" si="61"/>
        <v/>
      </c>
      <c r="DA30" s="300"/>
      <c r="DB30" s="297" t="str">
        <f t="shared" si="100"/>
        <v/>
      </c>
      <c r="DC30" s="295" t="str">
        <f t="shared" si="62"/>
        <v/>
      </c>
      <c r="DD30" s="296" t="str">
        <f t="shared" si="63"/>
        <v/>
      </c>
      <c r="DE30" s="295" t="str">
        <f t="shared" si="64"/>
        <v/>
      </c>
      <c r="DF30" s="300"/>
      <c r="DG30" s="297" t="str">
        <f t="shared" si="101"/>
        <v/>
      </c>
      <c r="DH30" s="295" t="str">
        <f t="shared" si="65"/>
        <v/>
      </c>
      <c r="DI30" s="296" t="str">
        <f t="shared" si="66"/>
        <v/>
      </c>
      <c r="DJ30" s="295" t="str">
        <f t="shared" si="67"/>
        <v/>
      </c>
      <c r="DK30" s="300"/>
      <c r="DL30" s="297" t="str">
        <f t="shared" si="102"/>
        <v/>
      </c>
      <c r="DM30" s="295" t="str">
        <f t="shared" si="68"/>
        <v/>
      </c>
      <c r="DN30" s="296" t="str">
        <f t="shared" si="69"/>
        <v/>
      </c>
      <c r="DO30" s="295" t="str">
        <f t="shared" si="70"/>
        <v/>
      </c>
      <c r="DP30" s="300"/>
      <c r="DQ30" s="297" t="str">
        <f t="shared" si="103"/>
        <v/>
      </c>
      <c r="DR30" s="295" t="str">
        <f t="shared" si="71"/>
        <v/>
      </c>
      <c r="DS30" s="296" t="str">
        <f t="shared" si="72"/>
        <v/>
      </c>
      <c r="DT30" s="295" t="str">
        <f t="shared" si="73"/>
        <v/>
      </c>
      <c r="DU30" s="300"/>
      <c r="DV30" s="297" t="str">
        <f t="shared" si="104"/>
        <v/>
      </c>
      <c r="DW30" s="295" t="str">
        <f>IF('1.ข้อมูลเบื้องต้น'!$B$32="","",IF($B30="","",'1.ข้อมูลเบื้องต้น'!$B$32))</f>
        <v/>
      </c>
      <c r="DX30" s="296" t="str">
        <f>IF('1.ข้อมูลเบื้องต้น'!$C$32="","",IF($B30="","",'1.ข้อมูลเบื้องต้น'!$C$32))</f>
        <v/>
      </c>
      <c r="DY30" s="295" t="str">
        <f>IF('1.ข้อมูลเบื้องต้น'!$D$32="","",IF($B30="","",'1.ข้อมูลเบื้องต้น'!$D$32))</f>
        <v/>
      </c>
      <c r="DZ30" s="300"/>
      <c r="EA30" s="297" t="str">
        <f t="shared" si="105"/>
        <v/>
      </c>
      <c r="EB30" s="386" t="str">
        <f>IF('6.1ประกาศผลปลายภาค'!AW33="","",'6.1ประกาศผลปลายภาค'!AW33)</f>
        <v/>
      </c>
      <c r="EC30" s="382" t="str">
        <f>IF('2.ชื่อนักเรียน'!R35="มส","มส",IF('2.ชื่อนักเรียน'!R35="ย้าย","ย้าย",IF('2.ชื่อนักเรียน'!R35="ร","ร",IF(EB30="","",RANK(EB30,$EB$6:$EB$50,0)))))</f>
        <v/>
      </c>
      <c r="ED30" s="388"/>
      <c r="EE30" s="388"/>
      <c r="EF30" s="388"/>
      <c r="EG30" s="388"/>
      <c r="EH30" s="295" t="str">
        <f>IF('2.ชื่อนักเรียน'!R35="มส","ไม่ผ่าน",IF('2.ชื่อนักเรียน'!R35="ย้าย","ย้าย",IF(COUNTA(ED30:EG30)&lt;4,"",IF(AND(ED30="ผ",EE30="ผ",EF30="ผ",EG30="ผ"),"ผ่าน","ไม่ผ่าน"))))</f>
        <v/>
      </c>
      <c r="EI30" s="300"/>
      <c r="EK30" s="462" t="str">
        <f t="shared" si="74"/>
        <v/>
      </c>
      <c r="EL30" s="463" t="str">
        <f t="shared" si="75"/>
        <v/>
      </c>
      <c r="EM30" s="464" t="str">
        <f t="shared" si="76"/>
        <v/>
      </c>
      <c r="EN30" s="463" t="str">
        <f t="shared" si="77"/>
        <v/>
      </c>
      <c r="EO30" s="464" t="str">
        <f t="shared" si="78"/>
        <v/>
      </c>
      <c r="EP30" s="463" t="str">
        <f t="shared" si="79"/>
        <v/>
      </c>
      <c r="EQ30" s="464" t="str">
        <f t="shared" si="106"/>
        <v/>
      </c>
      <c r="ER30" s="463" t="str">
        <f t="shared" si="107"/>
        <v/>
      </c>
      <c r="ES30" s="464" t="str">
        <f t="shared" si="80"/>
        <v/>
      </c>
      <c r="ET30" s="463" t="str">
        <f t="shared" si="81"/>
        <v/>
      </c>
    </row>
    <row r="31" spans="1:150" s="14" customFormat="1" ht="21.6" thickTop="1" x14ac:dyDescent="0.4">
      <c r="A31" s="295">
        <v>26</v>
      </c>
      <c r="B31" s="295" t="str">
        <f>IF('2.ชื่อนักเรียน'!E36="","",CONCATENATE('2.ชื่อนักเรียน'!E36,'2.ชื่อนักเรียน'!F36,'2.ชื่อนักเรียน'!G36,'2.ชื่อนักเรียน'!H36,'2.ชื่อนักเรียน'!I36,'2.ชื่อนักเรียน'!J36,'2.ชื่อนักเรียน'!K36,'2.ชื่อนักเรียน'!L36,'2.ชื่อนักเรียน'!M36,'2.ชื่อนักเรียน'!N36,'2.ชื่อนักเรียน'!O36,'2.ชื่อนักเรียน'!P36,'2.ชื่อนักเรียน'!Q36,))</f>
        <v/>
      </c>
      <c r="C31" s="295" t="str">
        <f>IF(IDstu26="","",IDstu26)</f>
        <v/>
      </c>
      <c r="D31" s="497" t="str">
        <f>CONCATENATE(TRIM(Name26),"  ",Surname26)</f>
        <v xml:space="preserve">  </v>
      </c>
      <c r="E31" s="297" t="str">
        <f t="shared" si="0"/>
        <v/>
      </c>
      <c r="F31" s="295" t="str">
        <f t="shared" si="1"/>
        <v/>
      </c>
      <c r="G31" s="295" t="str">
        <f t="shared" si="2"/>
        <v/>
      </c>
      <c r="H31" s="296" t="str">
        <f t="shared" si="3"/>
        <v/>
      </c>
      <c r="I31" s="295" t="str">
        <f t="shared" si="4"/>
        <v/>
      </c>
      <c r="J31" s="300"/>
      <c r="K31" s="297" t="str">
        <f t="shared" si="82"/>
        <v/>
      </c>
      <c r="L31" s="295" t="str">
        <f t="shared" si="5"/>
        <v/>
      </c>
      <c r="M31" s="296" t="str">
        <f t="shared" si="6"/>
        <v/>
      </c>
      <c r="N31" s="295" t="str">
        <f t="shared" si="7"/>
        <v/>
      </c>
      <c r="O31" s="508"/>
      <c r="P31" s="297" t="str">
        <f t="shared" si="83"/>
        <v/>
      </c>
      <c r="Q31" s="295" t="str">
        <f t="shared" si="8"/>
        <v/>
      </c>
      <c r="R31" s="296" t="str">
        <f t="shared" si="9"/>
        <v/>
      </c>
      <c r="S31" s="295" t="str">
        <f t="shared" si="10"/>
        <v/>
      </c>
      <c r="T31" s="300"/>
      <c r="U31" s="297" t="str">
        <f t="shared" si="108"/>
        <v/>
      </c>
      <c r="V31" s="295" t="str">
        <f t="shared" si="11"/>
        <v/>
      </c>
      <c r="W31" s="296" t="str">
        <f t="shared" si="12"/>
        <v/>
      </c>
      <c r="X31" s="295" t="str">
        <f t="shared" si="13"/>
        <v/>
      </c>
      <c r="Y31" s="300"/>
      <c r="Z31" s="297" t="str">
        <f t="shared" si="84"/>
        <v/>
      </c>
      <c r="AA31" s="295" t="str">
        <f t="shared" si="14"/>
        <v/>
      </c>
      <c r="AB31" s="296" t="str">
        <f t="shared" si="15"/>
        <v/>
      </c>
      <c r="AC31" s="295" t="str">
        <f t="shared" si="16"/>
        <v/>
      </c>
      <c r="AD31" s="300"/>
      <c r="AE31" s="297" t="str">
        <f t="shared" si="85"/>
        <v/>
      </c>
      <c r="AF31" s="295" t="str">
        <f t="shared" si="17"/>
        <v/>
      </c>
      <c r="AG31" s="296" t="str">
        <f t="shared" si="18"/>
        <v/>
      </c>
      <c r="AH31" s="295" t="str">
        <f t="shared" si="19"/>
        <v/>
      </c>
      <c r="AI31" s="300"/>
      <c r="AJ31" s="297" t="str">
        <f t="shared" si="86"/>
        <v/>
      </c>
      <c r="AK31" s="295" t="str">
        <f t="shared" si="20"/>
        <v/>
      </c>
      <c r="AL31" s="296" t="str">
        <f t="shared" si="21"/>
        <v/>
      </c>
      <c r="AM31" s="295" t="str">
        <f t="shared" si="22"/>
        <v/>
      </c>
      <c r="AN31" s="300"/>
      <c r="AO31" s="297" t="str">
        <f t="shared" si="87"/>
        <v/>
      </c>
      <c r="AP31" s="295" t="str">
        <f t="shared" si="23"/>
        <v/>
      </c>
      <c r="AQ31" s="296" t="str">
        <f t="shared" si="24"/>
        <v/>
      </c>
      <c r="AR31" s="295" t="str">
        <f t="shared" si="25"/>
        <v/>
      </c>
      <c r="AS31" s="300"/>
      <c r="AT31" s="297" t="str">
        <f t="shared" si="88"/>
        <v/>
      </c>
      <c r="AU31" s="295" t="str">
        <f t="shared" si="26"/>
        <v/>
      </c>
      <c r="AV31" s="296" t="str">
        <f t="shared" si="27"/>
        <v/>
      </c>
      <c r="AW31" s="295" t="str">
        <f t="shared" si="28"/>
        <v/>
      </c>
      <c r="AX31" s="300"/>
      <c r="AY31" s="297" t="str">
        <f t="shared" si="89"/>
        <v/>
      </c>
      <c r="AZ31" s="295" t="str">
        <f t="shared" si="29"/>
        <v/>
      </c>
      <c r="BA31" s="296" t="str">
        <f t="shared" si="30"/>
        <v/>
      </c>
      <c r="BB31" s="295" t="str">
        <f t="shared" si="31"/>
        <v/>
      </c>
      <c r="BC31" s="300"/>
      <c r="BD31" s="297" t="str">
        <f t="shared" si="90"/>
        <v/>
      </c>
      <c r="BE31" s="295" t="str">
        <f t="shared" si="32"/>
        <v/>
      </c>
      <c r="BF31" s="296" t="str">
        <f t="shared" si="33"/>
        <v/>
      </c>
      <c r="BG31" s="295" t="str">
        <f t="shared" si="34"/>
        <v/>
      </c>
      <c r="BH31" s="300"/>
      <c r="BI31" s="297" t="str">
        <f t="shared" si="91"/>
        <v/>
      </c>
      <c r="BJ31" s="295" t="str">
        <f t="shared" si="35"/>
        <v/>
      </c>
      <c r="BK31" s="296" t="str">
        <f t="shared" si="36"/>
        <v/>
      </c>
      <c r="BL31" s="295" t="str">
        <f t="shared" si="37"/>
        <v/>
      </c>
      <c r="BM31" s="300"/>
      <c r="BN31" s="297" t="str">
        <f t="shared" si="92"/>
        <v/>
      </c>
      <c r="BO31" s="295" t="str">
        <f t="shared" si="38"/>
        <v/>
      </c>
      <c r="BP31" s="296" t="str">
        <f t="shared" si="39"/>
        <v/>
      </c>
      <c r="BQ31" s="295" t="str">
        <f t="shared" si="40"/>
        <v/>
      </c>
      <c r="BR31" s="300"/>
      <c r="BS31" s="297" t="str">
        <f t="shared" si="93"/>
        <v/>
      </c>
      <c r="BT31" s="295" t="str">
        <f t="shared" si="41"/>
        <v/>
      </c>
      <c r="BU31" s="296" t="str">
        <f t="shared" si="42"/>
        <v/>
      </c>
      <c r="BV31" s="295" t="str">
        <f t="shared" si="43"/>
        <v/>
      </c>
      <c r="BW31" s="300"/>
      <c r="BX31" s="297" t="str">
        <f t="shared" si="94"/>
        <v/>
      </c>
      <c r="BY31" s="295" t="str">
        <f t="shared" si="44"/>
        <v/>
      </c>
      <c r="BZ31" s="296" t="str">
        <f t="shared" si="45"/>
        <v/>
      </c>
      <c r="CA31" s="295" t="str">
        <f t="shared" si="46"/>
        <v/>
      </c>
      <c r="CB31" s="300"/>
      <c r="CC31" s="297" t="str">
        <f t="shared" si="95"/>
        <v/>
      </c>
      <c r="CD31" s="295" t="str">
        <f t="shared" si="47"/>
        <v/>
      </c>
      <c r="CE31" s="296" t="str">
        <f t="shared" si="48"/>
        <v/>
      </c>
      <c r="CF31" s="295" t="str">
        <f t="shared" si="49"/>
        <v/>
      </c>
      <c r="CG31" s="300"/>
      <c r="CH31" s="297" t="str">
        <f t="shared" si="96"/>
        <v/>
      </c>
      <c r="CI31" s="295" t="str">
        <f t="shared" si="50"/>
        <v/>
      </c>
      <c r="CJ31" s="296" t="str">
        <f t="shared" si="51"/>
        <v/>
      </c>
      <c r="CK31" s="295" t="str">
        <f t="shared" si="52"/>
        <v/>
      </c>
      <c r="CL31" s="476"/>
      <c r="CM31" s="297" t="str">
        <f t="shared" si="97"/>
        <v/>
      </c>
      <c r="CN31" s="295" t="str">
        <f t="shared" si="53"/>
        <v/>
      </c>
      <c r="CO31" s="296" t="str">
        <f t="shared" si="54"/>
        <v/>
      </c>
      <c r="CP31" s="295" t="str">
        <f t="shared" si="55"/>
        <v/>
      </c>
      <c r="CQ31" s="300"/>
      <c r="CR31" s="297" t="str">
        <f t="shared" si="98"/>
        <v/>
      </c>
      <c r="CS31" s="295" t="str">
        <f t="shared" si="56"/>
        <v/>
      </c>
      <c r="CT31" s="296" t="str">
        <f t="shared" si="57"/>
        <v/>
      </c>
      <c r="CU31" s="295" t="str">
        <f t="shared" si="58"/>
        <v/>
      </c>
      <c r="CV31" s="300"/>
      <c r="CW31" s="297" t="str">
        <f t="shared" si="99"/>
        <v/>
      </c>
      <c r="CX31" s="295" t="str">
        <f t="shared" si="59"/>
        <v/>
      </c>
      <c r="CY31" s="296" t="str">
        <f t="shared" si="60"/>
        <v/>
      </c>
      <c r="CZ31" s="295" t="str">
        <f t="shared" si="61"/>
        <v/>
      </c>
      <c r="DA31" s="300"/>
      <c r="DB31" s="297" t="str">
        <f t="shared" si="100"/>
        <v/>
      </c>
      <c r="DC31" s="295" t="str">
        <f t="shared" si="62"/>
        <v/>
      </c>
      <c r="DD31" s="296" t="str">
        <f t="shared" si="63"/>
        <v/>
      </c>
      <c r="DE31" s="295" t="str">
        <f t="shared" si="64"/>
        <v/>
      </c>
      <c r="DF31" s="300"/>
      <c r="DG31" s="297" t="str">
        <f t="shared" si="101"/>
        <v/>
      </c>
      <c r="DH31" s="295" t="str">
        <f t="shared" si="65"/>
        <v/>
      </c>
      <c r="DI31" s="296" t="str">
        <f t="shared" si="66"/>
        <v/>
      </c>
      <c r="DJ31" s="295" t="str">
        <f t="shared" si="67"/>
        <v/>
      </c>
      <c r="DK31" s="300"/>
      <c r="DL31" s="297" t="str">
        <f t="shared" si="102"/>
        <v/>
      </c>
      <c r="DM31" s="295" t="str">
        <f t="shared" si="68"/>
        <v/>
      </c>
      <c r="DN31" s="296" t="str">
        <f t="shared" si="69"/>
        <v/>
      </c>
      <c r="DO31" s="295" t="str">
        <f t="shared" si="70"/>
        <v/>
      </c>
      <c r="DP31" s="300"/>
      <c r="DQ31" s="297" t="str">
        <f t="shared" si="103"/>
        <v/>
      </c>
      <c r="DR31" s="295" t="str">
        <f t="shared" si="71"/>
        <v/>
      </c>
      <c r="DS31" s="296" t="str">
        <f t="shared" si="72"/>
        <v/>
      </c>
      <c r="DT31" s="295" t="str">
        <f t="shared" si="73"/>
        <v/>
      </c>
      <c r="DU31" s="300"/>
      <c r="DV31" s="297" t="str">
        <f t="shared" si="104"/>
        <v/>
      </c>
      <c r="DW31" s="295" t="str">
        <f>IF('1.ข้อมูลเบื้องต้น'!$B$32="","",IF($B31="","",'1.ข้อมูลเบื้องต้น'!$B$32))</f>
        <v/>
      </c>
      <c r="DX31" s="296" t="str">
        <f>IF('1.ข้อมูลเบื้องต้น'!$C$32="","",IF($B31="","",'1.ข้อมูลเบื้องต้น'!$C$32))</f>
        <v/>
      </c>
      <c r="DY31" s="295" t="str">
        <f>IF('1.ข้อมูลเบื้องต้น'!$D$32="","",IF($B31="","",'1.ข้อมูลเบื้องต้น'!$D$32))</f>
        <v/>
      </c>
      <c r="DZ31" s="300"/>
      <c r="EA31" s="297" t="str">
        <f t="shared" si="105"/>
        <v/>
      </c>
      <c r="EB31" s="386" t="str">
        <f>IF('6.1ประกาศผลปลายภาค'!AW34="","",'6.1ประกาศผลปลายภาค'!AW34)</f>
        <v/>
      </c>
      <c r="EC31" s="382" t="str">
        <f>IF('2.ชื่อนักเรียน'!R36="มส","มส",IF('2.ชื่อนักเรียน'!R36="ย้าย","ย้าย",IF('2.ชื่อนักเรียน'!R36="ร","ร",IF(EB31="","",RANK(EB31,$EB$6:$EB$50,0)))))</f>
        <v/>
      </c>
      <c r="ED31" s="388"/>
      <c r="EE31" s="388"/>
      <c r="EF31" s="388"/>
      <c r="EG31" s="388"/>
      <c r="EH31" s="295" t="str">
        <f>IF('2.ชื่อนักเรียน'!R36="มส","ไม่ผ่าน",IF('2.ชื่อนักเรียน'!R36="ย้าย","ย้าย",IF(COUNTA(ED31:EG31)&lt;4,"",IF(AND(ED31="ผ",EE31="ผ",EF31="ผ",EG31="ผ"),"ผ่าน","ไม่ผ่าน"))))</f>
        <v/>
      </c>
      <c r="EI31" s="300"/>
      <c r="EK31" s="465" t="str">
        <f t="shared" si="74"/>
        <v/>
      </c>
      <c r="EL31" s="466" t="str">
        <f t="shared" si="75"/>
        <v/>
      </c>
      <c r="EM31" s="467" t="str">
        <f t="shared" si="76"/>
        <v/>
      </c>
      <c r="EN31" s="466" t="str">
        <f t="shared" si="77"/>
        <v/>
      </c>
      <c r="EO31" s="467" t="str">
        <f t="shared" si="78"/>
        <v/>
      </c>
      <c r="EP31" s="466" t="str">
        <f t="shared" si="79"/>
        <v/>
      </c>
      <c r="EQ31" s="467" t="str">
        <f t="shared" si="106"/>
        <v/>
      </c>
      <c r="ER31" s="466" t="str">
        <f t="shared" si="107"/>
        <v/>
      </c>
      <c r="ES31" s="467" t="str">
        <f t="shared" si="80"/>
        <v/>
      </c>
      <c r="ET31" s="466" t="str">
        <f t="shared" si="81"/>
        <v/>
      </c>
    </row>
    <row r="32" spans="1:150" s="14" customFormat="1" ht="21" x14ac:dyDescent="0.4">
      <c r="A32" s="295">
        <v>27</v>
      </c>
      <c r="B32" s="295" t="str">
        <f>IF('2.ชื่อนักเรียน'!E37="","",CONCATENATE('2.ชื่อนักเรียน'!E37,'2.ชื่อนักเรียน'!F37,'2.ชื่อนักเรียน'!G37,'2.ชื่อนักเรียน'!H37,'2.ชื่อนักเรียน'!I37,'2.ชื่อนักเรียน'!J37,'2.ชื่อนักเรียน'!K37,'2.ชื่อนักเรียน'!L37,'2.ชื่อนักเรียน'!M37,'2.ชื่อนักเรียน'!N37,'2.ชื่อนักเรียน'!O37,'2.ชื่อนักเรียน'!P37,'2.ชื่อนักเรียน'!Q37,))</f>
        <v/>
      </c>
      <c r="C32" s="295" t="str">
        <f>IF(IDstu27="","",IDstu27)</f>
        <v/>
      </c>
      <c r="D32" s="497" t="str">
        <f>CONCATENATE(TRIM(Name27),"  ",Surname27)</f>
        <v xml:space="preserve">  </v>
      </c>
      <c r="E32" s="297" t="str">
        <f t="shared" si="0"/>
        <v/>
      </c>
      <c r="F32" s="295" t="str">
        <f t="shared" si="1"/>
        <v/>
      </c>
      <c r="G32" s="295" t="str">
        <f t="shared" si="2"/>
        <v/>
      </c>
      <c r="H32" s="296" t="str">
        <f t="shared" si="3"/>
        <v/>
      </c>
      <c r="I32" s="295" t="str">
        <f t="shared" si="4"/>
        <v/>
      </c>
      <c r="J32" s="300"/>
      <c r="K32" s="297" t="str">
        <f t="shared" si="82"/>
        <v/>
      </c>
      <c r="L32" s="295" t="str">
        <f t="shared" si="5"/>
        <v/>
      </c>
      <c r="M32" s="296" t="str">
        <f t="shared" si="6"/>
        <v/>
      </c>
      <c r="N32" s="295" t="str">
        <f t="shared" si="7"/>
        <v/>
      </c>
      <c r="O32" s="508"/>
      <c r="P32" s="297" t="str">
        <f t="shared" si="83"/>
        <v/>
      </c>
      <c r="Q32" s="295" t="str">
        <f t="shared" si="8"/>
        <v/>
      </c>
      <c r="R32" s="296" t="str">
        <f t="shared" si="9"/>
        <v/>
      </c>
      <c r="S32" s="295" t="str">
        <f t="shared" si="10"/>
        <v/>
      </c>
      <c r="T32" s="300"/>
      <c r="U32" s="297" t="str">
        <f t="shared" si="108"/>
        <v/>
      </c>
      <c r="V32" s="295" t="str">
        <f t="shared" si="11"/>
        <v/>
      </c>
      <c r="W32" s="296" t="str">
        <f t="shared" si="12"/>
        <v/>
      </c>
      <c r="X32" s="295" t="str">
        <f t="shared" si="13"/>
        <v/>
      </c>
      <c r="Y32" s="300"/>
      <c r="Z32" s="297" t="str">
        <f t="shared" si="84"/>
        <v/>
      </c>
      <c r="AA32" s="295" t="str">
        <f t="shared" si="14"/>
        <v/>
      </c>
      <c r="AB32" s="296" t="str">
        <f t="shared" si="15"/>
        <v/>
      </c>
      <c r="AC32" s="295" t="str">
        <f t="shared" si="16"/>
        <v/>
      </c>
      <c r="AD32" s="300"/>
      <c r="AE32" s="297" t="str">
        <f t="shared" si="85"/>
        <v/>
      </c>
      <c r="AF32" s="295" t="str">
        <f t="shared" si="17"/>
        <v/>
      </c>
      <c r="AG32" s="296" t="str">
        <f t="shared" si="18"/>
        <v/>
      </c>
      <c r="AH32" s="295" t="str">
        <f t="shared" si="19"/>
        <v/>
      </c>
      <c r="AI32" s="300"/>
      <c r="AJ32" s="297" t="str">
        <f t="shared" si="86"/>
        <v/>
      </c>
      <c r="AK32" s="295" t="str">
        <f t="shared" si="20"/>
        <v/>
      </c>
      <c r="AL32" s="296" t="str">
        <f t="shared" si="21"/>
        <v/>
      </c>
      <c r="AM32" s="295" t="str">
        <f t="shared" si="22"/>
        <v/>
      </c>
      <c r="AN32" s="300"/>
      <c r="AO32" s="297" t="str">
        <f t="shared" si="87"/>
        <v/>
      </c>
      <c r="AP32" s="295" t="str">
        <f t="shared" si="23"/>
        <v/>
      </c>
      <c r="AQ32" s="296" t="str">
        <f t="shared" si="24"/>
        <v/>
      </c>
      <c r="AR32" s="295" t="str">
        <f t="shared" si="25"/>
        <v/>
      </c>
      <c r="AS32" s="300"/>
      <c r="AT32" s="297" t="str">
        <f t="shared" si="88"/>
        <v/>
      </c>
      <c r="AU32" s="295" t="str">
        <f t="shared" si="26"/>
        <v/>
      </c>
      <c r="AV32" s="296" t="str">
        <f t="shared" si="27"/>
        <v/>
      </c>
      <c r="AW32" s="295" t="str">
        <f t="shared" si="28"/>
        <v/>
      </c>
      <c r="AX32" s="300"/>
      <c r="AY32" s="297" t="str">
        <f t="shared" si="89"/>
        <v/>
      </c>
      <c r="AZ32" s="295" t="str">
        <f t="shared" si="29"/>
        <v/>
      </c>
      <c r="BA32" s="296" t="str">
        <f t="shared" si="30"/>
        <v/>
      </c>
      <c r="BB32" s="295" t="str">
        <f t="shared" si="31"/>
        <v/>
      </c>
      <c r="BC32" s="300"/>
      <c r="BD32" s="297" t="str">
        <f t="shared" si="90"/>
        <v/>
      </c>
      <c r="BE32" s="295" t="str">
        <f t="shared" si="32"/>
        <v/>
      </c>
      <c r="BF32" s="296" t="str">
        <f t="shared" si="33"/>
        <v/>
      </c>
      <c r="BG32" s="295" t="str">
        <f t="shared" si="34"/>
        <v/>
      </c>
      <c r="BH32" s="300"/>
      <c r="BI32" s="297" t="str">
        <f t="shared" si="91"/>
        <v/>
      </c>
      <c r="BJ32" s="295" t="str">
        <f t="shared" si="35"/>
        <v/>
      </c>
      <c r="BK32" s="296" t="str">
        <f t="shared" si="36"/>
        <v/>
      </c>
      <c r="BL32" s="295" t="str">
        <f t="shared" si="37"/>
        <v/>
      </c>
      <c r="BM32" s="300"/>
      <c r="BN32" s="297" t="str">
        <f t="shared" si="92"/>
        <v/>
      </c>
      <c r="BO32" s="295" t="str">
        <f t="shared" si="38"/>
        <v/>
      </c>
      <c r="BP32" s="296" t="str">
        <f t="shared" si="39"/>
        <v/>
      </c>
      <c r="BQ32" s="295" t="str">
        <f t="shared" si="40"/>
        <v/>
      </c>
      <c r="BR32" s="300"/>
      <c r="BS32" s="297" t="str">
        <f t="shared" si="93"/>
        <v/>
      </c>
      <c r="BT32" s="295" t="str">
        <f t="shared" si="41"/>
        <v/>
      </c>
      <c r="BU32" s="296" t="str">
        <f t="shared" si="42"/>
        <v/>
      </c>
      <c r="BV32" s="295" t="str">
        <f t="shared" si="43"/>
        <v/>
      </c>
      <c r="BW32" s="300"/>
      <c r="BX32" s="297" t="str">
        <f t="shared" si="94"/>
        <v/>
      </c>
      <c r="BY32" s="295" t="str">
        <f t="shared" si="44"/>
        <v/>
      </c>
      <c r="BZ32" s="296" t="str">
        <f t="shared" si="45"/>
        <v/>
      </c>
      <c r="CA32" s="295" t="str">
        <f t="shared" si="46"/>
        <v/>
      </c>
      <c r="CB32" s="300"/>
      <c r="CC32" s="297" t="str">
        <f t="shared" si="95"/>
        <v/>
      </c>
      <c r="CD32" s="295" t="str">
        <f t="shared" si="47"/>
        <v/>
      </c>
      <c r="CE32" s="296" t="str">
        <f t="shared" si="48"/>
        <v/>
      </c>
      <c r="CF32" s="295" t="str">
        <f t="shared" si="49"/>
        <v/>
      </c>
      <c r="CG32" s="300"/>
      <c r="CH32" s="297" t="str">
        <f t="shared" si="96"/>
        <v/>
      </c>
      <c r="CI32" s="295" t="str">
        <f t="shared" si="50"/>
        <v/>
      </c>
      <c r="CJ32" s="296" t="str">
        <f t="shared" si="51"/>
        <v/>
      </c>
      <c r="CK32" s="295" t="str">
        <f t="shared" si="52"/>
        <v/>
      </c>
      <c r="CL32" s="300"/>
      <c r="CM32" s="297" t="str">
        <f t="shared" si="97"/>
        <v/>
      </c>
      <c r="CN32" s="295" t="str">
        <f t="shared" si="53"/>
        <v/>
      </c>
      <c r="CO32" s="296" t="str">
        <f t="shared" si="54"/>
        <v/>
      </c>
      <c r="CP32" s="295" t="str">
        <f t="shared" si="55"/>
        <v/>
      </c>
      <c r="CQ32" s="300"/>
      <c r="CR32" s="297" t="str">
        <f t="shared" si="98"/>
        <v/>
      </c>
      <c r="CS32" s="295" t="str">
        <f t="shared" si="56"/>
        <v/>
      </c>
      <c r="CT32" s="296" t="str">
        <f t="shared" si="57"/>
        <v/>
      </c>
      <c r="CU32" s="295" t="str">
        <f t="shared" si="58"/>
        <v/>
      </c>
      <c r="CV32" s="300"/>
      <c r="CW32" s="297" t="str">
        <f t="shared" si="99"/>
        <v/>
      </c>
      <c r="CX32" s="295" t="str">
        <f t="shared" si="59"/>
        <v/>
      </c>
      <c r="CY32" s="296" t="str">
        <f t="shared" si="60"/>
        <v/>
      </c>
      <c r="CZ32" s="295" t="str">
        <f t="shared" si="61"/>
        <v/>
      </c>
      <c r="DA32" s="300"/>
      <c r="DB32" s="297" t="str">
        <f t="shared" si="100"/>
        <v/>
      </c>
      <c r="DC32" s="295" t="str">
        <f t="shared" si="62"/>
        <v/>
      </c>
      <c r="DD32" s="296" t="str">
        <f t="shared" si="63"/>
        <v/>
      </c>
      <c r="DE32" s="295" t="str">
        <f t="shared" si="64"/>
        <v/>
      </c>
      <c r="DF32" s="300"/>
      <c r="DG32" s="297" t="str">
        <f t="shared" si="101"/>
        <v/>
      </c>
      <c r="DH32" s="295" t="str">
        <f t="shared" si="65"/>
        <v/>
      </c>
      <c r="DI32" s="296" t="str">
        <f t="shared" si="66"/>
        <v/>
      </c>
      <c r="DJ32" s="295" t="str">
        <f t="shared" si="67"/>
        <v/>
      </c>
      <c r="DK32" s="300"/>
      <c r="DL32" s="297" t="str">
        <f t="shared" si="102"/>
        <v/>
      </c>
      <c r="DM32" s="295" t="str">
        <f t="shared" si="68"/>
        <v/>
      </c>
      <c r="DN32" s="296" t="str">
        <f t="shared" si="69"/>
        <v/>
      </c>
      <c r="DO32" s="295" t="str">
        <f t="shared" si="70"/>
        <v/>
      </c>
      <c r="DP32" s="300"/>
      <c r="DQ32" s="297" t="str">
        <f t="shared" si="103"/>
        <v/>
      </c>
      <c r="DR32" s="295" t="str">
        <f t="shared" si="71"/>
        <v/>
      </c>
      <c r="DS32" s="296" t="str">
        <f t="shared" si="72"/>
        <v/>
      </c>
      <c r="DT32" s="295" t="str">
        <f t="shared" si="73"/>
        <v/>
      </c>
      <c r="DU32" s="300"/>
      <c r="DV32" s="297" t="str">
        <f t="shared" si="104"/>
        <v/>
      </c>
      <c r="DW32" s="295" t="str">
        <f>IF('1.ข้อมูลเบื้องต้น'!$B$32="","",IF($B32="","",'1.ข้อมูลเบื้องต้น'!$B$32))</f>
        <v/>
      </c>
      <c r="DX32" s="296" t="str">
        <f>IF('1.ข้อมูลเบื้องต้น'!$C$32="","",IF($B32="","",'1.ข้อมูลเบื้องต้น'!$C$32))</f>
        <v/>
      </c>
      <c r="DY32" s="295" t="str">
        <f>IF('1.ข้อมูลเบื้องต้น'!$D$32="","",IF($B32="","",'1.ข้อมูลเบื้องต้น'!$D$32))</f>
        <v/>
      </c>
      <c r="DZ32" s="300"/>
      <c r="EA32" s="297" t="str">
        <f t="shared" si="105"/>
        <v/>
      </c>
      <c r="EB32" s="386" t="str">
        <f>IF('6.1ประกาศผลปลายภาค'!AW35="","",'6.1ประกาศผลปลายภาค'!AW35)</f>
        <v/>
      </c>
      <c r="EC32" s="382" t="str">
        <f>IF('2.ชื่อนักเรียน'!R37="มส","มส",IF('2.ชื่อนักเรียน'!R37="ย้าย","ย้าย",IF('2.ชื่อนักเรียน'!R37="ร","ร",IF(EB32="","",RANK(EB32,$EB$6:$EB$50,0)))))</f>
        <v/>
      </c>
      <c r="ED32" s="388"/>
      <c r="EE32" s="388"/>
      <c r="EF32" s="388"/>
      <c r="EG32" s="388"/>
      <c r="EH32" s="295" t="str">
        <f>IF('2.ชื่อนักเรียน'!R37="มส","ไม่ผ่าน",IF('2.ชื่อนักเรียน'!R37="ย้าย","ย้าย",IF(COUNTA(ED32:EG32)&lt;4,"",IF(AND(ED32="ผ",EE32="ผ",EF32="ผ",EG32="ผ"),"ผ่าน","ไม่ผ่าน"))))</f>
        <v/>
      </c>
      <c r="EI32" s="300"/>
      <c r="EK32" s="459" t="str">
        <f t="shared" si="74"/>
        <v/>
      </c>
      <c r="EL32" s="460" t="str">
        <f t="shared" si="75"/>
        <v/>
      </c>
      <c r="EM32" s="461" t="str">
        <f t="shared" si="76"/>
        <v/>
      </c>
      <c r="EN32" s="460" t="str">
        <f t="shared" si="77"/>
        <v/>
      </c>
      <c r="EO32" s="461" t="str">
        <f t="shared" si="78"/>
        <v/>
      </c>
      <c r="EP32" s="460" t="str">
        <f t="shared" si="79"/>
        <v/>
      </c>
      <c r="EQ32" s="461" t="str">
        <f t="shared" si="106"/>
        <v/>
      </c>
      <c r="ER32" s="460" t="str">
        <f t="shared" si="107"/>
        <v/>
      </c>
      <c r="ES32" s="461" t="str">
        <f t="shared" si="80"/>
        <v/>
      </c>
      <c r="ET32" s="460" t="str">
        <f t="shared" si="81"/>
        <v/>
      </c>
    </row>
    <row r="33" spans="1:150" s="14" customFormat="1" ht="21" x14ac:dyDescent="0.4">
      <c r="A33" s="295">
        <v>28</v>
      </c>
      <c r="B33" s="295" t="str">
        <f>IF('2.ชื่อนักเรียน'!E38="","",CONCATENATE('2.ชื่อนักเรียน'!E38,'2.ชื่อนักเรียน'!F38,'2.ชื่อนักเรียน'!G38,'2.ชื่อนักเรียน'!H38,'2.ชื่อนักเรียน'!I38,'2.ชื่อนักเรียน'!J38,'2.ชื่อนักเรียน'!K38,'2.ชื่อนักเรียน'!L38,'2.ชื่อนักเรียน'!M38,'2.ชื่อนักเรียน'!N38,'2.ชื่อนักเรียน'!O38,'2.ชื่อนักเรียน'!P38,'2.ชื่อนักเรียน'!Q38,))</f>
        <v/>
      </c>
      <c r="C33" s="295" t="str">
        <f>IF(IDstu28="","",IDstu28)</f>
        <v/>
      </c>
      <c r="D33" s="497" t="str">
        <f>CONCATENATE(TRIM(Name28),"  ",Surname28)</f>
        <v xml:space="preserve">  </v>
      </c>
      <c r="E33" s="297" t="str">
        <f t="shared" si="0"/>
        <v/>
      </c>
      <c r="F33" s="295" t="str">
        <f t="shared" si="1"/>
        <v/>
      </c>
      <c r="G33" s="295" t="str">
        <f t="shared" si="2"/>
        <v/>
      </c>
      <c r="H33" s="296" t="str">
        <f t="shared" si="3"/>
        <v/>
      </c>
      <c r="I33" s="295" t="str">
        <f t="shared" si="4"/>
        <v/>
      </c>
      <c r="J33" s="300"/>
      <c r="K33" s="297" t="str">
        <f t="shared" si="82"/>
        <v/>
      </c>
      <c r="L33" s="295" t="str">
        <f t="shared" si="5"/>
        <v/>
      </c>
      <c r="M33" s="296" t="str">
        <f t="shared" si="6"/>
        <v/>
      </c>
      <c r="N33" s="295" t="str">
        <f t="shared" si="7"/>
        <v/>
      </c>
      <c r="O33" s="508"/>
      <c r="P33" s="297" t="str">
        <f t="shared" si="83"/>
        <v/>
      </c>
      <c r="Q33" s="295" t="str">
        <f t="shared" si="8"/>
        <v/>
      </c>
      <c r="R33" s="296" t="str">
        <f t="shared" si="9"/>
        <v/>
      </c>
      <c r="S33" s="295" t="str">
        <f t="shared" si="10"/>
        <v/>
      </c>
      <c r="T33" s="300"/>
      <c r="U33" s="297" t="str">
        <f t="shared" si="108"/>
        <v/>
      </c>
      <c r="V33" s="295" t="str">
        <f t="shared" si="11"/>
        <v/>
      </c>
      <c r="W33" s="296" t="str">
        <f t="shared" si="12"/>
        <v/>
      </c>
      <c r="X33" s="295" t="str">
        <f t="shared" si="13"/>
        <v/>
      </c>
      <c r="Y33" s="300"/>
      <c r="Z33" s="297" t="str">
        <f t="shared" si="84"/>
        <v/>
      </c>
      <c r="AA33" s="295" t="str">
        <f t="shared" si="14"/>
        <v/>
      </c>
      <c r="AB33" s="296" t="str">
        <f t="shared" si="15"/>
        <v/>
      </c>
      <c r="AC33" s="295" t="str">
        <f t="shared" si="16"/>
        <v/>
      </c>
      <c r="AD33" s="300"/>
      <c r="AE33" s="297" t="str">
        <f t="shared" si="85"/>
        <v/>
      </c>
      <c r="AF33" s="295" t="str">
        <f t="shared" si="17"/>
        <v/>
      </c>
      <c r="AG33" s="296" t="str">
        <f t="shared" si="18"/>
        <v/>
      </c>
      <c r="AH33" s="295" t="str">
        <f t="shared" si="19"/>
        <v/>
      </c>
      <c r="AI33" s="300"/>
      <c r="AJ33" s="297" t="str">
        <f t="shared" si="86"/>
        <v/>
      </c>
      <c r="AK33" s="295" t="str">
        <f t="shared" si="20"/>
        <v/>
      </c>
      <c r="AL33" s="296" t="str">
        <f t="shared" si="21"/>
        <v/>
      </c>
      <c r="AM33" s="295" t="str">
        <f t="shared" si="22"/>
        <v/>
      </c>
      <c r="AN33" s="300"/>
      <c r="AO33" s="297" t="str">
        <f t="shared" si="87"/>
        <v/>
      </c>
      <c r="AP33" s="295" t="str">
        <f t="shared" si="23"/>
        <v/>
      </c>
      <c r="AQ33" s="296" t="str">
        <f t="shared" si="24"/>
        <v/>
      </c>
      <c r="AR33" s="295" t="str">
        <f t="shared" si="25"/>
        <v/>
      </c>
      <c r="AS33" s="300"/>
      <c r="AT33" s="297" t="str">
        <f t="shared" si="88"/>
        <v/>
      </c>
      <c r="AU33" s="295" t="str">
        <f t="shared" si="26"/>
        <v/>
      </c>
      <c r="AV33" s="296" t="str">
        <f t="shared" si="27"/>
        <v/>
      </c>
      <c r="AW33" s="295" t="str">
        <f t="shared" si="28"/>
        <v/>
      </c>
      <c r="AX33" s="300"/>
      <c r="AY33" s="297" t="str">
        <f t="shared" si="89"/>
        <v/>
      </c>
      <c r="AZ33" s="295" t="str">
        <f t="shared" si="29"/>
        <v/>
      </c>
      <c r="BA33" s="296" t="str">
        <f t="shared" si="30"/>
        <v/>
      </c>
      <c r="BB33" s="295" t="str">
        <f t="shared" si="31"/>
        <v/>
      </c>
      <c r="BC33" s="300"/>
      <c r="BD33" s="297" t="str">
        <f t="shared" si="90"/>
        <v/>
      </c>
      <c r="BE33" s="295" t="str">
        <f t="shared" si="32"/>
        <v/>
      </c>
      <c r="BF33" s="296" t="str">
        <f t="shared" si="33"/>
        <v/>
      </c>
      <c r="BG33" s="295" t="str">
        <f t="shared" si="34"/>
        <v/>
      </c>
      <c r="BH33" s="300"/>
      <c r="BI33" s="297" t="str">
        <f t="shared" si="91"/>
        <v/>
      </c>
      <c r="BJ33" s="295" t="str">
        <f t="shared" si="35"/>
        <v/>
      </c>
      <c r="BK33" s="296" t="str">
        <f t="shared" si="36"/>
        <v/>
      </c>
      <c r="BL33" s="295" t="str">
        <f t="shared" si="37"/>
        <v/>
      </c>
      <c r="BM33" s="300"/>
      <c r="BN33" s="297" t="str">
        <f t="shared" si="92"/>
        <v/>
      </c>
      <c r="BO33" s="295" t="str">
        <f t="shared" si="38"/>
        <v/>
      </c>
      <c r="BP33" s="296" t="str">
        <f t="shared" si="39"/>
        <v/>
      </c>
      <c r="BQ33" s="295" t="str">
        <f t="shared" si="40"/>
        <v/>
      </c>
      <c r="BR33" s="300"/>
      <c r="BS33" s="297" t="str">
        <f t="shared" si="93"/>
        <v/>
      </c>
      <c r="BT33" s="295" t="str">
        <f t="shared" si="41"/>
        <v/>
      </c>
      <c r="BU33" s="296" t="str">
        <f t="shared" si="42"/>
        <v/>
      </c>
      <c r="BV33" s="295" t="str">
        <f t="shared" si="43"/>
        <v/>
      </c>
      <c r="BW33" s="300"/>
      <c r="BX33" s="297" t="str">
        <f t="shared" si="94"/>
        <v/>
      </c>
      <c r="BY33" s="295" t="str">
        <f t="shared" si="44"/>
        <v/>
      </c>
      <c r="BZ33" s="296" t="str">
        <f t="shared" si="45"/>
        <v/>
      </c>
      <c r="CA33" s="295" t="str">
        <f t="shared" si="46"/>
        <v/>
      </c>
      <c r="CB33" s="300"/>
      <c r="CC33" s="297" t="str">
        <f t="shared" si="95"/>
        <v/>
      </c>
      <c r="CD33" s="295" t="str">
        <f t="shared" si="47"/>
        <v/>
      </c>
      <c r="CE33" s="296" t="str">
        <f t="shared" si="48"/>
        <v/>
      </c>
      <c r="CF33" s="295" t="str">
        <f t="shared" si="49"/>
        <v/>
      </c>
      <c r="CG33" s="300"/>
      <c r="CH33" s="297" t="str">
        <f t="shared" si="96"/>
        <v/>
      </c>
      <c r="CI33" s="295" t="str">
        <f t="shared" si="50"/>
        <v/>
      </c>
      <c r="CJ33" s="296" t="str">
        <f t="shared" si="51"/>
        <v/>
      </c>
      <c r="CK33" s="295" t="str">
        <f t="shared" si="52"/>
        <v/>
      </c>
      <c r="CL33" s="300"/>
      <c r="CM33" s="297" t="str">
        <f t="shared" si="97"/>
        <v/>
      </c>
      <c r="CN33" s="295" t="str">
        <f t="shared" si="53"/>
        <v/>
      </c>
      <c r="CO33" s="296" t="str">
        <f t="shared" si="54"/>
        <v/>
      </c>
      <c r="CP33" s="295" t="str">
        <f t="shared" si="55"/>
        <v/>
      </c>
      <c r="CQ33" s="300"/>
      <c r="CR33" s="297" t="str">
        <f t="shared" si="98"/>
        <v/>
      </c>
      <c r="CS33" s="295" t="str">
        <f t="shared" si="56"/>
        <v/>
      </c>
      <c r="CT33" s="296" t="str">
        <f t="shared" si="57"/>
        <v/>
      </c>
      <c r="CU33" s="295" t="str">
        <f t="shared" si="58"/>
        <v/>
      </c>
      <c r="CV33" s="300"/>
      <c r="CW33" s="297" t="str">
        <f t="shared" si="99"/>
        <v/>
      </c>
      <c r="CX33" s="295" t="str">
        <f t="shared" si="59"/>
        <v/>
      </c>
      <c r="CY33" s="296" t="str">
        <f t="shared" si="60"/>
        <v/>
      </c>
      <c r="CZ33" s="295" t="str">
        <f t="shared" si="61"/>
        <v/>
      </c>
      <c r="DA33" s="300"/>
      <c r="DB33" s="297" t="str">
        <f t="shared" si="100"/>
        <v/>
      </c>
      <c r="DC33" s="295" t="str">
        <f t="shared" si="62"/>
        <v/>
      </c>
      <c r="DD33" s="296" t="str">
        <f t="shared" si="63"/>
        <v/>
      </c>
      <c r="DE33" s="295" t="str">
        <f t="shared" si="64"/>
        <v/>
      </c>
      <c r="DF33" s="300"/>
      <c r="DG33" s="297" t="str">
        <f t="shared" si="101"/>
        <v/>
      </c>
      <c r="DH33" s="295" t="str">
        <f t="shared" si="65"/>
        <v/>
      </c>
      <c r="DI33" s="296" t="str">
        <f t="shared" si="66"/>
        <v/>
      </c>
      <c r="DJ33" s="295" t="str">
        <f t="shared" si="67"/>
        <v/>
      </c>
      <c r="DK33" s="300"/>
      <c r="DL33" s="297" t="str">
        <f t="shared" si="102"/>
        <v/>
      </c>
      <c r="DM33" s="295" t="str">
        <f t="shared" si="68"/>
        <v/>
      </c>
      <c r="DN33" s="296" t="str">
        <f t="shared" si="69"/>
        <v/>
      </c>
      <c r="DO33" s="295" t="str">
        <f t="shared" si="70"/>
        <v/>
      </c>
      <c r="DP33" s="300"/>
      <c r="DQ33" s="297" t="str">
        <f t="shared" si="103"/>
        <v/>
      </c>
      <c r="DR33" s="295" t="str">
        <f t="shared" si="71"/>
        <v/>
      </c>
      <c r="DS33" s="296" t="str">
        <f t="shared" si="72"/>
        <v/>
      </c>
      <c r="DT33" s="295" t="str">
        <f t="shared" si="73"/>
        <v/>
      </c>
      <c r="DU33" s="300"/>
      <c r="DV33" s="297" t="str">
        <f t="shared" si="104"/>
        <v/>
      </c>
      <c r="DW33" s="295" t="str">
        <f>IF('1.ข้อมูลเบื้องต้น'!$B$32="","",IF($B33="","",'1.ข้อมูลเบื้องต้น'!$B$32))</f>
        <v/>
      </c>
      <c r="DX33" s="296" t="str">
        <f>IF('1.ข้อมูลเบื้องต้น'!$C$32="","",IF($B33="","",'1.ข้อมูลเบื้องต้น'!$C$32))</f>
        <v/>
      </c>
      <c r="DY33" s="295" t="str">
        <f>IF('1.ข้อมูลเบื้องต้น'!$D$32="","",IF($B33="","",'1.ข้อมูลเบื้องต้น'!$D$32))</f>
        <v/>
      </c>
      <c r="DZ33" s="300"/>
      <c r="EA33" s="297" t="str">
        <f t="shared" si="105"/>
        <v/>
      </c>
      <c r="EB33" s="386" t="str">
        <f>IF('6.1ประกาศผลปลายภาค'!AW36="","",'6.1ประกาศผลปลายภาค'!AW36)</f>
        <v/>
      </c>
      <c r="EC33" s="382" t="str">
        <f>IF('2.ชื่อนักเรียน'!R38="มส","มส",IF('2.ชื่อนักเรียน'!R38="ย้าย","ย้าย",IF('2.ชื่อนักเรียน'!R38="ร","ร",IF(EB33="","",RANK(EB33,$EB$6:$EB$50,0)))))</f>
        <v/>
      </c>
      <c r="ED33" s="388"/>
      <c r="EE33" s="388"/>
      <c r="EF33" s="388"/>
      <c r="EG33" s="388"/>
      <c r="EH33" s="295" t="str">
        <f>IF('2.ชื่อนักเรียน'!R38="มส","ไม่ผ่าน",IF('2.ชื่อนักเรียน'!R38="ย้าย","ย้าย",IF(COUNTA(ED33:EG33)&lt;4,"",IF(AND(ED33="ผ",EE33="ผ",EF33="ผ",EG33="ผ"),"ผ่าน","ไม่ผ่าน"))))</f>
        <v/>
      </c>
      <c r="EI33" s="300"/>
      <c r="EK33" s="459" t="str">
        <f t="shared" si="74"/>
        <v/>
      </c>
      <c r="EL33" s="460" t="str">
        <f t="shared" si="75"/>
        <v/>
      </c>
      <c r="EM33" s="461" t="str">
        <f t="shared" si="76"/>
        <v/>
      </c>
      <c r="EN33" s="460" t="str">
        <f t="shared" si="77"/>
        <v/>
      </c>
      <c r="EO33" s="461" t="str">
        <f t="shared" si="78"/>
        <v/>
      </c>
      <c r="EP33" s="460" t="str">
        <f t="shared" si="79"/>
        <v/>
      </c>
      <c r="EQ33" s="461" t="str">
        <f t="shared" si="106"/>
        <v/>
      </c>
      <c r="ER33" s="460" t="str">
        <f t="shared" si="107"/>
        <v/>
      </c>
      <c r="ES33" s="461" t="str">
        <f t="shared" si="80"/>
        <v/>
      </c>
      <c r="ET33" s="460" t="str">
        <f t="shared" si="81"/>
        <v/>
      </c>
    </row>
    <row r="34" spans="1:150" s="14" customFormat="1" ht="21" x14ac:dyDescent="0.4">
      <c r="A34" s="295">
        <v>29</v>
      </c>
      <c r="B34" s="295" t="str">
        <f>IF('2.ชื่อนักเรียน'!E39="","",CONCATENATE('2.ชื่อนักเรียน'!E39,'2.ชื่อนักเรียน'!F39,'2.ชื่อนักเรียน'!G39,'2.ชื่อนักเรียน'!H39,'2.ชื่อนักเรียน'!I39,'2.ชื่อนักเรียน'!J39,'2.ชื่อนักเรียน'!K39,'2.ชื่อนักเรียน'!L39,'2.ชื่อนักเรียน'!M39,'2.ชื่อนักเรียน'!N39,'2.ชื่อนักเรียน'!O39,'2.ชื่อนักเรียน'!P39,'2.ชื่อนักเรียน'!Q39,))</f>
        <v/>
      </c>
      <c r="C34" s="295" t="str">
        <f>IF(IDstu29="","",IDstu29)</f>
        <v/>
      </c>
      <c r="D34" s="497" t="str">
        <f>CONCATENATE(TRIM(Name29),"  ",Surname29)</f>
        <v xml:space="preserve">  </v>
      </c>
      <c r="E34" s="297" t="str">
        <f t="shared" si="0"/>
        <v/>
      </c>
      <c r="F34" s="295" t="str">
        <f t="shared" si="1"/>
        <v/>
      </c>
      <c r="G34" s="295" t="str">
        <f t="shared" si="2"/>
        <v/>
      </c>
      <c r="H34" s="296" t="str">
        <f t="shared" si="3"/>
        <v/>
      </c>
      <c r="I34" s="295" t="str">
        <f t="shared" si="4"/>
        <v/>
      </c>
      <c r="J34" s="300"/>
      <c r="K34" s="297" t="str">
        <f t="shared" si="82"/>
        <v/>
      </c>
      <c r="L34" s="295" t="str">
        <f t="shared" si="5"/>
        <v/>
      </c>
      <c r="M34" s="296" t="str">
        <f t="shared" si="6"/>
        <v/>
      </c>
      <c r="N34" s="295" t="str">
        <f t="shared" si="7"/>
        <v/>
      </c>
      <c r="O34" s="300"/>
      <c r="P34" s="297" t="str">
        <f t="shared" si="83"/>
        <v/>
      </c>
      <c r="Q34" s="295" t="str">
        <f t="shared" si="8"/>
        <v/>
      </c>
      <c r="R34" s="296" t="str">
        <f t="shared" si="9"/>
        <v/>
      </c>
      <c r="S34" s="295" t="str">
        <f t="shared" si="10"/>
        <v/>
      </c>
      <c r="T34" s="300"/>
      <c r="U34" s="297" t="str">
        <f t="shared" si="108"/>
        <v/>
      </c>
      <c r="V34" s="295" t="str">
        <f t="shared" si="11"/>
        <v/>
      </c>
      <c r="W34" s="296" t="str">
        <f t="shared" si="12"/>
        <v/>
      </c>
      <c r="X34" s="295" t="str">
        <f t="shared" si="13"/>
        <v/>
      </c>
      <c r="Y34" s="300"/>
      <c r="Z34" s="297" t="str">
        <f t="shared" si="84"/>
        <v/>
      </c>
      <c r="AA34" s="295" t="str">
        <f t="shared" si="14"/>
        <v/>
      </c>
      <c r="AB34" s="296" t="str">
        <f t="shared" si="15"/>
        <v/>
      </c>
      <c r="AC34" s="295" t="str">
        <f t="shared" si="16"/>
        <v/>
      </c>
      <c r="AD34" s="300"/>
      <c r="AE34" s="297" t="str">
        <f t="shared" si="85"/>
        <v/>
      </c>
      <c r="AF34" s="295" t="str">
        <f t="shared" si="17"/>
        <v/>
      </c>
      <c r="AG34" s="296" t="str">
        <f t="shared" si="18"/>
        <v/>
      </c>
      <c r="AH34" s="295" t="str">
        <f t="shared" si="19"/>
        <v/>
      </c>
      <c r="AI34" s="300"/>
      <c r="AJ34" s="297" t="str">
        <f t="shared" si="86"/>
        <v/>
      </c>
      <c r="AK34" s="295" t="str">
        <f t="shared" si="20"/>
        <v/>
      </c>
      <c r="AL34" s="296" t="str">
        <f t="shared" si="21"/>
        <v/>
      </c>
      <c r="AM34" s="295" t="str">
        <f t="shared" si="22"/>
        <v/>
      </c>
      <c r="AN34" s="300"/>
      <c r="AO34" s="297" t="str">
        <f t="shared" si="87"/>
        <v/>
      </c>
      <c r="AP34" s="295" t="str">
        <f t="shared" si="23"/>
        <v/>
      </c>
      <c r="AQ34" s="296" t="str">
        <f t="shared" si="24"/>
        <v/>
      </c>
      <c r="AR34" s="295" t="str">
        <f t="shared" si="25"/>
        <v/>
      </c>
      <c r="AS34" s="300"/>
      <c r="AT34" s="297" t="str">
        <f t="shared" si="88"/>
        <v/>
      </c>
      <c r="AU34" s="295" t="str">
        <f t="shared" si="26"/>
        <v/>
      </c>
      <c r="AV34" s="296" t="str">
        <f t="shared" si="27"/>
        <v/>
      </c>
      <c r="AW34" s="295" t="str">
        <f t="shared" si="28"/>
        <v/>
      </c>
      <c r="AX34" s="300"/>
      <c r="AY34" s="297" t="str">
        <f t="shared" si="89"/>
        <v/>
      </c>
      <c r="AZ34" s="295" t="str">
        <f t="shared" si="29"/>
        <v/>
      </c>
      <c r="BA34" s="296" t="str">
        <f t="shared" si="30"/>
        <v/>
      </c>
      <c r="BB34" s="295" t="str">
        <f t="shared" si="31"/>
        <v/>
      </c>
      <c r="BC34" s="300"/>
      <c r="BD34" s="297" t="str">
        <f t="shared" si="90"/>
        <v/>
      </c>
      <c r="BE34" s="295" t="str">
        <f t="shared" si="32"/>
        <v/>
      </c>
      <c r="BF34" s="296" t="str">
        <f t="shared" si="33"/>
        <v/>
      </c>
      <c r="BG34" s="295" t="str">
        <f t="shared" si="34"/>
        <v/>
      </c>
      <c r="BH34" s="300"/>
      <c r="BI34" s="297" t="str">
        <f t="shared" si="91"/>
        <v/>
      </c>
      <c r="BJ34" s="295" t="str">
        <f t="shared" si="35"/>
        <v/>
      </c>
      <c r="BK34" s="296" t="str">
        <f t="shared" si="36"/>
        <v/>
      </c>
      <c r="BL34" s="295" t="str">
        <f t="shared" si="37"/>
        <v/>
      </c>
      <c r="BM34" s="300"/>
      <c r="BN34" s="297" t="str">
        <f t="shared" si="92"/>
        <v/>
      </c>
      <c r="BO34" s="295" t="str">
        <f t="shared" si="38"/>
        <v/>
      </c>
      <c r="BP34" s="296" t="str">
        <f t="shared" si="39"/>
        <v/>
      </c>
      <c r="BQ34" s="295" t="str">
        <f t="shared" si="40"/>
        <v/>
      </c>
      <c r="BR34" s="300"/>
      <c r="BS34" s="297" t="str">
        <f t="shared" si="93"/>
        <v/>
      </c>
      <c r="BT34" s="295" t="str">
        <f t="shared" si="41"/>
        <v/>
      </c>
      <c r="BU34" s="296" t="str">
        <f t="shared" si="42"/>
        <v/>
      </c>
      <c r="BV34" s="295" t="str">
        <f t="shared" si="43"/>
        <v/>
      </c>
      <c r="BW34" s="300"/>
      <c r="BX34" s="297" t="str">
        <f t="shared" si="94"/>
        <v/>
      </c>
      <c r="BY34" s="295" t="str">
        <f t="shared" si="44"/>
        <v/>
      </c>
      <c r="BZ34" s="296" t="str">
        <f t="shared" si="45"/>
        <v/>
      </c>
      <c r="CA34" s="295" t="str">
        <f t="shared" si="46"/>
        <v/>
      </c>
      <c r="CB34" s="300"/>
      <c r="CC34" s="297" t="str">
        <f t="shared" si="95"/>
        <v/>
      </c>
      <c r="CD34" s="295" t="str">
        <f t="shared" si="47"/>
        <v/>
      </c>
      <c r="CE34" s="296" t="str">
        <f t="shared" si="48"/>
        <v/>
      </c>
      <c r="CF34" s="295" t="str">
        <f t="shared" si="49"/>
        <v/>
      </c>
      <c r="CG34" s="300"/>
      <c r="CH34" s="297" t="str">
        <f t="shared" si="96"/>
        <v/>
      </c>
      <c r="CI34" s="295" t="str">
        <f t="shared" si="50"/>
        <v/>
      </c>
      <c r="CJ34" s="296" t="str">
        <f t="shared" si="51"/>
        <v/>
      </c>
      <c r="CK34" s="295" t="str">
        <f t="shared" si="52"/>
        <v/>
      </c>
      <c r="CL34" s="300"/>
      <c r="CM34" s="297" t="str">
        <f t="shared" si="97"/>
        <v/>
      </c>
      <c r="CN34" s="295" t="str">
        <f t="shared" si="53"/>
        <v/>
      </c>
      <c r="CO34" s="296" t="str">
        <f t="shared" si="54"/>
        <v/>
      </c>
      <c r="CP34" s="295" t="str">
        <f t="shared" si="55"/>
        <v/>
      </c>
      <c r="CQ34" s="300"/>
      <c r="CR34" s="297" t="str">
        <f t="shared" si="98"/>
        <v/>
      </c>
      <c r="CS34" s="295" t="str">
        <f t="shared" si="56"/>
        <v/>
      </c>
      <c r="CT34" s="296" t="str">
        <f t="shared" si="57"/>
        <v/>
      </c>
      <c r="CU34" s="295" t="str">
        <f t="shared" si="58"/>
        <v/>
      </c>
      <c r="CV34" s="300"/>
      <c r="CW34" s="297" t="str">
        <f t="shared" si="99"/>
        <v/>
      </c>
      <c r="CX34" s="295" t="str">
        <f t="shared" si="59"/>
        <v/>
      </c>
      <c r="CY34" s="296" t="str">
        <f t="shared" si="60"/>
        <v/>
      </c>
      <c r="CZ34" s="295" t="str">
        <f t="shared" si="61"/>
        <v/>
      </c>
      <c r="DA34" s="300"/>
      <c r="DB34" s="297" t="str">
        <f t="shared" si="100"/>
        <v/>
      </c>
      <c r="DC34" s="295" t="str">
        <f t="shared" si="62"/>
        <v/>
      </c>
      <c r="DD34" s="296" t="str">
        <f t="shared" si="63"/>
        <v/>
      </c>
      <c r="DE34" s="295" t="str">
        <f t="shared" si="64"/>
        <v/>
      </c>
      <c r="DF34" s="300"/>
      <c r="DG34" s="297" t="str">
        <f t="shared" si="101"/>
        <v/>
      </c>
      <c r="DH34" s="295" t="str">
        <f t="shared" si="65"/>
        <v/>
      </c>
      <c r="DI34" s="296" t="str">
        <f t="shared" si="66"/>
        <v/>
      </c>
      <c r="DJ34" s="295" t="str">
        <f t="shared" si="67"/>
        <v/>
      </c>
      <c r="DK34" s="300"/>
      <c r="DL34" s="297" t="str">
        <f t="shared" si="102"/>
        <v/>
      </c>
      <c r="DM34" s="295" t="str">
        <f t="shared" si="68"/>
        <v/>
      </c>
      <c r="DN34" s="296" t="str">
        <f t="shared" si="69"/>
        <v/>
      </c>
      <c r="DO34" s="295" t="str">
        <f t="shared" si="70"/>
        <v/>
      </c>
      <c r="DP34" s="300"/>
      <c r="DQ34" s="297" t="str">
        <f t="shared" si="103"/>
        <v/>
      </c>
      <c r="DR34" s="295" t="str">
        <f t="shared" si="71"/>
        <v/>
      </c>
      <c r="DS34" s="296" t="str">
        <f t="shared" si="72"/>
        <v/>
      </c>
      <c r="DT34" s="295" t="str">
        <f t="shared" si="73"/>
        <v/>
      </c>
      <c r="DU34" s="300"/>
      <c r="DV34" s="297" t="str">
        <f t="shared" si="104"/>
        <v/>
      </c>
      <c r="DW34" s="295" t="str">
        <f>IF('1.ข้อมูลเบื้องต้น'!$B$32="","",IF($B34="","",'1.ข้อมูลเบื้องต้น'!$B$32))</f>
        <v/>
      </c>
      <c r="DX34" s="296" t="str">
        <f>IF('1.ข้อมูลเบื้องต้น'!$C$32="","",IF($B34="","",'1.ข้อมูลเบื้องต้น'!$C$32))</f>
        <v/>
      </c>
      <c r="DY34" s="295" t="str">
        <f>IF('1.ข้อมูลเบื้องต้น'!$D$32="","",IF($B34="","",'1.ข้อมูลเบื้องต้น'!$D$32))</f>
        <v/>
      </c>
      <c r="DZ34" s="300"/>
      <c r="EA34" s="297" t="str">
        <f t="shared" si="105"/>
        <v/>
      </c>
      <c r="EB34" s="386" t="str">
        <f>IF('6.1ประกาศผลปลายภาค'!AW37="","",'6.1ประกาศผลปลายภาค'!AW37)</f>
        <v/>
      </c>
      <c r="EC34" s="382" t="str">
        <f>IF('2.ชื่อนักเรียน'!R39="มส","มส",IF('2.ชื่อนักเรียน'!R39="ย้าย","ย้าย",IF('2.ชื่อนักเรียน'!R39="ร","ร",IF(EB34="","",RANK(EB34,$EB$6:$EB$50,0)))))</f>
        <v/>
      </c>
      <c r="ED34" s="388"/>
      <c r="EE34" s="388"/>
      <c r="EF34" s="388"/>
      <c r="EG34" s="388"/>
      <c r="EH34" s="295" t="str">
        <f>IF('2.ชื่อนักเรียน'!R39="มส","ไม่ผ่าน",IF('2.ชื่อนักเรียน'!R39="ย้าย","ย้าย",IF(COUNTA(ED34:EG34)&lt;4,"",IF(AND(ED34="ผ",EE34="ผ",EF34="ผ",EG34="ผ"),"ผ่าน","ไม่ผ่าน"))))</f>
        <v/>
      </c>
      <c r="EI34" s="300"/>
      <c r="EK34" s="459" t="str">
        <f t="shared" si="74"/>
        <v/>
      </c>
      <c r="EL34" s="460" t="str">
        <f t="shared" si="75"/>
        <v/>
      </c>
      <c r="EM34" s="461" t="str">
        <f t="shared" si="76"/>
        <v/>
      </c>
      <c r="EN34" s="460" t="str">
        <f t="shared" si="77"/>
        <v/>
      </c>
      <c r="EO34" s="461" t="str">
        <f t="shared" si="78"/>
        <v/>
      </c>
      <c r="EP34" s="460" t="str">
        <f t="shared" si="79"/>
        <v/>
      </c>
      <c r="EQ34" s="461" t="str">
        <f t="shared" si="106"/>
        <v/>
      </c>
      <c r="ER34" s="460" t="str">
        <f t="shared" si="107"/>
        <v/>
      </c>
      <c r="ES34" s="461" t="str">
        <f t="shared" si="80"/>
        <v/>
      </c>
      <c r="ET34" s="460" t="str">
        <f t="shared" si="81"/>
        <v/>
      </c>
    </row>
    <row r="35" spans="1:150" s="14" customFormat="1" ht="21.6" thickBot="1" x14ac:dyDescent="0.45">
      <c r="A35" s="295">
        <v>30</v>
      </c>
      <c r="B35" s="295" t="str">
        <f>IF('2.ชื่อนักเรียน'!E40="","",CONCATENATE('2.ชื่อนักเรียน'!E40,'2.ชื่อนักเรียน'!F40,'2.ชื่อนักเรียน'!G40,'2.ชื่อนักเรียน'!H40,'2.ชื่อนักเรียน'!I40,'2.ชื่อนักเรียน'!J40,'2.ชื่อนักเรียน'!K40,'2.ชื่อนักเรียน'!L40,'2.ชื่อนักเรียน'!M40,'2.ชื่อนักเรียน'!N40,'2.ชื่อนักเรียน'!O40,'2.ชื่อนักเรียน'!P40,'2.ชื่อนักเรียน'!Q40,))</f>
        <v/>
      </c>
      <c r="C35" s="295" t="str">
        <f>IF(IDstu30="","",IDstu30)</f>
        <v/>
      </c>
      <c r="D35" s="497" t="str">
        <f>CONCATENATE(TRIM(Name30),"  ",Surname30)</f>
        <v xml:space="preserve">  </v>
      </c>
      <c r="E35" s="297" t="str">
        <f t="shared" si="0"/>
        <v/>
      </c>
      <c r="F35" s="295" t="str">
        <f t="shared" si="1"/>
        <v/>
      </c>
      <c r="G35" s="295" t="str">
        <f t="shared" si="2"/>
        <v/>
      </c>
      <c r="H35" s="296" t="str">
        <f t="shared" si="3"/>
        <v/>
      </c>
      <c r="I35" s="295" t="str">
        <f t="shared" si="4"/>
        <v/>
      </c>
      <c r="J35" s="300"/>
      <c r="K35" s="297" t="str">
        <f t="shared" si="82"/>
        <v/>
      </c>
      <c r="L35" s="295" t="str">
        <f t="shared" si="5"/>
        <v/>
      </c>
      <c r="M35" s="296" t="str">
        <f t="shared" si="6"/>
        <v/>
      </c>
      <c r="N35" s="295" t="str">
        <f t="shared" si="7"/>
        <v/>
      </c>
      <c r="O35" s="300"/>
      <c r="P35" s="297" t="str">
        <f t="shared" si="83"/>
        <v/>
      </c>
      <c r="Q35" s="295" t="str">
        <f t="shared" si="8"/>
        <v/>
      </c>
      <c r="R35" s="296" t="str">
        <f t="shared" si="9"/>
        <v/>
      </c>
      <c r="S35" s="295" t="str">
        <f t="shared" si="10"/>
        <v/>
      </c>
      <c r="T35" s="300"/>
      <c r="U35" s="297" t="str">
        <f t="shared" si="108"/>
        <v/>
      </c>
      <c r="V35" s="295" t="str">
        <f t="shared" si="11"/>
        <v/>
      </c>
      <c r="W35" s="296" t="str">
        <f t="shared" si="12"/>
        <v/>
      </c>
      <c r="X35" s="295" t="str">
        <f t="shared" si="13"/>
        <v/>
      </c>
      <c r="Y35" s="300"/>
      <c r="Z35" s="297" t="str">
        <f t="shared" si="84"/>
        <v/>
      </c>
      <c r="AA35" s="295" t="str">
        <f t="shared" si="14"/>
        <v/>
      </c>
      <c r="AB35" s="296" t="str">
        <f t="shared" si="15"/>
        <v/>
      </c>
      <c r="AC35" s="295" t="str">
        <f t="shared" si="16"/>
        <v/>
      </c>
      <c r="AD35" s="300"/>
      <c r="AE35" s="297" t="str">
        <f t="shared" si="85"/>
        <v/>
      </c>
      <c r="AF35" s="295" t="str">
        <f t="shared" si="17"/>
        <v/>
      </c>
      <c r="AG35" s="296" t="str">
        <f t="shared" si="18"/>
        <v/>
      </c>
      <c r="AH35" s="295" t="str">
        <f t="shared" si="19"/>
        <v/>
      </c>
      <c r="AI35" s="300"/>
      <c r="AJ35" s="297" t="str">
        <f t="shared" si="86"/>
        <v/>
      </c>
      <c r="AK35" s="295" t="str">
        <f t="shared" si="20"/>
        <v/>
      </c>
      <c r="AL35" s="296" t="str">
        <f t="shared" si="21"/>
        <v/>
      </c>
      <c r="AM35" s="295" t="str">
        <f t="shared" si="22"/>
        <v/>
      </c>
      <c r="AN35" s="300"/>
      <c r="AO35" s="297" t="str">
        <f t="shared" si="87"/>
        <v/>
      </c>
      <c r="AP35" s="295" t="str">
        <f t="shared" si="23"/>
        <v/>
      </c>
      <c r="AQ35" s="296" t="str">
        <f t="shared" si="24"/>
        <v/>
      </c>
      <c r="AR35" s="295" t="str">
        <f t="shared" si="25"/>
        <v/>
      </c>
      <c r="AS35" s="300"/>
      <c r="AT35" s="297" t="str">
        <f t="shared" si="88"/>
        <v/>
      </c>
      <c r="AU35" s="295" t="str">
        <f t="shared" si="26"/>
        <v/>
      </c>
      <c r="AV35" s="296" t="str">
        <f t="shared" si="27"/>
        <v/>
      </c>
      <c r="AW35" s="295" t="str">
        <f t="shared" si="28"/>
        <v/>
      </c>
      <c r="AX35" s="300"/>
      <c r="AY35" s="297" t="str">
        <f t="shared" si="89"/>
        <v/>
      </c>
      <c r="AZ35" s="295" t="str">
        <f t="shared" si="29"/>
        <v/>
      </c>
      <c r="BA35" s="296" t="str">
        <f t="shared" si="30"/>
        <v/>
      </c>
      <c r="BB35" s="295" t="str">
        <f t="shared" si="31"/>
        <v/>
      </c>
      <c r="BC35" s="300"/>
      <c r="BD35" s="297" t="str">
        <f t="shared" si="90"/>
        <v/>
      </c>
      <c r="BE35" s="295" t="str">
        <f t="shared" si="32"/>
        <v/>
      </c>
      <c r="BF35" s="296" t="str">
        <f t="shared" si="33"/>
        <v/>
      </c>
      <c r="BG35" s="295" t="str">
        <f t="shared" si="34"/>
        <v/>
      </c>
      <c r="BH35" s="300"/>
      <c r="BI35" s="297" t="str">
        <f t="shared" si="91"/>
        <v/>
      </c>
      <c r="BJ35" s="295" t="str">
        <f t="shared" si="35"/>
        <v/>
      </c>
      <c r="BK35" s="296" t="str">
        <f t="shared" si="36"/>
        <v/>
      </c>
      <c r="BL35" s="295" t="str">
        <f t="shared" si="37"/>
        <v/>
      </c>
      <c r="BM35" s="300"/>
      <c r="BN35" s="297" t="str">
        <f t="shared" si="92"/>
        <v/>
      </c>
      <c r="BO35" s="295" t="str">
        <f t="shared" si="38"/>
        <v/>
      </c>
      <c r="BP35" s="296" t="str">
        <f t="shared" si="39"/>
        <v/>
      </c>
      <c r="BQ35" s="295" t="str">
        <f t="shared" si="40"/>
        <v/>
      </c>
      <c r="BR35" s="300"/>
      <c r="BS35" s="297" t="str">
        <f t="shared" si="93"/>
        <v/>
      </c>
      <c r="BT35" s="295" t="str">
        <f t="shared" si="41"/>
        <v/>
      </c>
      <c r="BU35" s="296" t="str">
        <f t="shared" si="42"/>
        <v/>
      </c>
      <c r="BV35" s="295" t="str">
        <f t="shared" si="43"/>
        <v/>
      </c>
      <c r="BW35" s="300"/>
      <c r="BX35" s="297" t="str">
        <f t="shared" si="94"/>
        <v/>
      </c>
      <c r="BY35" s="295" t="str">
        <f t="shared" si="44"/>
        <v/>
      </c>
      <c r="BZ35" s="296" t="str">
        <f t="shared" si="45"/>
        <v/>
      </c>
      <c r="CA35" s="295" t="str">
        <f t="shared" si="46"/>
        <v/>
      </c>
      <c r="CB35" s="300"/>
      <c r="CC35" s="297" t="str">
        <f t="shared" si="95"/>
        <v/>
      </c>
      <c r="CD35" s="295" t="str">
        <f t="shared" si="47"/>
        <v/>
      </c>
      <c r="CE35" s="296" t="str">
        <f t="shared" si="48"/>
        <v/>
      </c>
      <c r="CF35" s="295" t="str">
        <f t="shared" si="49"/>
        <v/>
      </c>
      <c r="CG35" s="300"/>
      <c r="CH35" s="297" t="str">
        <f t="shared" si="96"/>
        <v/>
      </c>
      <c r="CI35" s="295" t="str">
        <f t="shared" si="50"/>
        <v/>
      </c>
      <c r="CJ35" s="296" t="str">
        <f t="shared" si="51"/>
        <v/>
      </c>
      <c r="CK35" s="295" t="str">
        <f t="shared" si="52"/>
        <v/>
      </c>
      <c r="CL35" s="300"/>
      <c r="CM35" s="297" t="str">
        <f t="shared" si="97"/>
        <v/>
      </c>
      <c r="CN35" s="295" t="str">
        <f t="shared" si="53"/>
        <v/>
      </c>
      <c r="CO35" s="296" t="str">
        <f t="shared" si="54"/>
        <v/>
      </c>
      <c r="CP35" s="295" t="str">
        <f t="shared" si="55"/>
        <v/>
      </c>
      <c r="CQ35" s="300"/>
      <c r="CR35" s="297" t="str">
        <f t="shared" si="98"/>
        <v/>
      </c>
      <c r="CS35" s="295" t="str">
        <f t="shared" si="56"/>
        <v/>
      </c>
      <c r="CT35" s="296" t="str">
        <f t="shared" si="57"/>
        <v/>
      </c>
      <c r="CU35" s="295" t="str">
        <f t="shared" si="58"/>
        <v/>
      </c>
      <c r="CV35" s="300"/>
      <c r="CW35" s="297" t="str">
        <f t="shared" si="99"/>
        <v/>
      </c>
      <c r="CX35" s="295" t="str">
        <f t="shared" si="59"/>
        <v/>
      </c>
      <c r="CY35" s="296" t="str">
        <f t="shared" si="60"/>
        <v/>
      </c>
      <c r="CZ35" s="295" t="str">
        <f t="shared" si="61"/>
        <v/>
      </c>
      <c r="DA35" s="300"/>
      <c r="DB35" s="297" t="str">
        <f t="shared" si="100"/>
        <v/>
      </c>
      <c r="DC35" s="295" t="str">
        <f t="shared" si="62"/>
        <v/>
      </c>
      <c r="DD35" s="296" t="str">
        <f t="shared" si="63"/>
        <v/>
      </c>
      <c r="DE35" s="295" t="str">
        <f t="shared" si="64"/>
        <v/>
      </c>
      <c r="DF35" s="300"/>
      <c r="DG35" s="297" t="str">
        <f t="shared" si="101"/>
        <v/>
      </c>
      <c r="DH35" s="295" t="str">
        <f t="shared" si="65"/>
        <v/>
      </c>
      <c r="DI35" s="296" t="str">
        <f t="shared" si="66"/>
        <v/>
      </c>
      <c r="DJ35" s="295" t="str">
        <f t="shared" si="67"/>
        <v/>
      </c>
      <c r="DK35" s="300"/>
      <c r="DL35" s="297" t="str">
        <f t="shared" si="102"/>
        <v/>
      </c>
      <c r="DM35" s="295" t="str">
        <f t="shared" si="68"/>
        <v/>
      </c>
      <c r="DN35" s="296" t="str">
        <f t="shared" si="69"/>
        <v/>
      </c>
      <c r="DO35" s="295" t="str">
        <f t="shared" si="70"/>
        <v/>
      </c>
      <c r="DP35" s="300"/>
      <c r="DQ35" s="297" t="str">
        <f t="shared" si="103"/>
        <v/>
      </c>
      <c r="DR35" s="295" t="str">
        <f t="shared" si="71"/>
        <v/>
      </c>
      <c r="DS35" s="296" t="str">
        <f t="shared" si="72"/>
        <v/>
      </c>
      <c r="DT35" s="295" t="str">
        <f t="shared" si="73"/>
        <v/>
      </c>
      <c r="DU35" s="300"/>
      <c r="DV35" s="297" t="str">
        <f t="shared" si="104"/>
        <v/>
      </c>
      <c r="DW35" s="295" t="str">
        <f>IF('1.ข้อมูลเบื้องต้น'!$B$32="","",IF($B35="","",'1.ข้อมูลเบื้องต้น'!$B$32))</f>
        <v/>
      </c>
      <c r="DX35" s="296" t="str">
        <f>IF('1.ข้อมูลเบื้องต้น'!$C$32="","",IF($B35="","",'1.ข้อมูลเบื้องต้น'!$C$32))</f>
        <v/>
      </c>
      <c r="DY35" s="295" t="str">
        <f>IF('1.ข้อมูลเบื้องต้น'!$D$32="","",IF($B35="","",'1.ข้อมูลเบื้องต้น'!$D$32))</f>
        <v/>
      </c>
      <c r="DZ35" s="300"/>
      <c r="EA35" s="297" t="str">
        <f t="shared" si="105"/>
        <v/>
      </c>
      <c r="EB35" s="386" t="str">
        <f>IF('6.1ประกาศผลปลายภาค'!AW38="","",'6.1ประกาศผลปลายภาค'!AW38)</f>
        <v/>
      </c>
      <c r="EC35" s="382" t="str">
        <f>IF('2.ชื่อนักเรียน'!R40="มส","มส",IF('2.ชื่อนักเรียน'!R40="ย้าย","ย้าย",IF('2.ชื่อนักเรียน'!R40="ร","ร",IF(EB35="","",RANK(EB35,$EB$6:$EB$50,0)))))</f>
        <v/>
      </c>
      <c r="ED35" s="388"/>
      <c r="EE35" s="388"/>
      <c r="EF35" s="388"/>
      <c r="EG35" s="388"/>
      <c r="EH35" s="295" t="str">
        <f>IF('2.ชื่อนักเรียน'!R40="มส","ไม่ผ่าน",IF('2.ชื่อนักเรียน'!R40="ย้าย","ย้าย",IF(COUNTA(ED35:EG35)&lt;4,"",IF(AND(ED35="ผ",EE35="ผ",EF35="ผ",EG35="ผ"),"ผ่าน","ไม่ผ่าน"))))</f>
        <v/>
      </c>
      <c r="EI35" s="300"/>
      <c r="EK35" s="462" t="str">
        <f t="shared" si="74"/>
        <v/>
      </c>
      <c r="EL35" s="463" t="str">
        <f t="shared" si="75"/>
        <v/>
      </c>
      <c r="EM35" s="464" t="str">
        <f t="shared" si="76"/>
        <v/>
      </c>
      <c r="EN35" s="463" t="str">
        <f t="shared" si="77"/>
        <v/>
      </c>
      <c r="EO35" s="464" t="str">
        <f t="shared" si="78"/>
        <v/>
      </c>
      <c r="EP35" s="463" t="str">
        <f t="shared" si="79"/>
        <v/>
      </c>
      <c r="EQ35" s="464" t="str">
        <f t="shared" si="106"/>
        <v/>
      </c>
      <c r="ER35" s="463" t="str">
        <f t="shared" si="107"/>
        <v/>
      </c>
      <c r="ES35" s="464" t="str">
        <f t="shared" si="80"/>
        <v/>
      </c>
      <c r="ET35" s="463" t="str">
        <f t="shared" si="81"/>
        <v/>
      </c>
    </row>
    <row r="36" spans="1:150" s="14" customFormat="1" ht="21.6" thickTop="1" x14ac:dyDescent="0.4">
      <c r="A36" s="295">
        <v>31</v>
      </c>
      <c r="B36" s="295" t="str">
        <f>IF('2.ชื่อนักเรียน'!E41="","",CONCATENATE('2.ชื่อนักเรียน'!E41,'2.ชื่อนักเรียน'!F41,'2.ชื่อนักเรียน'!G41,'2.ชื่อนักเรียน'!H41,'2.ชื่อนักเรียน'!I41,'2.ชื่อนักเรียน'!J41,'2.ชื่อนักเรียน'!K41,'2.ชื่อนักเรียน'!L41,'2.ชื่อนักเรียน'!M41,'2.ชื่อนักเรียน'!N41,'2.ชื่อนักเรียน'!O41,'2.ชื่อนักเรียน'!P41,'2.ชื่อนักเรียน'!Q41,))</f>
        <v/>
      </c>
      <c r="C36" s="295" t="str">
        <f>IF(IDstu31="","",IDstu31)</f>
        <v/>
      </c>
      <c r="D36" s="497" t="str">
        <f>CONCATENATE(TRIM(Name31),"  ",Surname31)</f>
        <v xml:space="preserve">  </v>
      </c>
      <c r="E36" s="297" t="str">
        <f t="shared" si="0"/>
        <v/>
      </c>
      <c r="F36" s="295" t="str">
        <f t="shared" si="1"/>
        <v/>
      </c>
      <c r="G36" s="295" t="str">
        <f t="shared" si="2"/>
        <v/>
      </c>
      <c r="H36" s="296" t="str">
        <f t="shared" si="3"/>
        <v/>
      </c>
      <c r="I36" s="295" t="str">
        <f t="shared" si="4"/>
        <v/>
      </c>
      <c r="J36" s="300"/>
      <c r="K36" s="297" t="str">
        <f t="shared" si="82"/>
        <v/>
      </c>
      <c r="L36" s="295" t="str">
        <f t="shared" si="5"/>
        <v/>
      </c>
      <c r="M36" s="296" t="str">
        <f t="shared" si="6"/>
        <v/>
      </c>
      <c r="N36" s="295" t="str">
        <f t="shared" si="7"/>
        <v/>
      </c>
      <c r="O36" s="300"/>
      <c r="P36" s="297" t="str">
        <f t="shared" si="83"/>
        <v/>
      </c>
      <c r="Q36" s="295" t="str">
        <f t="shared" si="8"/>
        <v/>
      </c>
      <c r="R36" s="296" t="str">
        <f t="shared" si="9"/>
        <v/>
      </c>
      <c r="S36" s="295" t="str">
        <f t="shared" si="10"/>
        <v/>
      </c>
      <c r="T36" s="300"/>
      <c r="U36" s="297" t="str">
        <f t="shared" si="108"/>
        <v/>
      </c>
      <c r="V36" s="295" t="str">
        <f t="shared" si="11"/>
        <v/>
      </c>
      <c r="W36" s="296" t="str">
        <f t="shared" si="12"/>
        <v/>
      </c>
      <c r="X36" s="295" t="str">
        <f t="shared" si="13"/>
        <v/>
      </c>
      <c r="Y36" s="300"/>
      <c r="Z36" s="297" t="str">
        <f t="shared" si="84"/>
        <v/>
      </c>
      <c r="AA36" s="295" t="str">
        <f t="shared" si="14"/>
        <v/>
      </c>
      <c r="AB36" s="296" t="str">
        <f t="shared" si="15"/>
        <v/>
      </c>
      <c r="AC36" s="295" t="str">
        <f t="shared" si="16"/>
        <v/>
      </c>
      <c r="AD36" s="300"/>
      <c r="AE36" s="297" t="str">
        <f t="shared" si="85"/>
        <v/>
      </c>
      <c r="AF36" s="295" t="str">
        <f t="shared" si="17"/>
        <v/>
      </c>
      <c r="AG36" s="296" t="str">
        <f t="shared" si="18"/>
        <v/>
      </c>
      <c r="AH36" s="295" t="str">
        <f t="shared" si="19"/>
        <v/>
      </c>
      <c r="AI36" s="300"/>
      <c r="AJ36" s="297" t="str">
        <f t="shared" si="86"/>
        <v/>
      </c>
      <c r="AK36" s="295" t="str">
        <f t="shared" si="20"/>
        <v/>
      </c>
      <c r="AL36" s="296" t="str">
        <f t="shared" si="21"/>
        <v/>
      </c>
      <c r="AM36" s="295" t="str">
        <f t="shared" si="22"/>
        <v/>
      </c>
      <c r="AN36" s="300"/>
      <c r="AO36" s="297" t="str">
        <f t="shared" si="87"/>
        <v/>
      </c>
      <c r="AP36" s="295" t="str">
        <f t="shared" si="23"/>
        <v/>
      </c>
      <c r="AQ36" s="296" t="str">
        <f t="shared" si="24"/>
        <v/>
      </c>
      <c r="AR36" s="295" t="str">
        <f t="shared" si="25"/>
        <v/>
      </c>
      <c r="AS36" s="300"/>
      <c r="AT36" s="297" t="str">
        <f t="shared" si="88"/>
        <v/>
      </c>
      <c r="AU36" s="295" t="str">
        <f t="shared" si="26"/>
        <v/>
      </c>
      <c r="AV36" s="296" t="str">
        <f t="shared" si="27"/>
        <v/>
      </c>
      <c r="AW36" s="295" t="str">
        <f t="shared" si="28"/>
        <v/>
      </c>
      <c r="AX36" s="300"/>
      <c r="AY36" s="297" t="str">
        <f t="shared" si="89"/>
        <v/>
      </c>
      <c r="AZ36" s="295" t="str">
        <f t="shared" si="29"/>
        <v/>
      </c>
      <c r="BA36" s="296" t="str">
        <f t="shared" si="30"/>
        <v/>
      </c>
      <c r="BB36" s="295" t="str">
        <f t="shared" si="31"/>
        <v/>
      </c>
      <c r="BC36" s="300"/>
      <c r="BD36" s="297" t="str">
        <f t="shared" si="90"/>
        <v/>
      </c>
      <c r="BE36" s="295" t="str">
        <f t="shared" si="32"/>
        <v/>
      </c>
      <c r="BF36" s="296" t="str">
        <f t="shared" si="33"/>
        <v/>
      </c>
      <c r="BG36" s="295" t="str">
        <f t="shared" si="34"/>
        <v/>
      </c>
      <c r="BH36" s="300"/>
      <c r="BI36" s="297" t="str">
        <f t="shared" si="91"/>
        <v/>
      </c>
      <c r="BJ36" s="295" t="str">
        <f t="shared" si="35"/>
        <v/>
      </c>
      <c r="BK36" s="296" t="str">
        <f t="shared" si="36"/>
        <v/>
      </c>
      <c r="BL36" s="295" t="str">
        <f t="shared" si="37"/>
        <v/>
      </c>
      <c r="BM36" s="300"/>
      <c r="BN36" s="297" t="str">
        <f t="shared" si="92"/>
        <v/>
      </c>
      <c r="BO36" s="295" t="str">
        <f t="shared" si="38"/>
        <v/>
      </c>
      <c r="BP36" s="296" t="str">
        <f t="shared" si="39"/>
        <v/>
      </c>
      <c r="BQ36" s="295" t="str">
        <f t="shared" si="40"/>
        <v/>
      </c>
      <c r="BR36" s="300"/>
      <c r="BS36" s="297" t="str">
        <f t="shared" si="93"/>
        <v/>
      </c>
      <c r="BT36" s="295" t="str">
        <f t="shared" si="41"/>
        <v/>
      </c>
      <c r="BU36" s="296" t="str">
        <f t="shared" si="42"/>
        <v/>
      </c>
      <c r="BV36" s="295" t="str">
        <f t="shared" si="43"/>
        <v/>
      </c>
      <c r="BW36" s="300"/>
      <c r="BX36" s="297" t="str">
        <f t="shared" si="94"/>
        <v/>
      </c>
      <c r="BY36" s="295" t="str">
        <f t="shared" si="44"/>
        <v/>
      </c>
      <c r="BZ36" s="296" t="str">
        <f t="shared" si="45"/>
        <v/>
      </c>
      <c r="CA36" s="295" t="str">
        <f t="shared" si="46"/>
        <v/>
      </c>
      <c r="CB36" s="300"/>
      <c r="CC36" s="297" t="str">
        <f t="shared" si="95"/>
        <v/>
      </c>
      <c r="CD36" s="295" t="str">
        <f t="shared" si="47"/>
        <v/>
      </c>
      <c r="CE36" s="296" t="str">
        <f t="shared" si="48"/>
        <v/>
      </c>
      <c r="CF36" s="295" t="str">
        <f t="shared" si="49"/>
        <v/>
      </c>
      <c r="CG36" s="300"/>
      <c r="CH36" s="297" t="str">
        <f t="shared" si="96"/>
        <v/>
      </c>
      <c r="CI36" s="295" t="str">
        <f t="shared" si="50"/>
        <v/>
      </c>
      <c r="CJ36" s="296" t="str">
        <f t="shared" si="51"/>
        <v/>
      </c>
      <c r="CK36" s="295" t="str">
        <f t="shared" si="52"/>
        <v/>
      </c>
      <c r="CL36" s="300"/>
      <c r="CM36" s="297" t="str">
        <f t="shared" si="97"/>
        <v/>
      </c>
      <c r="CN36" s="295" t="str">
        <f t="shared" si="53"/>
        <v/>
      </c>
      <c r="CO36" s="296" t="str">
        <f t="shared" si="54"/>
        <v/>
      </c>
      <c r="CP36" s="295" t="str">
        <f t="shared" si="55"/>
        <v/>
      </c>
      <c r="CQ36" s="300"/>
      <c r="CR36" s="297" t="str">
        <f t="shared" si="98"/>
        <v/>
      </c>
      <c r="CS36" s="295" t="str">
        <f t="shared" si="56"/>
        <v/>
      </c>
      <c r="CT36" s="296" t="str">
        <f t="shared" si="57"/>
        <v/>
      </c>
      <c r="CU36" s="295" t="str">
        <f t="shared" si="58"/>
        <v/>
      </c>
      <c r="CV36" s="300"/>
      <c r="CW36" s="297" t="str">
        <f t="shared" si="99"/>
        <v/>
      </c>
      <c r="CX36" s="295" t="str">
        <f t="shared" si="59"/>
        <v/>
      </c>
      <c r="CY36" s="296" t="str">
        <f t="shared" si="60"/>
        <v/>
      </c>
      <c r="CZ36" s="295" t="str">
        <f t="shared" si="61"/>
        <v/>
      </c>
      <c r="DA36" s="300"/>
      <c r="DB36" s="297" t="str">
        <f t="shared" si="100"/>
        <v/>
      </c>
      <c r="DC36" s="295" t="str">
        <f t="shared" si="62"/>
        <v/>
      </c>
      <c r="DD36" s="296" t="str">
        <f t="shared" si="63"/>
        <v/>
      </c>
      <c r="DE36" s="295" t="str">
        <f t="shared" si="64"/>
        <v/>
      </c>
      <c r="DF36" s="300"/>
      <c r="DG36" s="297" t="str">
        <f t="shared" si="101"/>
        <v/>
      </c>
      <c r="DH36" s="295" t="str">
        <f t="shared" si="65"/>
        <v/>
      </c>
      <c r="DI36" s="296" t="str">
        <f t="shared" si="66"/>
        <v/>
      </c>
      <c r="DJ36" s="295" t="str">
        <f t="shared" si="67"/>
        <v/>
      </c>
      <c r="DK36" s="300"/>
      <c r="DL36" s="297" t="str">
        <f t="shared" si="102"/>
        <v/>
      </c>
      <c r="DM36" s="295" t="str">
        <f t="shared" si="68"/>
        <v/>
      </c>
      <c r="DN36" s="296" t="str">
        <f t="shared" si="69"/>
        <v/>
      </c>
      <c r="DO36" s="295" t="str">
        <f t="shared" si="70"/>
        <v/>
      </c>
      <c r="DP36" s="300"/>
      <c r="DQ36" s="297" t="str">
        <f t="shared" si="103"/>
        <v/>
      </c>
      <c r="DR36" s="295" t="str">
        <f t="shared" si="71"/>
        <v/>
      </c>
      <c r="DS36" s="296" t="str">
        <f t="shared" si="72"/>
        <v/>
      </c>
      <c r="DT36" s="295" t="str">
        <f t="shared" si="73"/>
        <v/>
      </c>
      <c r="DU36" s="300"/>
      <c r="DV36" s="297" t="str">
        <f t="shared" si="104"/>
        <v/>
      </c>
      <c r="DW36" s="295" t="str">
        <f>IF('1.ข้อมูลเบื้องต้น'!$B$32="","",IF($B36="","",'1.ข้อมูลเบื้องต้น'!$B$32))</f>
        <v/>
      </c>
      <c r="DX36" s="296" t="str">
        <f>IF('1.ข้อมูลเบื้องต้น'!$C$32="","",IF($B36="","",'1.ข้อมูลเบื้องต้น'!$C$32))</f>
        <v/>
      </c>
      <c r="DY36" s="295" t="str">
        <f>IF('1.ข้อมูลเบื้องต้น'!$D$32="","",IF($B36="","",'1.ข้อมูลเบื้องต้น'!$D$32))</f>
        <v/>
      </c>
      <c r="DZ36" s="300"/>
      <c r="EA36" s="297" t="str">
        <f t="shared" si="105"/>
        <v/>
      </c>
      <c r="EB36" s="386" t="str">
        <f>IF('6.1ประกาศผลปลายภาค'!AW39="","",'6.1ประกาศผลปลายภาค'!AW39)</f>
        <v/>
      </c>
      <c r="EC36" s="382" t="str">
        <f>IF('2.ชื่อนักเรียน'!R41="มส","มส",IF('2.ชื่อนักเรียน'!R41="ย้าย","ย้าย",IF('2.ชื่อนักเรียน'!R41="ร","ร",IF(EB36="","",RANK(EB36,$EB$6:$EB$50,0)))))</f>
        <v/>
      </c>
      <c r="ED36" s="388"/>
      <c r="EE36" s="388"/>
      <c r="EF36" s="388"/>
      <c r="EG36" s="388"/>
      <c r="EH36" s="295" t="str">
        <f>IF('2.ชื่อนักเรียน'!R41="มส","ไม่ผ่าน",IF('2.ชื่อนักเรียน'!R41="ย้าย","ย้าย",IF(COUNTA(ED36:EG36)&lt;4,"",IF(AND(ED36="ผ",EE36="ผ",EF36="ผ",EG36="ผ"),"ผ่าน","ไม่ผ่าน"))))</f>
        <v/>
      </c>
      <c r="EI36" s="300"/>
      <c r="EK36" s="465" t="str">
        <f t="shared" si="74"/>
        <v/>
      </c>
      <c r="EL36" s="466" t="str">
        <f t="shared" si="75"/>
        <v/>
      </c>
      <c r="EM36" s="467" t="str">
        <f t="shared" si="76"/>
        <v/>
      </c>
      <c r="EN36" s="466" t="str">
        <f t="shared" si="77"/>
        <v/>
      </c>
      <c r="EO36" s="467" t="str">
        <f t="shared" si="78"/>
        <v/>
      </c>
      <c r="EP36" s="466" t="str">
        <f t="shared" si="79"/>
        <v/>
      </c>
      <c r="EQ36" s="467" t="str">
        <f t="shared" si="106"/>
        <v/>
      </c>
      <c r="ER36" s="466" t="str">
        <f t="shared" si="107"/>
        <v/>
      </c>
      <c r="ES36" s="467" t="str">
        <f t="shared" si="80"/>
        <v/>
      </c>
      <c r="ET36" s="466" t="str">
        <f t="shared" si="81"/>
        <v/>
      </c>
    </row>
    <row r="37" spans="1:150" s="14" customFormat="1" ht="21" x14ac:dyDescent="0.4">
      <c r="A37" s="295">
        <v>32</v>
      </c>
      <c r="B37" s="295" t="str">
        <f>IF('2.ชื่อนักเรียน'!E42="","",CONCATENATE('2.ชื่อนักเรียน'!E42,'2.ชื่อนักเรียน'!F42,'2.ชื่อนักเรียน'!G42,'2.ชื่อนักเรียน'!H42,'2.ชื่อนักเรียน'!I42,'2.ชื่อนักเรียน'!J42,'2.ชื่อนักเรียน'!K42,'2.ชื่อนักเรียน'!L42,'2.ชื่อนักเรียน'!M42,'2.ชื่อนักเรียน'!N42,'2.ชื่อนักเรียน'!O42,'2.ชื่อนักเรียน'!P42,'2.ชื่อนักเรียน'!Q42,))</f>
        <v/>
      </c>
      <c r="C37" s="295" t="str">
        <f>IF(IDstu32="","",IDstu32)</f>
        <v/>
      </c>
      <c r="D37" s="497" t="str">
        <f>CONCATENATE(TRIM(Name32),"  ",Surname32)</f>
        <v xml:space="preserve">  </v>
      </c>
      <c r="E37" s="297" t="str">
        <f t="shared" si="0"/>
        <v/>
      </c>
      <c r="F37" s="295" t="str">
        <f t="shared" si="1"/>
        <v/>
      </c>
      <c r="G37" s="295" t="str">
        <f t="shared" si="2"/>
        <v/>
      </c>
      <c r="H37" s="296" t="str">
        <f t="shared" si="3"/>
        <v/>
      </c>
      <c r="I37" s="295" t="str">
        <f t="shared" si="4"/>
        <v/>
      </c>
      <c r="J37" s="300"/>
      <c r="K37" s="297" t="str">
        <f t="shared" si="82"/>
        <v/>
      </c>
      <c r="L37" s="295" t="str">
        <f t="shared" si="5"/>
        <v/>
      </c>
      <c r="M37" s="296" t="str">
        <f t="shared" si="6"/>
        <v/>
      </c>
      <c r="N37" s="295" t="str">
        <f t="shared" si="7"/>
        <v/>
      </c>
      <c r="O37" s="300"/>
      <c r="P37" s="297" t="str">
        <f t="shared" si="83"/>
        <v/>
      </c>
      <c r="Q37" s="295" t="str">
        <f t="shared" si="8"/>
        <v/>
      </c>
      <c r="R37" s="296" t="str">
        <f t="shared" si="9"/>
        <v/>
      </c>
      <c r="S37" s="295" t="str">
        <f t="shared" si="10"/>
        <v/>
      </c>
      <c r="T37" s="300"/>
      <c r="U37" s="297" t="str">
        <f t="shared" si="108"/>
        <v/>
      </c>
      <c r="V37" s="295" t="str">
        <f t="shared" si="11"/>
        <v/>
      </c>
      <c r="W37" s="296" t="str">
        <f t="shared" si="12"/>
        <v/>
      </c>
      <c r="X37" s="295" t="str">
        <f t="shared" si="13"/>
        <v/>
      </c>
      <c r="Y37" s="300"/>
      <c r="Z37" s="297" t="str">
        <f t="shared" si="84"/>
        <v/>
      </c>
      <c r="AA37" s="295" t="str">
        <f t="shared" si="14"/>
        <v/>
      </c>
      <c r="AB37" s="296" t="str">
        <f t="shared" si="15"/>
        <v/>
      </c>
      <c r="AC37" s="295" t="str">
        <f t="shared" si="16"/>
        <v/>
      </c>
      <c r="AD37" s="300"/>
      <c r="AE37" s="297" t="str">
        <f t="shared" si="85"/>
        <v/>
      </c>
      <c r="AF37" s="295" t="str">
        <f t="shared" si="17"/>
        <v/>
      </c>
      <c r="AG37" s="296" t="str">
        <f t="shared" si="18"/>
        <v/>
      </c>
      <c r="AH37" s="295" t="str">
        <f t="shared" si="19"/>
        <v/>
      </c>
      <c r="AI37" s="300"/>
      <c r="AJ37" s="297" t="str">
        <f t="shared" si="86"/>
        <v/>
      </c>
      <c r="AK37" s="295" t="str">
        <f t="shared" si="20"/>
        <v/>
      </c>
      <c r="AL37" s="296" t="str">
        <f t="shared" si="21"/>
        <v/>
      </c>
      <c r="AM37" s="295" t="str">
        <f t="shared" si="22"/>
        <v/>
      </c>
      <c r="AN37" s="300"/>
      <c r="AO37" s="297" t="str">
        <f t="shared" si="87"/>
        <v/>
      </c>
      <c r="AP37" s="295" t="str">
        <f t="shared" si="23"/>
        <v/>
      </c>
      <c r="AQ37" s="296" t="str">
        <f t="shared" si="24"/>
        <v/>
      </c>
      <c r="AR37" s="295" t="str">
        <f t="shared" si="25"/>
        <v/>
      </c>
      <c r="AS37" s="300"/>
      <c r="AT37" s="297" t="str">
        <f t="shared" si="88"/>
        <v/>
      </c>
      <c r="AU37" s="295" t="str">
        <f t="shared" si="26"/>
        <v/>
      </c>
      <c r="AV37" s="296" t="str">
        <f t="shared" si="27"/>
        <v/>
      </c>
      <c r="AW37" s="295" t="str">
        <f t="shared" si="28"/>
        <v/>
      </c>
      <c r="AX37" s="300"/>
      <c r="AY37" s="297" t="str">
        <f t="shared" si="89"/>
        <v/>
      </c>
      <c r="AZ37" s="295" t="str">
        <f t="shared" si="29"/>
        <v/>
      </c>
      <c r="BA37" s="296" t="str">
        <f t="shared" si="30"/>
        <v/>
      </c>
      <c r="BB37" s="295" t="str">
        <f t="shared" si="31"/>
        <v/>
      </c>
      <c r="BC37" s="300"/>
      <c r="BD37" s="297" t="str">
        <f t="shared" si="90"/>
        <v/>
      </c>
      <c r="BE37" s="295" t="str">
        <f t="shared" si="32"/>
        <v/>
      </c>
      <c r="BF37" s="296" t="str">
        <f t="shared" si="33"/>
        <v/>
      </c>
      <c r="BG37" s="295" t="str">
        <f t="shared" si="34"/>
        <v/>
      </c>
      <c r="BH37" s="300"/>
      <c r="BI37" s="297" t="str">
        <f t="shared" si="91"/>
        <v/>
      </c>
      <c r="BJ37" s="295" t="str">
        <f t="shared" si="35"/>
        <v/>
      </c>
      <c r="BK37" s="296" t="str">
        <f t="shared" si="36"/>
        <v/>
      </c>
      <c r="BL37" s="295" t="str">
        <f t="shared" si="37"/>
        <v/>
      </c>
      <c r="BM37" s="300"/>
      <c r="BN37" s="297" t="str">
        <f t="shared" si="92"/>
        <v/>
      </c>
      <c r="BO37" s="295" t="str">
        <f t="shared" si="38"/>
        <v/>
      </c>
      <c r="BP37" s="296" t="str">
        <f t="shared" si="39"/>
        <v/>
      </c>
      <c r="BQ37" s="295" t="str">
        <f t="shared" si="40"/>
        <v/>
      </c>
      <c r="BR37" s="300"/>
      <c r="BS37" s="297" t="str">
        <f t="shared" si="93"/>
        <v/>
      </c>
      <c r="BT37" s="295" t="str">
        <f t="shared" si="41"/>
        <v/>
      </c>
      <c r="BU37" s="296" t="str">
        <f t="shared" si="42"/>
        <v/>
      </c>
      <c r="BV37" s="295" t="str">
        <f t="shared" si="43"/>
        <v/>
      </c>
      <c r="BW37" s="300"/>
      <c r="BX37" s="297" t="str">
        <f t="shared" si="94"/>
        <v/>
      </c>
      <c r="BY37" s="295" t="str">
        <f t="shared" si="44"/>
        <v/>
      </c>
      <c r="BZ37" s="296" t="str">
        <f t="shared" si="45"/>
        <v/>
      </c>
      <c r="CA37" s="295" t="str">
        <f t="shared" si="46"/>
        <v/>
      </c>
      <c r="CB37" s="300"/>
      <c r="CC37" s="297" t="str">
        <f t="shared" si="95"/>
        <v/>
      </c>
      <c r="CD37" s="295" t="str">
        <f t="shared" si="47"/>
        <v/>
      </c>
      <c r="CE37" s="296" t="str">
        <f t="shared" si="48"/>
        <v/>
      </c>
      <c r="CF37" s="295" t="str">
        <f t="shared" si="49"/>
        <v/>
      </c>
      <c r="CG37" s="300"/>
      <c r="CH37" s="297" t="str">
        <f t="shared" si="96"/>
        <v/>
      </c>
      <c r="CI37" s="295" t="str">
        <f t="shared" si="50"/>
        <v/>
      </c>
      <c r="CJ37" s="296" t="str">
        <f t="shared" si="51"/>
        <v/>
      </c>
      <c r="CK37" s="295" t="str">
        <f t="shared" si="52"/>
        <v/>
      </c>
      <c r="CL37" s="300"/>
      <c r="CM37" s="297" t="str">
        <f t="shared" si="97"/>
        <v/>
      </c>
      <c r="CN37" s="295" t="str">
        <f t="shared" si="53"/>
        <v/>
      </c>
      <c r="CO37" s="296" t="str">
        <f t="shared" si="54"/>
        <v/>
      </c>
      <c r="CP37" s="295" t="str">
        <f t="shared" si="55"/>
        <v/>
      </c>
      <c r="CQ37" s="300"/>
      <c r="CR37" s="297" t="str">
        <f t="shared" si="98"/>
        <v/>
      </c>
      <c r="CS37" s="295" t="str">
        <f t="shared" si="56"/>
        <v/>
      </c>
      <c r="CT37" s="296" t="str">
        <f t="shared" si="57"/>
        <v/>
      </c>
      <c r="CU37" s="295" t="str">
        <f t="shared" si="58"/>
        <v/>
      </c>
      <c r="CV37" s="300"/>
      <c r="CW37" s="297" t="str">
        <f t="shared" si="99"/>
        <v/>
      </c>
      <c r="CX37" s="295" t="str">
        <f t="shared" si="59"/>
        <v/>
      </c>
      <c r="CY37" s="296" t="str">
        <f t="shared" si="60"/>
        <v/>
      </c>
      <c r="CZ37" s="295" t="str">
        <f t="shared" si="61"/>
        <v/>
      </c>
      <c r="DA37" s="300"/>
      <c r="DB37" s="297" t="str">
        <f t="shared" si="100"/>
        <v/>
      </c>
      <c r="DC37" s="295" t="str">
        <f t="shared" si="62"/>
        <v/>
      </c>
      <c r="DD37" s="296" t="str">
        <f t="shared" si="63"/>
        <v/>
      </c>
      <c r="DE37" s="295" t="str">
        <f t="shared" si="64"/>
        <v/>
      </c>
      <c r="DF37" s="300"/>
      <c r="DG37" s="297" t="str">
        <f t="shared" si="101"/>
        <v/>
      </c>
      <c r="DH37" s="295" t="str">
        <f t="shared" si="65"/>
        <v/>
      </c>
      <c r="DI37" s="296" t="str">
        <f t="shared" si="66"/>
        <v/>
      </c>
      <c r="DJ37" s="295" t="str">
        <f t="shared" si="67"/>
        <v/>
      </c>
      <c r="DK37" s="300"/>
      <c r="DL37" s="297" t="str">
        <f t="shared" si="102"/>
        <v/>
      </c>
      <c r="DM37" s="295" t="str">
        <f t="shared" si="68"/>
        <v/>
      </c>
      <c r="DN37" s="296" t="str">
        <f t="shared" si="69"/>
        <v/>
      </c>
      <c r="DO37" s="295" t="str">
        <f t="shared" si="70"/>
        <v/>
      </c>
      <c r="DP37" s="300"/>
      <c r="DQ37" s="297" t="str">
        <f t="shared" si="103"/>
        <v/>
      </c>
      <c r="DR37" s="295" t="str">
        <f t="shared" si="71"/>
        <v/>
      </c>
      <c r="DS37" s="296" t="str">
        <f t="shared" si="72"/>
        <v/>
      </c>
      <c r="DT37" s="295" t="str">
        <f t="shared" si="73"/>
        <v/>
      </c>
      <c r="DU37" s="300"/>
      <c r="DV37" s="297" t="str">
        <f t="shared" si="104"/>
        <v/>
      </c>
      <c r="DW37" s="295" t="str">
        <f>IF('1.ข้อมูลเบื้องต้น'!$B$32="","",IF($B37="","",'1.ข้อมูลเบื้องต้น'!$B$32))</f>
        <v/>
      </c>
      <c r="DX37" s="296" t="str">
        <f>IF('1.ข้อมูลเบื้องต้น'!$C$32="","",IF($B37="","",'1.ข้อมูลเบื้องต้น'!$C$32))</f>
        <v/>
      </c>
      <c r="DY37" s="295" t="str">
        <f>IF('1.ข้อมูลเบื้องต้น'!$D$32="","",IF($B37="","",'1.ข้อมูลเบื้องต้น'!$D$32))</f>
        <v/>
      </c>
      <c r="DZ37" s="300"/>
      <c r="EA37" s="297" t="str">
        <f t="shared" si="105"/>
        <v/>
      </c>
      <c r="EB37" s="386" t="str">
        <f>IF('6.1ประกาศผลปลายภาค'!AW40="","",'6.1ประกาศผลปลายภาค'!AW40)</f>
        <v/>
      </c>
      <c r="EC37" s="382" t="str">
        <f>IF('2.ชื่อนักเรียน'!R42="มส","มส",IF('2.ชื่อนักเรียน'!R42="ย้าย","ย้าย",IF('2.ชื่อนักเรียน'!R42="ร","ร",IF(EB37="","",RANK(EB37,$EB$6:$EB$50,0)))))</f>
        <v/>
      </c>
      <c r="ED37" s="388"/>
      <c r="EE37" s="388"/>
      <c r="EF37" s="388"/>
      <c r="EG37" s="388"/>
      <c r="EH37" s="295" t="str">
        <f>IF('2.ชื่อนักเรียน'!R42="มส","ไม่ผ่าน",IF('2.ชื่อนักเรียน'!R42="ย้าย","ย้าย",IF(COUNTA(ED37:EG37)&lt;4,"",IF(AND(ED37="ผ",EE37="ผ",EF37="ผ",EG37="ผ"),"ผ่าน","ไม่ผ่าน"))))</f>
        <v/>
      </c>
      <c r="EI37" s="300"/>
      <c r="EK37" s="468" t="str">
        <f t="shared" si="74"/>
        <v/>
      </c>
      <c r="EL37" s="460" t="str">
        <f t="shared" si="75"/>
        <v/>
      </c>
      <c r="EM37" s="461" t="str">
        <f t="shared" si="76"/>
        <v/>
      </c>
      <c r="EN37" s="460" t="str">
        <f t="shared" si="77"/>
        <v/>
      </c>
      <c r="EO37" s="461" t="str">
        <f t="shared" si="78"/>
        <v/>
      </c>
      <c r="EP37" s="460" t="str">
        <f t="shared" si="79"/>
        <v/>
      </c>
      <c r="EQ37" s="461" t="str">
        <f t="shared" si="106"/>
        <v/>
      </c>
      <c r="ER37" s="460" t="str">
        <f t="shared" si="107"/>
        <v/>
      </c>
      <c r="ES37" s="461" t="str">
        <f t="shared" si="80"/>
        <v/>
      </c>
      <c r="ET37" s="460" t="str">
        <f t="shared" si="81"/>
        <v/>
      </c>
    </row>
    <row r="38" spans="1:150" s="14" customFormat="1" ht="21" x14ac:dyDescent="0.4">
      <c r="A38" s="295">
        <v>33</v>
      </c>
      <c r="B38" s="295" t="str">
        <f>IF('2.ชื่อนักเรียน'!E43="","",CONCATENATE('2.ชื่อนักเรียน'!E43,'2.ชื่อนักเรียน'!F43,'2.ชื่อนักเรียน'!G43,'2.ชื่อนักเรียน'!H43,'2.ชื่อนักเรียน'!I43,'2.ชื่อนักเรียน'!J43,'2.ชื่อนักเรียน'!K43,'2.ชื่อนักเรียน'!L43,'2.ชื่อนักเรียน'!M43,'2.ชื่อนักเรียน'!N43,'2.ชื่อนักเรียน'!O43,'2.ชื่อนักเรียน'!P43,'2.ชื่อนักเรียน'!Q43,))</f>
        <v/>
      </c>
      <c r="C38" s="295" t="str">
        <f>IF(IDstu33="","",IDstu33)</f>
        <v/>
      </c>
      <c r="D38" s="497" t="str">
        <f>CONCATENATE(TRIM(Name33),"  ",Surname33)</f>
        <v xml:space="preserve">  </v>
      </c>
      <c r="E38" s="297" t="str">
        <f t="shared" si="0"/>
        <v/>
      </c>
      <c r="F38" s="295" t="str">
        <f t="shared" si="1"/>
        <v/>
      </c>
      <c r="G38" s="295" t="str">
        <f t="shared" si="2"/>
        <v/>
      </c>
      <c r="H38" s="296" t="str">
        <f t="shared" si="3"/>
        <v/>
      </c>
      <c r="I38" s="295" t="str">
        <f t="shared" si="4"/>
        <v/>
      </c>
      <c r="J38" s="300"/>
      <c r="K38" s="297" t="str">
        <f t="shared" si="82"/>
        <v/>
      </c>
      <c r="L38" s="295" t="str">
        <f t="shared" si="5"/>
        <v/>
      </c>
      <c r="M38" s="296" t="str">
        <f t="shared" si="6"/>
        <v/>
      </c>
      <c r="N38" s="295" t="str">
        <f t="shared" si="7"/>
        <v/>
      </c>
      <c r="O38" s="300"/>
      <c r="P38" s="297" t="str">
        <f t="shared" si="83"/>
        <v/>
      </c>
      <c r="Q38" s="295" t="str">
        <f t="shared" si="8"/>
        <v/>
      </c>
      <c r="R38" s="296" t="str">
        <f t="shared" si="9"/>
        <v/>
      </c>
      <c r="S38" s="295" t="str">
        <f t="shared" si="10"/>
        <v/>
      </c>
      <c r="T38" s="300"/>
      <c r="U38" s="297" t="str">
        <f t="shared" si="108"/>
        <v/>
      </c>
      <c r="V38" s="295" t="str">
        <f t="shared" si="11"/>
        <v/>
      </c>
      <c r="W38" s="296" t="str">
        <f t="shared" si="12"/>
        <v/>
      </c>
      <c r="X38" s="295" t="str">
        <f t="shared" si="13"/>
        <v/>
      </c>
      <c r="Y38" s="300"/>
      <c r="Z38" s="297" t="str">
        <f t="shared" si="84"/>
        <v/>
      </c>
      <c r="AA38" s="295" t="str">
        <f t="shared" si="14"/>
        <v/>
      </c>
      <c r="AB38" s="296" t="str">
        <f t="shared" si="15"/>
        <v/>
      </c>
      <c r="AC38" s="295" t="str">
        <f t="shared" si="16"/>
        <v/>
      </c>
      <c r="AD38" s="300"/>
      <c r="AE38" s="297" t="str">
        <f t="shared" si="85"/>
        <v/>
      </c>
      <c r="AF38" s="295" t="str">
        <f t="shared" si="17"/>
        <v/>
      </c>
      <c r="AG38" s="296" t="str">
        <f t="shared" si="18"/>
        <v/>
      </c>
      <c r="AH38" s="295" t="str">
        <f t="shared" si="19"/>
        <v/>
      </c>
      <c r="AI38" s="300"/>
      <c r="AJ38" s="297" t="str">
        <f t="shared" si="86"/>
        <v/>
      </c>
      <c r="AK38" s="295" t="str">
        <f t="shared" si="20"/>
        <v/>
      </c>
      <c r="AL38" s="296" t="str">
        <f t="shared" si="21"/>
        <v/>
      </c>
      <c r="AM38" s="295" t="str">
        <f t="shared" si="22"/>
        <v/>
      </c>
      <c r="AN38" s="300"/>
      <c r="AO38" s="297" t="str">
        <f t="shared" si="87"/>
        <v/>
      </c>
      <c r="AP38" s="295" t="str">
        <f t="shared" si="23"/>
        <v/>
      </c>
      <c r="AQ38" s="296" t="str">
        <f t="shared" si="24"/>
        <v/>
      </c>
      <c r="AR38" s="295" t="str">
        <f t="shared" si="25"/>
        <v/>
      </c>
      <c r="AS38" s="300"/>
      <c r="AT38" s="297" t="str">
        <f t="shared" si="88"/>
        <v/>
      </c>
      <c r="AU38" s="295" t="str">
        <f t="shared" si="26"/>
        <v/>
      </c>
      <c r="AV38" s="296" t="str">
        <f t="shared" si="27"/>
        <v/>
      </c>
      <c r="AW38" s="295" t="str">
        <f t="shared" si="28"/>
        <v/>
      </c>
      <c r="AX38" s="300"/>
      <c r="AY38" s="297" t="str">
        <f t="shared" si="89"/>
        <v/>
      </c>
      <c r="AZ38" s="295" t="str">
        <f t="shared" si="29"/>
        <v/>
      </c>
      <c r="BA38" s="296" t="str">
        <f t="shared" si="30"/>
        <v/>
      </c>
      <c r="BB38" s="295" t="str">
        <f t="shared" si="31"/>
        <v/>
      </c>
      <c r="BC38" s="300"/>
      <c r="BD38" s="297" t="str">
        <f t="shared" si="90"/>
        <v/>
      </c>
      <c r="BE38" s="295" t="str">
        <f t="shared" si="32"/>
        <v/>
      </c>
      <c r="BF38" s="296" t="str">
        <f t="shared" si="33"/>
        <v/>
      </c>
      <c r="BG38" s="295" t="str">
        <f t="shared" si="34"/>
        <v/>
      </c>
      <c r="BH38" s="300"/>
      <c r="BI38" s="297" t="str">
        <f t="shared" si="91"/>
        <v/>
      </c>
      <c r="BJ38" s="295" t="str">
        <f t="shared" si="35"/>
        <v/>
      </c>
      <c r="BK38" s="296" t="str">
        <f t="shared" si="36"/>
        <v/>
      </c>
      <c r="BL38" s="295" t="str">
        <f t="shared" si="37"/>
        <v/>
      </c>
      <c r="BM38" s="300"/>
      <c r="BN38" s="297" t="str">
        <f t="shared" si="92"/>
        <v/>
      </c>
      <c r="BO38" s="295" t="str">
        <f t="shared" si="38"/>
        <v/>
      </c>
      <c r="BP38" s="296" t="str">
        <f t="shared" si="39"/>
        <v/>
      </c>
      <c r="BQ38" s="295" t="str">
        <f t="shared" si="40"/>
        <v/>
      </c>
      <c r="BR38" s="300"/>
      <c r="BS38" s="297" t="str">
        <f t="shared" si="93"/>
        <v/>
      </c>
      <c r="BT38" s="295" t="str">
        <f t="shared" si="41"/>
        <v/>
      </c>
      <c r="BU38" s="296" t="str">
        <f t="shared" si="42"/>
        <v/>
      </c>
      <c r="BV38" s="295" t="str">
        <f t="shared" si="43"/>
        <v/>
      </c>
      <c r="BW38" s="300"/>
      <c r="BX38" s="297" t="str">
        <f t="shared" si="94"/>
        <v/>
      </c>
      <c r="BY38" s="295" t="str">
        <f t="shared" si="44"/>
        <v/>
      </c>
      <c r="BZ38" s="296" t="str">
        <f t="shared" si="45"/>
        <v/>
      </c>
      <c r="CA38" s="295" t="str">
        <f t="shared" si="46"/>
        <v/>
      </c>
      <c r="CB38" s="300"/>
      <c r="CC38" s="297" t="str">
        <f t="shared" si="95"/>
        <v/>
      </c>
      <c r="CD38" s="295" t="str">
        <f t="shared" si="47"/>
        <v/>
      </c>
      <c r="CE38" s="296" t="str">
        <f t="shared" si="48"/>
        <v/>
      </c>
      <c r="CF38" s="295" t="str">
        <f t="shared" si="49"/>
        <v/>
      </c>
      <c r="CG38" s="300"/>
      <c r="CH38" s="297" t="str">
        <f t="shared" si="96"/>
        <v/>
      </c>
      <c r="CI38" s="295" t="str">
        <f t="shared" si="50"/>
        <v/>
      </c>
      <c r="CJ38" s="296" t="str">
        <f t="shared" si="51"/>
        <v/>
      </c>
      <c r="CK38" s="295" t="str">
        <f t="shared" si="52"/>
        <v/>
      </c>
      <c r="CL38" s="300"/>
      <c r="CM38" s="297" t="str">
        <f t="shared" si="97"/>
        <v/>
      </c>
      <c r="CN38" s="295" t="str">
        <f t="shared" si="53"/>
        <v/>
      </c>
      <c r="CO38" s="296" t="str">
        <f t="shared" si="54"/>
        <v/>
      </c>
      <c r="CP38" s="295" t="str">
        <f t="shared" si="55"/>
        <v/>
      </c>
      <c r="CQ38" s="300"/>
      <c r="CR38" s="297" t="str">
        <f t="shared" si="98"/>
        <v/>
      </c>
      <c r="CS38" s="295" t="str">
        <f t="shared" si="56"/>
        <v/>
      </c>
      <c r="CT38" s="296" t="str">
        <f t="shared" si="57"/>
        <v/>
      </c>
      <c r="CU38" s="295" t="str">
        <f t="shared" si="58"/>
        <v/>
      </c>
      <c r="CV38" s="300"/>
      <c r="CW38" s="297" t="str">
        <f t="shared" si="99"/>
        <v/>
      </c>
      <c r="CX38" s="295" t="str">
        <f t="shared" si="59"/>
        <v/>
      </c>
      <c r="CY38" s="296" t="str">
        <f t="shared" si="60"/>
        <v/>
      </c>
      <c r="CZ38" s="295" t="str">
        <f t="shared" si="61"/>
        <v/>
      </c>
      <c r="DA38" s="300"/>
      <c r="DB38" s="297" t="str">
        <f t="shared" si="100"/>
        <v/>
      </c>
      <c r="DC38" s="295" t="str">
        <f t="shared" si="62"/>
        <v/>
      </c>
      <c r="DD38" s="296" t="str">
        <f t="shared" si="63"/>
        <v/>
      </c>
      <c r="DE38" s="295" t="str">
        <f t="shared" si="64"/>
        <v/>
      </c>
      <c r="DF38" s="300"/>
      <c r="DG38" s="297" t="str">
        <f t="shared" si="101"/>
        <v/>
      </c>
      <c r="DH38" s="295" t="str">
        <f t="shared" si="65"/>
        <v/>
      </c>
      <c r="DI38" s="296" t="str">
        <f t="shared" si="66"/>
        <v/>
      </c>
      <c r="DJ38" s="295" t="str">
        <f t="shared" si="67"/>
        <v/>
      </c>
      <c r="DK38" s="300"/>
      <c r="DL38" s="297" t="str">
        <f t="shared" si="102"/>
        <v/>
      </c>
      <c r="DM38" s="295" t="str">
        <f t="shared" si="68"/>
        <v/>
      </c>
      <c r="DN38" s="296" t="str">
        <f t="shared" si="69"/>
        <v/>
      </c>
      <c r="DO38" s="295" t="str">
        <f t="shared" si="70"/>
        <v/>
      </c>
      <c r="DP38" s="300"/>
      <c r="DQ38" s="297" t="str">
        <f t="shared" si="103"/>
        <v/>
      </c>
      <c r="DR38" s="295" t="str">
        <f t="shared" si="71"/>
        <v/>
      </c>
      <c r="DS38" s="296" t="str">
        <f t="shared" si="72"/>
        <v/>
      </c>
      <c r="DT38" s="295" t="str">
        <f t="shared" si="73"/>
        <v/>
      </c>
      <c r="DU38" s="300"/>
      <c r="DV38" s="297" t="str">
        <f t="shared" si="104"/>
        <v/>
      </c>
      <c r="DW38" s="295" t="str">
        <f>IF('1.ข้อมูลเบื้องต้น'!$B$32="","",IF($B38="","",'1.ข้อมูลเบื้องต้น'!$B$32))</f>
        <v/>
      </c>
      <c r="DX38" s="296" t="str">
        <f>IF('1.ข้อมูลเบื้องต้น'!$C$32="","",IF($B38="","",'1.ข้อมูลเบื้องต้น'!$C$32))</f>
        <v/>
      </c>
      <c r="DY38" s="295" t="str">
        <f>IF('1.ข้อมูลเบื้องต้น'!$D$32="","",IF($B38="","",'1.ข้อมูลเบื้องต้น'!$D$32))</f>
        <v/>
      </c>
      <c r="DZ38" s="300"/>
      <c r="EA38" s="297" t="str">
        <f t="shared" si="105"/>
        <v/>
      </c>
      <c r="EB38" s="386" t="str">
        <f>IF('6.1ประกาศผลปลายภาค'!AW41="","",'6.1ประกาศผลปลายภาค'!AW41)</f>
        <v/>
      </c>
      <c r="EC38" s="382" t="str">
        <f>IF('2.ชื่อนักเรียน'!R43="มส","มส",IF('2.ชื่อนักเรียน'!R43="ย้าย","ย้าย",IF('2.ชื่อนักเรียน'!R43="ร","ร",IF(EB38="","",RANK(EB38,$EB$6:$EB$50,0)))))</f>
        <v/>
      </c>
      <c r="ED38" s="388"/>
      <c r="EE38" s="388"/>
      <c r="EF38" s="388"/>
      <c r="EG38" s="388"/>
      <c r="EH38" s="295" t="str">
        <f>IF('2.ชื่อนักเรียน'!R43="มส","ไม่ผ่าน",IF('2.ชื่อนักเรียน'!R43="ย้าย","ย้าย",IF(COUNTA(ED38:EG38)&lt;4,"",IF(AND(ED38="ผ",EE38="ผ",EF38="ผ",EG38="ผ"),"ผ่าน","ไม่ผ่าน"))))</f>
        <v/>
      </c>
      <c r="EI38" s="300"/>
      <c r="EK38" s="459" t="str">
        <f t="shared" si="74"/>
        <v/>
      </c>
      <c r="EL38" s="460" t="str">
        <f t="shared" si="75"/>
        <v/>
      </c>
      <c r="EM38" s="461" t="str">
        <f t="shared" si="76"/>
        <v/>
      </c>
      <c r="EN38" s="460" t="str">
        <f t="shared" si="77"/>
        <v/>
      </c>
      <c r="EO38" s="461" t="str">
        <f t="shared" si="78"/>
        <v/>
      </c>
      <c r="EP38" s="460" t="str">
        <f t="shared" si="79"/>
        <v/>
      </c>
      <c r="EQ38" s="461" t="str">
        <f t="shared" si="106"/>
        <v/>
      </c>
      <c r="ER38" s="460" t="str">
        <f t="shared" si="107"/>
        <v/>
      </c>
      <c r="ES38" s="461" t="str">
        <f t="shared" si="80"/>
        <v/>
      </c>
      <c r="ET38" s="460" t="str">
        <f t="shared" si="81"/>
        <v/>
      </c>
    </row>
    <row r="39" spans="1:150" s="14" customFormat="1" ht="21" x14ac:dyDescent="0.4">
      <c r="A39" s="295">
        <v>34</v>
      </c>
      <c r="B39" s="295" t="str">
        <f>IF('2.ชื่อนักเรียน'!E44="","",CONCATENATE('2.ชื่อนักเรียน'!E44,'2.ชื่อนักเรียน'!F44,'2.ชื่อนักเรียน'!G44,'2.ชื่อนักเรียน'!H44,'2.ชื่อนักเรียน'!I44,'2.ชื่อนักเรียน'!J44,'2.ชื่อนักเรียน'!K44,'2.ชื่อนักเรียน'!L44,'2.ชื่อนักเรียน'!M44,'2.ชื่อนักเรียน'!N44,'2.ชื่อนักเรียน'!O44,'2.ชื่อนักเรียน'!P44,'2.ชื่อนักเรียน'!Q44,))</f>
        <v/>
      </c>
      <c r="C39" s="295" t="str">
        <f>IF(IDstu34="","",IDstu34)</f>
        <v/>
      </c>
      <c r="D39" s="497" t="str">
        <f>CONCATENATE(TRIM(Name34),"  ",Surname34)</f>
        <v xml:space="preserve">  </v>
      </c>
      <c r="E39" s="297" t="str">
        <f t="shared" si="0"/>
        <v/>
      </c>
      <c r="F39" s="295" t="str">
        <f t="shared" si="1"/>
        <v/>
      </c>
      <c r="G39" s="295" t="str">
        <f t="shared" si="2"/>
        <v/>
      </c>
      <c r="H39" s="296" t="str">
        <f t="shared" si="3"/>
        <v/>
      </c>
      <c r="I39" s="295" t="str">
        <f t="shared" si="4"/>
        <v/>
      </c>
      <c r="J39" s="300"/>
      <c r="K39" s="297" t="str">
        <f t="shared" si="82"/>
        <v/>
      </c>
      <c r="L39" s="295" t="str">
        <f t="shared" si="5"/>
        <v/>
      </c>
      <c r="M39" s="296" t="str">
        <f t="shared" si="6"/>
        <v/>
      </c>
      <c r="N39" s="295" t="str">
        <f t="shared" si="7"/>
        <v/>
      </c>
      <c r="O39" s="300"/>
      <c r="P39" s="297" t="str">
        <f t="shared" si="83"/>
        <v/>
      </c>
      <c r="Q39" s="295" t="str">
        <f t="shared" si="8"/>
        <v/>
      </c>
      <c r="R39" s="296" t="str">
        <f t="shared" si="9"/>
        <v/>
      </c>
      <c r="S39" s="295" t="str">
        <f t="shared" si="10"/>
        <v/>
      </c>
      <c r="T39" s="300"/>
      <c r="U39" s="297" t="str">
        <f t="shared" si="108"/>
        <v/>
      </c>
      <c r="V39" s="295" t="str">
        <f t="shared" si="11"/>
        <v/>
      </c>
      <c r="W39" s="296" t="str">
        <f t="shared" si="12"/>
        <v/>
      </c>
      <c r="X39" s="295" t="str">
        <f t="shared" si="13"/>
        <v/>
      </c>
      <c r="Y39" s="300"/>
      <c r="Z39" s="297" t="str">
        <f t="shared" si="84"/>
        <v/>
      </c>
      <c r="AA39" s="295" t="str">
        <f t="shared" si="14"/>
        <v/>
      </c>
      <c r="AB39" s="296" t="str">
        <f t="shared" si="15"/>
        <v/>
      </c>
      <c r="AC39" s="295" t="str">
        <f t="shared" si="16"/>
        <v/>
      </c>
      <c r="AD39" s="300"/>
      <c r="AE39" s="297" t="str">
        <f t="shared" si="85"/>
        <v/>
      </c>
      <c r="AF39" s="295" t="str">
        <f t="shared" si="17"/>
        <v/>
      </c>
      <c r="AG39" s="296" t="str">
        <f t="shared" si="18"/>
        <v/>
      </c>
      <c r="AH39" s="295" t="str">
        <f t="shared" si="19"/>
        <v/>
      </c>
      <c r="AI39" s="300"/>
      <c r="AJ39" s="297" t="str">
        <f t="shared" si="86"/>
        <v/>
      </c>
      <c r="AK39" s="295" t="str">
        <f t="shared" si="20"/>
        <v/>
      </c>
      <c r="AL39" s="296" t="str">
        <f t="shared" si="21"/>
        <v/>
      </c>
      <c r="AM39" s="295" t="str">
        <f t="shared" si="22"/>
        <v/>
      </c>
      <c r="AN39" s="300"/>
      <c r="AO39" s="297" t="str">
        <f t="shared" si="87"/>
        <v/>
      </c>
      <c r="AP39" s="295" t="str">
        <f t="shared" si="23"/>
        <v/>
      </c>
      <c r="AQ39" s="296" t="str">
        <f t="shared" si="24"/>
        <v/>
      </c>
      <c r="AR39" s="295" t="str">
        <f t="shared" si="25"/>
        <v/>
      </c>
      <c r="AS39" s="300"/>
      <c r="AT39" s="297" t="str">
        <f t="shared" si="88"/>
        <v/>
      </c>
      <c r="AU39" s="295" t="str">
        <f t="shared" si="26"/>
        <v/>
      </c>
      <c r="AV39" s="296" t="str">
        <f t="shared" si="27"/>
        <v/>
      </c>
      <c r="AW39" s="295" t="str">
        <f t="shared" si="28"/>
        <v/>
      </c>
      <c r="AX39" s="300"/>
      <c r="AY39" s="297" t="str">
        <f t="shared" si="89"/>
        <v/>
      </c>
      <c r="AZ39" s="295" t="str">
        <f t="shared" si="29"/>
        <v/>
      </c>
      <c r="BA39" s="296" t="str">
        <f t="shared" si="30"/>
        <v/>
      </c>
      <c r="BB39" s="295" t="str">
        <f t="shared" si="31"/>
        <v/>
      </c>
      <c r="BC39" s="300"/>
      <c r="BD39" s="297" t="str">
        <f t="shared" si="90"/>
        <v/>
      </c>
      <c r="BE39" s="295" t="str">
        <f t="shared" si="32"/>
        <v/>
      </c>
      <c r="BF39" s="296" t="str">
        <f t="shared" si="33"/>
        <v/>
      </c>
      <c r="BG39" s="295" t="str">
        <f t="shared" si="34"/>
        <v/>
      </c>
      <c r="BH39" s="300"/>
      <c r="BI39" s="297" t="str">
        <f t="shared" si="91"/>
        <v/>
      </c>
      <c r="BJ39" s="295" t="str">
        <f t="shared" si="35"/>
        <v/>
      </c>
      <c r="BK39" s="296" t="str">
        <f t="shared" si="36"/>
        <v/>
      </c>
      <c r="BL39" s="295" t="str">
        <f t="shared" si="37"/>
        <v/>
      </c>
      <c r="BM39" s="300"/>
      <c r="BN39" s="297" t="str">
        <f t="shared" si="92"/>
        <v/>
      </c>
      <c r="BO39" s="295" t="str">
        <f t="shared" si="38"/>
        <v/>
      </c>
      <c r="BP39" s="296" t="str">
        <f t="shared" si="39"/>
        <v/>
      </c>
      <c r="BQ39" s="295" t="str">
        <f t="shared" si="40"/>
        <v/>
      </c>
      <c r="BR39" s="300"/>
      <c r="BS39" s="297" t="str">
        <f t="shared" si="93"/>
        <v/>
      </c>
      <c r="BT39" s="295" t="str">
        <f t="shared" si="41"/>
        <v/>
      </c>
      <c r="BU39" s="296" t="str">
        <f t="shared" si="42"/>
        <v/>
      </c>
      <c r="BV39" s="295" t="str">
        <f t="shared" si="43"/>
        <v/>
      </c>
      <c r="BW39" s="300"/>
      <c r="BX39" s="297" t="str">
        <f t="shared" si="94"/>
        <v/>
      </c>
      <c r="BY39" s="295" t="str">
        <f t="shared" si="44"/>
        <v/>
      </c>
      <c r="BZ39" s="296" t="str">
        <f t="shared" si="45"/>
        <v/>
      </c>
      <c r="CA39" s="295" t="str">
        <f t="shared" si="46"/>
        <v/>
      </c>
      <c r="CB39" s="300"/>
      <c r="CC39" s="297" t="str">
        <f t="shared" si="95"/>
        <v/>
      </c>
      <c r="CD39" s="295" t="str">
        <f t="shared" si="47"/>
        <v/>
      </c>
      <c r="CE39" s="296" t="str">
        <f t="shared" si="48"/>
        <v/>
      </c>
      <c r="CF39" s="295" t="str">
        <f t="shared" si="49"/>
        <v/>
      </c>
      <c r="CG39" s="300"/>
      <c r="CH39" s="297" t="str">
        <f t="shared" si="96"/>
        <v/>
      </c>
      <c r="CI39" s="295" t="str">
        <f t="shared" si="50"/>
        <v/>
      </c>
      <c r="CJ39" s="296" t="str">
        <f t="shared" si="51"/>
        <v/>
      </c>
      <c r="CK39" s="295" t="str">
        <f t="shared" si="52"/>
        <v/>
      </c>
      <c r="CL39" s="300"/>
      <c r="CM39" s="297" t="str">
        <f t="shared" si="97"/>
        <v/>
      </c>
      <c r="CN39" s="295" t="str">
        <f t="shared" si="53"/>
        <v/>
      </c>
      <c r="CO39" s="296" t="str">
        <f t="shared" si="54"/>
        <v/>
      </c>
      <c r="CP39" s="295" t="str">
        <f t="shared" si="55"/>
        <v/>
      </c>
      <c r="CQ39" s="300"/>
      <c r="CR39" s="297" t="str">
        <f t="shared" si="98"/>
        <v/>
      </c>
      <c r="CS39" s="295" t="str">
        <f t="shared" si="56"/>
        <v/>
      </c>
      <c r="CT39" s="296" t="str">
        <f t="shared" si="57"/>
        <v/>
      </c>
      <c r="CU39" s="295" t="str">
        <f t="shared" si="58"/>
        <v/>
      </c>
      <c r="CV39" s="300"/>
      <c r="CW39" s="297" t="str">
        <f t="shared" si="99"/>
        <v/>
      </c>
      <c r="CX39" s="295" t="str">
        <f t="shared" si="59"/>
        <v/>
      </c>
      <c r="CY39" s="296" t="str">
        <f t="shared" si="60"/>
        <v/>
      </c>
      <c r="CZ39" s="295" t="str">
        <f t="shared" si="61"/>
        <v/>
      </c>
      <c r="DA39" s="300"/>
      <c r="DB39" s="297" t="str">
        <f t="shared" si="100"/>
        <v/>
      </c>
      <c r="DC39" s="295" t="str">
        <f t="shared" si="62"/>
        <v/>
      </c>
      <c r="DD39" s="296" t="str">
        <f t="shared" si="63"/>
        <v/>
      </c>
      <c r="DE39" s="295" t="str">
        <f t="shared" si="64"/>
        <v/>
      </c>
      <c r="DF39" s="300"/>
      <c r="DG39" s="297" t="str">
        <f t="shared" si="101"/>
        <v/>
      </c>
      <c r="DH39" s="295" t="str">
        <f t="shared" si="65"/>
        <v/>
      </c>
      <c r="DI39" s="296" t="str">
        <f t="shared" si="66"/>
        <v/>
      </c>
      <c r="DJ39" s="295" t="str">
        <f t="shared" si="67"/>
        <v/>
      </c>
      <c r="DK39" s="300"/>
      <c r="DL39" s="297" t="str">
        <f t="shared" si="102"/>
        <v/>
      </c>
      <c r="DM39" s="295" t="str">
        <f t="shared" si="68"/>
        <v/>
      </c>
      <c r="DN39" s="296" t="str">
        <f t="shared" si="69"/>
        <v/>
      </c>
      <c r="DO39" s="295" t="str">
        <f t="shared" si="70"/>
        <v/>
      </c>
      <c r="DP39" s="300"/>
      <c r="DQ39" s="297" t="str">
        <f t="shared" si="103"/>
        <v/>
      </c>
      <c r="DR39" s="295" t="str">
        <f t="shared" si="71"/>
        <v/>
      </c>
      <c r="DS39" s="296" t="str">
        <f t="shared" si="72"/>
        <v/>
      </c>
      <c r="DT39" s="295" t="str">
        <f t="shared" si="73"/>
        <v/>
      </c>
      <c r="DU39" s="300"/>
      <c r="DV39" s="297" t="str">
        <f t="shared" si="104"/>
        <v/>
      </c>
      <c r="DW39" s="295" t="str">
        <f>IF('1.ข้อมูลเบื้องต้น'!$B$32="","",IF($B39="","",'1.ข้อมูลเบื้องต้น'!$B$32))</f>
        <v/>
      </c>
      <c r="DX39" s="296" t="str">
        <f>IF('1.ข้อมูลเบื้องต้น'!$C$32="","",IF($B39="","",'1.ข้อมูลเบื้องต้น'!$C$32))</f>
        <v/>
      </c>
      <c r="DY39" s="295" t="str">
        <f>IF('1.ข้อมูลเบื้องต้น'!$D$32="","",IF($B39="","",'1.ข้อมูลเบื้องต้น'!$D$32))</f>
        <v/>
      </c>
      <c r="DZ39" s="300"/>
      <c r="EA39" s="297" t="str">
        <f t="shared" si="105"/>
        <v/>
      </c>
      <c r="EB39" s="386" t="str">
        <f>IF('6.1ประกาศผลปลายภาค'!AW42="","",'6.1ประกาศผลปลายภาค'!AW42)</f>
        <v/>
      </c>
      <c r="EC39" s="382" t="str">
        <f>IF('2.ชื่อนักเรียน'!R44="มส","มส",IF('2.ชื่อนักเรียน'!R44="ย้าย","ย้าย",IF('2.ชื่อนักเรียน'!R44="ร","ร",IF(EB39="","",RANK(EB39,$EB$6:$EB$50,0)))))</f>
        <v/>
      </c>
      <c r="ED39" s="388"/>
      <c r="EE39" s="388"/>
      <c r="EF39" s="388"/>
      <c r="EG39" s="388"/>
      <c r="EH39" s="295" t="str">
        <f>IF('2.ชื่อนักเรียน'!R44="มส","ไม่ผ่าน",IF('2.ชื่อนักเรียน'!R44="ย้าย","ย้าย",IF(COUNTA(ED39:EG39)&lt;4,"",IF(AND(ED39="ผ",EE39="ผ",EF39="ผ",EG39="ผ"),"ผ่าน","ไม่ผ่าน"))))</f>
        <v/>
      </c>
      <c r="EI39" s="300"/>
      <c r="EK39" s="459" t="str">
        <f t="shared" si="74"/>
        <v/>
      </c>
      <c r="EL39" s="460" t="str">
        <f t="shared" si="75"/>
        <v/>
      </c>
      <c r="EM39" s="461" t="str">
        <f t="shared" si="76"/>
        <v/>
      </c>
      <c r="EN39" s="460" t="str">
        <f t="shared" si="77"/>
        <v/>
      </c>
      <c r="EO39" s="461" t="str">
        <f t="shared" si="78"/>
        <v/>
      </c>
      <c r="EP39" s="460" t="str">
        <f t="shared" si="79"/>
        <v/>
      </c>
      <c r="EQ39" s="461" t="str">
        <f t="shared" si="106"/>
        <v/>
      </c>
      <c r="ER39" s="460" t="str">
        <f t="shared" si="107"/>
        <v/>
      </c>
      <c r="ES39" s="461" t="str">
        <f t="shared" si="80"/>
        <v/>
      </c>
      <c r="ET39" s="460" t="str">
        <f t="shared" si="81"/>
        <v/>
      </c>
    </row>
    <row r="40" spans="1:150" s="14" customFormat="1" ht="21.6" thickBot="1" x14ac:dyDescent="0.45">
      <c r="A40" s="295">
        <v>35</v>
      </c>
      <c r="B40" s="295" t="str">
        <f>IF('2.ชื่อนักเรียน'!E45="","",CONCATENATE('2.ชื่อนักเรียน'!E45,'2.ชื่อนักเรียน'!F45,'2.ชื่อนักเรียน'!G45,'2.ชื่อนักเรียน'!H45,'2.ชื่อนักเรียน'!I45,'2.ชื่อนักเรียน'!J45,'2.ชื่อนักเรียน'!K45,'2.ชื่อนักเรียน'!L45,'2.ชื่อนักเรียน'!M45,'2.ชื่อนักเรียน'!N45,'2.ชื่อนักเรียน'!O45,'2.ชื่อนักเรียน'!P45,'2.ชื่อนักเรียน'!Q45,))</f>
        <v/>
      </c>
      <c r="C40" s="295" t="str">
        <f>IF(IDstu35="","",IDstu35)</f>
        <v/>
      </c>
      <c r="D40" s="497" t="str">
        <f>CONCATENATE(TRIM(Name35),"  ",Surname35)</f>
        <v xml:space="preserve">  </v>
      </c>
      <c r="E40" s="297" t="str">
        <f t="shared" si="0"/>
        <v/>
      </c>
      <c r="F40" s="295" t="str">
        <f t="shared" si="1"/>
        <v/>
      </c>
      <c r="G40" s="295" t="str">
        <f t="shared" si="2"/>
        <v/>
      </c>
      <c r="H40" s="296" t="str">
        <f t="shared" si="3"/>
        <v/>
      </c>
      <c r="I40" s="295" t="str">
        <f t="shared" si="4"/>
        <v/>
      </c>
      <c r="J40" s="300"/>
      <c r="K40" s="297" t="str">
        <f t="shared" si="82"/>
        <v/>
      </c>
      <c r="L40" s="295" t="str">
        <f t="shared" si="5"/>
        <v/>
      </c>
      <c r="M40" s="296" t="str">
        <f t="shared" si="6"/>
        <v/>
      </c>
      <c r="N40" s="295" t="str">
        <f t="shared" si="7"/>
        <v/>
      </c>
      <c r="O40" s="300"/>
      <c r="P40" s="297" t="str">
        <f t="shared" si="83"/>
        <v/>
      </c>
      <c r="Q40" s="295" t="str">
        <f t="shared" si="8"/>
        <v/>
      </c>
      <c r="R40" s="296" t="str">
        <f t="shared" si="9"/>
        <v/>
      </c>
      <c r="S40" s="295" t="str">
        <f t="shared" si="10"/>
        <v/>
      </c>
      <c r="T40" s="300"/>
      <c r="U40" s="297" t="str">
        <f t="shared" si="108"/>
        <v/>
      </c>
      <c r="V40" s="295" t="str">
        <f t="shared" si="11"/>
        <v/>
      </c>
      <c r="W40" s="296" t="str">
        <f t="shared" si="12"/>
        <v/>
      </c>
      <c r="X40" s="295" t="str">
        <f t="shared" si="13"/>
        <v/>
      </c>
      <c r="Y40" s="300"/>
      <c r="Z40" s="297" t="str">
        <f t="shared" si="84"/>
        <v/>
      </c>
      <c r="AA40" s="295" t="str">
        <f t="shared" si="14"/>
        <v/>
      </c>
      <c r="AB40" s="296" t="str">
        <f t="shared" si="15"/>
        <v/>
      </c>
      <c r="AC40" s="295" t="str">
        <f t="shared" si="16"/>
        <v/>
      </c>
      <c r="AD40" s="300"/>
      <c r="AE40" s="297" t="str">
        <f t="shared" si="85"/>
        <v/>
      </c>
      <c r="AF40" s="295" t="str">
        <f t="shared" si="17"/>
        <v/>
      </c>
      <c r="AG40" s="296" t="str">
        <f t="shared" si="18"/>
        <v/>
      </c>
      <c r="AH40" s="295" t="str">
        <f t="shared" si="19"/>
        <v/>
      </c>
      <c r="AI40" s="300"/>
      <c r="AJ40" s="297" t="str">
        <f t="shared" si="86"/>
        <v/>
      </c>
      <c r="AK40" s="295" t="str">
        <f t="shared" si="20"/>
        <v/>
      </c>
      <c r="AL40" s="296" t="str">
        <f t="shared" si="21"/>
        <v/>
      </c>
      <c r="AM40" s="295" t="str">
        <f t="shared" si="22"/>
        <v/>
      </c>
      <c r="AN40" s="300"/>
      <c r="AO40" s="297" t="str">
        <f t="shared" si="87"/>
        <v/>
      </c>
      <c r="AP40" s="295" t="str">
        <f t="shared" si="23"/>
        <v/>
      </c>
      <c r="AQ40" s="296" t="str">
        <f t="shared" si="24"/>
        <v/>
      </c>
      <c r="AR40" s="295" t="str">
        <f t="shared" si="25"/>
        <v/>
      </c>
      <c r="AS40" s="300"/>
      <c r="AT40" s="297" t="str">
        <f t="shared" si="88"/>
        <v/>
      </c>
      <c r="AU40" s="295" t="str">
        <f t="shared" si="26"/>
        <v/>
      </c>
      <c r="AV40" s="296" t="str">
        <f t="shared" si="27"/>
        <v/>
      </c>
      <c r="AW40" s="295" t="str">
        <f t="shared" si="28"/>
        <v/>
      </c>
      <c r="AX40" s="300"/>
      <c r="AY40" s="297" t="str">
        <f t="shared" si="89"/>
        <v/>
      </c>
      <c r="AZ40" s="295" t="str">
        <f t="shared" si="29"/>
        <v/>
      </c>
      <c r="BA40" s="296" t="str">
        <f t="shared" si="30"/>
        <v/>
      </c>
      <c r="BB40" s="295" t="str">
        <f t="shared" si="31"/>
        <v/>
      </c>
      <c r="BC40" s="300"/>
      <c r="BD40" s="297" t="str">
        <f t="shared" si="90"/>
        <v/>
      </c>
      <c r="BE40" s="295" t="str">
        <f t="shared" si="32"/>
        <v/>
      </c>
      <c r="BF40" s="296" t="str">
        <f t="shared" si="33"/>
        <v/>
      </c>
      <c r="BG40" s="295" t="str">
        <f t="shared" si="34"/>
        <v/>
      </c>
      <c r="BH40" s="300"/>
      <c r="BI40" s="297" t="str">
        <f t="shared" si="91"/>
        <v/>
      </c>
      <c r="BJ40" s="295" t="str">
        <f t="shared" si="35"/>
        <v/>
      </c>
      <c r="BK40" s="296" t="str">
        <f t="shared" si="36"/>
        <v/>
      </c>
      <c r="BL40" s="295" t="str">
        <f t="shared" si="37"/>
        <v/>
      </c>
      <c r="BM40" s="300"/>
      <c r="BN40" s="297" t="str">
        <f t="shared" si="92"/>
        <v/>
      </c>
      <c r="BO40" s="295" t="str">
        <f t="shared" si="38"/>
        <v/>
      </c>
      <c r="BP40" s="296" t="str">
        <f t="shared" si="39"/>
        <v/>
      </c>
      <c r="BQ40" s="295" t="str">
        <f t="shared" si="40"/>
        <v/>
      </c>
      <c r="BR40" s="300"/>
      <c r="BS40" s="297" t="str">
        <f t="shared" si="93"/>
        <v/>
      </c>
      <c r="BT40" s="295" t="str">
        <f t="shared" si="41"/>
        <v/>
      </c>
      <c r="BU40" s="296" t="str">
        <f t="shared" si="42"/>
        <v/>
      </c>
      <c r="BV40" s="295" t="str">
        <f t="shared" si="43"/>
        <v/>
      </c>
      <c r="BW40" s="300"/>
      <c r="BX40" s="297" t="str">
        <f t="shared" si="94"/>
        <v/>
      </c>
      <c r="BY40" s="295" t="str">
        <f t="shared" si="44"/>
        <v/>
      </c>
      <c r="BZ40" s="296" t="str">
        <f t="shared" si="45"/>
        <v/>
      </c>
      <c r="CA40" s="295" t="str">
        <f t="shared" si="46"/>
        <v/>
      </c>
      <c r="CB40" s="300"/>
      <c r="CC40" s="297" t="str">
        <f t="shared" si="95"/>
        <v/>
      </c>
      <c r="CD40" s="295" t="str">
        <f t="shared" si="47"/>
        <v/>
      </c>
      <c r="CE40" s="296" t="str">
        <f t="shared" si="48"/>
        <v/>
      </c>
      <c r="CF40" s="295" t="str">
        <f t="shared" si="49"/>
        <v/>
      </c>
      <c r="CG40" s="300"/>
      <c r="CH40" s="297" t="str">
        <f t="shared" si="96"/>
        <v/>
      </c>
      <c r="CI40" s="295" t="str">
        <f t="shared" si="50"/>
        <v/>
      </c>
      <c r="CJ40" s="296" t="str">
        <f t="shared" si="51"/>
        <v/>
      </c>
      <c r="CK40" s="295" t="str">
        <f t="shared" si="52"/>
        <v/>
      </c>
      <c r="CL40" s="300"/>
      <c r="CM40" s="297" t="str">
        <f t="shared" si="97"/>
        <v/>
      </c>
      <c r="CN40" s="295" t="str">
        <f t="shared" si="53"/>
        <v/>
      </c>
      <c r="CO40" s="296" t="str">
        <f t="shared" si="54"/>
        <v/>
      </c>
      <c r="CP40" s="295" t="str">
        <f t="shared" si="55"/>
        <v/>
      </c>
      <c r="CQ40" s="300"/>
      <c r="CR40" s="297" t="str">
        <f t="shared" si="98"/>
        <v/>
      </c>
      <c r="CS40" s="295" t="str">
        <f t="shared" si="56"/>
        <v/>
      </c>
      <c r="CT40" s="296" t="str">
        <f t="shared" si="57"/>
        <v/>
      </c>
      <c r="CU40" s="295" t="str">
        <f t="shared" si="58"/>
        <v/>
      </c>
      <c r="CV40" s="300"/>
      <c r="CW40" s="297" t="str">
        <f t="shared" si="99"/>
        <v/>
      </c>
      <c r="CX40" s="295" t="str">
        <f t="shared" si="59"/>
        <v/>
      </c>
      <c r="CY40" s="296" t="str">
        <f t="shared" si="60"/>
        <v/>
      </c>
      <c r="CZ40" s="295" t="str">
        <f t="shared" si="61"/>
        <v/>
      </c>
      <c r="DA40" s="300"/>
      <c r="DB40" s="297" t="str">
        <f t="shared" si="100"/>
        <v/>
      </c>
      <c r="DC40" s="295" t="str">
        <f t="shared" si="62"/>
        <v/>
      </c>
      <c r="DD40" s="296" t="str">
        <f t="shared" si="63"/>
        <v/>
      </c>
      <c r="DE40" s="295" t="str">
        <f t="shared" si="64"/>
        <v/>
      </c>
      <c r="DF40" s="300"/>
      <c r="DG40" s="297" t="str">
        <f t="shared" si="101"/>
        <v/>
      </c>
      <c r="DH40" s="295" t="str">
        <f t="shared" si="65"/>
        <v/>
      </c>
      <c r="DI40" s="296" t="str">
        <f t="shared" si="66"/>
        <v/>
      </c>
      <c r="DJ40" s="295" t="str">
        <f t="shared" si="67"/>
        <v/>
      </c>
      <c r="DK40" s="300"/>
      <c r="DL40" s="297" t="str">
        <f t="shared" si="102"/>
        <v/>
      </c>
      <c r="DM40" s="295" t="str">
        <f t="shared" si="68"/>
        <v/>
      </c>
      <c r="DN40" s="296" t="str">
        <f t="shared" si="69"/>
        <v/>
      </c>
      <c r="DO40" s="295" t="str">
        <f t="shared" si="70"/>
        <v/>
      </c>
      <c r="DP40" s="300"/>
      <c r="DQ40" s="297" t="str">
        <f t="shared" si="103"/>
        <v/>
      </c>
      <c r="DR40" s="295" t="str">
        <f t="shared" si="71"/>
        <v/>
      </c>
      <c r="DS40" s="296" t="str">
        <f t="shared" si="72"/>
        <v/>
      </c>
      <c r="DT40" s="295" t="str">
        <f t="shared" si="73"/>
        <v/>
      </c>
      <c r="DU40" s="300"/>
      <c r="DV40" s="297" t="str">
        <f t="shared" si="104"/>
        <v/>
      </c>
      <c r="DW40" s="295" t="str">
        <f>IF('1.ข้อมูลเบื้องต้น'!$B$32="","",IF($B40="","",'1.ข้อมูลเบื้องต้น'!$B$32))</f>
        <v/>
      </c>
      <c r="DX40" s="296" t="str">
        <f>IF('1.ข้อมูลเบื้องต้น'!$C$32="","",IF($B40="","",'1.ข้อมูลเบื้องต้น'!$C$32))</f>
        <v/>
      </c>
      <c r="DY40" s="295" t="str">
        <f>IF('1.ข้อมูลเบื้องต้น'!$D$32="","",IF($B40="","",'1.ข้อมูลเบื้องต้น'!$D$32))</f>
        <v/>
      </c>
      <c r="DZ40" s="300"/>
      <c r="EA40" s="297" t="str">
        <f t="shared" si="105"/>
        <v/>
      </c>
      <c r="EB40" s="386" t="str">
        <f>IF('6.1ประกาศผลปลายภาค'!AW43="","",'6.1ประกาศผลปลายภาค'!AW43)</f>
        <v/>
      </c>
      <c r="EC40" s="382" t="str">
        <f>IF('2.ชื่อนักเรียน'!R45="มส","มส",IF('2.ชื่อนักเรียน'!R45="ย้าย","ย้าย",IF('2.ชื่อนักเรียน'!R45="ร","ร",IF(EB40="","",RANK(EB40,$EB$6:$EB$50,0)))))</f>
        <v/>
      </c>
      <c r="ED40" s="388"/>
      <c r="EE40" s="388"/>
      <c r="EF40" s="388"/>
      <c r="EG40" s="388"/>
      <c r="EH40" s="295" t="str">
        <f>IF('2.ชื่อนักเรียน'!R45="มส","ไม่ผ่าน",IF('2.ชื่อนักเรียน'!R45="ย้าย","ย้าย",IF(COUNTA(ED40:EG40)&lt;4,"",IF(AND(ED40="ผ",EE40="ผ",EF40="ผ",EG40="ผ"),"ผ่าน","ไม่ผ่าน"))))</f>
        <v/>
      </c>
      <c r="EI40" s="300"/>
      <c r="EK40" s="462" t="str">
        <f t="shared" si="74"/>
        <v/>
      </c>
      <c r="EL40" s="463" t="str">
        <f t="shared" si="75"/>
        <v/>
      </c>
      <c r="EM40" s="464" t="str">
        <f t="shared" si="76"/>
        <v/>
      </c>
      <c r="EN40" s="463" t="str">
        <f t="shared" si="77"/>
        <v/>
      </c>
      <c r="EO40" s="464" t="str">
        <f t="shared" si="78"/>
        <v/>
      </c>
      <c r="EP40" s="463" t="str">
        <f t="shared" si="79"/>
        <v/>
      </c>
      <c r="EQ40" s="464" t="str">
        <f t="shared" si="106"/>
        <v/>
      </c>
      <c r="ER40" s="463" t="str">
        <f t="shared" si="107"/>
        <v/>
      </c>
      <c r="ES40" s="464" t="str">
        <f t="shared" si="80"/>
        <v/>
      </c>
      <c r="ET40" s="463" t="str">
        <f t="shared" si="81"/>
        <v/>
      </c>
    </row>
    <row r="41" spans="1:150" s="14" customFormat="1" ht="21.6" thickTop="1" x14ac:dyDescent="0.4">
      <c r="A41" s="295">
        <v>36</v>
      </c>
      <c r="B41" s="295" t="str">
        <f>IF('2.ชื่อนักเรียน'!E46="","",CONCATENATE('2.ชื่อนักเรียน'!E46,'2.ชื่อนักเรียน'!F46,'2.ชื่อนักเรียน'!G46,'2.ชื่อนักเรียน'!H46,'2.ชื่อนักเรียน'!I46,'2.ชื่อนักเรียน'!J46,'2.ชื่อนักเรียน'!K46,'2.ชื่อนักเรียน'!L46,'2.ชื่อนักเรียน'!M46,'2.ชื่อนักเรียน'!N46,'2.ชื่อนักเรียน'!O46,'2.ชื่อนักเรียน'!P46,'2.ชื่อนักเรียน'!Q46,))</f>
        <v/>
      </c>
      <c r="C41" s="295" t="str">
        <f>IF(IDstu36="","",IDstu36)</f>
        <v/>
      </c>
      <c r="D41" s="497" t="str">
        <f>CONCATENATE(TRIM(Name36),"  ",Surname36)</f>
        <v xml:space="preserve">  </v>
      </c>
      <c r="E41" s="297" t="str">
        <f t="shared" si="0"/>
        <v/>
      </c>
      <c r="F41" s="295" t="str">
        <f t="shared" si="1"/>
        <v/>
      </c>
      <c r="G41" s="295" t="str">
        <f t="shared" si="2"/>
        <v/>
      </c>
      <c r="H41" s="296" t="str">
        <f t="shared" si="3"/>
        <v/>
      </c>
      <c r="I41" s="295" t="str">
        <f t="shared" si="4"/>
        <v/>
      </c>
      <c r="J41" s="300"/>
      <c r="K41" s="297" t="str">
        <f t="shared" si="82"/>
        <v/>
      </c>
      <c r="L41" s="295" t="str">
        <f t="shared" si="5"/>
        <v/>
      </c>
      <c r="M41" s="296" t="str">
        <f t="shared" si="6"/>
        <v/>
      </c>
      <c r="N41" s="295" t="str">
        <f t="shared" si="7"/>
        <v/>
      </c>
      <c r="O41" s="300"/>
      <c r="P41" s="297" t="str">
        <f t="shared" si="83"/>
        <v/>
      </c>
      <c r="Q41" s="295" t="str">
        <f t="shared" si="8"/>
        <v/>
      </c>
      <c r="R41" s="296" t="str">
        <f t="shared" si="9"/>
        <v/>
      </c>
      <c r="S41" s="295" t="str">
        <f t="shared" si="10"/>
        <v/>
      </c>
      <c r="T41" s="300"/>
      <c r="U41" s="297" t="str">
        <f t="shared" si="108"/>
        <v/>
      </c>
      <c r="V41" s="295" t="str">
        <f t="shared" si="11"/>
        <v/>
      </c>
      <c r="W41" s="296" t="str">
        <f t="shared" si="12"/>
        <v/>
      </c>
      <c r="X41" s="295" t="str">
        <f t="shared" si="13"/>
        <v/>
      </c>
      <c r="Y41" s="300"/>
      <c r="Z41" s="297" t="str">
        <f t="shared" si="84"/>
        <v/>
      </c>
      <c r="AA41" s="295" t="str">
        <f t="shared" si="14"/>
        <v/>
      </c>
      <c r="AB41" s="296" t="str">
        <f t="shared" si="15"/>
        <v/>
      </c>
      <c r="AC41" s="295" t="str">
        <f t="shared" si="16"/>
        <v/>
      </c>
      <c r="AD41" s="300"/>
      <c r="AE41" s="297" t="str">
        <f t="shared" si="85"/>
        <v/>
      </c>
      <c r="AF41" s="295" t="str">
        <f t="shared" si="17"/>
        <v/>
      </c>
      <c r="AG41" s="296" t="str">
        <f t="shared" si="18"/>
        <v/>
      </c>
      <c r="AH41" s="295" t="str">
        <f t="shared" si="19"/>
        <v/>
      </c>
      <c r="AI41" s="300"/>
      <c r="AJ41" s="297" t="str">
        <f t="shared" si="86"/>
        <v/>
      </c>
      <c r="AK41" s="295" t="str">
        <f t="shared" si="20"/>
        <v/>
      </c>
      <c r="AL41" s="296" t="str">
        <f t="shared" si="21"/>
        <v/>
      </c>
      <c r="AM41" s="295" t="str">
        <f t="shared" si="22"/>
        <v/>
      </c>
      <c r="AN41" s="300"/>
      <c r="AO41" s="297" t="str">
        <f t="shared" si="87"/>
        <v/>
      </c>
      <c r="AP41" s="295" t="str">
        <f t="shared" si="23"/>
        <v/>
      </c>
      <c r="AQ41" s="296" t="str">
        <f t="shared" si="24"/>
        <v/>
      </c>
      <c r="AR41" s="295" t="str">
        <f t="shared" si="25"/>
        <v/>
      </c>
      <c r="AS41" s="300"/>
      <c r="AT41" s="297" t="str">
        <f t="shared" si="88"/>
        <v/>
      </c>
      <c r="AU41" s="295" t="str">
        <f t="shared" si="26"/>
        <v/>
      </c>
      <c r="AV41" s="296" t="str">
        <f t="shared" si="27"/>
        <v/>
      </c>
      <c r="AW41" s="295" t="str">
        <f t="shared" si="28"/>
        <v/>
      </c>
      <c r="AX41" s="300"/>
      <c r="AY41" s="297" t="str">
        <f t="shared" si="89"/>
        <v/>
      </c>
      <c r="AZ41" s="295" t="str">
        <f t="shared" si="29"/>
        <v/>
      </c>
      <c r="BA41" s="296" t="str">
        <f t="shared" si="30"/>
        <v/>
      </c>
      <c r="BB41" s="295" t="str">
        <f t="shared" si="31"/>
        <v/>
      </c>
      <c r="BC41" s="300"/>
      <c r="BD41" s="297" t="str">
        <f t="shared" si="90"/>
        <v/>
      </c>
      <c r="BE41" s="295" t="str">
        <f t="shared" si="32"/>
        <v/>
      </c>
      <c r="BF41" s="296" t="str">
        <f t="shared" si="33"/>
        <v/>
      </c>
      <c r="BG41" s="295" t="str">
        <f t="shared" si="34"/>
        <v/>
      </c>
      <c r="BH41" s="300"/>
      <c r="BI41" s="297" t="str">
        <f t="shared" si="91"/>
        <v/>
      </c>
      <c r="BJ41" s="295" t="str">
        <f t="shared" si="35"/>
        <v/>
      </c>
      <c r="BK41" s="296" t="str">
        <f t="shared" si="36"/>
        <v/>
      </c>
      <c r="BL41" s="295" t="str">
        <f t="shared" si="37"/>
        <v/>
      </c>
      <c r="BM41" s="300"/>
      <c r="BN41" s="297" t="str">
        <f t="shared" si="92"/>
        <v/>
      </c>
      <c r="BO41" s="295" t="str">
        <f t="shared" si="38"/>
        <v/>
      </c>
      <c r="BP41" s="296" t="str">
        <f t="shared" si="39"/>
        <v/>
      </c>
      <c r="BQ41" s="295" t="str">
        <f t="shared" si="40"/>
        <v/>
      </c>
      <c r="BR41" s="300"/>
      <c r="BS41" s="297" t="str">
        <f t="shared" si="93"/>
        <v/>
      </c>
      <c r="BT41" s="295" t="str">
        <f t="shared" si="41"/>
        <v/>
      </c>
      <c r="BU41" s="296" t="str">
        <f t="shared" si="42"/>
        <v/>
      </c>
      <c r="BV41" s="295" t="str">
        <f t="shared" si="43"/>
        <v/>
      </c>
      <c r="BW41" s="300"/>
      <c r="BX41" s="297" t="str">
        <f t="shared" si="94"/>
        <v/>
      </c>
      <c r="BY41" s="295" t="str">
        <f t="shared" si="44"/>
        <v/>
      </c>
      <c r="BZ41" s="296" t="str">
        <f t="shared" si="45"/>
        <v/>
      </c>
      <c r="CA41" s="295" t="str">
        <f t="shared" si="46"/>
        <v/>
      </c>
      <c r="CB41" s="300"/>
      <c r="CC41" s="297" t="str">
        <f t="shared" si="95"/>
        <v/>
      </c>
      <c r="CD41" s="295" t="str">
        <f t="shared" si="47"/>
        <v/>
      </c>
      <c r="CE41" s="296" t="str">
        <f t="shared" si="48"/>
        <v/>
      </c>
      <c r="CF41" s="295" t="str">
        <f t="shared" si="49"/>
        <v/>
      </c>
      <c r="CG41" s="300"/>
      <c r="CH41" s="297" t="str">
        <f t="shared" si="96"/>
        <v/>
      </c>
      <c r="CI41" s="295" t="str">
        <f t="shared" si="50"/>
        <v/>
      </c>
      <c r="CJ41" s="296" t="str">
        <f t="shared" si="51"/>
        <v/>
      </c>
      <c r="CK41" s="295" t="str">
        <f t="shared" si="52"/>
        <v/>
      </c>
      <c r="CL41" s="300"/>
      <c r="CM41" s="297" t="str">
        <f t="shared" si="97"/>
        <v/>
      </c>
      <c r="CN41" s="295" t="str">
        <f t="shared" si="53"/>
        <v/>
      </c>
      <c r="CO41" s="296" t="str">
        <f t="shared" si="54"/>
        <v/>
      </c>
      <c r="CP41" s="295" t="str">
        <f t="shared" si="55"/>
        <v/>
      </c>
      <c r="CQ41" s="300"/>
      <c r="CR41" s="297" t="str">
        <f t="shared" si="98"/>
        <v/>
      </c>
      <c r="CS41" s="295" t="str">
        <f t="shared" si="56"/>
        <v/>
      </c>
      <c r="CT41" s="296" t="str">
        <f t="shared" si="57"/>
        <v/>
      </c>
      <c r="CU41" s="295" t="str">
        <f t="shared" si="58"/>
        <v/>
      </c>
      <c r="CV41" s="300"/>
      <c r="CW41" s="297" t="str">
        <f t="shared" si="99"/>
        <v/>
      </c>
      <c r="CX41" s="295" t="str">
        <f t="shared" si="59"/>
        <v/>
      </c>
      <c r="CY41" s="296" t="str">
        <f t="shared" si="60"/>
        <v/>
      </c>
      <c r="CZ41" s="295" t="str">
        <f t="shared" si="61"/>
        <v/>
      </c>
      <c r="DA41" s="300"/>
      <c r="DB41" s="297" t="str">
        <f t="shared" si="100"/>
        <v/>
      </c>
      <c r="DC41" s="295" t="str">
        <f t="shared" si="62"/>
        <v/>
      </c>
      <c r="DD41" s="296" t="str">
        <f t="shared" si="63"/>
        <v/>
      </c>
      <c r="DE41" s="295" t="str">
        <f t="shared" si="64"/>
        <v/>
      </c>
      <c r="DF41" s="300"/>
      <c r="DG41" s="297" t="str">
        <f t="shared" si="101"/>
        <v/>
      </c>
      <c r="DH41" s="295" t="str">
        <f t="shared" si="65"/>
        <v/>
      </c>
      <c r="DI41" s="296" t="str">
        <f t="shared" si="66"/>
        <v/>
      </c>
      <c r="DJ41" s="295" t="str">
        <f t="shared" si="67"/>
        <v/>
      </c>
      <c r="DK41" s="300"/>
      <c r="DL41" s="297" t="str">
        <f t="shared" si="102"/>
        <v/>
      </c>
      <c r="DM41" s="295" t="str">
        <f t="shared" si="68"/>
        <v/>
      </c>
      <c r="DN41" s="296" t="str">
        <f t="shared" si="69"/>
        <v/>
      </c>
      <c r="DO41" s="295" t="str">
        <f t="shared" si="70"/>
        <v/>
      </c>
      <c r="DP41" s="300"/>
      <c r="DQ41" s="297" t="str">
        <f t="shared" si="103"/>
        <v/>
      </c>
      <c r="DR41" s="295" t="str">
        <f t="shared" si="71"/>
        <v/>
      </c>
      <c r="DS41" s="296" t="str">
        <f t="shared" si="72"/>
        <v/>
      </c>
      <c r="DT41" s="295" t="str">
        <f t="shared" si="73"/>
        <v/>
      </c>
      <c r="DU41" s="300"/>
      <c r="DV41" s="297" t="str">
        <f t="shared" si="104"/>
        <v/>
      </c>
      <c r="DW41" s="295" t="str">
        <f>IF('1.ข้อมูลเบื้องต้น'!$B$32="","",IF($B41="","",'1.ข้อมูลเบื้องต้น'!$B$32))</f>
        <v/>
      </c>
      <c r="DX41" s="296" t="str">
        <f>IF('1.ข้อมูลเบื้องต้น'!$C$32="","",IF($B41="","",'1.ข้อมูลเบื้องต้น'!$C$32))</f>
        <v/>
      </c>
      <c r="DY41" s="295" t="str">
        <f>IF('1.ข้อมูลเบื้องต้น'!$D$32="","",IF($B41="","",'1.ข้อมูลเบื้องต้น'!$D$32))</f>
        <v/>
      </c>
      <c r="DZ41" s="300"/>
      <c r="EA41" s="297" t="str">
        <f t="shared" si="105"/>
        <v/>
      </c>
      <c r="EB41" s="386" t="str">
        <f>IF('6.1ประกาศผลปลายภาค'!AW44="","",'6.1ประกาศผลปลายภาค'!AW44)</f>
        <v/>
      </c>
      <c r="EC41" s="382" t="str">
        <f>IF('2.ชื่อนักเรียน'!R46="มส","มส",IF('2.ชื่อนักเรียน'!R46="ย้าย","ย้าย",IF('2.ชื่อนักเรียน'!R46="ร","ร",IF(EB41="","",RANK(EB41,$EB$6:$EB$50,0)))))</f>
        <v/>
      </c>
      <c r="ED41" s="388"/>
      <c r="EE41" s="388"/>
      <c r="EF41" s="388"/>
      <c r="EG41" s="388"/>
      <c r="EH41" s="295" t="str">
        <f>IF('2.ชื่อนักเรียน'!R46="มส","ไม่ผ่าน",IF('2.ชื่อนักเรียน'!R46="ย้าย","ย้าย",IF(COUNTA(ED41:EG41)&lt;4,"",IF(AND(ED41="ผ",EE41="ผ",EF41="ผ",EG41="ผ"),"ผ่าน","ไม่ผ่าน"))))</f>
        <v/>
      </c>
      <c r="EI41" s="300"/>
      <c r="EK41" s="465" t="str">
        <f t="shared" si="74"/>
        <v/>
      </c>
      <c r="EL41" s="466" t="str">
        <f t="shared" si="75"/>
        <v/>
      </c>
      <c r="EM41" s="467" t="str">
        <f t="shared" si="76"/>
        <v/>
      </c>
      <c r="EN41" s="466" t="str">
        <f t="shared" si="77"/>
        <v/>
      </c>
      <c r="EO41" s="467" t="str">
        <f t="shared" si="78"/>
        <v/>
      </c>
      <c r="EP41" s="466" t="str">
        <f t="shared" si="79"/>
        <v/>
      </c>
      <c r="EQ41" s="467" t="str">
        <f t="shared" si="106"/>
        <v/>
      </c>
      <c r="ER41" s="466" t="str">
        <f t="shared" si="107"/>
        <v/>
      </c>
      <c r="ES41" s="467" t="str">
        <f t="shared" si="80"/>
        <v/>
      </c>
      <c r="ET41" s="466" t="str">
        <f t="shared" si="81"/>
        <v/>
      </c>
    </row>
    <row r="42" spans="1:150" s="14" customFormat="1" ht="21" x14ac:dyDescent="0.4">
      <c r="A42" s="295">
        <v>37</v>
      </c>
      <c r="B42" s="295" t="str">
        <f>IF('2.ชื่อนักเรียน'!E47="","",CONCATENATE('2.ชื่อนักเรียน'!E47,'2.ชื่อนักเรียน'!F47,'2.ชื่อนักเรียน'!G47,'2.ชื่อนักเรียน'!H47,'2.ชื่อนักเรียน'!I47,'2.ชื่อนักเรียน'!J47,'2.ชื่อนักเรียน'!K47,'2.ชื่อนักเรียน'!L47,'2.ชื่อนักเรียน'!M47,'2.ชื่อนักเรียน'!N47,'2.ชื่อนักเรียน'!O47,'2.ชื่อนักเรียน'!P47,'2.ชื่อนักเรียน'!Q47,))</f>
        <v/>
      </c>
      <c r="C42" s="295" t="str">
        <f>IF(IDstu37="","",IDstu37)</f>
        <v/>
      </c>
      <c r="D42" s="497" t="str">
        <f>CONCATENATE(TRIM(Name37),"  ",Surname37)</f>
        <v xml:space="preserve">  </v>
      </c>
      <c r="E42" s="297" t="str">
        <f t="shared" si="0"/>
        <v/>
      </c>
      <c r="F42" s="295" t="str">
        <f t="shared" si="1"/>
        <v/>
      </c>
      <c r="G42" s="295" t="str">
        <f t="shared" si="2"/>
        <v/>
      </c>
      <c r="H42" s="296" t="str">
        <f t="shared" si="3"/>
        <v/>
      </c>
      <c r="I42" s="295" t="str">
        <f t="shared" si="4"/>
        <v/>
      </c>
      <c r="J42" s="300"/>
      <c r="K42" s="297" t="str">
        <f t="shared" si="82"/>
        <v/>
      </c>
      <c r="L42" s="295" t="str">
        <f t="shared" si="5"/>
        <v/>
      </c>
      <c r="M42" s="296" t="str">
        <f t="shared" si="6"/>
        <v/>
      </c>
      <c r="N42" s="295" t="str">
        <f t="shared" si="7"/>
        <v/>
      </c>
      <c r="O42" s="300"/>
      <c r="P42" s="297" t="str">
        <f t="shared" si="83"/>
        <v/>
      </c>
      <c r="Q42" s="295" t="str">
        <f t="shared" si="8"/>
        <v/>
      </c>
      <c r="R42" s="296" t="str">
        <f t="shared" si="9"/>
        <v/>
      </c>
      <c r="S42" s="295" t="str">
        <f t="shared" si="10"/>
        <v/>
      </c>
      <c r="T42" s="300"/>
      <c r="U42" s="297" t="str">
        <f t="shared" si="108"/>
        <v/>
      </c>
      <c r="V42" s="295" t="str">
        <f t="shared" si="11"/>
        <v/>
      </c>
      <c r="W42" s="296" t="str">
        <f t="shared" si="12"/>
        <v/>
      </c>
      <c r="X42" s="295" t="str">
        <f t="shared" si="13"/>
        <v/>
      </c>
      <c r="Y42" s="300"/>
      <c r="Z42" s="297" t="str">
        <f t="shared" si="84"/>
        <v/>
      </c>
      <c r="AA42" s="295" t="str">
        <f t="shared" si="14"/>
        <v/>
      </c>
      <c r="AB42" s="296" t="str">
        <f t="shared" si="15"/>
        <v/>
      </c>
      <c r="AC42" s="295" t="str">
        <f t="shared" si="16"/>
        <v/>
      </c>
      <c r="AD42" s="300"/>
      <c r="AE42" s="297" t="str">
        <f t="shared" si="85"/>
        <v/>
      </c>
      <c r="AF42" s="295" t="str">
        <f t="shared" si="17"/>
        <v/>
      </c>
      <c r="AG42" s="296" t="str">
        <f t="shared" si="18"/>
        <v/>
      </c>
      <c r="AH42" s="295" t="str">
        <f t="shared" si="19"/>
        <v/>
      </c>
      <c r="AI42" s="300"/>
      <c r="AJ42" s="297" t="str">
        <f t="shared" si="86"/>
        <v/>
      </c>
      <c r="AK42" s="295" t="str">
        <f t="shared" si="20"/>
        <v/>
      </c>
      <c r="AL42" s="296" t="str">
        <f t="shared" si="21"/>
        <v/>
      </c>
      <c r="AM42" s="295" t="str">
        <f t="shared" si="22"/>
        <v/>
      </c>
      <c r="AN42" s="300"/>
      <c r="AO42" s="297" t="str">
        <f t="shared" si="87"/>
        <v/>
      </c>
      <c r="AP42" s="295" t="str">
        <f t="shared" si="23"/>
        <v/>
      </c>
      <c r="AQ42" s="296" t="str">
        <f t="shared" si="24"/>
        <v/>
      </c>
      <c r="AR42" s="295" t="str">
        <f t="shared" si="25"/>
        <v/>
      </c>
      <c r="AS42" s="300"/>
      <c r="AT42" s="297" t="str">
        <f t="shared" si="88"/>
        <v/>
      </c>
      <c r="AU42" s="295" t="str">
        <f t="shared" si="26"/>
        <v/>
      </c>
      <c r="AV42" s="296" t="str">
        <f t="shared" si="27"/>
        <v/>
      </c>
      <c r="AW42" s="295" t="str">
        <f t="shared" si="28"/>
        <v/>
      </c>
      <c r="AX42" s="300"/>
      <c r="AY42" s="297" t="str">
        <f t="shared" si="89"/>
        <v/>
      </c>
      <c r="AZ42" s="295" t="str">
        <f t="shared" si="29"/>
        <v/>
      </c>
      <c r="BA42" s="296" t="str">
        <f t="shared" si="30"/>
        <v/>
      </c>
      <c r="BB42" s="295" t="str">
        <f t="shared" si="31"/>
        <v/>
      </c>
      <c r="BC42" s="300"/>
      <c r="BD42" s="297" t="str">
        <f t="shared" si="90"/>
        <v/>
      </c>
      <c r="BE42" s="295" t="str">
        <f t="shared" si="32"/>
        <v/>
      </c>
      <c r="BF42" s="296" t="str">
        <f t="shared" si="33"/>
        <v/>
      </c>
      <c r="BG42" s="295" t="str">
        <f t="shared" si="34"/>
        <v/>
      </c>
      <c r="BH42" s="300"/>
      <c r="BI42" s="297" t="str">
        <f t="shared" si="91"/>
        <v/>
      </c>
      <c r="BJ42" s="295" t="str">
        <f t="shared" si="35"/>
        <v/>
      </c>
      <c r="BK42" s="296" t="str">
        <f t="shared" si="36"/>
        <v/>
      </c>
      <c r="BL42" s="295" t="str">
        <f t="shared" si="37"/>
        <v/>
      </c>
      <c r="BM42" s="300"/>
      <c r="BN42" s="297" t="str">
        <f t="shared" si="92"/>
        <v/>
      </c>
      <c r="BO42" s="295" t="str">
        <f t="shared" si="38"/>
        <v/>
      </c>
      <c r="BP42" s="296" t="str">
        <f t="shared" si="39"/>
        <v/>
      </c>
      <c r="BQ42" s="295" t="str">
        <f t="shared" si="40"/>
        <v/>
      </c>
      <c r="BR42" s="300"/>
      <c r="BS42" s="297" t="str">
        <f t="shared" si="93"/>
        <v/>
      </c>
      <c r="BT42" s="295" t="str">
        <f t="shared" si="41"/>
        <v/>
      </c>
      <c r="BU42" s="296" t="str">
        <f t="shared" si="42"/>
        <v/>
      </c>
      <c r="BV42" s="295" t="str">
        <f t="shared" si="43"/>
        <v/>
      </c>
      <c r="BW42" s="300"/>
      <c r="BX42" s="297" t="str">
        <f t="shared" si="94"/>
        <v/>
      </c>
      <c r="BY42" s="295" t="str">
        <f t="shared" si="44"/>
        <v/>
      </c>
      <c r="BZ42" s="296" t="str">
        <f t="shared" si="45"/>
        <v/>
      </c>
      <c r="CA42" s="295" t="str">
        <f t="shared" si="46"/>
        <v/>
      </c>
      <c r="CB42" s="300"/>
      <c r="CC42" s="297" t="str">
        <f t="shared" si="95"/>
        <v/>
      </c>
      <c r="CD42" s="295" t="str">
        <f t="shared" si="47"/>
        <v/>
      </c>
      <c r="CE42" s="296" t="str">
        <f t="shared" si="48"/>
        <v/>
      </c>
      <c r="CF42" s="295" t="str">
        <f t="shared" si="49"/>
        <v/>
      </c>
      <c r="CG42" s="300"/>
      <c r="CH42" s="297" t="str">
        <f t="shared" si="96"/>
        <v/>
      </c>
      <c r="CI42" s="295" t="str">
        <f t="shared" si="50"/>
        <v/>
      </c>
      <c r="CJ42" s="296" t="str">
        <f t="shared" si="51"/>
        <v/>
      </c>
      <c r="CK42" s="295" t="str">
        <f t="shared" si="52"/>
        <v/>
      </c>
      <c r="CL42" s="300"/>
      <c r="CM42" s="297" t="str">
        <f t="shared" si="97"/>
        <v/>
      </c>
      <c r="CN42" s="295" t="str">
        <f t="shared" si="53"/>
        <v/>
      </c>
      <c r="CO42" s="296" t="str">
        <f t="shared" si="54"/>
        <v/>
      </c>
      <c r="CP42" s="295" t="str">
        <f t="shared" si="55"/>
        <v/>
      </c>
      <c r="CQ42" s="300"/>
      <c r="CR42" s="297" t="str">
        <f t="shared" si="98"/>
        <v/>
      </c>
      <c r="CS42" s="295" t="str">
        <f t="shared" si="56"/>
        <v/>
      </c>
      <c r="CT42" s="296" t="str">
        <f t="shared" si="57"/>
        <v/>
      </c>
      <c r="CU42" s="295" t="str">
        <f t="shared" si="58"/>
        <v/>
      </c>
      <c r="CV42" s="300"/>
      <c r="CW42" s="297" t="str">
        <f t="shared" si="99"/>
        <v/>
      </c>
      <c r="CX42" s="295" t="str">
        <f t="shared" si="59"/>
        <v/>
      </c>
      <c r="CY42" s="296" t="str">
        <f t="shared" si="60"/>
        <v/>
      </c>
      <c r="CZ42" s="295" t="str">
        <f t="shared" si="61"/>
        <v/>
      </c>
      <c r="DA42" s="300"/>
      <c r="DB42" s="297" t="str">
        <f t="shared" si="100"/>
        <v/>
      </c>
      <c r="DC42" s="295" t="str">
        <f t="shared" si="62"/>
        <v/>
      </c>
      <c r="DD42" s="296" t="str">
        <f t="shared" si="63"/>
        <v/>
      </c>
      <c r="DE42" s="295" t="str">
        <f t="shared" si="64"/>
        <v/>
      </c>
      <c r="DF42" s="300"/>
      <c r="DG42" s="297" t="str">
        <f t="shared" si="101"/>
        <v/>
      </c>
      <c r="DH42" s="295" t="str">
        <f t="shared" si="65"/>
        <v/>
      </c>
      <c r="DI42" s="296" t="str">
        <f t="shared" si="66"/>
        <v/>
      </c>
      <c r="DJ42" s="295" t="str">
        <f t="shared" si="67"/>
        <v/>
      </c>
      <c r="DK42" s="300"/>
      <c r="DL42" s="297" t="str">
        <f t="shared" si="102"/>
        <v/>
      </c>
      <c r="DM42" s="295" t="str">
        <f t="shared" si="68"/>
        <v/>
      </c>
      <c r="DN42" s="296" t="str">
        <f t="shared" si="69"/>
        <v/>
      </c>
      <c r="DO42" s="295" t="str">
        <f t="shared" si="70"/>
        <v/>
      </c>
      <c r="DP42" s="300"/>
      <c r="DQ42" s="297" t="str">
        <f t="shared" si="103"/>
        <v/>
      </c>
      <c r="DR42" s="295" t="str">
        <f t="shared" si="71"/>
        <v/>
      </c>
      <c r="DS42" s="296" t="str">
        <f t="shared" si="72"/>
        <v/>
      </c>
      <c r="DT42" s="295" t="str">
        <f t="shared" si="73"/>
        <v/>
      </c>
      <c r="DU42" s="300"/>
      <c r="DV42" s="297" t="str">
        <f t="shared" si="104"/>
        <v/>
      </c>
      <c r="DW42" s="295" t="str">
        <f>IF('1.ข้อมูลเบื้องต้น'!$B$32="","",IF($B42="","",'1.ข้อมูลเบื้องต้น'!$B$32))</f>
        <v/>
      </c>
      <c r="DX42" s="296" t="str">
        <f>IF('1.ข้อมูลเบื้องต้น'!$C$32="","",IF($B42="","",'1.ข้อมูลเบื้องต้น'!$C$32))</f>
        <v/>
      </c>
      <c r="DY42" s="295" t="str">
        <f>IF('1.ข้อมูลเบื้องต้น'!$D$32="","",IF($B42="","",'1.ข้อมูลเบื้องต้น'!$D$32))</f>
        <v/>
      </c>
      <c r="DZ42" s="300"/>
      <c r="EA42" s="297" t="str">
        <f t="shared" si="105"/>
        <v/>
      </c>
      <c r="EB42" s="386" t="str">
        <f>IF('6.1ประกาศผลปลายภาค'!AW45="","",'6.1ประกาศผลปลายภาค'!AW45)</f>
        <v/>
      </c>
      <c r="EC42" s="382" t="str">
        <f>IF('2.ชื่อนักเรียน'!R47="มส","มส",IF('2.ชื่อนักเรียน'!R47="ย้าย","ย้าย",IF('2.ชื่อนักเรียน'!R47="ร","ร",IF(EB42="","",RANK(EB42,$EB$6:$EB$50,0)))))</f>
        <v/>
      </c>
      <c r="ED42" s="388"/>
      <c r="EE42" s="388"/>
      <c r="EF42" s="388"/>
      <c r="EG42" s="388"/>
      <c r="EH42" s="295" t="str">
        <f>IF('2.ชื่อนักเรียน'!R47="มส","ไม่ผ่าน",IF('2.ชื่อนักเรียน'!R47="ย้าย","ย้าย",IF(COUNTA(ED42:EG42)&lt;4,"",IF(AND(ED42="ผ",EE42="ผ",EF42="ผ",EG42="ผ"),"ผ่าน","ไม่ผ่าน"))))</f>
        <v/>
      </c>
      <c r="EI42" s="300"/>
      <c r="EK42" s="459" t="str">
        <f t="shared" si="74"/>
        <v/>
      </c>
      <c r="EL42" s="460" t="str">
        <f t="shared" si="75"/>
        <v/>
      </c>
      <c r="EM42" s="461" t="str">
        <f t="shared" si="76"/>
        <v/>
      </c>
      <c r="EN42" s="460" t="str">
        <f t="shared" si="77"/>
        <v/>
      </c>
      <c r="EO42" s="461" t="str">
        <f t="shared" si="78"/>
        <v/>
      </c>
      <c r="EP42" s="460" t="str">
        <f t="shared" si="79"/>
        <v/>
      </c>
      <c r="EQ42" s="461" t="str">
        <f t="shared" si="106"/>
        <v/>
      </c>
      <c r="ER42" s="460" t="str">
        <f t="shared" si="107"/>
        <v/>
      </c>
      <c r="ES42" s="461" t="str">
        <f t="shared" si="80"/>
        <v/>
      </c>
      <c r="ET42" s="460" t="str">
        <f t="shared" si="81"/>
        <v/>
      </c>
    </row>
    <row r="43" spans="1:150" s="14" customFormat="1" ht="21" x14ac:dyDescent="0.4">
      <c r="A43" s="295">
        <v>38</v>
      </c>
      <c r="B43" s="295" t="str">
        <f>IF('2.ชื่อนักเรียน'!E48="","",CONCATENATE('2.ชื่อนักเรียน'!E48,'2.ชื่อนักเรียน'!F48,'2.ชื่อนักเรียน'!G48,'2.ชื่อนักเรียน'!H48,'2.ชื่อนักเรียน'!I48,'2.ชื่อนักเรียน'!J48,'2.ชื่อนักเรียน'!K48,'2.ชื่อนักเรียน'!L48,'2.ชื่อนักเรียน'!M48,'2.ชื่อนักเรียน'!N48,'2.ชื่อนักเรียน'!O48,'2.ชื่อนักเรียน'!P48,'2.ชื่อนักเรียน'!Q48,))</f>
        <v/>
      </c>
      <c r="C43" s="295" t="str">
        <f>IF(IDstu38="","",IDstu38)</f>
        <v/>
      </c>
      <c r="D43" s="497" t="str">
        <f>CONCATENATE(TRIM(Name38),"  ",Surname38)</f>
        <v xml:space="preserve">  </v>
      </c>
      <c r="E43" s="297" t="str">
        <f t="shared" si="0"/>
        <v/>
      </c>
      <c r="F43" s="295" t="str">
        <f t="shared" si="1"/>
        <v/>
      </c>
      <c r="G43" s="295" t="str">
        <f t="shared" si="2"/>
        <v/>
      </c>
      <c r="H43" s="296" t="str">
        <f t="shared" si="3"/>
        <v/>
      </c>
      <c r="I43" s="295" t="str">
        <f t="shared" si="4"/>
        <v/>
      </c>
      <c r="J43" s="300"/>
      <c r="K43" s="297" t="str">
        <f t="shared" si="82"/>
        <v/>
      </c>
      <c r="L43" s="295" t="str">
        <f t="shared" si="5"/>
        <v/>
      </c>
      <c r="M43" s="296" t="str">
        <f t="shared" si="6"/>
        <v/>
      </c>
      <c r="N43" s="295" t="str">
        <f t="shared" si="7"/>
        <v/>
      </c>
      <c r="O43" s="300"/>
      <c r="P43" s="297" t="str">
        <f t="shared" si="83"/>
        <v/>
      </c>
      <c r="Q43" s="295" t="str">
        <f t="shared" si="8"/>
        <v/>
      </c>
      <c r="R43" s="296" t="str">
        <f t="shared" si="9"/>
        <v/>
      </c>
      <c r="S43" s="295" t="str">
        <f t="shared" si="10"/>
        <v/>
      </c>
      <c r="T43" s="300"/>
      <c r="U43" s="297" t="str">
        <f t="shared" si="108"/>
        <v/>
      </c>
      <c r="V43" s="295" t="str">
        <f t="shared" si="11"/>
        <v/>
      </c>
      <c r="W43" s="296" t="str">
        <f t="shared" si="12"/>
        <v/>
      </c>
      <c r="X43" s="295" t="str">
        <f t="shared" si="13"/>
        <v/>
      </c>
      <c r="Y43" s="300"/>
      <c r="Z43" s="297" t="str">
        <f t="shared" si="84"/>
        <v/>
      </c>
      <c r="AA43" s="295" t="str">
        <f t="shared" si="14"/>
        <v/>
      </c>
      <c r="AB43" s="296" t="str">
        <f t="shared" si="15"/>
        <v/>
      </c>
      <c r="AC43" s="295" t="str">
        <f t="shared" si="16"/>
        <v/>
      </c>
      <c r="AD43" s="300"/>
      <c r="AE43" s="297" t="str">
        <f t="shared" si="85"/>
        <v/>
      </c>
      <c r="AF43" s="295" t="str">
        <f t="shared" si="17"/>
        <v/>
      </c>
      <c r="AG43" s="296" t="str">
        <f t="shared" si="18"/>
        <v/>
      </c>
      <c r="AH43" s="295" t="str">
        <f t="shared" si="19"/>
        <v/>
      </c>
      <c r="AI43" s="300"/>
      <c r="AJ43" s="297" t="str">
        <f t="shared" si="86"/>
        <v/>
      </c>
      <c r="AK43" s="295" t="str">
        <f t="shared" si="20"/>
        <v/>
      </c>
      <c r="AL43" s="296" t="str">
        <f t="shared" si="21"/>
        <v/>
      </c>
      <c r="AM43" s="295" t="str">
        <f t="shared" si="22"/>
        <v/>
      </c>
      <c r="AN43" s="300"/>
      <c r="AO43" s="297" t="str">
        <f t="shared" si="87"/>
        <v/>
      </c>
      <c r="AP43" s="295" t="str">
        <f t="shared" si="23"/>
        <v/>
      </c>
      <c r="AQ43" s="296" t="str">
        <f t="shared" si="24"/>
        <v/>
      </c>
      <c r="AR43" s="295" t="str">
        <f t="shared" si="25"/>
        <v/>
      </c>
      <c r="AS43" s="300"/>
      <c r="AT43" s="297" t="str">
        <f t="shared" si="88"/>
        <v/>
      </c>
      <c r="AU43" s="295" t="str">
        <f t="shared" si="26"/>
        <v/>
      </c>
      <c r="AV43" s="296" t="str">
        <f t="shared" si="27"/>
        <v/>
      </c>
      <c r="AW43" s="295" t="str">
        <f t="shared" si="28"/>
        <v/>
      </c>
      <c r="AX43" s="300"/>
      <c r="AY43" s="297" t="str">
        <f t="shared" si="89"/>
        <v/>
      </c>
      <c r="AZ43" s="295" t="str">
        <f t="shared" si="29"/>
        <v/>
      </c>
      <c r="BA43" s="296" t="str">
        <f t="shared" si="30"/>
        <v/>
      </c>
      <c r="BB43" s="295" t="str">
        <f t="shared" si="31"/>
        <v/>
      </c>
      <c r="BC43" s="300"/>
      <c r="BD43" s="297" t="str">
        <f t="shared" si="90"/>
        <v/>
      </c>
      <c r="BE43" s="295" t="str">
        <f t="shared" si="32"/>
        <v/>
      </c>
      <c r="BF43" s="296" t="str">
        <f t="shared" si="33"/>
        <v/>
      </c>
      <c r="BG43" s="295" t="str">
        <f t="shared" si="34"/>
        <v/>
      </c>
      <c r="BH43" s="300"/>
      <c r="BI43" s="297" t="str">
        <f t="shared" si="91"/>
        <v/>
      </c>
      <c r="BJ43" s="295" t="str">
        <f t="shared" si="35"/>
        <v/>
      </c>
      <c r="BK43" s="296" t="str">
        <f t="shared" si="36"/>
        <v/>
      </c>
      <c r="BL43" s="295" t="str">
        <f t="shared" si="37"/>
        <v/>
      </c>
      <c r="BM43" s="300"/>
      <c r="BN43" s="297" t="str">
        <f t="shared" si="92"/>
        <v/>
      </c>
      <c r="BO43" s="295" t="str">
        <f t="shared" si="38"/>
        <v/>
      </c>
      <c r="BP43" s="296" t="str">
        <f t="shared" si="39"/>
        <v/>
      </c>
      <c r="BQ43" s="295" t="str">
        <f t="shared" si="40"/>
        <v/>
      </c>
      <c r="BR43" s="300"/>
      <c r="BS43" s="297" t="str">
        <f t="shared" si="93"/>
        <v/>
      </c>
      <c r="BT43" s="295" t="str">
        <f t="shared" si="41"/>
        <v/>
      </c>
      <c r="BU43" s="296" t="str">
        <f t="shared" si="42"/>
        <v/>
      </c>
      <c r="BV43" s="295" t="str">
        <f t="shared" si="43"/>
        <v/>
      </c>
      <c r="BW43" s="300"/>
      <c r="BX43" s="297" t="str">
        <f t="shared" si="94"/>
        <v/>
      </c>
      <c r="BY43" s="295" t="str">
        <f t="shared" si="44"/>
        <v/>
      </c>
      <c r="BZ43" s="296" t="str">
        <f t="shared" si="45"/>
        <v/>
      </c>
      <c r="CA43" s="295" t="str">
        <f t="shared" si="46"/>
        <v/>
      </c>
      <c r="CB43" s="300"/>
      <c r="CC43" s="297" t="str">
        <f t="shared" si="95"/>
        <v/>
      </c>
      <c r="CD43" s="295" t="str">
        <f t="shared" si="47"/>
        <v/>
      </c>
      <c r="CE43" s="296" t="str">
        <f t="shared" si="48"/>
        <v/>
      </c>
      <c r="CF43" s="295" t="str">
        <f t="shared" si="49"/>
        <v/>
      </c>
      <c r="CG43" s="300"/>
      <c r="CH43" s="297" t="str">
        <f t="shared" si="96"/>
        <v/>
      </c>
      <c r="CI43" s="295" t="str">
        <f t="shared" si="50"/>
        <v/>
      </c>
      <c r="CJ43" s="296" t="str">
        <f t="shared" si="51"/>
        <v/>
      </c>
      <c r="CK43" s="295" t="str">
        <f t="shared" si="52"/>
        <v/>
      </c>
      <c r="CL43" s="300"/>
      <c r="CM43" s="297" t="str">
        <f t="shared" si="97"/>
        <v/>
      </c>
      <c r="CN43" s="295" t="str">
        <f t="shared" si="53"/>
        <v/>
      </c>
      <c r="CO43" s="296" t="str">
        <f t="shared" si="54"/>
        <v/>
      </c>
      <c r="CP43" s="295" t="str">
        <f t="shared" si="55"/>
        <v/>
      </c>
      <c r="CQ43" s="300"/>
      <c r="CR43" s="297" t="str">
        <f t="shared" si="98"/>
        <v/>
      </c>
      <c r="CS43" s="295" t="str">
        <f t="shared" si="56"/>
        <v/>
      </c>
      <c r="CT43" s="296" t="str">
        <f t="shared" si="57"/>
        <v/>
      </c>
      <c r="CU43" s="295" t="str">
        <f t="shared" si="58"/>
        <v/>
      </c>
      <c r="CV43" s="300"/>
      <c r="CW43" s="297" t="str">
        <f t="shared" si="99"/>
        <v/>
      </c>
      <c r="CX43" s="295" t="str">
        <f t="shared" si="59"/>
        <v/>
      </c>
      <c r="CY43" s="296" t="str">
        <f t="shared" si="60"/>
        <v/>
      </c>
      <c r="CZ43" s="295" t="str">
        <f t="shared" si="61"/>
        <v/>
      </c>
      <c r="DA43" s="300"/>
      <c r="DB43" s="297" t="str">
        <f t="shared" si="100"/>
        <v/>
      </c>
      <c r="DC43" s="295" t="str">
        <f t="shared" si="62"/>
        <v/>
      </c>
      <c r="DD43" s="296" t="str">
        <f t="shared" si="63"/>
        <v/>
      </c>
      <c r="DE43" s="295" t="str">
        <f t="shared" si="64"/>
        <v/>
      </c>
      <c r="DF43" s="300"/>
      <c r="DG43" s="297" t="str">
        <f t="shared" si="101"/>
        <v/>
      </c>
      <c r="DH43" s="295" t="str">
        <f t="shared" si="65"/>
        <v/>
      </c>
      <c r="DI43" s="296" t="str">
        <f t="shared" si="66"/>
        <v/>
      </c>
      <c r="DJ43" s="295" t="str">
        <f t="shared" si="67"/>
        <v/>
      </c>
      <c r="DK43" s="300"/>
      <c r="DL43" s="297" t="str">
        <f t="shared" si="102"/>
        <v/>
      </c>
      <c r="DM43" s="295" t="str">
        <f t="shared" si="68"/>
        <v/>
      </c>
      <c r="DN43" s="296" t="str">
        <f t="shared" si="69"/>
        <v/>
      </c>
      <c r="DO43" s="295" t="str">
        <f t="shared" si="70"/>
        <v/>
      </c>
      <c r="DP43" s="300"/>
      <c r="DQ43" s="297" t="str">
        <f t="shared" si="103"/>
        <v/>
      </c>
      <c r="DR43" s="295" t="str">
        <f t="shared" si="71"/>
        <v/>
      </c>
      <c r="DS43" s="296" t="str">
        <f t="shared" si="72"/>
        <v/>
      </c>
      <c r="DT43" s="295" t="str">
        <f t="shared" si="73"/>
        <v/>
      </c>
      <c r="DU43" s="300"/>
      <c r="DV43" s="297" t="str">
        <f t="shared" si="104"/>
        <v/>
      </c>
      <c r="DW43" s="295" t="str">
        <f>IF('1.ข้อมูลเบื้องต้น'!$B$32="","",IF($B43="","",'1.ข้อมูลเบื้องต้น'!$B$32))</f>
        <v/>
      </c>
      <c r="DX43" s="296" t="str">
        <f>IF('1.ข้อมูลเบื้องต้น'!$C$32="","",IF($B43="","",'1.ข้อมูลเบื้องต้น'!$C$32))</f>
        <v/>
      </c>
      <c r="DY43" s="295" t="str">
        <f>IF('1.ข้อมูลเบื้องต้น'!$D$32="","",IF($B43="","",'1.ข้อมูลเบื้องต้น'!$D$32))</f>
        <v/>
      </c>
      <c r="DZ43" s="300"/>
      <c r="EA43" s="297" t="str">
        <f t="shared" si="105"/>
        <v/>
      </c>
      <c r="EB43" s="386" t="str">
        <f>IF('6.1ประกาศผลปลายภาค'!AW46="","",'6.1ประกาศผลปลายภาค'!AW46)</f>
        <v/>
      </c>
      <c r="EC43" s="382" t="str">
        <f>IF('2.ชื่อนักเรียน'!R48="มส","มส",IF('2.ชื่อนักเรียน'!R48="ย้าย","ย้าย",IF('2.ชื่อนักเรียน'!R48="ร","ร",IF(EB43="","",RANK(EB43,$EB$6:$EB$50,0)))))</f>
        <v/>
      </c>
      <c r="ED43" s="388"/>
      <c r="EE43" s="388"/>
      <c r="EF43" s="388"/>
      <c r="EG43" s="388"/>
      <c r="EH43" s="295" t="str">
        <f>IF('2.ชื่อนักเรียน'!R48="มส","ไม่ผ่าน",IF('2.ชื่อนักเรียน'!R48="ย้าย","ย้าย",IF(COUNTA(ED43:EG43)&lt;4,"",IF(AND(ED43="ผ",EE43="ผ",EF43="ผ",EG43="ผ"),"ผ่าน","ไม่ผ่าน"))))</f>
        <v/>
      </c>
      <c r="EI43" s="300"/>
      <c r="EK43" s="459" t="str">
        <f t="shared" si="74"/>
        <v/>
      </c>
      <c r="EL43" s="460" t="str">
        <f t="shared" si="75"/>
        <v/>
      </c>
      <c r="EM43" s="461" t="str">
        <f t="shared" si="76"/>
        <v/>
      </c>
      <c r="EN43" s="460" t="str">
        <f t="shared" si="77"/>
        <v/>
      </c>
      <c r="EO43" s="461" t="str">
        <f t="shared" si="78"/>
        <v/>
      </c>
      <c r="EP43" s="460" t="str">
        <f t="shared" si="79"/>
        <v/>
      </c>
      <c r="EQ43" s="461" t="str">
        <f t="shared" si="106"/>
        <v/>
      </c>
      <c r="ER43" s="460" t="str">
        <f t="shared" si="107"/>
        <v/>
      </c>
      <c r="ES43" s="461" t="str">
        <f t="shared" si="80"/>
        <v/>
      </c>
      <c r="ET43" s="460" t="str">
        <f t="shared" si="81"/>
        <v/>
      </c>
    </row>
    <row r="44" spans="1:150" s="14" customFormat="1" ht="21" x14ac:dyDescent="0.4">
      <c r="A44" s="295">
        <v>39</v>
      </c>
      <c r="B44" s="295" t="str">
        <f>IF('2.ชื่อนักเรียน'!E49="","",CONCATENATE('2.ชื่อนักเรียน'!E49,'2.ชื่อนักเรียน'!F49,'2.ชื่อนักเรียน'!G49,'2.ชื่อนักเรียน'!H49,'2.ชื่อนักเรียน'!I49,'2.ชื่อนักเรียน'!J49,'2.ชื่อนักเรียน'!K49,'2.ชื่อนักเรียน'!L49,'2.ชื่อนักเรียน'!M49,'2.ชื่อนักเรียน'!N49,'2.ชื่อนักเรียน'!O49,'2.ชื่อนักเรียน'!P49,'2.ชื่อนักเรียน'!Q49,))</f>
        <v/>
      </c>
      <c r="C44" s="295" t="str">
        <f>IF(IDstu39="","",IDstu39)</f>
        <v/>
      </c>
      <c r="D44" s="497" t="str">
        <f>CONCATENATE(TRIM(Name39),"  ",Surname39)</f>
        <v xml:space="preserve">  </v>
      </c>
      <c r="E44" s="297" t="str">
        <f t="shared" si="0"/>
        <v/>
      </c>
      <c r="F44" s="295" t="str">
        <f t="shared" si="1"/>
        <v/>
      </c>
      <c r="G44" s="295" t="str">
        <f t="shared" si="2"/>
        <v/>
      </c>
      <c r="H44" s="296" t="str">
        <f t="shared" si="3"/>
        <v/>
      </c>
      <c r="I44" s="295" t="str">
        <f t="shared" si="4"/>
        <v/>
      </c>
      <c r="J44" s="300"/>
      <c r="K44" s="297" t="str">
        <f t="shared" si="82"/>
        <v/>
      </c>
      <c r="L44" s="295" t="str">
        <f t="shared" si="5"/>
        <v/>
      </c>
      <c r="M44" s="296" t="str">
        <f t="shared" si="6"/>
        <v/>
      </c>
      <c r="N44" s="295" t="str">
        <f t="shared" si="7"/>
        <v/>
      </c>
      <c r="O44" s="300"/>
      <c r="P44" s="297" t="str">
        <f t="shared" si="83"/>
        <v/>
      </c>
      <c r="Q44" s="295" t="str">
        <f t="shared" si="8"/>
        <v/>
      </c>
      <c r="R44" s="296" t="str">
        <f t="shared" si="9"/>
        <v/>
      </c>
      <c r="S44" s="295" t="str">
        <f t="shared" si="10"/>
        <v/>
      </c>
      <c r="T44" s="300"/>
      <c r="U44" s="297" t="str">
        <f t="shared" si="108"/>
        <v/>
      </c>
      <c r="V44" s="295" t="str">
        <f t="shared" si="11"/>
        <v/>
      </c>
      <c r="W44" s="296" t="str">
        <f t="shared" si="12"/>
        <v/>
      </c>
      <c r="X44" s="295" t="str">
        <f t="shared" si="13"/>
        <v/>
      </c>
      <c r="Y44" s="300"/>
      <c r="Z44" s="297" t="str">
        <f t="shared" si="84"/>
        <v/>
      </c>
      <c r="AA44" s="295" t="str">
        <f t="shared" si="14"/>
        <v/>
      </c>
      <c r="AB44" s="296" t="str">
        <f t="shared" si="15"/>
        <v/>
      </c>
      <c r="AC44" s="295" t="str">
        <f t="shared" si="16"/>
        <v/>
      </c>
      <c r="AD44" s="300"/>
      <c r="AE44" s="297" t="str">
        <f t="shared" si="85"/>
        <v/>
      </c>
      <c r="AF44" s="295" t="str">
        <f t="shared" si="17"/>
        <v/>
      </c>
      <c r="AG44" s="296" t="str">
        <f t="shared" si="18"/>
        <v/>
      </c>
      <c r="AH44" s="295" t="str">
        <f t="shared" si="19"/>
        <v/>
      </c>
      <c r="AI44" s="300"/>
      <c r="AJ44" s="297" t="str">
        <f t="shared" si="86"/>
        <v/>
      </c>
      <c r="AK44" s="295" t="str">
        <f t="shared" si="20"/>
        <v/>
      </c>
      <c r="AL44" s="296" t="str">
        <f t="shared" si="21"/>
        <v/>
      </c>
      <c r="AM44" s="295" t="str">
        <f t="shared" si="22"/>
        <v/>
      </c>
      <c r="AN44" s="300"/>
      <c r="AO44" s="297" t="str">
        <f t="shared" si="87"/>
        <v/>
      </c>
      <c r="AP44" s="295" t="str">
        <f t="shared" si="23"/>
        <v/>
      </c>
      <c r="AQ44" s="296" t="str">
        <f t="shared" si="24"/>
        <v/>
      </c>
      <c r="AR44" s="295" t="str">
        <f t="shared" si="25"/>
        <v/>
      </c>
      <c r="AS44" s="300"/>
      <c r="AT44" s="297" t="str">
        <f t="shared" si="88"/>
        <v/>
      </c>
      <c r="AU44" s="295" t="str">
        <f t="shared" si="26"/>
        <v/>
      </c>
      <c r="AV44" s="296" t="str">
        <f t="shared" si="27"/>
        <v/>
      </c>
      <c r="AW44" s="295" t="str">
        <f t="shared" si="28"/>
        <v/>
      </c>
      <c r="AX44" s="300"/>
      <c r="AY44" s="297" t="str">
        <f t="shared" si="89"/>
        <v/>
      </c>
      <c r="AZ44" s="295" t="str">
        <f t="shared" si="29"/>
        <v/>
      </c>
      <c r="BA44" s="296" t="str">
        <f t="shared" si="30"/>
        <v/>
      </c>
      <c r="BB44" s="295" t="str">
        <f t="shared" si="31"/>
        <v/>
      </c>
      <c r="BC44" s="300"/>
      <c r="BD44" s="297" t="str">
        <f t="shared" si="90"/>
        <v/>
      </c>
      <c r="BE44" s="295" t="str">
        <f t="shared" si="32"/>
        <v/>
      </c>
      <c r="BF44" s="296" t="str">
        <f t="shared" si="33"/>
        <v/>
      </c>
      <c r="BG44" s="295" t="str">
        <f t="shared" si="34"/>
        <v/>
      </c>
      <c r="BH44" s="300"/>
      <c r="BI44" s="297" t="str">
        <f t="shared" si="91"/>
        <v/>
      </c>
      <c r="BJ44" s="295" t="str">
        <f t="shared" si="35"/>
        <v/>
      </c>
      <c r="BK44" s="296" t="str">
        <f t="shared" si="36"/>
        <v/>
      </c>
      <c r="BL44" s="295" t="str">
        <f t="shared" si="37"/>
        <v/>
      </c>
      <c r="BM44" s="300"/>
      <c r="BN44" s="297" t="str">
        <f t="shared" si="92"/>
        <v/>
      </c>
      <c r="BO44" s="295" t="str">
        <f t="shared" si="38"/>
        <v/>
      </c>
      <c r="BP44" s="296" t="str">
        <f t="shared" si="39"/>
        <v/>
      </c>
      <c r="BQ44" s="295" t="str">
        <f t="shared" si="40"/>
        <v/>
      </c>
      <c r="BR44" s="300"/>
      <c r="BS44" s="297" t="str">
        <f t="shared" si="93"/>
        <v/>
      </c>
      <c r="BT44" s="295" t="str">
        <f t="shared" si="41"/>
        <v/>
      </c>
      <c r="BU44" s="296" t="str">
        <f t="shared" si="42"/>
        <v/>
      </c>
      <c r="BV44" s="295" t="str">
        <f t="shared" si="43"/>
        <v/>
      </c>
      <c r="BW44" s="300"/>
      <c r="BX44" s="297" t="str">
        <f t="shared" si="94"/>
        <v/>
      </c>
      <c r="BY44" s="295" t="str">
        <f t="shared" si="44"/>
        <v/>
      </c>
      <c r="BZ44" s="296" t="str">
        <f t="shared" si="45"/>
        <v/>
      </c>
      <c r="CA44" s="295" t="str">
        <f t="shared" si="46"/>
        <v/>
      </c>
      <c r="CB44" s="300"/>
      <c r="CC44" s="297" t="str">
        <f t="shared" si="95"/>
        <v/>
      </c>
      <c r="CD44" s="295" t="str">
        <f t="shared" si="47"/>
        <v/>
      </c>
      <c r="CE44" s="296" t="str">
        <f t="shared" si="48"/>
        <v/>
      </c>
      <c r="CF44" s="295" t="str">
        <f t="shared" si="49"/>
        <v/>
      </c>
      <c r="CG44" s="300"/>
      <c r="CH44" s="297" t="str">
        <f t="shared" si="96"/>
        <v/>
      </c>
      <c r="CI44" s="295" t="str">
        <f t="shared" si="50"/>
        <v/>
      </c>
      <c r="CJ44" s="296" t="str">
        <f t="shared" si="51"/>
        <v/>
      </c>
      <c r="CK44" s="295" t="str">
        <f t="shared" si="52"/>
        <v/>
      </c>
      <c r="CL44" s="300"/>
      <c r="CM44" s="297" t="str">
        <f t="shared" si="97"/>
        <v/>
      </c>
      <c r="CN44" s="295" t="str">
        <f t="shared" si="53"/>
        <v/>
      </c>
      <c r="CO44" s="296" t="str">
        <f t="shared" si="54"/>
        <v/>
      </c>
      <c r="CP44" s="295" t="str">
        <f t="shared" si="55"/>
        <v/>
      </c>
      <c r="CQ44" s="300"/>
      <c r="CR44" s="297" t="str">
        <f t="shared" si="98"/>
        <v/>
      </c>
      <c r="CS44" s="295" t="str">
        <f t="shared" si="56"/>
        <v/>
      </c>
      <c r="CT44" s="296" t="str">
        <f t="shared" si="57"/>
        <v/>
      </c>
      <c r="CU44" s="295" t="str">
        <f t="shared" si="58"/>
        <v/>
      </c>
      <c r="CV44" s="300"/>
      <c r="CW44" s="297" t="str">
        <f t="shared" si="99"/>
        <v/>
      </c>
      <c r="CX44" s="295" t="str">
        <f t="shared" si="59"/>
        <v/>
      </c>
      <c r="CY44" s="296" t="str">
        <f t="shared" si="60"/>
        <v/>
      </c>
      <c r="CZ44" s="295" t="str">
        <f t="shared" si="61"/>
        <v/>
      </c>
      <c r="DA44" s="300"/>
      <c r="DB44" s="297" t="str">
        <f t="shared" si="100"/>
        <v/>
      </c>
      <c r="DC44" s="295" t="str">
        <f t="shared" si="62"/>
        <v/>
      </c>
      <c r="DD44" s="296" t="str">
        <f t="shared" si="63"/>
        <v/>
      </c>
      <c r="DE44" s="295" t="str">
        <f t="shared" si="64"/>
        <v/>
      </c>
      <c r="DF44" s="300"/>
      <c r="DG44" s="297" t="str">
        <f t="shared" si="101"/>
        <v/>
      </c>
      <c r="DH44" s="295" t="str">
        <f t="shared" si="65"/>
        <v/>
      </c>
      <c r="DI44" s="296" t="str">
        <f t="shared" si="66"/>
        <v/>
      </c>
      <c r="DJ44" s="295" t="str">
        <f t="shared" si="67"/>
        <v/>
      </c>
      <c r="DK44" s="300"/>
      <c r="DL44" s="297" t="str">
        <f t="shared" si="102"/>
        <v/>
      </c>
      <c r="DM44" s="295" t="str">
        <f t="shared" si="68"/>
        <v/>
      </c>
      <c r="DN44" s="296" t="str">
        <f t="shared" si="69"/>
        <v/>
      </c>
      <c r="DO44" s="295" t="str">
        <f t="shared" si="70"/>
        <v/>
      </c>
      <c r="DP44" s="300"/>
      <c r="DQ44" s="297" t="str">
        <f t="shared" si="103"/>
        <v/>
      </c>
      <c r="DR44" s="295" t="str">
        <f t="shared" si="71"/>
        <v/>
      </c>
      <c r="DS44" s="296" t="str">
        <f t="shared" si="72"/>
        <v/>
      </c>
      <c r="DT44" s="295" t="str">
        <f t="shared" si="73"/>
        <v/>
      </c>
      <c r="DU44" s="300"/>
      <c r="DV44" s="297" t="str">
        <f t="shared" si="104"/>
        <v/>
      </c>
      <c r="DW44" s="295" t="str">
        <f>IF('1.ข้อมูลเบื้องต้น'!$B$32="","",IF($B44="","",'1.ข้อมูลเบื้องต้น'!$B$32))</f>
        <v/>
      </c>
      <c r="DX44" s="296" t="str">
        <f>IF('1.ข้อมูลเบื้องต้น'!$C$32="","",IF($B44="","",'1.ข้อมูลเบื้องต้น'!$C$32))</f>
        <v/>
      </c>
      <c r="DY44" s="295" t="str">
        <f>IF('1.ข้อมูลเบื้องต้น'!$D$32="","",IF($B44="","",'1.ข้อมูลเบื้องต้น'!$D$32))</f>
        <v/>
      </c>
      <c r="DZ44" s="300"/>
      <c r="EA44" s="297" t="str">
        <f t="shared" si="105"/>
        <v/>
      </c>
      <c r="EB44" s="386" t="str">
        <f>IF('6.1ประกาศผลปลายภาค'!AW47="","",'6.1ประกาศผลปลายภาค'!AW47)</f>
        <v/>
      </c>
      <c r="EC44" s="382" t="str">
        <f>IF('2.ชื่อนักเรียน'!R49="มส","มส",IF('2.ชื่อนักเรียน'!R49="ย้าย","ย้าย",IF('2.ชื่อนักเรียน'!R49="ร","ร",IF(EB44="","",RANK(EB44,$EB$6:$EB$50,0)))))</f>
        <v/>
      </c>
      <c r="ED44" s="388"/>
      <c r="EE44" s="388"/>
      <c r="EF44" s="388"/>
      <c r="EG44" s="388"/>
      <c r="EH44" s="295" t="str">
        <f>IF('2.ชื่อนักเรียน'!R49="มส","ไม่ผ่าน",IF('2.ชื่อนักเรียน'!R49="ย้าย","ย้าย",IF(COUNTA(ED44:EG44)&lt;4,"",IF(AND(ED44="ผ",EE44="ผ",EF44="ผ",EG44="ผ"),"ผ่าน","ไม่ผ่าน"))))</f>
        <v/>
      </c>
      <c r="EI44" s="300"/>
      <c r="EK44" s="459" t="str">
        <f t="shared" si="74"/>
        <v/>
      </c>
      <c r="EL44" s="460" t="str">
        <f t="shared" si="75"/>
        <v/>
      </c>
      <c r="EM44" s="461" t="str">
        <f t="shared" si="76"/>
        <v/>
      </c>
      <c r="EN44" s="460" t="str">
        <f t="shared" si="77"/>
        <v/>
      </c>
      <c r="EO44" s="461" t="str">
        <f t="shared" si="78"/>
        <v/>
      </c>
      <c r="EP44" s="460" t="str">
        <f t="shared" si="79"/>
        <v/>
      </c>
      <c r="EQ44" s="461" t="str">
        <f t="shared" si="106"/>
        <v/>
      </c>
      <c r="ER44" s="460" t="str">
        <f t="shared" si="107"/>
        <v/>
      </c>
      <c r="ES44" s="461" t="str">
        <f t="shared" si="80"/>
        <v/>
      </c>
      <c r="ET44" s="460" t="str">
        <f t="shared" si="81"/>
        <v/>
      </c>
    </row>
    <row r="45" spans="1:150" s="14" customFormat="1" ht="21.6" thickBot="1" x14ac:dyDescent="0.45">
      <c r="A45" s="295">
        <v>40</v>
      </c>
      <c r="B45" s="295" t="str">
        <f>IF('2.ชื่อนักเรียน'!E50="","",CONCATENATE('2.ชื่อนักเรียน'!E50,'2.ชื่อนักเรียน'!F50,'2.ชื่อนักเรียน'!G50,'2.ชื่อนักเรียน'!H50,'2.ชื่อนักเรียน'!I50,'2.ชื่อนักเรียน'!J50,'2.ชื่อนักเรียน'!K50,'2.ชื่อนักเรียน'!L50,'2.ชื่อนักเรียน'!M50,'2.ชื่อนักเรียน'!N50,'2.ชื่อนักเรียน'!O50,'2.ชื่อนักเรียน'!P50,'2.ชื่อนักเรียน'!Q50,))</f>
        <v/>
      </c>
      <c r="C45" s="295" t="str">
        <f>IF(IDstu40="","",IDstu40)</f>
        <v/>
      </c>
      <c r="D45" s="497" t="str">
        <f>CONCATENATE(TRIM(Name40),"  ",Surname40)</f>
        <v xml:space="preserve">  </v>
      </c>
      <c r="E45" s="297" t="str">
        <f t="shared" si="0"/>
        <v/>
      </c>
      <c r="F45" s="295" t="str">
        <f t="shared" si="1"/>
        <v/>
      </c>
      <c r="G45" s="295" t="str">
        <f t="shared" si="2"/>
        <v/>
      </c>
      <c r="H45" s="296" t="str">
        <f t="shared" si="3"/>
        <v/>
      </c>
      <c r="I45" s="295" t="str">
        <f t="shared" si="4"/>
        <v/>
      </c>
      <c r="J45" s="300"/>
      <c r="K45" s="297" t="str">
        <f t="shared" si="82"/>
        <v/>
      </c>
      <c r="L45" s="295" t="str">
        <f t="shared" si="5"/>
        <v/>
      </c>
      <c r="M45" s="296" t="str">
        <f t="shared" si="6"/>
        <v/>
      </c>
      <c r="N45" s="295" t="str">
        <f t="shared" si="7"/>
        <v/>
      </c>
      <c r="O45" s="300"/>
      <c r="P45" s="297" t="str">
        <f t="shared" si="83"/>
        <v/>
      </c>
      <c r="Q45" s="295" t="str">
        <f t="shared" si="8"/>
        <v/>
      </c>
      <c r="R45" s="296" t="str">
        <f t="shared" si="9"/>
        <v/>
      </c>
      <c r="S45" s="295" t="str">
        <f t="shared" si="10"/>
        <v/>
      </c>
      <c r="T45" s="300"/>
      <c r="U45" s="297" t="str">
        <f t="shared" si="108"/>
        <v/>
      </c>
      <c r="V45" s="295" t="str">
        <f t="shared" si="11"/>
        <v/>
      </c>
      <c r="W45" s="296" t="str">
        <f t="shared" si="12"/>
        <v/>
      </c>
      <c r="X45" s="295" t="str">
        <f t="shared" si="13"/>
        <v/>
      </c>
      <c r="Y45" s="300"/>
      <c r="Z45" s="297" t="str">
        <f t="shared" si="84"/>
        <v/>
      </c>
      <c r="AA45" s="295" t="str">
        <f t="shared" si="14"/>
        <v/>
      </c>
      <c r="AB45" s="296" t="str">
        <f t="shared" si="15"/>
        <v/>
      </c>
      <c r="AC45" s="295" t="str">
        <f t="shared" si="16"/>
        <v/>
      </c>
      <c r="AD45" s="300"/>
      <c r="AE45" s="297" t="str">
        <f t="shared" si="85"/>
        <v/>
      </c>
      <c r="AF45" s="295" t="str">
        <f t="shared" si="17"/>
        <v/>
      </c>
      <c r="AG45" s="296" t="str">
        <f t="shared" si="18"/>
        <v/>
      </c>
      <c r="AH45" s="295" t="str">
        <f t="shared" si="19"/>
        <v/>
      </c>
      <c r="AI45" s="300"/>
      <c r="AJ45" s="297" t="str">
        <f t="shared" si="86"/>
        <v/>
      </c>
      <c r="AK45" s="295" t="str">
        <f t="shared" si="20"/>
        <v/>
      </c>
      <c r="AL45" s="296" t="str">
        <f t="shared" si="21"/>
        <v/>
      </c>
      <c r="AM45" s="295" t="str">
        <f t="shared" si="22"/>
        <v/>
      </c>
      <c r="AN45" s="300"/>
      <c r="AO45" s="297" t="str">
        <f t="shared" si="87"/>
        <v/>
      </c>
      <c r="AP45" s="295" t="str">
        <f t="shared" si="23"/>
        <v/>
      </c>
      <c r="AQ45" s="296" t="str">
        <f t="shared" si="24"/>
        <v/>
      </c>
      <c r="AR45" s="295" t="str">
        <f t="shared" si="25"/>
        <v/>
      </c>
      <c r="AS45" s="300"/>
      <c r="AT45" s="297" t="str">
        <f t="shared" si="88"/>
        <v/>
      </c>
      <c r="AU45" s="295" t="str">
        <f t="shared" si="26"/>
        <v/>
      </c>
      <c r="AV45" s="296" t="str">
        <f t="shared" si="27"/>
        <v/>
      </c>
      <c r="AW45" s="295" t="str">
        <f t="shared" si="28"/>
        <v/>
      </c>
      <c r="AX45" s="300"/>
      <c r="AY45" s="297" t="str">
        <f t="shared" si="89"/>
        <v/>
      </c>
      <c r="AZ45" s="295" t="str">
        <f t="shared" si="29"/>
        <v/>
      </c>
      <c r="BA45" s="296" t="str">
        <f t="shared" si="30"/>
        <v/>
      </c>
      <c r="BB45" s="295" t="str">
        <f t="shared" si="31"/>
        <v/>
      </c>
      <c r="BC45" s="300"/>
      <c r="BD45" s="297" t="str">
        <f t="shared" si="90"/>
        <v/>
      </c>
      <c r="BE45" s="295" t="str">
        <f t="shared" si="32"/>
        <v/>
      </c>
      <c r="BF45" s="296" t="str">
        <f t="shared" si="33"/>
        <v/>
      </c>
      <c r="BG45" s="295" t="str">
        <f t="shared" si="34"/>
        <v/>
      </c>
      <c r="BH45" s="300"/>
      <c r="BI45" s="297" t="str">
        <f t="shared" si="91"/>
        <v/>
      </c>
      <c r="BJ45" s="295" t="str">
        <f t="shared" si="35"/>
        <v/>
      </c>
      <c r="BK45" s="296" t="str">
        <f t="shared" si="36"/>
        <v/>
      </c>
      <c r="BL45" s="295" t="str">
        <f t="shared" si="37"/>
        <v/>
      </c>
      <c r="BM45" s="300"/>
      <c r="BN45" s="297" t="str">
        <f t="shared" si="92"/>
        <v/>
      </c>
      <c r="BO45" s="295" t="str">
        <f t="shared" si="38"/>
        <v/>
      </c>
      <c r="BP45" s="296" t="str">
        <f t="shared" si="39"/>
        <v/>
      </c>
      <c r="BQ45" s="295" t="str">
        <f t="shared" si="40"/>
        <v/>
      </c>
      <c r="BR45" s="300"/>
      <c r="BS45" s="297" t="str">
        <f t="shared" si="93"/>
        <v/>
      </c>
      <c r="BT45" s="295" t="str">
        <f t="shared" si="41"/>
        <v/>
      </c>
      <c r="BU45" s="296" t="str">
        <f t="shared" si="42"/>
        <v/>
      </c>
      <c r="BV45" s="295" t="str">
        <f t="shared" si="43"/>
        <v/>
      </c>
      <c r="BW45" s="300"/>
      <c r="BX45" s="297" t="str">
        <f t="shared" si="94"/>
        <v/>
      </c>
      <c r="BY45" s="295" t="str">
        <f t="shared" si="44"/>
        <v/>
      </c>
      <c r="BZ45" s="296" t="str">
        <f t="shared" si="45"/>
        <v/>
      </c>
      <c r="CA45" s="295" t="str">
        <f t="shared" si="46"/>
        <v/>
      </c>
      <c r="CB45" s="300"/>
      <c r="CC45" s="297" t="str">
        <f t="shared" si="95"/>
        <v/>
      </c>
      <c r="CD45" s="295" t="str">
        <f t="shared" si="47"/>
        <v/>
      </c>
      <c r="CE45" s="296" t="str">
        <f t="shared" si="48"/>
        <v/>
      </c>
      <c r="CF45" s="295" t="str">
        <f t="shared" si="49"/>
        <v/>
      </c>
      <c r="CG45" s="300"/>
      <c r="CH45" s="297" t="str">
        <f t="shared" si="96"/>
        <v/>
      </c>
      <c r="CI45" s="295" t="str">
        <f t="shared" si="50"/>
        <v/>
      </c>
      <c r="CJ45" s="296" t="str">
        <f t="shared" si="51"/>
        <v/>
      </c>
      <c r="CK45" s="295" t="str">
        <f t="shared" si="52"/>
        <v/>
      </c>
      <c r="CL45" s="300"/>
      <c r="CM45" s="297" t="str">
        <f t="shared" si="97"/>
        <v/>
      </c>
      <c r="CN45" s="295" t="str">
        <f t="shared" si="53"/>
        <v/>
      </c>
      <c r="CO45" s="296" t="str">
        <f t="shared" si="54"/>
        <v/>
      </c>
      <c r="CP45" s="295" t="str">
        <f t="shared" si="55"/>
        <v/>
      </c>
      <c r="CQ45" s="300"/>
      <c r="CR45" s="297" t="str">
        <f t="shared" si="98"/>
        <v/>
      </c>
      <c r="CS45" s="295" t="str">
        <f t="shared" si="56"/>
        <v/>
      </c>
      <c r="CT45" s="296" t="str">
        <f t="shared" si="57"/>
        <v/>
      </c>
      <c r="CU45" s="295" t="str">
        <f t="shared" si="58"/>
        <v/>
      </c>
      <c r="CV45" s="300"/>
      <c r="CW45" s="297" t="str">
        <f t="shared" si="99"/>
        <v/>
      </c>
      <c r="CX45" s="295" t="str">
        <f t="shared" si="59"/>
        <v/>
      </c>
      <c r="CY45" s="296" t="str">
        <f t="shared" si="60"/>
        <v/>
      </c>
      <c r="CZ45" s="295" t="str">
        <f t="shared" si="61"/>
        <v/>
      </c>
      <c r="DA45" s="300"/>
      <c r="DB45" s="297" t="str">
        <f t="shared" si="100"/>
        <v/>
      </c>
      <c r="DC45" s="295" t="str">
        <f t="shared" si="62"/>
        <v/>
      </c>
      <c r="DD45" s="296" t="str">
        <f t="shared" si="63"/>
        <v/>
      </c>
      <c r="DE45" s="295" t="str">
        <f t="shared" si="64"/>
        <v/>
      </c>
      <c r="DF45" s="300"/>
      <c r="DG45" s="297" t="str">
        <f t="shared" si="101"/>
        <v/>
      </c>
      <c r="DH45" s="295" t="str">
        <f t="shared" si="65"/>
        <v/>
      </c>
      <c r="DI45" s="296" t="str">
        <f t="shared" si="66"/>
        <v/>
      </c>
      <c r="DJ45" s="295" t="str">
        <f t="shared" si="67"/>
        <v/>
      </c>
      <c r="DK45" s="300"/>
      <c r="DL45" s="297" t="str">
        <f t="shared" si="102"/>
        <v/>
      </c>
      <c r="DM45" s="295" t="str">
        <f t="shared" si="68"/>
        <v/>
      </c>
      <c r="DN45" s="296" t="str">
        <f t="shared" si="69"/>
        <v/>
      </c>
      <c r="DO45" s="295" t="str">
        <f t="shared" si="70"/>
        <v/>
      </c>
      <c r="DP45" s="300"/>
      <c r="DQ45" s="297" t="str">
        <f t="shared" si="103"/>
        <v/>
      </c>
      <c r="DR45" s="295" t="str">
        <f t="shared" si="71"/>
        <v/>
      </c>
      <c r="DS45" s="296" t="str">
        <f t="shared" si="72"/>
        <v/>
      </c>
      <c r="DT45" s="295" t="str">
        <f t="shared" si="73"/>
        <v/>
      </c>
      <c r="DU45" s="300"/>
      <c r="DV45" s="297" t="str">
        <f t="shared" si="104"/>
        <v/>
      </c>
      <c r="DW45" s="295" t="str">
        <f>IF('1.ข้อมูลเบื้องต้น'!$B$32="","",IF($B45="","",'1.ข้อมูลเบื้องต้น'!$B$32))</f>
        <v/>
      </c>
      <c r="DX45" s="296" t="str">
        <f>IF('1.ข้อมูลเบื้องต้น'!$C$32="","",IF($B45="","",'1.ข้อมูลเบื้องต้น'!$C$32))</f>
        <v/>
      </c>
      <c r="DY45" s="295" t="str">
        <f>IF('1.ข้อมูลเบื้องต้น'!$D$32="","",IF($B45="","",'1.ข้อมูลเบื้องต้น'!$D$32))</f>
        <v/>
      </c>
      <c r="DZ45" s="300"/>
      <c r="EA45" s="297" t="str">
        <f t="shared" si="105"/>
        <v/>
      </c>
      <c r="EB45" s="386" t="str">
        <f>IF('6.1ประกาศผลปลายภาค'!AW48="","",'6.1ประกาศผลปลายภาค'!AW48)</f>
        <v/>
      </c>
      <c r="EC45" s="382" t="str">
        <f>IF('2.ชื่อนักเรียน'!R50="มส","มส",IF('2.ชื่อนักเรียน'!R50="ย้าย","ย้าย",IF('2.ชื่อนักเรียน'!R50="ร","ร",IF(EB45="","",RANK(EB45,$EB$6:$EB$50,0)))))</f>
        <v/>
      </c>
      <c r="ED45" s="388"/>
      <c r="EE45" s="388"/>
      <c r="EF45" s="388"/>
      <c r="EG45" s="388"/>
      <c r="EH45" s="295" t="str">
        <f>IF('2.ชื่อนักเรียน'!R50="มส","ไม่ผ่าน",IF('2.ชื่อนักเรียน'!R50="ย้าย","ย้าย",IF(COUNTA(ED45:EG45)&lt;4,"",IF(AND(ED45="ผ",EE45="ผ",EF45="ผ",EG45="ผ"),"ผ่าน","ไม่ผ่าน"))))</f>
        <v/>
      </c>
      <c r="EI45" s="300"/>
      <c r="EK45" s="462" t="str">
        <f t="shared" si="74"/>
        <v/>
      </c>
      <c r="EL45" s="463" t="str">
        <f t="shared" si="75"/>
        <v/>
      </c>
      <c r="EM45" s="464" t="str">
        <f t="shared" si="76"/>
        <v/>
      </c>
      <c r="EN45" s="463" t="str">
        <f t="shared" si="77"/>
        <v/>
      </c>
      <c r="EO45" s="464" t="str">
        <f t="shared" si="78"/>
        <v/>
      </c>
      <c r="EP45" s="463" t="str">
        <f t="shared" si="79"/>
        <v/>
      </c>
      <c r="EQ45" s="464" t="str">
        <f t="shared" si="106"/>
        <v/>
      </c>
      <c r="ER45" s="463" t="str">
        <f t="shared" si="107"/>
        <v/>
      </c>
      <c r="ES45" s="464" t="str">
        <f t="shared" si="80"/>
        <v/>
      </c>
      <c r="ET45" s="463" t="str">
        <f t="shared" si="81"/>
        <v/>
      </c>
    </row>
    <row r="46" spans="1:150" s="14" customFormat="1" ht="21.6" thickTop="1" x14ac:dyDescent="0.4">
      <c r="A46" s="295">
        <v>41</v>
      </c>
      <c r="B46" s="295" t="str">
        <f>IF('2.ชื่อนักเรียน'!E51="","",CONCATENATE('2.ชื่อนักเรียน'!E51,'2.ชื่อนักเรียน'!F51,'2.ชื่อนักเรียน'!G51,'2.ชื่อนักเรียน'!H51,'2.ชื่อนักเรียน'!I51,'2.ชื่อนักเรียน'!J51,'2.ชื่อนักเรียน'!K51,'2.ชื่อนักเรียน'!L51,'2.ชื่อนักเรียน'!M51,'2.ชื่อนักเรียน'!N51,'2.ชื่อนักเรียน'!O51,'2.ชื่อนักเรียน'!P51,'2.ชื่อนักเรียน'!Q51,))</f>
        <v/>
      </c>
      <c r="C46" s="295" t="str">
        <f>IF(IDstu41="","",IDstu41)</f>
        <v/>
      </c>
      <c r="D46" s="497" t="str">
        <f>CONCATENATE(TRIM(Name41),"  ",Surname41)</f>
        <v xml:space="preserve">  </v>
      </c>
      <c r="E46" s="297" t="str">
        <f t="shared" si="0"/>
        <v/>
      </c>
      <c r="F46" s="295" t="str">
        <f t="shared" si="1"/>
        <v/>
      </c>
      <c r="G46" s="295" t="str">
        <f t="shared" si="2"/>
        <v/>
      </c>
      <c r="H46" s="296" t="str">
        <f t="shared" si="3"/>
        <v/>
      </c>
      <c r="I46" s="295" t="str">
        <f t="shared" si="4"/>
        <v/>
      </c>
      <c r="J46" s="300"/>
      <c r="K46" s="297" t="str">
        <f t="shared" si="82"/>
        <v/>
      </c>
      <c r="L46" s="295" t="str">
        <f t="shared" si="5"/>
        <v/>
      </c>
      <c r="M46" s="296" t="str">
        <f t="shared" si="6"/>
        <v/>
      </c>
      <c r="N46" s="295" t="str">
        <f t="shared" si="7"/>
        <v/>
      </c>
      <c r="O46" s="300"/>
      <c r="P46" s="297" t="str">
        <f t="shared" si="83"/>
        <v/>
      </c>
      <c r="Q46" s="295" t="str">
        <f t="shared" si="8"/>
        <v/>
      </c>
      <c r="R46" s="296" t="str">
        <f t="shared" si="9"/>
        <v/>
      </c>
      <c r="S46" s="295" t="str">
        <f t="shared" si="10"/>
        <v/>
      </c>
      <c r="T46" s="300"/>
      <c r="U46" s="297" t="str">
        <f t="shared" si="108"/>
        <v/>
      </c>
      <c r="V46" s="295" t="str">
        <f t="shared" si="11"/>
        <v/>
      </c>
      <c r="W46" s="296" t="str">
        <f t="shared" si="12"/>
        <v/>
      </c>
      <c r="X46" s="295" t="str">
        <f t="shared" si="13"/>
        <v/>
      </c>
      <c r="Y46" s="300"/>
      <c r="Z46" s="297" t="str">
        <f t="shared" si="84"/>
        <v/>
      </c>
      <c r="AA46" s="295" t="str">
        <f t="shared" si="14"/>
        <v/>
      </c>
      <c r="AB46" s="296" t="str">
        <f t="shared" si="15"/>
        <v/>
      </c>
      <c r="AC46" s="295" t="str">
        <f t="shared" si="16"/>
        <v/>
      </c>
      <c r="AD46" s="300"/>
      <c r="AE46" s="297" t="str">
        <f t="shared" si="85"/>
        <v/>
      </c>
      <c r="AF46" s="295" t="str">
        <f t="shared" si="17"/>
        <v/>
      </c>
      <c r="AG46" s="296" t="str">
        <f t="shared" si="18"/>
        <v/>
      </c>
      <c r="AH46" s="295" t="str">
        <f t="shared" si="19"/>
        <v/>
      </c>
      <c r="AI46" s="300"/>
      <c r="AJ46" s="297" t="str">
        <f t="shared" si="86"/>
        <v/>
      </c>
      <c r="AK46" s="295" t="str">
        <f t="shared" si="20"/>
        <v/>
      </c>
      <c r="AL46" s="296" t="str">
        <f t="shared" si="21"/>
        <v/>
      </c>
      <c r="AM46" s="295" t="str">
        <f t="shared" si="22"/>
        <v/>
      </c>
      <c r="AN46" s="300"/>
      <c r="AO46" s="297" t="str">
        <f t="shared" si="87"/>
        <v/>
      </c>
      <c r="AP46" s="295" t="str">
        <f t="shared" si="23"/>
        <v/>
      </c>
      <c r="AQ46" s="296" t="str">
        <f t="shared" si="24"/>
        <v/>
      </c>
      <c r="AR46" s="295" t="str">
        <f t="shared" si="25"/>
        <v/>
      </c>
      <c r="AS46" s="300"/>
      <c r="AT46" s="297" t="str">
        <f t="shared" si="88"/>
        <v/>
      </c>
      <c r="AU46" s="295" t="str">
        <f t="shared" si="26"/>
        <v/>
      </c>
      <c r="AV46" s="296" t="str">
        <f t="shared" si="27"/>
        <v/>
      </c>
      <c r="AW46" s="295" t="str">
        <f t="shared" si="28"/>
        <v/>
      </c>
      <c r="AX46" s="300"/>
      <c r="AY46" s="297" t="str">
        <f t="shared" si="89"/>
        <v/>
      </c>
      <c r="AZ46" s="295" t="str">
        <f t="shared" si="29"/>
        <v/>
      </c>
      <c r="BA46" s="296" t="str">
        <f t="shared" si="30"/>
        <v/>
      </c>
      <c r="BB46" s="295" t="str">
        <f t="shared" si="31"/>
        <v/>
      </c>
      <c r="BC46" s="300"/>
      <c r="BD46" s="297" t="str">
        <f t="shared" si="90"/>
        <v/>
      </c>
      <c r="BE46" s="295" t="str">
        <f t="shared" si="32"/>
        <v/>
      </c>
      <c r="BF46" s="296" t="str">
        <f t="shared" si="33"/>
        <v/>
      </c>
      <c r="BG46" s="295" t="str">
        <f t="shared" si="34"/>
        <v/>
      </c>
      <c r="BH46" s="300"/>
      <c r="BI46" s="297" t="str">
        <f t="shared" si="91"/>
        <v/>
      </c>
      <c r="BJ46" s="295" t="str">
        <f t="shared" si="35"/>
        <v/>
      </c>
      <c r="BK46" s="296" t="str">
        <f t="shared" si="36"/>
        <v/>
      </c>
      <c r="BL46" s="295" t="str">
        <f t="shared" si="37"/>
        <v/>
      </c>
      <c r="BM46" s="300"/>
      <c r="BN46" s="297" t="str">
        <f t="shared" si="92"/>
        <v/>
      </c>
      <c r="BO46" s="295" t="str">
        <f t="shared" si="38"/>
        <v/>
      </c>
      <c r="BP46" s="296" t="str">
        <f t="shared" si="39"/>
        <v/>
      </c>
      <c r="BQ46" s="295" t="str">
        <f t="shared" si="40"/>
        <v/>
      </c>
      <c r="BR46" s="300"/>
      <c r="BS46" s="297" t="str">
        <f t="shared" si="93"/>
        <v/>
      </c>
      <c r="BT46" s="295" t="str">
        <f t="shared" si="41"/>
        <v/>
      </c>
      <c r="BU46" s="296" t="str">
        <f t="shared" si="42"/>
        <v/>
      </c>
      <c r="BV46" s="295" t="str">
        <f t="shared" si="43"/>
        <v/>
      </c>
      <c r="BW46" s="300"/>
      <c r="BX46" s="297" t="str">
        <f t="shared" si="94"/>
        <v/>
      </c>
      <c r="BY46" s="295" t="str">
        <f t="shared" si="44"/>
        <v/>
      </c>
      <c r="BZ46" s="296" t="str">
        <f t="shared" si="45"/>
        <v/>
      </c>
      <c r="CA46" s="295" t="str">
        <f t="shared" si="46"/>
        <v/>
      </c>
      <c r="CB46" s="300"/>
      <c r="CC46" s="297" t="str">
        <f t="shared" si="95"/>
        <v/>
      </c>
      <c r="CD46" s="295" t="str">
        <f t="shared" si="47"/>
        <v/>
      </c>
      <c r="CE46" s="296" t="str">
        <f t="shared" si="48"/>
        <v/>
      </c>
      <c r="CF46" s="295" t="str">
        <f t="shared" si="49"/>
        <v/>
      </c>
      <c r="CG46" s="300"/>
      <c r="CH46" s="297" t="str">
        <f t="shared" si="96"/>
        <v/>
      </c>
      <c r="CI46" s="295" t="str">
        <f t="shared" si="50"/>
        <v/>
      </c>
      <c r="CJ46" s="296" t="str">
        <f t="shared" si="51"/>
        <v/>
      </c>
      <c r="CK46" s="295" t="str">
        <f t="shared" si="52"/>
        <v/>
      </c>
      <c r="CL46" s="300"/>
      <c r="CM46" s="297" t="str">
        <f t="shared" si="97"/>
        <v/>
      </c>
      <c r="CN46" s="295" t="str">
        <f t="shared" si="53"/>
        <v/>
      </c>
      <c r="CO46" s="296" t="str">
        <f t="shared" si="54"/>
        <v/>
      </c>
      <c r="CP46" s="295" t="str">
        <f t="shared" si="55"/>
        <v/>
      </c>
      <c r="CQ46" s="300"/>
      <c r="CR46" s="297" t="str">
        <f t="shared" si="98"/>
        <v/>
      </c>
      <c r="CS46" s="295" t="str">
        <f t="shared" si="56"/>
        <v/>
      </c>
      <c r="CT46" s="296" t="str">
        <f t="shared" si="57"/>
        <v/>
      </c>
      <c r="CU46" s="295" t="str">
        <f t="shared" si="58"/>
        <v/>
      </c>
      <c r="CV46" s="300"/>
      <c r="CW46" s="297" t="str">
        <f t="shared" si="99"/>
        <v/>
      </c>
      <c r="CX46" s="295" t="str">
        <f t="shared" si="59"/>
        <v/>
      </c>
      <c r="CY46" s="296" t="str">
        <f t="shared" si="60"/>
        <v/>
      </c>
      <c r="CZ46" s="295" t="str">
        <f t="shared" si="61"/>
        <v/>
      </c>
      <c r="DA46" s="300"/>
      <c r="DB46" s="297" t="str">
        <f t="shared" si="100"/>
        <v/>
      </c>
      <c r="DC46" s="295" t="str">
        <f t="shared" si="62"/>
        <v/>
      </c>
      <c r="DD46" s="296" t="str">
        <f t="shared" si="63"/>
        <v/>
      </c>
      <c r="DE46" s="295" t="str">
        <f t="shared" si="64"/>
        <v/>
      </c>
      <c r="DF46" s="300"/>
      <c r="DG46" s="297" t="str">
        <f t="shared" si="101"/>
        <v/>
      </c>
      <c r="DH46" s="295" t="str">
        <f t="shared" si="65"/>
        <v/>
      </c>
      <c r="DI46" s="296" t="str">
        <f t="shared" si="66"/>
        <v/>
      </c>
      <c r="DJ46" s="295" t="str">
        <f t="shared" si="67"/>
        <v/>
      </c>
      <c r="DK46" s="300"/>
      <c r="DL46" s="297" t="str">
        <f t="shared" si="102"/>
        <v/>
      </c>
      <c r="DM46" s="295" t="str">
        <f t="shared" si="68"/>
        <v/>
      </c>
      <c r="DN46" s="296" t="str">
        <f t="shared" si="69"/>
        <v/>
      </c>
      <c r="DO46" s="295" t="str">
        <f t="shared" si="70"/>
        <v/>
      </c>
      <c r="DP46" s="300"/>
      <c r="DQ46" s="297" t="str">
        <f t="shared" si="103"/>
        <v/>
      </c>
      <c r="DR46" s="295" t="str">
        <f t="shared" si="71"/>
        <v/>
      </c>
      <c r="DS46" s="296" t="str">
        <f t="shared" si="72"/>
        <v/>
      </c>
      <c r="DT46" s="295" t="str">
        <f t="shared" si="73"/>
        <v/>
      </c>
      <c r="DU46" s="300"/>
      <c r="DV46" s="297" t="str">
        <f t="shared" si="104"/>
        <v/>
      </c>
      <c r="DW46" s="295" t="str">
        <f>IF('1.ข้อมูลเบื้องต้น'!$B$32="","",IF($B46="","",'1.ข้อมูลเบื้องต้น'!$B$32))</f>
        <v/>
      </c>
      <c r="DX46" s="296" t="str">
        <f>IF('1.ข้อมูลเบื้องต้น'!$C$32="","",IF($B46="","",'1.ข้อมูลเบื้องต้น'!$C$32))</f>
        <v/>
      </c>
      <c r="DY46" s="295" t="str">
        <f>IF('1.ข้อมูลเบื้องต้น'!$D$32="","",IF($B46="","",'1.ข้อมูลเบื้องต้น'!$D$32))</f>
        <v/>
      </c>
      <c r="DZ46" s="300"/>
      <c r="EA46" s="297" t="str">
        <f t="shared" si="105"/>
        <v/>
      </c>
      <c r="EB46" s="386" t="str">
        <f>IF('6.1ประกาศผลปลายภาค'!AW49="","",'6.1ประกาศผลปลายภาค'!AW49)</f>
        <v/>
      </c>
      <c r="EC46" s="382" t="str">
        <f>IF('2.ชื่อนักเรียน'!R51="มส","มส",IF('2.ชื่อนักเรียน'!R51="ย้าย","ย้าย",IF('2.ชื่อนักเรียน'!R51="ร","ร",IF(EB46="","",RANK(EB46,$EB$6:$EB$50,0)))))</f>
        <v/>
      </c>
      <c r="ED46" s="388"/>
      <c r="EE46" s="388"/>
      <c r="EF46" s="388"/>
      <c r="EG46" s="388"/>
      <c r="EH46" s="295" t="str">
        <f>IF('2.ชื่อนักเรียน'!R51="มส","ไม่ผ่าน",IF('2.ชื่อนักเรียน'!R51="ย้าย","ย้าย",IF(COUNTA(ED46:EG46)&lt;4,"",IF(AND(ED46="ผ",EE46="ผ",EF46="ผ",EG46="ผ"),"ผ่าน","ไม่ผ่าน"))))</f>
        <v/>
      </c>
      <c r="EI46" s="300"/>
      <c r="EK46" s="456" t="str">
        <f t="shared" si="74"/>
        <v/>
      </c>
      <c r="EL46" s="457" t="str">
        <f t="shared" si="75"/>
        <v/>
      </c>
      <c r="EM46" s="458" t="str">
        <f t="shared" si="76"/>
        <v/>
      </c>
      <c r="EN46" s="457" t="str">
        <f t="shared" si="77"/>
        <v/>
      </c>
      <c r="EO46" s="458" t="str">
        <f t="shared" si="78"/>
        <v/>
      </c>
      <c r="EP46" s="457" t="str">
        <f t="shared" si="79"/>
        <v/>
      </c>
      <c r="EQ46" s="458" t="str">
        <f t="shared" si="106"/>
        <v/>
      </c>
      <c r="ER46" s="457" t="str">
        <f t="shared" si="107"/>
        <v/>
      </c>
      <c r="ES46" s="458" t="str">
        <f t="shared" si="80"/>
        <v/>
      </c>
      <c r="ET46" s="457" t="str">
        <f t="shared" si="81"/>
        <v/>
      </c>
    </row>
    <row r="47" spans="1:150" s="14" customFormat="1" ht="21" x14ac:dyDescent="0.4">
      <c r="A47" s="295">
        <v>42</v>
      </c>
      <c r="B47" s="295" t="str">
        <f>IF('2.ชื่อนักเรียน'!E52="","",CONCATENATE('2.ชื่อนักเรียน'!E52,'2.ชื่อนักเรียน'!F52,'2.ชื่อนักเรียน'!G52,'2.ชื่อนักเรียน'!H52,'2.ชื่อนักเรียน'!I52,'2.ชื่อนักเรียน'!J52,'2.ชื่อนักเรียน'!K52,'2.ชื่อนักเรียน'!L52,'2.ชื่อนักเรียน'!M52,'2.ชื่อนักเรียน'!N52,'2.ชื่อนักเรียน'!O52,'2.ชื่อนักเรียน'!P52,'2.ชื่อนักเรียน'!Q52,))</f>
        <v/>
      </c>
      <c r="C47" s="295" t="str">
        <f>IF(IDstu42="","",IDstu42)</f>
        <v/>
      </c>
      <c r="D47" s="497" t="str">
        <f>CONCATENATE(TRIM(Name42),"  ",Surname42)</f>
        <v xml:space="preserve">  </v>
      </c>
      <c r="E47" s="297" t="str">
        <f t="shared" si="0"/>
        <v/>
      </c>
      <c r="F47" s="295" t="str">
        <f t="shared" si="1"/>
        <v/>
      </c>
      <c r="G47" s="295" t="str">
        <f t="shared" si="2"/>
        <v/>
      </c>
      <c r="H47" s="296" t="str">
        <f t="shared" si="3"/>
        <v/>
      </c>
      <c r="I47" s="295" t="str">
        <f t="shared" si="4"/>
        <v/>
      </c>
      <c r="J47" s="300"/>
      <c r="K47" s="297" t="str">
        <f t="shared" si="82"/>
        <v/>
      </c>
      <c r="L47" s="295" t="str">
        <f t="shared" si="5"/>
        <v/>
      </c>
      <c r="M47" s="296" t="str">
        <f t="shared" si="6"/>
        <v/>
      </c>
      <c r="N47" s="295" t="str">
        <f t="shared" si="7"/>
        <v/>
      </c>
      <c r="O47" s="300"/>
      <c r="P47" s="297" t="str">
        <f t="shared" si="83"/>
        <v/>
      </c>
      <c r="Q47" s="295" t="str">
        <f t="shared" si="8"/>
        <v/>
      </c>
      <c r="R47" s="296" t="str">
        <f t="shared" si="9"/>
        <v/>
      </c>
      <c r="S47" s="295" t="str">
        <f t="shared" si="10"/>
        <v/>
      </c>
      <c r="T47" s="300"/>
      <c r="U47" s="297" t="str">
        <f t="shared" si="108"/>
        <v/>
      </c>
      <c r="V47" s="295" t="str">
        <f t="shared" si="11"/>
        <v/>
      </c>
      <c r="W47" s="296" t="str">
        <f t="shared" si="12"/>
        <v/>
      </c>
      <c r="X47" s="295" t="str">
        <f t="shared" si="13"/>
        <v/>
      </c>
      <c r="Y47" s="300"/>
      <c r="Z47" s="297" t="str">
        <f t="shared" si="84"/>
        <v/>
      </c>
      <c r="AA47" s="295" t="str">
        <f t="shared" si="14"/>
        <v/>
      </c>
      <c r="AB47" s="296" t="str">
        <f t="shared" si="15"/>
        <v/>
      </c>
      <c r="AC47" s="295" t="str">
        <f t="shared" si="16"/>
        <v/>
      </c>
      <c r="AD47" s="300"/>
      <c r="AE47" s="297" t="str">
        <f t="shared" si="85"/>
        <v/>
      </c>
      <c r="AF47" s="295" t="str">
        <f t="shared" si="17"/>
        <v/>
      </c>
      <c r="AG47" s="296" t="str">
        <f t="shared" si="18"/>
        <v/>
      </c>
      <c r="AH47" s="295" t="str">
        <f t="shared" si="19"/>
        <v/>
      </c>
      <c r="AI47" s="300"/>
      <c r="AJ47" s="297" t="str">
        <f t="shared" si="86"/>
        <v/>
      </c>
      <c r="AK47" s="295" t="str">
        <f t="shared" si="20"/>
        <v/>
      </c>
      <c r="AL47" s="296" t="str">
        <f t="shared" si="21"/>
        <v/>
      </c>
      <c r="AM47" s="295" t="str">
        <f t="shared" si="22"/>
        <v/>
      </c>
      <c r="AN47" s="300"/>
      <c r="AO47" s="297" t="str">
        <f t="shared" si="87"/>
        <v/>
      </c>
      <c r="AP47" s="295" t="str">
        <f t="shared" si="23"/>
        <v/>
      </c>
      <c r="AQ47" s="296" t="str">
        <f t="shared" si="24"/>
        <v/>
      </c>
      <c r="AR47" s="295" t="str">
        <f t="shared" si="25"/>
        <v/>
      </c>
      <c r="AS47" s="300"/>
      <c r="AT47" s="297" t="str">
        <f t="shared" si="88"/>
        <v/>
      </c>
      <c r="AU47" s="295" t="str">
        <f t="shared" si="26"/>
        <v/>
      </c>
      <c r="AV47" s="296" t="str">
        <f t="shared" si="27"/>
        <v/>
      </c>
      <c r="AW47" s="295" t="str">
        <f t="shared" si="28"/>
        <v/>
      </c>
      <c r="AX47" s="300"/>
      <c r="AY47" s="297" t="str">
        <f t="shared" si="89"/>
        <v/>
      </c>
      <c r="AZ47" s="295" t="str">
        <f t="shared" si="29"/>
        <v/>
      </c>
      <c r="BA47" s="296" t="str">
        <f t="shared" si="30"/>
        <v/>
      </c>
      <c r="BB47" s="295" t="str">
        <f t="shared" si="31"/>
        <v/>
      </c>
      <c r="BC47" s="300"/>
      <c r="BD47" s="297" t="str">
        <f t="shared" si="90"/>
        <v/>
      </c>
      <c r="BE47" s="295" t="str">
        <f t="shared" si="32"/>
        <v/>
      </c>
      <c r="BF47" s="296" t="str">
        <f t="shared" si="33"/>
        <v/>
      </c>
      <c r="BG47" s="295" t="str">
        <f t="shared" si="34"/>
        <v/>
      </c>
      <c r="BH47" s="300"/>
      <c r="BI47" s="297" t="str">
        <f t="shared" si="91"/>
        <v/>
      </c>
      <c r="BJ47" s="295" t="str">
        <f t="shared" si="35"/>
        <v/>
      </c>
      <c r="BK47" s="296" t="str">
        <f t="shared" si="36"/>
        <v/>
      </c>
      <c r="BL47" s="295" t="str">
        <f t="shared" si="37"/>
        <v/>
      </c>
      <c r="BM47" s="300"/>
      <c r="BN47" s="297" t="str">
        <f t="shared" si="92"/>
        <v/>
      </c>
      <c r="BO47" s="295" t="str">
        <f t="shared" si="38"/>
        <v/>
      </c>
      <c r="BP47" s="296" t="str">
        <f t="shared" si="39"/>
        <v/>
      </c>
      <c r="BQ47" s="295" t="str">
        <f t="shared" si="40"/>
        <v/>
      </c>
      <c r="BR47" s="300"/>
      <c r="BS47" s="297" t="str">
        <f t="shared" si="93"/>
        <v/>
      </c>
      <c r="BT47" s="295" t="str">
        <f t="shared" si="41"/>
        <v/>
      </c>
      <c r="BU47" s="296" t="str">
        <f t="shared" si="42"/>
        <v/>
      </c>
      <c r="BV47" s="295" t="str">
        <f t="shared" si="43"/>
        <v/>
      </c>
      <c r="BW47" s="300"/>
      <c r="BX47" s="297" t="str">
        <f t="shared" si="94"/>
        <v/>
      </c>
      <c r="BY47" s="295" t="str">
        <f t="shared" si="44"/>
        <v/>
      </c>
      <c r="BZ47" s="296" t="str">
        <f t="shared" si="45"/>
        <v/>
      </c>
      <c r="CA47" s="295" t="str">
        <f t="shared" si="46"/>
        <v/>
      </c>
      <c r="CB47" s="300"/>
      <c r="CC47" s="297" t="str">
        <f t="shared" si="95"/>
        <v/>
      </c>
      <c r="CD47" s="295" t="str">
        <f t="shared" si="47"/>
        <v/>
      </c>
      <c r="CE47" s="296" t="str">
        <f t="shared" si="48"/>
        <v/>
      </c>
      <c r="CF47" s="295" t="str">
        <f t="shared" si="49"/>
        <v/>
      </c>
      <c r="CG47" s="300"/>
      <c r="CH47" s="297" t="str">
        <f t="shared" si="96"/>
        <v/>
      </c>
      <c r="CI47" s="295" t="str">
        <f t="shared" si="50"/>
        <v/>
      </c>
      <c r="CJ47" s="296" t="str">
        <f t="shared" si="51"/>
        <v/>
      </c>
      <c r="CK47" s="295" t="str">
        <f t="shared" si="52"/>
        <v/>
      </c>
      <c r="CL47" s="300"/>
      <c r="CM47" s="297" t="str">
        <f t="shared" si="97"/>
        <v/>
      </c>
      <c r="CN47" s="295" t="str">
        <f t="shared" si="53"/>
        <v/>
      </c>
      <c r="CO47" s="296" t="str">
        <f t="shared" si="54"/>
        <v/>
      </c>
      <c r="CP47" s="295" t="str">
        <f t="shared" si="55"/>
        <v/>
      </c>
      <c r="CQ47" s="300"/>
      <c r="CR47" s="297" t="str">
        <f t="shared" si="98"/>
        <v/>
      </c>
      <c r="CS47" s="295" t="str">
        <f t="shared" si="56"/>
        <v/>
      </c>
      <c r="CT47" s="296" t="str">
        <f t="shared" si="57"/>
        <v/>
      </c>
      <c r="CU47" s="295" t="str">
        <f t="shared" si="58"/>
        <v/>
      </c>
      <c r="CV47" s="300"/>
      <c r="CW47" s="297" t="str">
        <f t="shared" si="99"/>
        <v/>
      </c>
      <c r="CX47" s="295" t="str">
        <f t="shared" si="59"/>
        <v/>
      </c>
      <c r="CY47" s="296" t="str">
        <f t="shared" si="60"/>
        <v/>
      </c>
      <c r="CZ47" s="295" t="str">
        <f t="shared" si="61"/>
        <v/>
      </c>
      <c r="DA47" s="300"/>
      <c r="DB47" s="297" t="str">
        <f t="shared" si="100"/>
        <v/>
      </c>
      <c r="DC47" s="295" t="str">
        <f t="shared" si="62"/>
        <v/>
      </c>
      <c r="DD47" s="296" t="str">
        <f t="shared" si="63"/>
        <v/>
      </c>
      <c r="DE47" s="295" t="str">
        <f t="shared" si="64"/>
        <v/>
      </c>
      <c r="DF47" s="300"/>
      <c r="DG47" s="297" t="str">
        <f t="shared" si="101"/>
        <v/>
      </c>
      <c r="DH47" s="295" t="str">
        <f t="shared" si="65"/>
        <v/>
      </c>
      <c r="DI47" s="296" t="str">
        <f t="shared" si="66"/>
        <v/>
      </c>
      <c r="DJ47" s="295" t="str">
        <f t="shared" si="67"/>
        <v/>
      </c>
      <c r="DK47" s="300"/>
      <c r="DL47" s="297" t="str">
        <f t="shared" si="102"/>
        <v/>
      </c>
      <c r="DM47" s="295" t="str">
        <f t="shared" si="68"/>
        <v/>
      </c>
      <c r="DN47" s="296" t="str">
        <f t="shared" si="69"/>
        <v/>
      </c>
      <c r="DO47" s="295" t="str">
        <f t="shared" si="70"/>
        <v/>
      </c>
      <c r="DP47" s="300"/>
      <c r="DQ47" s="297" t="str">
        <f t="shared" si="103"/>
        <v/>
      </c>
      <c r="DR47" s="295" t="str">
        <f t="shared" si="71"/>
        <v/>
      </c>
      <c r="DS47" s="296" t="str">
        <f t="shared" si="72"/>
        <v/>
      </c>
      <c r="DT47" s="295" t="str">
        <f t="shared" si="73"/>
        <v/>
      </c>
      <c r="DU47" s="300"/>
      <c r="DV47" s="297" t="str">
        <f t="shared" si="104"/>
        <v/>
      </c>
      <c r="DW47" s="295" t="str">
        <f>IF('1.ข้อมูลเบื้องต้น'!$B$32="","",IF($B47="","",'1.ข้อมูลเบื้องต้น'!$B$32))</f>
        <v/>
      </c>
      <c r="DX47" s="296" t="str">
        <f>IF('1.ข้อมูลเบื้องต้น'!$C$32="","",IF($B47="","",'1.ข้อมูลเบื้องต้น'!$C$32))</f>
        <v/>
      </c>
      <c r="DY47" s="295" t="str">
        <f>IF('1.ข้อมูลเบื้องต้น'!$D$32="","",IF($B47="","",'1.ข้อมูลเบื้องต้น'!$D$32))</f>
        <v/>
      </c>
      <c r="DZ47" s="300"/>
      <c r="EA47" s="297" t="str">
        <f t="shared" si="105"/>
        <v/>
      </c>
      <c r="EB47" s="386" t="str">
        <f>IF('6.1ประกาศผลปลายภาค'!AW50="","",'6.1ประกาศผลปลายภาค'!AW50)</f>
        <v/>
      </c>
      <c r="EC47" s="382" t="str">
        <f>IF('2.ชื่อนักเรียน'!R52="มส","มส",IF('2.ชื่อนักเรียน'!R52="ย้าย","ย้าย",IF('2.ชื่อนักเรียน'!R52="ร","ร",IF(EB47="","",RANK(EB47,$EB$6:$EB$50,0)))))</f>
        <v/>
      </c>
      <c r="ED47" s="388"/>
      <c r="EE47" s="388"/>
      <c r="EF47" s="388"/>
      <c r="EG47" s="388"/>
      <c r="EH47" s="295" t="str">
        <f>IF('2.ชื่อนักเรียน'!R52="มส","ไม่ผ่าน",IF('2.ชื่อนักเรียน'!R52="ย้าย","ย้าย",IF(COUNTA(ED47:EG47)&lt;4,"",IF(AND(ED47="ผ",EE47="ผ",EF47="ผ",EG47="ผ"),"ผ่าน","ไม่ผ่าน"))))</f>
        <v/>
      </c>
      <c r="EI47" s="300"/>
      <c r="EK47" s="459" t="str">
        <f t="shared" si="74"/>
        <v/>
      </c>
      <c r="EL47" s="460" t="str">
        <f t="shared" si="75"/>
        <v/>
      </c>
      <c r="EM47" s="461" t="str">
        <f t="shared" si="76"/>
        <v/>
      </c>
      <c r="EN47" s="460" t="str">
        <f t="shared" si="77"/>
        <v/>
      </c>
      <c r="EO47" s="461" t="str">
        <f t="shared" si="78"/>
        <v/>
      </c>
      <c r="EP47" s="460" t="str">
        <f t="shared" si="79"/>
        <v/>
      </c>
      <c r="EQ47" s="461" t="str">
        <f t="shared" si="106"/>
        <v/>
      </c>
      <c r="ER47" s="460" t="str">
        <f t="shared" si="107"/>
        <v/>
      </c>
      <c r="ES47" s="461" t="str">
        <f t="shared" si="80"/>
        <v/>
      </c>
      <c r="ET47" s="460" t="str">
        <f t="shared" si="81"/>
        <v/>
      </c>
    </row>
    <row r="48" spans="1:150" s="14" customFormat="1" ht="21" x14ac:dyDescent="0.4">
      <c r="A48" s="295">
        <v>43</v>
      </c>
      <c r="B48" s="295" t="str">
        <f>IF('2.ชื่อนักเรียน'!E53="","",CONCATENATE('2.ชื่อนักเรียน'!E53,'2.ชื่อนักเรียน'!F53,'2.ชื่อนักเรียน'!G53,'2.ชื่อนักเรียน'!H53,'2.ชื่อนักเรียน'!I53,'2.ชื่อนักเรียน'!J53,'2.ชื่อนักเรียน'!K53,'2.ชื่อนักเรียน'!L53,'2.ชื่อนักเรียน'!M53,'2.ชื่อนักเรียน'!N53,'2.ชื่อนักเรียน'!O53,'2.ชื่อนักเรียน'!P53,'2.ชื่อนักเรียน'!Q53,))</f>
        <v/>
      </c>
      <c r="C48" s="295" t="str">
        <f>IF(IDstu43="","",IDstu43)</f>
        <v/>
      </c>
      <c r="D48" s="497" t="str">
        <f>CONCATENATE(TRIM(Name43),"  ",Surname43)</f>
        <v xml:space="preserve">  </v>
      </c>
      <c r="E48" s="297" t="str">
        <f t="shared" si="0"/>
        <v/>
      </c>
      <c r="F48" s="295" t="str">
        <f t="shared" si="1"/>
        <v/>
      </c>
      <c r="G48" s="295" t="str">
        <f t="shared" si="2"/>
        <v/>
      </c>
      <c r="H48" s="296" t="str">
        <f t="shared" si="3"/>
        <v/>
      </c>
      <c r="I48" s="295" t="str">
        <f t="shared" si="4"/>
        <v/>
      </c>
      <c r="J48" s="300"/>
      <c r="K48" s="297" t="str">
        <f t="shared" si="82"/>
        <v/>
      </c>
      <c r="L48" s="295" t="str">
        <f t="shared" si="5"/>
        <v/>
      </c>
      <c r="M48" s="296" t="str">
        <f t="shared" si="6"/>
        <v/>
      </c>
      <c r="N48" s="295" t="str">
        <f t="shared" si="7"/>
        <v/>
      </c>
      <c r="O48" s="300"/>
      <c r="P48" s="297" t="str">
        <f t="shared" si="83"/>
        <v/>
      </c>
      <c r="Q48" s="295" t="str">
        <f t="shared" si="8"/>
        <v/>
      </c>
      <c r="R48" s="296" t="str">
        <f t="shared" si="9"/>
        <v/>
      </c>
      <c r="S48" s="295" t="str">
        <f t="shared" si="10"/>
        <v/>
      </c>
      <c r="T48" s="300"/>
      <c r="U48" s="297" t="str">
        <f t="shared" si="108"/>
        <v/>
      </c>
      <c r="V48" s="295" t="str">
        <f t="shared" si="11"/>
        <v/>
      </c>
      <c r="W48" s="296" t="str">
        <f t="shared" si="12"/>
        <v/>
      </c>
      <c r="X48" s="295" t="str">
        <f t="shared" si="13"/>
        <v/>
      </c>
      <c r="Y48" s="300"/>
      <c r="Z48" s="297" t="str">
        <f t="shared" si="84"/>
        <v/>
      </c>
      <c r="AA48" s="295" t="str">
        <f t="shared" si="14"/>
        <v/>
      </c>
      <c r="AB48" s="296" t="str">
        <f t="shared" si="15"/>
        <v/>
      </c>
      <c r="AC48" s="295" t="str">
        <f t="shared" si="16"/>
        <v/>
      </c>
      <c r="AD48" s="300"/>
      <c r="AE48" s="297" t="str">
        <f t="shared" si="85"/>
        <v/>
      </c>
      <c r="AF48" s="295" t="str">
        <f t="shared" si="17"/>
        <v/>
      </c>
      <c r="AG48" s="296" t="str">
        <f t="shared" si="18"/>
        <v/>
      </c>
      <c r="AH48" s="295" t="str">
        <f t="shared" si="19"/>
        <v/>
      </c>
      <c r="AI48" s="300"/>
      <c r="AJ48" s="297" t="str">
        <f t="shared" si="86"/>
        <v/>
      </c>
      <c r="AK48" s="295" t="str">
        <f t="shared" si="20"/>
        <v/>
      </c>
      <c r="AL48" s="296" t="str">
        <f t="shared" si="21"/>
        <v/>
      </c>
      <c r="AM48" s="295" t="str">
        <f t="shared" si="22"/>
        <v/>
      </c>
      <c r="AN48" s="300"/>
      <c r="AO48" s="297" t="str">
        <f t="shared" si="87"/>
        <v/>
      </c>
      <c r="AP48" s="295" t="str">
        <f t="shared" si="23"/>
        <v/>
      </c>
      <c r="AQ48" s="296" t="str">
        <f t="shared" si="24"/>
        <v/>
      </c>
      <c r="AR48" s="295" t="str">
        <f t="shared" si="25"/>
        <v/>
      </c>
      <c r="AS48" s="300"/>
      <c r="AT48" s="297" t="str">
        <f t="shared" si="88"/>
        <v/>
      </c>
      <c r="AU48" s="295" t="str">
        <f t="shared" si="26"/>
        <v/>
      </c>
      <c r="AV48" s="296" t="str">
        <f t="shared" si="27"/>
        <v/>
      </c>
      <c r="AW48" s="295" t="str">
        <f t="shared" si="28"/>
        <v/>
      </c>
      <c r="AX48" s="300"/>
      <c r="AY48" s="297" t="str">
        <f t="shared" si="89"/>
        <v/>
      </c>
      <c r="AZ48" s="295" t="str">
        <f t="shared" si="29"/>
        <v/>
      </c>
      <c r="BA48" s="296" t="str">
        <f t="shared" si="30"/>
        <v/>
      </c>
      <c r="BB48" s="295" t="str">
        <f t="shared" si="31"/>
        <v/>
      </c>
      <c r="BC48" s="300"/>
      <c r="BD48" s="297" t="str">
        <f t="shared" si="90"/>
        <v/>
      </c>
      <c r="BE48" s="295" t="str">
        <f t="shared" si="32"/>
        <v/>
      </c>
      <c r="BF48" s="296" t="str">
        <f t="shared" si="33"/>
        <v/>
      </c>
      <c r="BG48" s="295" t="str">
        <f t="shared" si="34"/>
        <v/>
      </c>
      <c r="BH48" s="300"/>
      <c r="BI48" s="297" t="str">
        <f t="shared" si="91"/>
        <v/>
      </c>
      <c r="BJ48" s="295" t="str">
        <f t="shared" si="35"/>
        <v/>
      </c>
      <c r="BK48" s="296" t="str">
        <f t="shared" si="36"/>
        <v/>
      </c>
      <c r="BL48" s="295" t="str">
        <f t="shared" si="37"/>
        <v/>
      </c>
      <c r="BM48" s="300"/>
      <c r="BN48" s="297" t="str">
        <f t="shared" si="92"/>
        <v/>
      </c>
      <c r="BO48" s="295" t="str">
        <f t="shared" si="38"/>
        <v/>
      </c>
      <c r="BP48" s="296" t="str">
        <f t="shared" si="39"/>
        <v/>
      </c>
      <c r="BQ48" s="295" t="str">
        <f t="shared" si="40"/>
        <v/>
      </c>
      <c r="BR48" s="300"/>
      <c r="BS48" s="297" t="str">
        <f t="shared" si="93"/>
        <v/>
      </c>
      <c r="BT48" s="295" t="str">
        <f t="shared" si="41"/>
        <v/>
      </c>
      <c r="BU48" s="296" t="str">
        <f t="shared" si="42"/>
        <v/>
      </c>
      <c r="BV48" s="295" t="str">
        <f t="shared" si="43"/>
        <v/>
      </c>
      <c r="BW48" s="300"/>
      <c r="BX48" s="297" t="str">
        <f t="shared" si="94"/>
        <v/>
      </c>
      <c r="BY48" s="295" t="str">
        <f t="shared" si="44"/>
        <v/>
      </c>
      <c r="BZ48" s="296" t="str">
        <f t="shared" si="45"/>
        <v/>
      </c>
      <c r="CA48" s="295" t="str">
        <f t="shared" si="46"/>
        <v/>
      </c>
      <c r="CB48" s="300"/>
      <c r="CC48" s="297" t="str">
        <f t="shared" si="95"/>
        <v/>
      </c>
      <c r="CD48" s="295" t="str">
        <f t="shared" si="47"/>
        <v/>
      </c>
      <c r="CE48" s="296" t="str">
        <f t="shared" si="48"/>
        <v/>
      </c>
      <c r="CF48" s="295" t="str">
        <f t="shared" si="49"/>
        <v/>
      </c>
      <c r="CG48" s="300"/>
      <c r="CH48" s="297" t="str">
        <f t="shared" si="96"/>
        <v/>
      </c>
      <c r="CI48" s="295" t="str">
        <f t="shared" si="50"/>
        <v/>
      </c>
      <c r="CJ48" s="296" t="str">
        <f t="shared" si="51"/>
        <v/>
      </c>
      <c r="CK48" s="295" t="str">
        <f t="shared" si="52"/>
        <v/>
      </c>
      <c r="CL48" s="300"/>
      <c r="CM48" s="297" t="str">
        <f t="shared" si="97"/>
        <v/>
      </c>
      <c r="CN48" s="295" t="str">
        <f t="shared" si="53"/>
        <v/>
      </c>
      <c r="CO48" s="296" t="str">
        <f t="shared" si="54"/>
        <v/>
      </c>
      <c r="CP48" s="295" t="str">
        <f t="shared" si="55"/>
        <v/>
      </c>
      <c r="CQ48" s="300"/>
      <c r="CR48" s="297" t="str">
        <f t="shared" si="98"/>
        <v/>
      </c>
      <c r="CS48" s="295" t="str">
        <f t="shared" si="56"/>
        <v/>
      </c>
      <c r="CT48" s="296" t="str">
        <f t="shared" si="57"/>
        <v/>
      </c>
      <c r="CU48" s="295" t="str">
        <f t="shared" si="58"/>
        <v/>
      </c>
      <c r="CV48" s="300"/>
      <c r="CW48" s="297" t="str">
        <f t="shared" si="99"/>
        <v/>
      </c>
      <c r="CX48" s="295" t="str">
        <f t="shared" si="59"/>
        <v/>
      </c>
      <c r="CY48" s="296" t="str">
        <f t="shared" si="60"/>
        <v/>
      </c>
      <c r="CZ48" s="295" t="str">
        <f t="shared" si="61"/>
        <v/>
      </c>
      <c r="DA48" s="300"/>
      <c r="DB48" s="297" t="str">
        <f t="shared" si="100"/>
        <v/>
      </c>
      <c r="DC48" s="295" t="str">
        <f t="shared" si="62"/>
        <v/>
      </c>
      <c r="DD48" s="296" t="str">
        <f t="shared" si="63"/>
        <v/>
      </c>
      <c r="DE48" s="295" t="str">
        <f t="shared" si="64"/>
        <v/>
      </c>
      <c r="DF48" s="300"/>
      <c r="DG48" s="297" t="str">
        <f t="shared" si="101"/>
        <v/>
      </c>
      <c r="DH48" s="295" t="str">
        <f t="shared" si="65"/>
        <v/>
      </c>
      <c r="DI48" s="296" t="str">
        <f t="shared" si="66"/>
        <v/>
      </c>
      <c r="DJ48" s="295" t="str">
        <f t="shared" si="67"/>
        <v/>
      </c>
      <c r="DK48" s="300"/>
      <c r="DL48" s="297" t="str">
        <f t="shared" si="102"/>
        <v/>
      </c>
      <c r="DM48" s="295" t="str">
        <f t="shared" si="68"/>
        <v/>
      </c>
      <c r="DN48" s="296" t="str">
        <f t="shared" si="69"/>
        <v/>
      </c>
      <c r="DO48" s="295" t="str">
        <f t="shared" si="70"/>
        <v/>
      </c>
      <c r="DP48" s="300"/>
      <c r="DQ48" s="297" t="str">
        <f t="shared" si="103"/>
        <v/>
      </c>
      <c r="DR48" s="295" t="str">
        <f t="shared" si="71"/>
        <v/>
      </c>
      <c r="DS48" s="296" t="str">
        <f t="shared" si="72"/>
        <v/>
      </c>
      <c r="DT48" s="295" t="str">
        <f t="shared" si="73"/>
        <v/>
      </c>
      <c r="DU48" s="300"/>
      <c r="DV48" s="297" t="str">
        <f t="shared" si="104"/>
        <v/>
      </c>
      <c r="DW48" s="295" t="str">
        <f>IF('1.ข้อมูลเบื้องต้น'!$B$32="","",IF($B48="","",'1.ข้อมูลเบื้องต้น'!$B$32))</f>
        <v/>
      </c>
      <c r="DX48" s="296" t="str">
        <f>IF('1.ข้อมูลเบื้องต้น'!$C$32="","",IF($B48="","",'1.ข้อมูลเบื้องต้น'!$C$32))</f>
        <v/>
      </c>
      <c r="DY48" s="295" t="str">
        <f>IF('1.ข้อมูลเบื้องต้น'!$D$32="","",IF($B48="","",'1.ข้อมูลเบื้องต้น'!$D$32))</f>
        <v/>
      </c>
      <c r="DZ48" s="300"/>
      <c r="EA48" s="297" t="str">
        <f t="shared" si="105"/>
        <v/>
      </c>
      <c r="EB48" s="386" t="str">
        <f>IF('6.1ประกาศผลปลายภาค'!AW51="","",'6.1ประกาศผลปลายภาค'!AW51)</f>
        <v/>
      </c>
      <c r="EC48" s="382" t="str">
        <f>IF('2.ชื่อนักเรียน'!R53="มส","มส",IF('2.ชื่อนักเรียน'!R53="ย้าย","ย้าย",IF('2.ชื่อนักเรียน'!R53="ร","ร",IF(EB48="","",RANK(EB48,$EB$6:$EB$50,0)))))</f>
        <v/>
      </c>
      <c r="ED48" s="388"/>
      <c r="EE48" s="388"/>
      <c r="EF48" s="388"/>
      <c r="EG48" s="388"/>
      <c r="EH48" s="295" t="str">
        <f>IF('2.ชื่อนักเรียน'!R53="มส","ไม่ผ่าน",IF('2.ชื่อนักเรียน'!R53="ย้าย","ย้าย",IF(COUNTA(ED48:EG48)&lt;4,"",IF(AND(ED48="ผ",EE48="ผ",EF48="ผ",EG48="ผ"),"ผ่าน","ไม่ผ่าน"))))</f>
        <v/>
      </c>
      <c r="EI48" s="300"/>
      <c r="EK48" s="459" t="str">
        <f t="shared" si="74"/>
        <v/>
      </c>
      <c r="EL48" s="460" t="str">
        <f t="shared" si="75"/>
        <v/>
      </c>
      <c r="EM48" s="461" t="str">
        <f t="shared" si="76"/>
        <v/>
      </c>
      <c r="EN48" s="460" t="str">
        <f t="shared" si="77"/>
        <v/>
      </c>
      <c r="EO48" s="461" t="str">
        <f t="shared" si="78"/>
        <v/>
      </c>
      <c r="EP48" s="460" t="str">
        <f t="shared" si="79"/>
        <v/>
      </c>
      <c r="EQ48" s="461" t="str">
        <f t="shared" si="106"/>
        <v/>
      </c>
      <c r="ER48" s="460" t="str">
        <f t="shared" si="107"/>
        <v/>
      </c>
      <c r="ES48" s="461" t="str">
        <f t="shared" si="80"/>
        <v/>
      </c>
      <c r="ET48" s="460" t="str">
        <f t="shared" si="81"/>
        <v/>
      </c>
    </row>
    <row r="49" spans="1:150" s="14" customFormat="1" ht="21" x14ac:dyDescent="0.4">
      <c r="A49" s="295">
        <v>44</v>
      </c>
      <c r="B49" s="295" t="str">
        <f>IF('2.ชื่อนักเรียน'!E54="","",CONCATENATE('2.ชื่อนักเรียน'!E54,'2.ชื่อนักเรียน'!F54,'2.ชื่อนักเรียน'!G54,'2.ชื่อนักเรียน'!H54,'2.ชื่อนักเรียน'!I54,'2.ชื่อนักเรียน'!J54,'2.ชื่อนักเรียน'!K54,'2.ชื่อนักเรียน'!L54,'2.ชื่อนักเรียน'!M54,'2.ชื่อนักเรียน'!N54,'2.ชื่อนักเรียน'!O54,'2.ชื่อนักเรียน'!P54,'2.ชื่อนักเรียน'!Q54,))</f>
        <v/>
      </c>
      <c r="C49" s="295" t="str">
        <f>IF(IDstu44="","",IDstu44)</f>
        <v/>
      </c>
      <c r="D49" s="497" t="str">
        <f>CONCATENATE(TRIM(Name44),"  ",Surname44)</f>
        <v xml:space="preserve">  </v>
      </c>
      <c r="E49" s="297" t="str">
        <f t="shared" si="0"/>
        <v/>
      </c>
      <c r="F49" s="295" t="str">
        <f t="shared" si="1"/>
        <v/>
      </c>
      <c r="G49" s="295" t="str">
        <f t="shared" si="2"/>
        <v/>
      </c>
      <c r="H49" s="296" t="str">
        <f t="shared" si="3"/>
        <v/>
      </c>
      <c r="I49" s="295" t="str">
        <f t="shared" si="4"/>
        <v/>
      </c>
      <c r="J49" s="300"/>
      <c r="K49" s="297" t="str">
        <f t="shared" si="82"/>
        <v/>
      </c>
      <c r="L49" s="295" t="str">
        <f t="shared" si="5"/>
        <v/>
      </c>
      <c r="M49" s="296" t="str">
        <f t="shared" si="6"/>
        <v/>
      </c>
      <c r="N49" s="295" t="str">
        <f t="shared" si="7"/>
        <v/>
      </c>
      <c r="O49" s="300"/>
      <c r="P49" s="297" t="str">
        <f t="shared" si="83"/>
        <v/>
      </c>
      <c r="Q49" s="295" t="str">
        <f t="shared" si="8"/>
        <v/>
      </c>
      <c r="R49" s="296" t="str">
        <f t="shared" si="9"/>
        <v/>
      </c>
      <c r="S49" s="295" t="str">
        <f t="shared" si="10"/>
        <v/>
      </c>
      <c r="T49" s="300"/>
      <c r="U49" s="297" t="str">
        <f t="shared" si="108"/>
        <v/>
      </c>
      <c r="V49" s="295" t="str">
        <f t="shared" si="11"/>
        <v/>
      </c>
      <c r="W49" s="296" t="str">
        <f t="shared" si="12"/>
        <v/>
      </c>
      <c r="X49" s="295" t="str">
        <f t="shared" si="13"/>
        <v/>
      </c>
      <c r="Y49" s="300"/>
      <c r="Z49" s="297" t="str">
        <f t="shared" si="84"/>
        <v/>
      </c>
      <c r="AA49" s="295" t="str">
        <f t="shared" si="14"/>
        <v/>
      </c>
      <c r="AB49" s="296" t="str">
        <f t="shared" si="15"/>
        <v/>
      </c>
      <c r="AC49" s="295" t="str">
        <f t="shared" si="16"/>
        <v/>
      </c>
      <c r="AD49" s="300"/>
      <c r="AE49" s="297" t="str">
        <f t="shared" si="85"/>
        <v/>
      </c>
      <c r="AF49" s="295" t="str">
        <f t="shared" si="17"/>
        <v/>
      </c>
      <c r="AG49" s="296" t="str">
        <f t="shared" si="18"/>
        <v/>
      </c>
      <c r="AH49" s="295" t="str">
        <f t="shared" si="19"/>
        <v/>
      </c>
      <c r="AI49" s="300"/>
      <c r="AJ49" s="297" t="str">
        <f t="shared" si="86"/>
        <v/>
      </c>
      <c r="AK49" s="295" t="str">
        <f t="shared" si="20"/>
        <v/>
      </c>
      <c r="AL49" s="296" t="str">
        <f t="shared" si="21"/>
        <v/>
      </c>
      <c r="AM49" s="295" t="str">
        <f t="shared" si="22"/>
        <v/>
      </c>
      <c r="AN49" s="300"/>
      <c r="AO49" s="297" t="str">
        <f t="shared" si="87"/>
        <v/>
      </c>
      <c r="AP49" s="295" t="str">
        <f t="shared" si="23"/>
        <v/>
      </c>
      <c r="AQ49" s="296" t="str">
        <f t="shared" si="24"/>
        <v/>
      </c>
      <c r="AR49" s="295" t="str">
        <f t="shared" si="25"/>
        <v/>
      </c>
      <c r="AS49" s="300"/>
      <c r="AT49" s="297" t="str">
        <f t="shared" si="88"/>
        <v/>
      </c>
      <c r="AU49" s="295" t="str">
        <f t="shared" si="26"/>
        <v/>
      </c>
      <c r="AV49" s="296" t="str">
        <f t="shared" si="27"/>
        <v/>
      </c>
      <c r="AW49" s="295" t="str">
        <f t="shared" si="28"/>
        <v/>
      </c>
      <c r="AX49" s="300"/>
      <c r="AY49" s="297" t="str">
        <f t="shared" si="89"/>
        <v/>
      </c>
      <c r="AZ49" s="295" t="str">
        <f t="shared" si="29"/>
        <v/>
      </c>
      <c r="BA49" s="296" t="str">
        <f t="shared" si="30"/>
        <v/>
      </c>
      <c r="BB49" s="295" t="str">
        <f t="shared" si="31"/>
        <v/>
      </c>
      <c r="BC49" s="300"/>
      <c r="BD49" s="297" t="str">
        <f t="shared" si="90"/>
        <v/>
      </c>
      <c r="BE49" s="295" t="str">
        <f t="shared" si="32"/>
        <v/>
      </c>
      <c r="BF49" s="296" t="str">
        <f t="shared" si="33"/>
        <v/>
      </c>
      <c r="BG49" s="295" t="str">
        <f t="shared" si="34"/>
        <v/>
      </c>
      <c r="BH49" s="300"/>
      <c r="BI49" s="297" t="str">
        <f t="shared" si="91"/>
        <v/>
      </c>
      <c r="BJ49" s="295" t="str">
        <f t="shared" si="35"/>
        <v/>
      </c>
      <c r="BK49" s="296" t="str">
        <f t="shared" si="36"/>
        <v/>
      </c>
      <c r="BL49" s="295" t="str">
        <f t="shared" si="37"/>
        <v/>
      </c>
      <c r="BM49" s="300"/>
      <c r="BN49" s="297" t="str">
        <f t="shared" si="92"/>
        <v/>
      </c>
      <c r="BO49" s="295" t="str">
        <f t="shared" si="38"/>
        <v/>
      </c>
      <c r="BP49" s="296" t="str">
        <f t="shared" si="39"/>
        <v/>
      </c>
      <c r="BQ49" s="295" t="str">
        <f t="shared" si="40"/>
        <v/>
      </c>
      <c r="BR49" s="300"/>
      <c r="BS49" s="297" t="str">
        <f t="shared" si="93"/>
        <v/>
      </c>
      <c r="BT49" s="295" t="str">
        <f t="shared" si="41"/>
        <v/>
      </c>
      <c r="BU49" s="296" t="str">
        <f t="shared" si="42"/>
        <v/>
      </c>
      <c r="BV49" s="295" t="str">
        <f t="shared" si="43"/>
        <v/>
      </c>
      <c r="BW49" s="300"/>
      <c r="BX49" s="297" t="str">
        <f t="shared" si="94"/>
        <v/>
      </c>
      <c r="BY49" s="295" t="str">
        <f t="shared" si="44"/>
        <v/>
      </c>
      <c r="BZ49" s="296" t="str">
        <f t="shared" si="45"/>
        <v/>
      </c>
      <c r="CA49" s="295" t="str">
        <f t="shared" si="46"/>
        <v/>
      </c>
      <c r="CB49" s="300"/>
      <c r="CC49" s="297" t="str">
        <f t="shared" si="95"/>
        <v/>
      </c>
      <c r="CD49" s="295" t="str">
        <f t="shared" si="47"/>
        <v/>
      </c>
      <c r="CE49" s="296" t="str">
        <f t="shared" si="48"/>
        <v/>
      </c>
      <c r="CF49" s="295" t="str">
        <f t="shared" si="49"/>
        <v/>
      </c>
      <c r="CG49" s="300"/>
      <c r="CH49" s="297" t="str">
        <f t="shared" si="96"/>
        <v/>
      </c>
      <c r="CI49" s="295" t="str">
        <f t="shared" si="50"/>
        <v/>
      </c>
      <c r="CJ49" s="296" t="str">
        <f t="shared" si="51"/>
        <v/>
      </c>
      <c r="CK49" s="295" t="str">
        <f t="shared" si="52"/>
        <v/>
      </c>
      <c r="CL49" s="300"/>
      <c r="CM49" s="297" t="str">
        <f t="shared" si="97"/>
        <v/>
      </c>
      <c r="CN49" s="295" t="str">
        <f t="shared" si="53"/>
        <v/>
      </c>
      <c r="CO49" s="296" t="str">
        <f t="shared" si="54"/>
        <v/>
      </c>
      <c r="CP49" s="295" t="str">
        <f t="shared" si="55"/>
        <v/>
      </c>
      <c r="CQ49" s="300"/>
      <c r="CR49" s="297" t="str">
        <f t="shared" si="98"/>
        <v/>
      </c>
      <c r="CS49" s="295" t="str">
        <f t="shared" si="56"/>
        <v/>
      </c>
      <c r="CT49" s="296" t="str">
        <f t="shared" si="57"/>
        <v/>
      </c>
      <c r="CU49" s="295" t="str">
        <f t="shared" si="58"/>
        <v/>
      </c>
      <c r="CV49" s="300"/>
      <c r="CW49" s="297" t="str">
        <f t="shared" si="99"/>
        <v/>
      </c>
      <c r="CX49" s="295" t="str">
        <f t="shared" si="59"/>
        <v/>
      </c>
      <c r="CY49" s="296" t="str">
        <f t="shared" si="60"/>
        <v/>
      </c>
      <c r="CZ49" s="295" t="str">
        <f t="shared" si="61"/>
        <v/>
      </c>
      <c r="DA49" s="300"/>
      <c r="DB49" s="297" t="str">
        <f t="shared" si="100"/>
        <v/>
      </c>
      <c r="DC49" s="295" t="str">
        <f t="shared" si="62"/>
        <v/>
      </c>
      <c r="DD49" s="296" t="str">
        <f t="shared" si="63"/>
        <v/>
      </c>
      <c r="DE49" s="295" t="str">
        <f t="shared" si="64"/>
        <v/>
      </c>
      <c r="DF49" s="300"/>
      <c r="DG49" s="297" t="str">
        <f t="shared" si="101"/>
        <v/>
      </c>
      <c r="DH49" s="295" t="str">
        <f t="shared" si="65"/>
        <v/>
      </c>
      <c r="DI49" s="296" t="str">
        <f t="shared" si="66"/>
        <v/>
      </c>
      <c r="DJ49" s="295" t="str">
        <f t="shared" si="67"/>
        <v/>
      </c>
      <c r="DK49" s="300"/>
      <c r="DL49" s="297" t="str">
        <f t="shared" si="102"/>
        <v/>
      </c>
      <c r="DM49" s="295" t="str">
        <f t="shared" si="68"/>
        <v/>
      </c>
      <c r="DN49" s="296" t="str">
        <f t="shared" si="69"/>
        <v/>
      </c>
      <c r="DO49" s="295" t="str">
        <f t="shared" si="70"/>
        <v/>
      </c>
      <c r="DP49" s="300"/>
      <c r="DQ49" s="297" t="str">
        <f t="shared" si="103"/>
        <v/>
      </c>
      <c r="DR49" s="295" t="str">
        <f t="shared" si="71"/>
        <v/>
      </c>
      <c r="DS49" s="296" t="str">
        <f t="shared" si="72"/>
        <v/>
      </c>
      <c r="DT49" s="295" t="str">
        <f t="shared" si="73"/>
        <v/>
      </c>
      <c r="DU49" s="300"/>
      <c r="DV49" s="297" t="str">
        <f t="shared" si="104"/>
        <v/>
      </c>
      <c r="DW49" s="295" t="str">
        <f>IF('1.ข้อมูลเบื้องต้น'!$B$32="","",IF($B49="","",'1.ข้อมูลเบื้องต้น'!$B$32))</f>
        <v/>
      </c>
      <c r="DX49" s="296" t="str">
        <f>IF('1.ข้อมูลเบื้องต้น'!$C$32="","",IF($B49="","",'1.ข้อมูลเบื้องต้น'!$C$32))</f>
        <v/>
      </c>
      <c r="DY49" s="295" t="str">
        <f>IF('1.ข้อมูลเบื้องต้น'!$D$32="","",IF($B49="","",'1.ข้อมูลเบื้องต้น'!$D$32))</f>
        <v/>
      </c>
      <c r="DZ49" s="300"/>
      <c r="EA49" s="297" t="str">
        <f t="shared" si="105"/>
        <v/>
      </c>
      <c r="EB49" s="386" t="str">
        <f>IF('6.1ประกาศผลปลายภาค'!AW52="","",'6.1ประกาศผลปลายภาค'!AW52)</f>
        <v/>
      </c>
      <c r="EC49" s="382" t="str">
        <f>IF('2.ชื่อนักเรียน'!R54="มส","มส",IF('2.ชื่อนักเรียน'!R54="ย้าย","ย้าย",IF('2.ชื่อนักเรียน'!R54="ร","ร",IF(EB49="","",RANK(EB49,$EB$6:$EB$50,0)))))</f>
        <v/>
      </c>
      <c r="ED49" s="388"/>
      <c r="EE49" s="388"/>
      <c r="EF49" s="388"/>
      <c r="EG49" s="388"/>
      <c r="EH49" s="295" t="str">
        <f>IF('2.ชื่อนักเรียน'!R54="มส","ไม่ผ่าน",IF('2.ชื่อนักเรียน'!R54="ย้าย","ย้าย",IF(COUNTA(ED49:EG49)&lt;4,"",IF(AND(ED49="ผ",EE49="ผ",EF49="ผ",EG49="ผ"),"ผ่าน","ไม่ผ่าน"))))</f>
        <v/>
      </c>
      <c r="EI49" s="300"/>
      <c r="EK49" s="459" t="str">
        <f t="shared" si="74"/>
        <v/>
      </c>
      <c r="EL49" s="460" t="str">
        <f t="shared" si="75"/>
        <v/>
      </c>
      <c r="EM49" s="461" t="str">
        <f t="shared" si="76"/>
        <v/>
      </c>
      <c r="EN49" s="460" t="str">
        <f t="shared" si="77"/>
        <v/>
      </c>
      <c r="EO49" s="461" t="str">
        <f t="shared" si="78"/>
        <v/>
      </c>
      <c r="EP49" s="460" t="str">
        <f t="shared" si="79"/>
        <v/>
      </c>
      <c r="EQ49" s="461" t="str">
        <f t="shared" si="106"/>
        <v/>
      </c>
      <c r="ER49" s="460" t="str">
        <f t="shared" si="107"/>
        <v/>
      </c>
      <c r="ES49" s="461" t="str">
        <f t="shared" si="80"/>
        <v/>
      </c>
      <c r="ET49" s="460" t="str">
        <f t="shared" si="81"/>
        <v/>
      </c>
    </row>
    <row r="50" spans="1:150" s="14" customFormat="1" ht="21.6" thickBot="1" x14ac:dyDescent="0.45">
      <c r="A50" s="295">
        <v>45</v>
      </c>
      <c r="B50" s="295" t="str">
        <f>IF('2.ชื่อนักเรียน'!E55="","",CONCATENATE('2.ชื่อนักเรียน'!E55,'2.ชื่อนักเรียน'!F55,'2.ชื่อนักเรียน'!G55,'2.ชื่อนักเรียน'!H55,'2.ชื่อนักเรียน'!I55,'2.ชื่อนักเรียน'!J55,'2.ชื่อนักเรียน'!K55,'2.ชื่อนักเรียน'!L55,'2.ชื่อนักเรียน'!M55,'2.ชื่อนักเรียน'!N55,'2.ชื่อนักเรียน'!O55,'2.ชื่อนักเรียน'!P55,'2.ชื่อนักเรียน'!Q55,))</f>
        <v/>
      </c>
      <c r="C50" s="295" t="str">
        <f>IF(IDstu45="","",IDstu45)</f>
        <v/>
      </c>
      <c r="D50" s="497" t="str">
        <f>CONCATENATE(TRIM(Name45),"  ",Surname45)</f>
        <v xml:space="preserve">  </v>
      </c>
      <c r="E50" s="297" t="str">
        <f t="shared" si="0"/>
        <v/>
      </c>
      <c r="F50" s="295" t="str">
        <f t="shared" si="1"/>
        <v/>
      </c>
      <c r="G50" s="295" t="str">
        <f t="shared" si="2"/>
        <v/>
      </c>
      <c r="H50" s="296" t="str">
        <f t="shared" si="3"/>
        <v/>
      </c>
      <c r="I50" s="295" t="str">
        <f t="shared" si="4"/>
        <v/>
      </c>
      <c r="J50" s="300"/>
      <c r="K50" s="297" t="str">
        <f t="shared" si="82"/>
        <v/>
      </c>
      <c r="L50" s="295" t="str">
        <f t="shared" si="5"/>
        <v/>
      </c>
      <c r="M50" s="296" t="str">
        <f t="shared" si="6"/>
        <v/>
      </c>
      <c r="N50" s="295" t="str">
        <f t="shared" si="7"/>
        <v/>
      </c>
      <c r="O50" s="300"/>
      <c r="P50" s="297" t="str">
        <f t="shared" si="83"/>
        <v/>
      </c>
      <c r="Q50" s="295" t="str">
        <f t="shared" si="8"/>
        <v/>
      </c>
      <c r="R50" s="296" t="str">
        <f t="shared" si="9"/>
        <v/>
      </c>
      <c r="S50" s="295" t="str">
        <f t="shared" si="10"/>
        <v/>
      </c>
      <c r="T50" s="300"/>
      <c r="U50" s="297" t="str">
        <f t="shared" si="108"/>
        <v/>
      </c>
      <c r="V50" s="295" t="str">
        <f t="shared" si="11"/>
        <v/>
      </c>
      <c r="W50" s="296" t="str">
        <f t="shared" si="12"/>
        <v/>
      </c>
      <c r="X50" s="295" t="str">
        <f t="shared" si="13"/>
        <v/>
      </c>
      <c r="Y50" s="300"/>
      <c r="Z50" s="297" t="str">
        <f t="shared" si="84"/>
        <v/>
      </c>
      <c r="AA50" s="295" t="str">
        <f t="shared" si="14"/>
        <v/>
      </c>
      <c r="AB50" s="296" t="str">
        <f t="shared" si="15"/>
        <v/>
      </c>
      <c r="AC50" s="295" t="str">
        <f t="shared" si="16"/>
        <v/>
      </c>
      <c r="AD50" s="300"/>
      <c r="AE50" s="297" t="str">
        <f t="shared" si="85"/>
        <v/>
      </c>
      <c r="AF50" s="295" t="str">
        <f t="shared" si="17"/>
        <v/>
      </c>
      <c r="AG50" s="296" t="str">
        <f t="shared" si="18"/>
        <v/>
      </c>
      <c r="AH50" s="295" t="str">
        <f t="shared" si="19"/>
        <v/>
      </c>
      <c r="AI50" s="300"/>
      <c r="AJ50" s="297" t="str">
        <f t="shared" si="86"/>
        <v/>
      </c>
      <c r="AK50" s="295" t="str">
        <f t="shared" si="20"/>
        <v/>
      </c>
      <c r="AL50" s="296" t="str">
        <f t="shared" si="21"/>
        <v/>
      </c>
      <c r="AM50" s="295" t="str">
        <f t="shared" si="22"/>
        <v/>
      </c>
      <c r="AN50" s="300"/>
      <c r="AO50" s="297" t="str">
        <f t="shared" si="87"/>
        <v/>
      </c>
      <c r="AP50" s="295" t="str">
        <f t="shared" si="23"/>
        <v/>
      </c>
      <c r="AQ50" s="296" t="str">
        <f t="shared" si="24"/>
        <v/>
      </c>
      <c r="AR50" s="295" t="str">
        <f t="shared" si="25"/>
        <v/>
      </c>
      <c r="AS50" s="300"/>
      <c r="AT50" s="297" t="str">
        <f t="shared" si="88"/>
        <v/>
      </c>
      <c r="AU50" s="295" t="str">
        <f t="shared" si="26"/>
        <v/>
      </c>
      <c r="AV50" s="296" t="str">
        <f t="shared" si="27"/>
        <v/>
      </c>
      <c r="AW50" s="295" t="str">
        <f t="shared" si="28"/>
        <v/>
      </c>
      <c r="AX50" s="300"/>
      <c r="AY50" s="297" t="str">
        <f t="shared" si="89"/>
        <v/>
      </c>
      <c r="AZ50" s="295" t="str">
        <f t="shared" si="29"/>
        <v/>
      </c>
      <c r="BA50" s="296" t="str">
        <f t="shared" si="30"/>
        <v/>
      </c>
      <c r="BB50" s="295" t="str">
        <f t="shared" si="31"/>
        <v/>
      </c>
      <c r="BC50" s="300"/>
      <c r="BD50" s="297" t="str">
        <f t="shared" si="90"/>
        <v/>
      </c>
      <c r="BE50" s="295" t="str">
        <f t="shared" si="32"/>
        <v/>
      </c>
      <c r="BF50" s="296" t="str">
        <f t="shared" si="33"/>
        <v/>
      </c>
      <c r="BG50" s="295" t="str">
        <f t="shared" si="34"/>
        <v/>
      </c>
      <c r="BH50" s="300"/>
      <c r="BI50" s="297" t="str">
        <f t="shared" si="91"/>
        <v/>
      </c>
      <c r="BJ50" s="295" t="str">
        <f t="shared" si="35"/>
        <v/>
      </c>
      <c r="BK50" s="296" t="str">
        <f t="shared" si="36"/>
        <v/>
      </c>
      <c r="BL50" s="295" t="str">
        <f t="shared" si="37"/>
        <v/>
      </c>
      <c r="BM50" s="300"/>
      <c r="BN50" s="297" t="str">
        <f t="shared" si="92"/>
        <v/>
      </c>
      <c r="BO50" s="295" t="str">
        <f t="shared" si="38"/>
        <v/>
      </c>
      <c r="BP50" s="296" t="str">
        <f t="shared" si="39"/>
        <v/>
      </c>
      <c r="BQ50" s="295" t="str">
        <f t="shared" si="40"/>
        <v/>
      </c>
      <c r="BR50" s="300"/>
      <c r="BS50" s="297" t="str">
        <f t="shared" si="93"/>
        <v/>
      </c>
      <c r="BT50" s="295" t="str">
        <f t="shared" si="41"/>
        <v/>
      </c>
      <c r="BU50" s="296" t="str">
        <f t="shared" si="42"/>
        <v/>
      </c>
      <c r="BV50" s="295" t="str">
        <f t="shared" si="43"/>
        <v/>
      </c>
      <c r="BW50" s="300"/>
      <c r="BX50" s="297" t="str">
        <f t="shared" si="94"/>
        <v/>
      </c>
      <c r="BY50" s="295" t="str">
        <f t="shared" si="44"/>
        <v/>
      </c>
      <c r="BZ50" s="296" t="str">
        <f t="shared" si="45"/>
        <v/>
      </c>
      <c r="CA50" s="295" t="str">
        <f t="shared" si="46"/>
        <v/>
      </c>
      <c r="CB50" s="300"/>
      <c r="CC50" s="297" t="str">
        <f t="shared" si="95"/>
        <v/>
      </c>
      <c r="CD50" s="295" t="str">
        <f t="shared" si="47"/>
        <v/>
      </c>
      <c r="CE50" s="296" t="str">
        <f t="shared" si="48"/>
        <v/>
      </c>
      <c r="CF50" s="295" t="str">
        <f t="shared" si="49"/>
        <v/>
      </c>
      <c r="CG50" s="300"/>
      <c r="CH50" s="297" t="str">
        <f t="shared" si="96"/>
        <v/>
      </c>
      <c r="CI50" s="295" t="str">
        <f t="shared" si="50"/>
        <v/>
      </c>
      <c r="CJ50" s="296" t="str">
        <f t="shared" si="51"/>
        <v/>
      </c>
      <c r="CK50" s="295" t="str">
        <f t="shared" si="52"/>
        <v/>
      </c>
      <c r="CL50" s="300"/>
      <c r="CM50" s="297" t="str">
        <f t="shared" si="97"/>
        <v/>
      </c>
      <c r="CN50" s="295" t="str">
        <f t="shared" si="53"/>
        <v/>
      </c>
      <c r="CO50" s="296" t="str">
        <f t="shared" si="54"/>
        <v/>
      </c>
      <c r="CP50" s="295" t="str">
        <f t="shared" si="55"/>
        <v/>
      </c>
      <c r="CQ50" s="300"/>
      <c r="CR50" s="297" t="str">
        <f t="shared" si="98"/>
        <v/>
      </c>
      <c r="CS50" s="295" t="str">
        <f t="shared" si="56"/>
        <v/>
      </c>
      <c r="CT50" s="296" t="str">
        <f t="shared" si="57"/>
        <v/>
      </c>
      <c r="CU50" s="295" t="str">
        <f t="shared" si="58"/>
        <v/>
      </c>
      <c r="CV50" s="300"/>
      <c r="CW50" s="297" t="str">
        <f t="shared" si="99"/>
        <v/>
      </c>
      <c r="CX50" s="295" t="str">
        <f t="shared" si="59"/>
        <v/>
      </c>
      <c r="CY50" s="296" t="str">
        <f t="shared" si="60"/>
        <v/>
      </c>
      <c r="CZ50" s="295" t="str">
        <f t="shared" si="61"/>
        <v/>
      </c>
      <c r="DA50" s="300"/>
      <c r="DB50" s="297" t="str">
        <f t="shared" si="100"/>
        <v/>
      </c>
      <c r="DC50" s="295" t="str">
        <f t="shared" si="62"/>
        <v/>
      </c>
      <c r="DD50" s="296" t="str">
        <f t="shared" si="63"/>
        <v/>
      </c>
      <c r="DE50" s="295" t="str">
        <f t="shared" si="64"/>
        <v/>
      </c>
      <c r="DF50" s="300"/>
      <c r="DG50" s="297" t="str">
        <f t="shared" si="101"/>
        <v/>
      </c>
      <c r="DH50" s="295" t="str">
        <f t="shared" si="65"/>
        <v/>
      </c>
      <c r="DI50" s="296" t="str">
        <f t="shared" si="66"/>
        <v/>
      </c>
      <c r="DJ50" s="295" t="str">
        <f t="shared" si="67"/>
        <v/>
      </c>
      <c r="DK50" s="300"/>
      <c r="DL50" s="297" t="str">
        <f t="shared" si="102"/>
        <v/>
      </c>
      <c r="DM50" s="295" t="str">
        <f t="shared" si="68"/>
        <v/>
      </c>
      <c r="DN50" s="296" t="str">
        <f t="shared" si="69"/>
        <v/>
      </c>
      <c r="DO50" s="295" t="str">
        <f t="shared" si="70"/>
        <v/>
      </c>
      <c r="DP50" s="300"/>
      <c r="DQ50" s="297" t="str">
        <f t="shared" si="103"/>
        <v/>
      </c>
      <c r="DR50" s="295" t="str">
        <f t="shared" si="71"/>
        <v/>
      </c>
      <c r="DS50" s="296" t="str">
        <f t="shared" si="72"/>
        <v/>
      </c>
      <c r="DT50" s="295" t="str">
        <f t="shared" si="73"/>
        <v/>
      </c>
      <c r="DU50" s="300"/>
      <c r="DV50" s="297" t="str">
        <f t="shared" si="104"/>
        <v/>
      </c>
      <c r="DW50" s="295" t="str">
        <f>IF('1.ข้อมูลเบื้องต้น'!$B$32="","",IF($B50="","",'1.ข้อมูลเบื้องต้น'!$B$32))</f>
        <v/>
      </c>
      <c r="DX50" s="296" t="str">
        <f>IF('1.ข้อมูลเบื้องต้น'!$C$32="","",IF($B50="","",'1.ข้อมูลเบื้องต้น'!$C$32))</f>
        <v/>
      </c>
      <c r="DY50" s="295" t="str">
        <f>IF('1.ข้อมูลเบื้องต้น'!$D$32="","",IF($B50="","",'1.ข้อมูลเบื้องต้น'!$D$32))</f>
        <v/>
      </c>
      <c r="DZ50" s="300"/>
      <c r="EA50" s="297" t="str">
        <f t="shared" si="105"/>
        <v/>
      </c>
      <c r="EB50" s="386" t="str">
        <f>IF('6.1ประกาศผลปลายภาค'!AW53="","",'6.1ประกาศผลปลายภาค'!AW53)</f>
        <v/>
      </c>
      <c r="EC50" s="382" t="str">
        <f>IF('2.ชื่อนักเรียน'!R55="มส","มส",IF('2.ชื่อนักเรียน'!R55="ย้าย","ย้าย",IF('2.ชื่อนักเรียน'!R55="ร","ร",IF(EB50="","",RANK(EB50,$EB$6:$EB$50,0)))))</f>
        <v/>
      </c>
      <c r="ED50" s="388"/>
      <c r="EE50" s="388"/>
      <c r="EF50" s="388"/>
      <c r="EG50" s="388"/>
      <c r="EH50" s="295" t="str">
        <f>IF('2.ชื่อนักเรียน'!R55="มส","ไม่ผ่าน",IF('2.ชื่อนักเรียน'!R55="ย้าย","ย้าย",IF(COUNTA(ED50:EG50)&lt;4,"",IF(AND(ED50="ผ",EE50="ผ",EF50="ผ",EG50="ผ"),"ผ่าน","ไม่ผ่าน"))))</f>
        <v/>
      </c>
      <c r="EI50" s="300"/>
      <c r="EK50" s="469" t="str">
        <f t="shared" si="74"/>
        <v/>
      </c>
      <c r="EL50" s="470" t="str">
        <f t="shared" si="75"/>
        <v/>
      </c>
      <c r="EM50" s="471" t="str">
        <f t="shared" si="76"/>
        <v/>
      </c>
      <c r="EN50" s="470" t="str">
        <f t="shared" si="77"/>
        <v/>
      </c>
      <c r="EO50" s="471" t="str">
        <f t="shared" si="78"/>
        <v/>
      </c>
      <c r="EP50" s="470" t="str">
        <f t="shared" si="79"/>
        <v/>
      </c>
      <c r="EQ50" s="471" t="str">
        <f t="shared" si="106"/>
        <v/>
      </c>
      <c r="ER50" s="470" t="str">
        <f t="shared" si="107"/>
        <v/>
      </c>
      <c r="ES50" s="471" t="str">
        <f t="shared" si="80"/>
        <v/>
      </c>
      <c r="ET50" s="470" t="str">
        <f t="shared" si="81"/>
        <v/>
      </c>
    </row>
    <row r="51" spans="1:150" s="14" customFormat="1" ht="21" x14ac:dyDescent="0.4">
      <c r="A51" s="27"/>
      <c r="B51" s="27"/>
      <c r="C51" s="27"/>
      <c r="E51" s="16"/>
      <c r="F51" s="27"/>
      <c r="G51" s="27"/>
      <c r="H51" s="14" t="s">
        <v>6</v>
      </c>
      <c r="I51" s="27"/>
      <c r="J51" s="301" t="str">
        <f>IF(SUM(J6:J50)=0,"",SUM(J6:J50))</f>
        <v/>
      </c>
      <c r="K51" s="301"/>
      <c r="L51" s="27"/>
      <c r="M51" s="14" t="s">
        <v>6</v>
      </c>
      <c r="N51" s="27"/>
      <c r="O51" s="301" t="str">
        <f>IF(SUM(O6:O50)=0,"",SUM(O6:O50))</f>
        <v/>
      </c>
      <c r="P51" s="301"/>
      <c r="Q51" s="27"/>
      <c r="R51" s="14" t="s">
        <v>6</v>
      </c>
      <c r="S51" s="27"/>
      <c r="T51" s="302" t="str">
        <f>IF(SUM(T6:T50)=0,"",SUM(T6:T50))</f>
        <v/>
      </c>
      <c r="U51" s="301"/>
      <c r="V51" s="27"/>
      <c r="W51" s="14" t="s">
        <v>6</v>
      </c>
      <c r="X51" s="27"/>
      <c r="Y51" s="302" t="str">
        <f>IF(SUM(Y6:Y50)=0,"",SUM(Y6:Y50))</f>
        <v/>
      </c>
      <c r="Z51" s="301"/>
      <c r="AA51" s="27"/>
      <c r="AB51" s="14" t="s">
        <v>6</v>
      </c>
      <c r="AC51" s="27"/>
      <c r="AD51" s="302" t="str">
        <f>IF(SUM(AD6:AD50)=0,"",SUM(AD6:AD50))</f>
        <v/>
      </c>
      <c r="AE51" s="301"/>
      <c r="AF51" s="27"/>
      <c r="AG51" s="14" t="s">
        <v>6</v>
      </c>
      <c r="AH51" s="27"/>
      <c r="AI51" s="301" t="str">
        <f>IF(SUM(AI6:AI50)=0,"",SUM(AI6:AI50))</f>
        <v/>
      </c>
      <c r="AJ51" s="301"/>
      <c r="AK51" s="27"/>
      <c r="AL51" s="14" t="s">
        <v>6</v>
      </c>
      <c r="AM51" s="27"/>
      <c r="AN51" s="301" t="str">
        <f>IF(SUM(AN6:AN50)=0,"",SUM(AN6:AN50))</f>
        <v/>
      </c>
      <c r="AO51" s="301"/>
      <c r="AP51" s="27"/>
      <c r="AQ51" s="14" t="s">
        <v>6</v>
      </c>
      <c r="AR51" s="27"/>
      <c r="AS51" s="301" t="str">
        <f>IF(SUM(AS6:AS50)=0,"",SUM(AS6:AS50))</f>
        <v/>
      </c>
      <c r="AT51" s="301"/>
      <c r="AU51" s="27"/>
      <c r="AV51" s="14" t="s">
        <v>6</v>
      </c>
      <c r="AW51" s="27"/>
      <c r="AX51" s="301" t="str">
        <f>IF(SUM(AX6:AX50)=0,"",SUM(AX6:AX50))</f>
        <v/>
      </c>
      <c r="AY51" s="301"/>
      <c r="AZ51" s="27"/>
      <c r="BA51" s="14" t="s">
        <v>6</v>
      </c>
      <c r="BB51" s="27"/>
      <c r="BC51" s="301" t="str">
        <f>IF(SUM(BC6:BC50)=0,"",SUM(BC6:BC50))</f>
        <v/>
      </c>
      <c r="BD51" s="301"/>
      <c r="BE51" s="27"/>
      <c r="BF51" s="14" t="s">
        <v>6</v>
      </c>
      <c r="BG51" s="27"/>
      <c r="BH51" s="301" t="str">
        <f>IF(SUM(BH6:BH50)=0,"",SUM(BH6:BH50))</f>
        <v/>
      </c>
      <c r="BI51" s="301"/>
      <c r="BJ51" s="27"/>
      <c r="BK51" s="14" t="s">
        <v>6</v>
      </c>
      <c r="BL51" s="27"/>
      <c r="BM51" s="16" t="str">
        <f>IF(SUM(BM6:BM50)=0,"",SUM(BM6:BM50))</f>
        <v/>
      </c>
      <c r="BN51" s="301"/>
      <c r="BO51" s="27"/>
      <c r="BP51" s="14" t="s">
        <v>6</v>
      </c>
      <c r="BQ51" s="27"/>
      <c r="BR51" s="301" t="str">
        <f>IF(SUM(BR6:BR50)=0,"",SUM(BR6:BR50))</f>
        <v/>
      </c>
      <c r="BS51" s="301"/>
      <c r="BT51" s="27"/>
      <c r="BU51" s="14" t="s">
        <v>6</v>
      </c>
      <c r="BV51" s="27"/>
      <c r="BW51" s="301" t="str">
        <f>IF(SUM(BW6:BW50)=0,"",SUM(BW6:BW50))</f>
        <v/>
      </c>
      <c r="BX51" s="301"/>
      <c r="BY51" s="27"/>
      <c r="BZ51" s="14" t="s">
        <v>6</v>
      </c>
      <c r="CA51" s="27"/>
      <c r="CB51" s="301" t="str">
        <f>IF(SUM(CB6:CB50)=0,"",SUM(CB6:CB50))</f>
        <v/>
      </c>
      <c r="CC51" s="301"/>
      <c r="CD51" s="27"/>
      <c r="CE51" s="14" t="s">
        <v>6</v>
      </c>
      <c r="CF51" s="27"/>
      <c r="CG51" s="301" t="str">
        <f>IF(SUM(CG6:CG50)=0,"",SUM(CG6:CG50))</f>
        <v/>
      </c>
      <c r="CH51" s="301"/>
      <c r="CI51" s="27"/>
      <c r="CJ51" s="14" t="s">
        <v>6</v>
      </c>
      <c r="CK51" s="27"/>
      <c r="CL51" s="301" t="str">
        <f>IF(SUM(CL6:CL50)=0,"",SUM(CL6:CL50))</f>
        <v/>
      </c>
      <c r="CM51" s="301"/>
      <c r="CN51" s="27"/>
      <c r="CO51" s="14" t="s">
        <v>6</v>
      </c>
      <c r="CP51" s="27"/>
      <c r="CQ51" s="301" t="str">
        <f>IF(SUM(CQ6:CQ50)=0,"",SUM(CQ6:CQ50))</f>
        <v/>
      </c>
      <c r="CR51" s="301"/>
      <c r="CS51" s="27"/>
      <c r="CT51" s="14" t="s">
        <v>6</v>
      </c>
      <c r="CU51" s="27"/>
      <c r="CV51" s="301" t="str">
        <f>IF(SUM(CV6:CV50)=0,"",SUM(CV6:CV50))</f>
        <v/>
      </c>
      <c r="CW51" s="301"/>
      <c r="CX51" s="27"/>
      <c r="CY51" s="14" t="s">
        <v>6</v>
      </c>
      <c r="CZ51" s="27"/>
      <c r="DA51" s="301" t="str">
        <f>IF(SUM(DA6:DA50)=0,"",SUM(DA6:DA50))</f>
        <v/>
      </c>
      <c r="DB51" s="301"/>
      <c r="DC51" s="27"/>
      <c r="DD51" s="14" t="s">
        <v>6</v>
      </c>
      <c r="DE51" s="27"/>
      <c r="DF51" s="301" t="str">
        <f>IF(SUM(DF6:DF50)=0,"",SUM(DF6:DF50))</f>
        <v/>
      </c>
      <c r="DG51" s="301"/>
      <c r="DH51" s="27"/>
      <c r="DI51" s="14" t="s">
        <v>6</v>
      </c>
      <c r="DJ51" s="27"/>
      <c r="DK51" s="16" t="str">
        <f>IF(SUM(DK6:DK50)=0,"",SUM(DK6:DK50))</f>
        <v/>
      </c>
      <c r="DL51" s="301"/>
      <c r="DM51" s="27"/>
      <c r="DN51" s="14" t="s">
        <v>6</v>
      </c>
      <c r="DO51" s="27"/>
      <c r="DP51" s="16" t="str">
        <f>IF(SUM(DP6:DP50)=0,"",SUM(DP6:DP50))</f>
        <v/>
      </c>
      <c r="DQ51" s="301"/>
      <c r="DR51" s="27"/>
      <c r="DS51" s="14" t="s">
        <v>6</v>
      </c>
      <c r="DT51" s="27"/>
      <c r="DU51" s="16" t="str">
        <f>IF(SUM(DU6:DU50)=0,"",SUM(DU6:DU50))</f>
        <v/>
      </c>
      <c r="DV51" s="301"/>
      <c r="DW51" s="27"/>
      <c r="DX51" s="14" t="s">
        <v>6</v>
      </c>
      <c r="DY51" s="27"/>
      <c r="DZ51" s="16" t="str">
        <f>IF(SUM(DZ6:DZ50)=0,"",SUM(DZ6:DZ50))</f>
        <v/>
      </c>
      <c r="EA51" s="301"/>
      <c r="EB51" s="302"/>
    </row>
    <row r="52" spans="1:150" s="14" customFormat="1" ht="21" x14ac:dyDescent="0.4">
      <c r="A52" s="27"/>
      <c r="B52" s="27"/>
      <c r="C52" s="27"/>
      <c r="E52" s="16"/>
      <c r="F52" s="27"/>
      <c r="G52" s="27"/>
      <c r="H52" s="14" t="s">
        <v>7</v>
      </c>
      <c r="I52" s="27"/>
      <c r="J52" s="301" t="str">
        <f>IF(J51="","",MIN(J6:J50))</f>
        <v/>
      </c>
      <c r="K52" s="301"/>
      <c r="L52" s="27"/>
      <c r="M52" s="14" t="s">
        <v>7</v>
      </c>
      <c r="N52" s="27"/>
      <c r="O52" s="301" t="str">
        <f>IF(O51="","",MIN(O6:O50))</f>
        <v/>
      </c>
      <c r="P52" s="301"/>
      <c r="Q52" s="27"/>
      <c r="R52" s="14" t="s">
        <v>7</v>
      </c>
      <c r="S52" s="27"/>
      <c r="T52" s="302" t="str">
        <f>IF(T51="","",MIN(T6:T50))</f>
        <v/>
      </c>
      <c r="U52" s="301"/>
      <c r="V52" s="27"/>
      <c r="W52" s="14" t="s">
        <v>7</v>
      </c>
      <c r="X52" s="27"/>
      <c r="Y52" s="302" t="str">
        <f>IF(Y51="","",MIN(Y6:Y50))</f>
        <v/>
      </c>
      <c r="Z52" s="301"/>
      <c r="AA52" s="27"/>
      <c r="AB52" s="14" t="s">
        <v>7</v>
      </c>
      <c r="AC52" s="27"/>
      <c r="AD52" s="302" t="str">
        <f>IF(AD51="","",MIN(AD6:AD50))</f>
        <v/>
      </c>
      <c r="AE52" s="301"/>
      <c r="AF52" s="27"/>
      <c r="AG52" s="14" t="s">
        <v>7</v>
      </c>
      <c r="AH52" s="27"/>
      <c r="AI52" s="301" t="str">
        <f>IF(AI51="","",MIN(AI6:AI50))</f>
        <v/>
      </c>
      <c r="AJ52" s="301"/>
      <c r="AK52" s="27"/>
      <c r="AL52" s="14" t="s">
        <v>7</v>
      </c>
      <c r="AM52" s="27"/>
      <c r="AN52" s="301" t="str">
        <f>IF(AN51="","",MIN(AN6:AN50))</f>
        <v/>
      </c>
      <c r="AO52" s="301"/>
      <c r="AP52" s="27"/>
      <c r="AQ52" s="14" t="s">
        <v>7</v>
      </c>
      <c r="AR52" s="27"/>
      <c r="AS52" s="301" t="str">
        <f>IF(AS51="","",MIN(AS6:AS50))</f>
        <v/>
      </c>
      <c r="AT52" s="301"/>
      <c r="AU52" s="27"/>
      <c r="AV52" s="14" t="s">
        <v>7</v>
      </c>
      <c r="AW52" s="27"/>
      <c r="AX52" s="301" t="str">
        <f>IF(AX51="","",MIN(AX6:AX50))</f>
        <v/>
      </c>
      <c r="AY52" s="301"/>
      <c r="AZ52" s="27"/>
      <c r="BA52" s="14" t="s">
        <v>7</v>
      </c>
      <c r="BB52" s="27"/>
      <c r="BC52" s="301" t="str">
        <f>IF(BC51="","",MIN(BC6:BC50))</f>
        <v/>
      </c>
      <c r="BD52" s="301"/>
      <c r="BE52" s="27"/>
      <c r="BF52" s="14" t="s">
        <v>7</v>
      </c>
      <c r="BG52" s="27"/>
      <c r="BH52" s="301" t="str">
        <f>IF(BH51="","",MIN(BH6:BH50))</f>
        <v/>
      </c>
      <c r="BI52" s="301"/>
      <c r="BJ52" s="27"/>
      <c r="BK52" s="14" t="s">
        <v>7</v>
      </c>
      <c r="BL52" s="27"/>
      <c r="BM52" s="16" t="str">
        <f>IF(BM51="","",MIN(BM6:BM50))</f>
        <v/>
      </c>
      <c r="BN52" s="301"/>
      <c r="BO52" s="27"/>
      <c r="BP52" s="14" t="s">
        <v>7</v>
      </c>
      <c r="BQ52" s="27"/>
      <c r="BR52" s="301" t="str">
        <f>IF(BR51="","",MIN(BR6:BR50))</f>
        <v/>
      </c>
      <c r="BS52" s="301"/>
      <c r="BT52" s="27"/>
      <c r="BU52" s="14" t="s">
        <v>7</v>
      </c>
      <c r="BV52" s="27"/>
      <c r="BW52" s="301" t="str">
        <f>IF(BW51="","",MIN(BW6:BW50))</f>
        <v/>
      </c>
      <c r="BX52" s="301"/>
      <c r="BY52" s="27"/>
      <c r="BZ52" s="14" t="s">
        <v>7</v>
      </c>
      <c r="CA52" s="27"/>
      <c r="CB52" s="301" t="str">
        <f>IF(CB51="","",MIN(CB6:CB50))</f>
        <v/>
      </c>
      <c r="CC52" s="301"/>
      <c r="CD52" s="27"/>
      <c r="CE52" s="14" t="s">
        <v>7</v>
      </c>
      <c r="CF52" s="27"/>
      <c r="CG52" s="301" t="str">
        <f>IF(CG51="","",MIN(CG6:CG50))</f>
        <v/>
      </c>
      <c r="CH52" s="301"/>
      <c r="CI52" s="27"/>
      <c r="CJ52" s="14" t="s">
        <v>7</v>
      </c>
      <c r="CK52" s="27"/>
      <c r="CL52" s="301" t="str">
        <f>IF(CL51="","",MIN(CL6:CL50))</f>
        <v/>
      </c>
      <c r="CM52" s="301"/>
      <c r="CN52" s="27"/>
      <c r="CO52" s="14" t="s">
        <v>7</v>
      </c>
      <c r="CP52" s="27"/>
      <c r="CQ52" s="301" t="str">
        <f>IF(CQ51="","",MIN(CQ6:CQ50))</f>
        <v/>
      </c>
      <c r="CR52" s="301"/>
      <c r="CS52" s="27"/>
      <c r="CT52" s="14" t="s">
        <v>7</v>
      </c>
      <c r="CU52" s="27"/>
      <c r="CV52" s="301" t="str">
        <f>IF(CV51="","",MIN(CV6:CV50))</f>
        <v/>
      </c>
      <c r="CW52" s="301"/>
      <c r="CX52" s="27"/>
      <c r="CY52" s="14" t="s">
        <v>7</v>
      </c>
      <c r="CZ52" s="27"/>
      <c r="DA52" s="301" t="str">
        <f>IF(DA51="","",MIN(DA6:DA50))</f>
        <v/>
      </c>
      <c r="DB52" s="301"/>
      <c r="DC52" s="27"/>
      <c r="DD52" s="14" t="s">
        <v>7</v>
      </c>
      <c r="DE52" s="27"/>
      <c r="DF52" s="301" t="str">
        <f>IF(DF51="","",MIN(DF6:DF50))</f>
        <v/>
      </c>
      <c r="DG52" s="301"/>
      <c r="DH52" s="27"/>
      <c r="DI52" s="14" t="s">
        <v>7</v>
      </c>
      <c r="DJ52" s="27"/>
      <c r="DK52" s="16" t="str">
        <f>IF(DK51="","",MIN(DK6:DK50))</f>
        <v/>
      </c>
      <c r="DL52" s="301"/>
      <c r="DM52" s="27"/>
      <c r="DN52" s="14" t="s">
        <v>7</v>
      </c>
      <c r="DO52" s="27"/>
      <c r="DP52" s="16" t="str">
        <f>IF(DP51="","",MIN(DP6:DP50))</f>
        <v/>
      </c>
      <c r="DQ52" s="301"/>
      <c r="DR52" s="27"/>
      <c r="DS52" s="14" t="s">
        <v>7</v>
      </c>
      <c r="DT52" s="27"/>
      <c r="DU52" s="16" t="str">
        <f>IF(DU51="","",MIN(DU6:DU50))</f>
        <v/>
      </c>
      <c r="DV52" s="301"/>
      <c r="DW52" s="27"/>
      <c r="DX52" s="14" t="s">
        <v>7</v>
      </c>
      <c r="DY52" s="27"/>
      <c r="DZ52" s="16" t="str">
        <f>IF(DZ51="","",MIN(DZ6:DZ50))</f>
        <v/>
      </c>
      <c r="EA52" s="301"/>
      <c r="EB52" s="302"/>
    </row>
    <row r="53" spans="1:150" s="14" customFormat="1" ht="21" x14ac:dyDescent="0.4">
      <c r="A53" s="27"/>
      <c r="B53" s="27"/>
      <c r="C53" s="27"/>
      <c r="E53" s="16"/>
      <c r="F53" s="27"/>
      <c r="G53" s="27"/>
      <c r="H53" s="14" t="s">
        <v>8</v>
      </c>
      <c r="I53" s="27"/>
      <c r="J53" s="301" t="str">
        <f>IF(J51="","",MAX(J6:J50))</f>
        <v/>
      </c>
      <c r="K53" s="301"/>
      <c r="L53" s="27"/>
      <c r="M53" s="14" t="s">
        <v>8</v>
      </c>
      <c r="N53" s="27"/>
      <c r="O53" s="301" t="str">
        <f>IF(O51="","",MAX(O6:O50))</f>
        <v/>
      </c>
      <c r="P53" s="301"/>
      <c r="Q53" s="27"/>
      <c r="R53" s="14" t="s">
        <v>8</v>
      </c>
      <c r="S53" s="27"/>
      <c r="T53" s="302" t="str">
        <f>IF(T51="","",MAX(T6:T50))</f>
        <v/>
      </c>
      <c r="U53" s="301"/>
      <c r="V53" s="27"/>
      <c r="W53" s="14" t="s">
        <v>8</v>
      </c>
      <c r="X53" s="27"/>
      <c r="Y53" s="302" t="str">
        <f>IF(Y51="","",MAX(Y6:Y50))</f>
        <v/>
      </c>
      <c r="Z53" s="301"/>
      <c r="AA53" s="27"/>
      <c r="AB53" s="14" t="s">
        <v>8</v>
      </c>
      <c r="AC53" s="27"/>
      <c r="AD53" s="302" t="str">
        <f>IF(AD51="","",MAX(AD6:AD50))</f>
        <v/>
      </c>
      <c r="AE53" s="301"/>
      <c r="AF53" s="27"/>
      <c r="AG53" s="14" t="s">
        <v>8</v>
      </c>
      <c r="AH53" s="27"/>
      <c r="AI53" s="301" t="str">
        <f>IF(AI51="","",MAX(AI6:AI50))</f>
        <v/>
      </c>
      <c r="AJ53" s="301"/>
      <c r="AK53" s="27"/>
      <c r="AL53" s="14" t="s">
        <v>8</v>
      </c>
      <c r="AM53" s="27"/>
      <c r="AN53" s="301" t="str">
        <f>IF(AN51="","",MAX(AN6:AN50))</f>
        <v/>
      </c>
      <c r="AO53" s="301"/>
      <c r="AP53" s="27"/>
      <c r="AQ53" s="14" t="s">
        <v>8</v>
      </c>
      <c r="AR53" s="27"/>
      <c r="AS53" s="301" t="str">
        <f>IF(AS51="","",MAX(AS6:AS50))</f>
        <v/>
      </c>
      <c r="AT53" s="301"/>
      <c r="AU53" s="27"/>
      <c r="AV53" s="14" t="s">
        <v>8</v>
      </c>
      <c r="AW53" s="27"/>
      <c r="AX53" s="301" t="str">
        <f>IF(AX51="","",MAX(AX6:AX50))</f>
        <v/>
      </c>
      <c r="AY53" s="301"/>
      <c r="AZ53" s="27"/>
      <c r="BA53" s="14" t="s">
        <v>8</v>
      </c>
      <c r="BB53" s="27"/>
      <c r="BC53" s="301" t="str">
        <f>IF(BC51="","",MAX(BC6:BC50))</f>
        <v/>
      </c>
      <c r="BD53" s="301"/>
      <c r="BE53" s="27"/>
      <c r="BF53" s="14" t="s">
        <v>8</v>
      </c>
      <c r="BG53" s="27"/>
      <c r="BH53" s="301" t="str">
        <f>IF(BH51="","",MAX(BH6:BH50))</f>
        <v/>
      </c>
      <c r="BI53" s="301"/>
      <c r="BJ53" s="27"/>
      <c r="BK53" s="14" t="s">
        <v>8</v>
      </c>
      <c r="BL53" s="27"/>
      <c r="BM53" s="16" t="str">
        <f>IF(BM51="","",MAX(BM6:BM50))</f>
        <v/>
      </c>
      <c r="BN53" s="301"/>
      <c r="BO53" s="27"/>
      <c r="BP53" s="14" t="s">
        <v>8</v>
      </c>
      <c r="BQ53" s="27"/>
      <c r="BR53" s="301" t="str">
        <f>IF(BR51="","",MAX(BR6:BR50))</f>
        <v/>
      </c>
      <c r="BS53" s="301"/>
      <c r="BT53" s="27"/>
      <c r="BU53" s="14" t="s">
        <v>8</v>
      </c>
      <c r="BV53" s="27"/>
      <c r="BW53" s="301" t="str">
        <f>IF(BW51="","",MAX(BW6:BW50))</f>
        <v/>
      </c>
      <c r="BX53" s="301"/>
      <c r="BY53" s="27"/>
      <c r="BZ53" s="14" t="s">
        <v>8</v>
      </c>
      <c r="CA53" s="27"/>
      <c r="CB53" s="301" t="str">
        <f>IF(CB51="","",MAX(CB6:CB50))</f>
        <v/>
      </c>
      <c r="CC53" s="301"/>
      <c r="CD53" s="27"/>
      <c r="CE53" s="14" t="s">
        <v>8</v>
      </c>
      <c r="CF53" s="27"/>
      <c r="CG53" s="301" t="str">
        <f>IF(CG51="","",MAX(CG6:CG50))</f>
        <v/>
      </c>
      <c r="CH53" s="301"/>
      <c r="CI53" s="27"/>
      <c r="CJ53" s="14" t="s">
        <v>8</v>
      </c>
      <c r="CK53" s="27"/>
      <c r="CL53" s="301" t="str">
        <f>IF(CL51="","",MAX(CL6:CL50))</f>
        <v/>
      </c>
      <c r="CM53" s="301"/>
      <c r="CN53" s="27"/>
      <c r="CO53" s="14" t="s">
        <v>8</v>
      </c>
      <c r="CP53" s="27"/>
      <c r="CQ53" s="301" t="str">
        <f>IF(CQ51="","",MAX(CQ6:CQ50))</f>
        <v/>
      </c>
      <c r="CR53" s="301"/>
      <c r="CS53" s="27"/>
      <c r="CT53" s="14" t="s">
        <v>8</v>
      </c>
      <c r="CU53" s="27"/>
      <c r="CV53" s="301" t="str">
        <f>IF(CV51="","",MAX(CV6:CV50))</f>
        <v/>
      </c>
      <c r="CW53" s="301"/>
      <c r="CX53" s="27"/>
      <c r="CY53" s="14" t="s">
        <v>8</v>
      </c>
      <c r="CZ53" s="27"/>
      <c r="DA53" s="301" t="str">
        <f>IF(DA51="","",MAX(DA6:DA50))</f>
        <v/>
      </c>
      <c r="DB53" s="301"/>
      <c r="DC53" s="27"/>
      <c r="DD53" s="14" t="s">
        <v>8</v>
      </c>
      <c r="DE53" s="27"/>
      <c r="DF53" s="301" t="str">
        <f>IF(DF51="","",MAX(DF6:DF50))</f>
        <v/>
      </c>
      <c r="DG53" s="301"/>
      <c r="DH53" s="27"/>
      <c r="DI53" s="14" t="s">
        <v>8</v>
      </c>
      <c r="DJ53" s="27"/>
      <c r="DK53" s="16" t="str">
        <f>IF(DK51="","",MAX(DK6:DK50))</f>
        <v/>
      </c>
      <c r="DL53" s="301"/>
      <c r="DM53" s="27"/>
      <c r="DN53" s="14" t="s">
        <v>8</v>
      </c>
      <c r="DO53" s="27"/>
      <c r="DP53" s="16" t="str">
        <f>IF(DP51="","",MAX(DP6:DP50))</f>
        <v/>
      </c>
      <c r="DQ53" s="301"/>
      <c r="DR53" s="27"/>
      <c r="DS53" s="14" t="s">
        <v>8</v>
      </c>
      <c r="DT53" s="27"/>
      <c r="DU53" s="16" t="str">
        <f>IF(DU51="","",MAX(DU6:DU50))</f>
        <v/>
      </c>
      <c r="DV53" s="301"/>
      <c r="DW53" s="27"/>
      <c r="DX53" s="14" t="s">
        <v>8</v>
      </c>
      <c r="DY53" s="27"/>
      <c r="DZ53" s="16" t="str">
        <f>IF(DZ51="","",MAX(DZ6:DZ50))</f>
        <v/>
      </c>
      <c r="EA53" s="301"/>
      <c r="EB53" s="302"/>
    </row>
    <row r="54" spans="1:150" s="14" customFormat="1" ht="21" x14ac:dyDescent="0.4">
      <c r="A54" s="27"/>
      <c r="B54" s="27"/>
      <c r="C54" s="27"/>
      <c r="E54" s="16"/>
      <c r="F54" s="27"/>
      <c r="G54" s="27"/>
      <c r="H54" s="14" t="s">
        <v>9</v>
      </c>
      <c r="I54" s="27"/>
      <c r="J54" s="301" t="str">
        <f>IF(J51="","",AVERAGE(J6:J50))</f>
        <v/>
      </c>
      <c r="K54" s="301"/>
      <c r="L54" s="27"/>
      <c r="M54" s="14" t="s">
        <v>9</v>
      </c>
      <c r="N54" s="27"/>
      <c r="O54" s="301" t="str">
        <f>IF(O51="","",AVERAGE(O6:O50))</f>
        <v/>
      </c>
      <c r="P54" s="301"/>
      <c r="Q54" s="27"/>
      <c r="R54" s="14" t="s">
        <v>9</v>
      </c>
      <c r="S54" s="27"/>
      <c r="T54" s="302" t="str">
        <f>IF(T51="","",AVERAGE(T6:T50))</f>
        <v/>
      </c>
      <c r="U54" s="301"/>
      <c r="V54" s="27"/>
      <c r="W54" s="14" t="s">
        <v>9</v>
      </c>
      <c r="X54" s="27"/>
      <c r="Y54" s="302" t="str">
        <f>IF(Y51="","",AVERAGE(Y6:Y50))</f>
        <v/>
      </c>
      <c r="Z54" s="301"/>
      <c r="AA54" s="27"/>
      <c r="AB54" s="14" t="s">
        <v>9</v>
      </c>
      <c r="AC54" s="27"/>
      <c r="AD54" s="302" t="str">
        <f>IF(AD51="","",AVERAGE(AD6:AD50))</f>
        <v/>
      </c>
      <c r="AE54" s="301"/>
      <c r="AF54" s="27"/>
      <c r="AG54" s="14" t="s">
        <v>9</v>
      </c>
      <c r="AH54" s="27"/>
      <c r="AI54" s="301" t="str">
        <f>IF(AI51="","",AVERAGE(AI6:AI50))</f>
        <v/>
      </c>
      <c r="AJ54" s="301"/>
      <c r="AK54" s="27"/>
      <c r="AL54" s="14" t="s">
        <v>9</v>
      </c>
      <c r="AM54" s="27"/>
      <c r="AN54" s="301" t="str">
        <f>IF(AN51="","",AVERAGE(AN6:AN50))</f>
        <v/>
      </c>
      <c r="AO54" s="301"/>
      <c r="AP54" s="27"/>
      <c r="AQ54" s="14" t="s">
        <v>9</v>
      </c>
      <c r="AR54" s="27"/>
      <c r="AS54" s="301" t="str">
        <f>IF(AS51="","",AVERAGE(AS6:AS50))</f>
        <v/>
      </c>
      <c r="AT54" s="301"/>
      <c r="AU54" s="27"/>
      <c r="AV54" s="14" t="s">
        <v>9</v>
      </c>
      <c r="AW54" s="27"/>
      <c r="AX54" s="301" t="str">
        <f>IF(AX51="","",AVERAGE(AX6:AX50))</f>
        <v/>
      </c>
      <c r="AY54" s="301"/>
      <c r="AZ54" s="27"/>
      <c r="BA54" s="14" t="s">
        <v>9</v>
      </c>
      <c r="BB54" s="27"/>
      <c r="BC54" s="301" t="str">
        <f>IF(BC51="","",AVERAGE(BC6:BC50))</f>
        <v/>
      </c>
      <c r="BD54" s="301"/>
      <c r="BE54" s="27"/>
      <c r="BF54" s="14" t="s">
        <v>9</v>
      </c>
      <c r="BG54" s="27"/>
      <c r="BH54" s="301" t="str">
        <f>IF(BH51="","",AVERAGE(BH6:BH50))</f>
        <v/>
      </c>
      <c r="BI54" s="301"/>
      <c r="BJ54" s="27"/>
      <c r="BK54" s="14" t="s">
        <v>9</v>
      </c>
      <c r="BL54" s="27"/>
      <c r="BM54" s="16" t="str">
        <f>IF(BM51="","",AVERAGE(BM6:BM50))</f>
        <v/>
      </c>
      <c r="BN54" s="301"/>
      <c r="BO54" s="27"/>
      <c r="BP54" s="14" t="s">
        <v>9</v>
      </c>
      <c r="BQ54" s="27"/>
      <c r="BR54" s="301" t="str">
        <f>IF(BR51="","",AVERAGE(BR6:BR50))</f>
        <v/>
      </c>
      <c r="BS54" s="301"/>
      <c r="BT54" s="27"/>
      <c r="BU54" s="14" t="s">
        <v>9</v>
      </c>
      <c r="BV54" s="27"/>
      <c r="BW54" s="301" t="str">
        <f>IF(BW51="","",AVERAGE(BW6:BW50))</f>
        <v/>
      </c>
      <c r="BX54" s="301"/>
      <c r="BY54" s="27"/>
      <c r="BZ54" s="14" t="s">
        <v>9</v>
      </c>
      <c r="CA54" s="27"/>
      <c r="CB54" s="301" t="str">
        <f>IF(CB51="","",AVERAGE(CB6:CB50))</f>
        <v/>
      </c>
      <c r="CC54" s="301"/>
      <c r="CD54" s="27"/>
      <c r="CE54" s="14" t="s">
        <v>9</v>
      </c>
      <c r="CF54" s="27"/>
      <c r="CG54" s="301" t="str">
        <f>IF(CG51="","",AVERAGE(CG6:CG50))</f>
        <v/>
      </c>
      <c r="CH54" s="301"/>
      <c r="CI54" s="27"/>
      <c r="CJ54" s="14" t="s">
        <v>9</v>
      </c>
      <c r="CK54" s="27"/>
      <c r="CL54" s="301" t="str">
        <f>IF(CL51="","",AVERAGE(CL6:CL50))</f>
        <v/>
      </c>
      <c r="CM54" s="301"/>
      <c r="CN54" s="27"/>
      <c r="CO54" s="14" t="s">
        <v>9</v>
      </c>
      <c r="CP54" s="27"/>
      <c r="CQ54" s="301" t="str">
        <f>IF(CQ51="","",AVERAGE(CQ6:CQ50))</f>
        <v/>
      </c>
      <c r="CR54" s="301"/>
      <c r="CS54" s="27"/>
      <c r="CT54" s="14" t="s">
        <v>9</v>
      </c>
      <c r="CU54" s="27"/>
      <c r="CV54" s="301" t="str">
        <f>IF(CV51="","",AVERAGE(CV6:CV50))</f>
        <v/>
      </c>
      <c r="CW54" s="301"/>
      <c r="CX54" s="27"/>
      <c r="CY54" s="14" t="s">
        <v>9</v>
      </c>
      <c r="CZ54" s="27"/>
      <c r="DA54" s="301" t="str">
        <f>IF(DA51="","",AVERAGE(DA6:DA50))</f>
        <v/>
      </c>
      <c r="DB54" s="301"/>
      <c r="DC54" s="27"/>
      <c r="DD54" s="14" t="s">
        <v>9</v>
      </c>
      <c r="DE54" s="27"/>
      <c r="DF54" s="301" t="str">
        <f>IF(DF51="","",AVERAGE(DF6:DF50))</f>
        <v/>
      </c>
      <c r="DG54" s="301"/>
      <c r="DH54" s="27"/>
      <c r="DI54" s="14" t="s">
        <v>9</v>
      </c>
      <c r="DJ54" s="27"/>
      <c r="DK54" s="16" t="str">
        <f>IF(DK51="","",AVERAGE(DK6:DK50))</f>
        <v/>
      </c>
      <c r="DL54" s="301"/>
      <c r="DM54" s="27"/>
      <c r="DN54" s="14" t="s">
        <v>9</v>
      </c>
      <c r="DO54" s="27"/>
      <c r="DP54" s="16" t="str">
        <f>IF(DP51="","",AVERAGE(DP6:DP50))</f>
        <v/>
      </c>
      <c r="DQ54" s="301"/>
      <c r="DR54" s="27"/>
      <c r="DS54" s="14" t="s">
        <v>9</v>
      </c>
      <c r="DT54" s="27"/>
      <c r="DU54" s="16" t="str">
        <f>IF(DU51="","",AVERAGE(DU6:DU50))</f>
        <v/>
      </c>
      <c r="DV54" s="301"/>
      <c r="DW54" s="27"/>
      <c r="DX54" s="14" t="s">
        <v>9</v>
      </c>
      <c r="DY54" s="27"/>
      <c r="DZ54" s="16" t="str">
        <f>IF(DZ51="","",AVERAGE(DZ6:DZ50))</f>
        <v/>
      </c>
      <c r="EA54" s="301"/>
      <c r="EB54" s="302"/>
    </row>
    <row r="55" spans="1:150" s="14" customFormat="1" ht="21" x14ac:dyDescent="0.4">
      <c r="A55" s="27"/>
      <c r="B55" s="27"/>
      <c r="C55" s="27"/>
      <c r="E55" s="16"/>
      <c r="F55" s="27"/>
      <c r="G55" s="27"/>
      <c r="H55" s="14" t="s">
        <v>10</v>
      </c>
      <c r="I55" s="27"/>
      <c r="J55" s="301" t="str">
        <f>IF(J51="","",(J54*100)/J5)</f>
        <v/>
      </c>
      <c r="K55" s="301"/>
      <c r="L55" s="27"/>
      <c r="M55" s="14" t="s">
        <v>10</v>
      </c>
      <c r="N55" s="27"/>
      <c r="O55" s="301" t="str">
        <f>IF(O51="","",(O54*100)/O5)</f>
        <v/>
      </c>
      <c r="P55" s="301"/>
      <c r="Q55" s="27"/>
      <c r="R55" s="14" t="s">
        <v>10</v>
      </c>
      <c r="S55" s="27"/>
      <c r="T55" s="301" t="str">
        <f>IF(T51="","",(T54*100)/T5)</f>
        <v/>
      </c>
      <c r="U55" s="301"/>
      <c r="V55" s="27"/>
      <c r="W55" s="14" t="s">
        <v>10</v>
      </c>
      <c r="X55" s="27"/>
      <c r="Y55" s="301" t="str">
        <f>IF(Y51="","",(Y54*100)/Y5)</f>
        <v/>
      </c>
      <c r="Z55" s="301"/>
      <c r="AA55" s="27"/>
      <c r="AB55" s="14" t="s">
        <v>10</v>
      </c>
      <c r="AC55" s="27"/>
      <c r="AD55" s="301" t="str">
        <f>IF(AD51="","",(AD54*100)/AD5)</f>
        <v/>
      </c>
      <c r="AE55" s="301"/>
      <c r="AF55" s="27"/>
      <c r="AG55" s="14" t="s">
        <v>10</v>
      </c>
      <c r="AH55" s="27"/>
      <c r="AI55" s="301" t="str">
        <f>IF(AI51="","",(AI54*100)/AI5)</f>
        <v/>
      </c>
      <c r="AJ55" s="301"/>
      <c r="AK55" s="27"/>
      <c r="AL55" s="14" t="s">
        <v>10</v>
      </c>
      <c r="AM55" s="27"/>
      <c r="AN55" s="301" t="str">
        <f>IF(AN51="","",(AN54*100)/AN5)</f>
        <v/>
      </c>
      <c r="AO55" s="301"/>
      <c r="AP55" s="27"/>
      <c r="AQ55" s="14" t="s">
        <v>10</v>
      </c>
      <c r="AR55" s="27"/>
      <c r="AS55" s="301" t="str">
        <f>IF(AS51="","",(AS54*100)/AS5)</f>
        <v/>
      </c>
      <c r="AT55" s="301"/>
      <c r="AU55" s="27"/>
      <c r="AV55" s="14" t="s">
        <v>10</v>
      </c>
      <c r="AW55" s="27"/>
      <c r="AX55" s="301" t="str">
        <f>IF(AX51="","",(AX54*100)/AX5)</f>
        <v/>
      </c>
      <c r="AY55" s="301"/>
      <c r="AZ55" s="27"/>
      <c r="BA55" s="14" t="s">
        <v>10</v>
      </c>
      <c r="BB55" s="27"/>
      <c r="BC55" s="301" t="str">
        <f>IF(BC51="","",(BC54*100)/BC5)</f>
        <v/>
      </c>
      <c r="BD55" s="301"/>
      <c r="BE55" s="27"/>
      <c r="BF55" s="14" t="s">
        <v>10</v>
      </c>
      <c r="BG55" s="27"/>
      <c r="BH55" s="301" t="str">
        <f>IF(BH51="","",(BH54*100)/BH5)</f>
        <v/>
      </c>
      <c r="BI55" s="301"/>
      <c r="BJ55" s="27"/>
      <c r="BK55" s="14" t="s">
        <v>10</v>
      </c>
      <c r="BL55" s="27"/>
      <c r="BM55" s="301" t="str">
        <f>IF(BM51="","",(BM54*100)/BM5)</f>
        <v/>
      </c>
      <c r="BN55" s="301"/>
      <c r="BO55" s="27"/>
      <c r="BP55" s="14" t="s">
        <v>10</v>
      </c>
      <c r="BQ55" s="27"/>
      <c r="BR55" s="301" t="str">
        <f>IF(BR51="","",(BR54*100)/BR5)</f>
        <v/>
      </c>
      <c r="BS55" s="301"/>
      <c r="BT55" s="27"/>
      <c r="BU55" s="14" t="s">
        <v>10</v>
      </c>
      <c r="BV55" s="27"/>
      <c r="BW55" s="301" t="str">
        <f>IF(BW51="","",(BW54*100)/BW5)</f>
        <v/>
      </c>
      <c r="BX55" s="301"/>
      <c r="BY55" s="27"/>
      <c r="BZ55" s="14" t="s">
        <v>10</v>
      </c>
      <c r="CA55" s="27"/>
      <c r="CB55" s="301" t="str">
        <f>IF(CB51="","",(CB54*100)/CB5)</f>
        <v/>
      </c>
      <c r="CC55" s="301"/>
      <c r="CD55" s="27"/>
      <c r="CE55" s="14" t="s">
        <v>10</v>
      </c>
      <c r="CF55" s="27"/>
      <c r="CG55" s="301" t="str">
        <f>IF(CG51="","",(CG54*100)/CG5)</f>
        <v/>
      </c>
      <c r="CH55" s="301"/>
      <c r="CI55" s="27"/>
      <c r="CJ55" s="14" t="s">
        <v>10</v>
      </c>
      <c r="CK55" s="27"/>
      <c r="CL55" s="301" t="str">
        <f>IF(CL51="","",(CL54*100)/CL5)</f>
        <v/>
      </c>
      <c r="CM55" s="301"/>
      <c r="CN55" s="27"/>
      <c r="CO55" s="14" t="s">
        <v>10</v>
      </c>
      <c r="CP55" s="27"/>
      <c r="CQ55" s="301" t="str">
        <f>IF(CQ51="","",(CQ54*100)/CQ5)</f>
        <v/>
      </c>
      <c r="CR55" s="301"/>
      <c r="CS55" s="27"/>
      <c r="CT55" s="14" t="s">
        <v>10</v>
      </c>
      <c r="CU55" s="27"/>
      <c r="CV55" s="301" t="str">
        <f>IF(CV51="","",(CV54*100)/CV5)</f>
        <v/>
      </c>
      <c r="CW55" s="301"/>
      <c r="CX55" s="27"/>
      <c r="CY55" s="14" t="s">
        <v>10</v>
      </c>
      <c r="CZ55" s="27"/>
      <c r="DA55" s="301" t="str">
        <f>IF(DA51="","",(DA54*100)/DA5)</f>
        <v/>
      </c>
      <c r="DB55" s="301"/>
      <c r="DC55" s="27"/>
      <c r="DD55" s="14" t="s">
        <v>10</v>
      </c>
      <c r="DE55" s="27"/>
      <c r="DF55" s="301" t="str">
        <f>IF(DF51="","",(DF54*100)/DF5)</f>
        <v/>
      </c>
      <c r="DG55" s="301"/>
      <c r="DH55" s="27"/>
      <c r="DI55" s="14" t="s">
        <v>10</v>
      </c>
      <c r="DJ55" s="27"/>
      <c r="DK55" s="301" t="str">
        <f>IF(DK51="","",(DK54*100)/DK5)</f>
        <v/>
      </c>
      <c r="DL55" s="301"/>
      <c r="DM55" s="27"/>
      <c r="DN55" s="14" t="s">
        <v>10</v>
      </c>
      <c r="DO55" s="27"/>
      <c r="DP55" s="301" t="str">
        <f>IF(DP51="","",(DP54*100)/DP5)</f>
        <v/>
      </c>
      <c r="DQ55" s="301"/>
      <c r="DR55" s="27"/>
      <c r="DS55" s="14" t="s">
        <v>10</v>
      </c>
      <c r="DT55" s="27"/>
      <c r="DU55" s="301" t="str">
        <f>IF(DU51="","",(DU54*100)/DU5)</f>
        <v/>
      </c>
      <c r="DV55" s="301"/>
      <c r="DW55" s="27"/>
      <c r="DX55" s="14" t="s">
        <v>10</v>
      </c>
      <c r="DY55" s="27"/>
      <c r="DZ55" s="301" t="str">
        <f>IF(DZ51="","",(DZ54*100)/DZ5)</f>
        <v/>
      </c>
      <c r="EA55" s="301"/>
      <c r="EB55" s="302"/>
    </row>
    <row r="56" spans="1:150" s="14" customFormat="1" ht="21" x14ac:dyDescent="0.4">
      <c r="A56" s="27"/>
      <c r="B56" s="27"/>
      <c r="C56" s="27"/>
      <c r="E56" s="16"/>
      <c r="F56" s="27"/>
      <c r="G56" s="27"/>
      <c r="I56" s="27"/>
      <c r="J56" s="16"/>
      <c r="K56" s="16"/>
      <c r="L56" s="27"/>
      <c r="N56" s="27"/>
      <c r="O56" s="16"/>
      <c r="P56" s="16"/>
      <c r="Q56" s="27"/>
      <c r="S56" s="27"/>
      <c r="T56" s="16"/>
      <c r="U56" s="16"/>
      <c r="V56" s="27"/>
      <c r="X56" s="27"/>
      <c r="Y56" s="16"/>
      <c r="Z56" s="16"/>
      <c r="AA56" s="27"/>
      <c r="AC56" s="27"/>
      <c r="AD56" s="16"/>
      <c r="AE56" s="16"/>
      <c r="AF56" s="27"/>
      <c r="AH56" s="27"/>
      <c r="AI56" s="16"/>
      <c r="AJ56" s="16"/>
      <c r="AK56" s="27"/>
      <c r="AM56" s="27"/>
      <c r="AN56" s="16"/>
      <c r="AO56" s="16"/>
      <c r="AP56" s="27"/>
      <c r="AR56" s="27"/>
      <c r="AS56" s="16"/>
      <c r="AT56" s="16"/>
      <c r="AU56" s="27"/>
      <c r="AW56" s="27"/>
      <c r="AX56" s="16"/>
      <c r="AY56" s="16"/>
      <c r="AZ56" s="27"/>
      <c r="BB56" s="27"/>
      <c r="BC56" s="16"/>
      <c r="BD56" s="16"/>
      <c r="BE56" s="27"/>
      <c r="BG56" s="27"/>
      <c r="BH56" s="16"/>
      <c r="BI56" s="16"/>
      <c r="BJ56" s="27"/>
      <c r="BL56" s="27"/>
      <c r="BM56" s="16"/>
      <c r="BN56" s="16"/>
      <c r="BO56" s="27"/>
      <c r="BQ56" s="27"/>
      <c r="BR56" s="16"/>
      <c r="BS56" s="16"/>
      <c r="BT56" s="27"/>
      <c r="BV56" s="27"/>
      <c r="BW56" s="16"/>
      <c r="BX56" s="16"/>
      <c r="BY56" s="27"/>
      <c r="CA56" s="27"/>
      <c r="CB56" s="16"/>
      <c r="CC56" s="16"/>
      <c r="CD56" s="27"/>
      <c r="CF56" s="27"/>
      <c r="CG56" s="16"/>
      <c r="CH56" s="16"/>
      <c r="CI56" s="27"/>
      <c r="CK56" s="27"/>
      <c r="CL56" s="16"/>
      <c r="CM56" s="16"/>
      <c r="CN56" s="27"/>
      <c r="CP56" s="27"/>
      <c r="CQ56" s="16"/>
      <c r="CR56" s="16"/>
      <c r="CS56" s="27"/>
      <c r="CU56" s="27"/>
      <c r="CV56" s="16"/>
      <c r="CW56" s="16"/>
      <c r="CX56" s="27"/>
      <c r="CZ56" s="27"/>
      <c r="DA56" s="16"/>
      <c r="DB56" s="16"/>
      <c r="DC56" s="27"/>
      <c r="DE56" s="27"/>
      <c r="DF56" s="16"/>
      <c r="DG56" s="16"/>
      <c r="DH56" s="27"/>
      <c r="DJ56" s="27"/>
      <c r="DK56" s="16"/>
      <c r="DL56" s="16"/>
      <c r="DM56" s="27"/>
      <c r="DO56" s="27"/>
      <c r="DP56" s="16"/>
      <c r="DQ56" s="16"/>
      <c r="DR56" s="27"/>
      <c r="DT56" s="27"/>
      <c r="DU56" s="16"/>
      <c r="DV56" s="16"/>
      <c r="DW56" s="27"/>
      <c r="DY56" s="27"/>
      <c r="DZ56" s="16"/>
      <c r="EA56" s="16"/>
      <c r="EB56" s="302"/>
    </row>
    <row r="57" spans="1:150" s="14" customFormat="1" ht="21" x14ac:dyDescent="0.4">
      <c r="A57" s="27"/>
      <c r="B57" s="27"/>
      <c r="C57" s="27"/>
      <c r="E57" s="16"/>
      <c r="F57" s="27"/>
      <c r="G57" s="27"/>
      <c r="I57" s="27"/>
      <c r="J57" s="16"/>
      <c r="K57" s="16"/>
      <c r="L57" s="27"/>
      <c r="N57" s="27"/>
      <c r="O57" s="16"/>
      <c r="P57" s="16"/>
      <c r="Q57" s="27"/>
      <c r="S57" s="27"/>
      <c r="T57" s="16"/>
      <c r="U57" s="16"/>
      <c r="V57" s="27"/>
      <c r="X57" s="27"/>
      <c r="Y57" s="16"/>
      <c r="Z57" s="16"/>
      <c r="AA57" s="27"/>
      <c r="AC57" s="27"/>
      <c r="AD57" s="16"/>
      <c r="AE57" s="16"/>
      <c r="AF57" s="27"/>
      <c r="AH57" s="27"/>
      <c r="AI57" s="16"/>
      <c r="AJ57" s="16"/>
      <c r="AK57" s="27"/>
      <c r="AM57" s="27"/>
      <c r="AN57" s="16"/>
      <c r="AO57" s="16"/>
      <c r="AP57" s="27"/>
      <c r="AR57" s="27"/>
      <c r="AS57" s="16"/>
      <c r="AT57" s="16"/>
      <c r="AU57" s="27"/>
      <c r="AW57" s="27"/>
      <c r="AX57" s="16"/>
      <c r="AY57" s="16"/>
      <c r="AZ57" s="27"/>
      <c r="BB57" s="27"/>
      <c r="BC57" s="16"/>
      <c r="BD57" s="16"/>
      <c r="BE57" s="27"/>
      <c r="BG57" s="27"/>
      <c r="BH57" s="16"/>
      <c r="BI57" s="16"/>
      <c r="BJ57" s="27"/>
      <c r="BL57" s="27"/>
      <c r="BM57" s="16"/>
      <c r="BN57" s="16"/>
      <c r="BO57" s="27"/>
      <c r="BQ57" s="27"/>
      <c r="BR57" s="16"/>
      <c r="BS57" s="16"/>
      <c r="BT57" s="27"/>
      <c r="BV57" s="27"/>
      <c r="BW57" s="16"/>
      <c r="BX57" s="16"/>
      <c r="BY57" s="27"/>
      <c r="CA57" s="27"/>
      <c r="CB57" s="16"/>
      <c r="CC57" s="16"/>
      <c r="CD57" s="27"/>
      <c r="CF57" s="27"/>
      <c r="CG57" s="16"/>
      <c r="CH57" s="16"/>
      <c r="CI57" s="27"/>
      <c r="CK57" s="27"/>
      <c r="CL57" s="16"/>
      <c r="CM57" s="16"/>
      <c r="CN57" s="27"/>
      <c r="CP57" s="27"/>
      <c r="CQ57" s="16"/>
      <c r="CR57" s="16"/>
      <c r="CS57" s="27"/>
      <c r="CU57" s="27"/>
      <c r="CV57" s="16"/>
      <c r="CW57" s="16"/>
      <c r="CX57" s="27"/>
      <c r="CZ57" s="27"/>
      <c r="DA57" s="16"/>
      <c r="DB57" s="16"/>
      <c r="DC57" s="27"/>
      <c r="DE57" s="27"/>
      <c r="DF57" s="16"/>
      <c r="DG57" s="16"/>
      <c r="DH57" s="27"/>
      <c r="DJ57" s="27"/>
      <c r="DK57" s="16"/>
      <c r="DL57" s="16"/>
      <c r="DM57" s="27"/>
      <c r="DO57" s="27"/>
      <c r="DP57" s="16"/>
      <c r="DQ57" s="16"/>
      <c r="DR57" s="27"/>
      <c r="DT57" s="27"/>
      <c r="DU57" s="16"/>
      <c r="DV57" s="16"/>
      <c r="DW57" s="27"/>
      <c r="DY57" s="27"/>
      <c r="DZ57" s="16"/>
      <c r="EA57" s="16"/>
      <c r="EB57" s="302"/>
    </row>
    <row r="58" spans="1:150" s="14" customFormat="1" ht="21" x14ac:dyDescent="0.4">
      <c r="A58" s="27"/>
      <c r="B58" s="27"/>
      <c r="C58" s="27"/>
      <c r="E58" s="16"/>
      <c r="F58" s="27"/>
      <c r="G58" s="27"/>
      <c r="I58" s="27"/>
      <c r="J58" s="16"/>
      <c r="K58" s="16"/>
      <c r="L58" s="27"/>
      <c r="N58" s="27"/>
      <c r="O58" s="16"/>
      <c r="P58" s="16"/>
      <c r="Q58" s="27"/>
      <c r="S58" s="27"/>
      <c r="T58" s="16"/>
      <c r="U58" s="16"/>
      <c r="V58" s="27"/>
      <c r="X58" s="27"/>
      <c r="Y58" s="16"/>
      <c r="Z58" s="16"/>
      <c r="AA58" s="27"/>
      <c r="AC58" s="27"/>
      <c r="AD58" s="16"/>
      <c r="AE58" s="16"/>
      <c r="AF58" s="27"/>
      <c r="AH58" s="27"/>
      <c r="AI58" s="16"/>
      <c r="AJ58" s="16"/>
      <c r="AK58" s="27"/>
      <c r="AM58" s="27"/>
      <c r="AN58" s="16"/>
      <c r="AO58" s="16"/>
      <c r="AP58" s="27"/>
      <c r="AR58" s="27"/>
      <c r="AS58" s="16"/>
      <c r="AT58" s="16"/>
      <c r="AU58" s="27"/>
      <c r="AW58" s="27"/>
      <c r="AX58" s="16"/>
      <c r="AY58" s="16"/>
      <c r="AZ58" s="27"/>
      <c r="BB58" s="27"/>
      <c r="BC58" s="16"/>
      <c r="BD58" s="16"/>
      <c r="BE58" s="27"/>
      <c r="BG58" s="27"/>
      <c r="BH58" s="16"/>
      <c r="BI58" s="16"/>
      <c r="BJ58" s="27"/>
      <c r="BL58" s="27"/>
      <c r="BM58" s="16"/>
      <c r="BN58" s="16"/>
      <c r="BO58" s="27"/>
      <c r="BQ58" s="27"/>
      <c r="BR58" s="16"/>
      <c r="BS58" s="16"/>
      <c r="BT58" s="27"/>
      <c r="BV58" s="27"/>
      <c r="BW58" s="16"/>
      <c r="BX58" s="16"/>
      <c r="BY58" s="27"/>
      <c r="CA58" s="27"/>
      <c r="CB58" s="16"/>
      <c r="CC58" s="16"/>
      <c r="CD58" s="27"/>
      <c r="CF58" s="27"/>
      <c r="CG58" s="16"/>
      <c r="CH58" s="16"/>
      <c r="CI58" s="27"/>
      <c r="CK58" s="27"/>
      <c r="CL58" s="16"/>
      <c r="CM58" s="16"/>
      <c r="CN58" s="27"/>
      <c r="CP58" s="27"/>
      <c r="CQ58" s="16"/>
      <c r="CR58" s="16"/>
      <c r="CS58" s="27"/>
      <c r="CU58" s="27"/>
      <c r="CV58" s="16"/>
      <c r="CW58" s="16"/>
      <c r="CX58" s="27"/>
      <c r="CZ58" s="27"/>
      <c r="DA58" s="16"/>
      <c r="DB58" s="16"/>
      <c r="DC58" s="27"/>
      <c r="DE58" s="27"/>
      <c r="DF58" s="16"/>
      <c r="DG58" s="16"/>
      <c r="DH58" s="27"/>
      <c r="DJ58" s="27"/>
      <c r="DK58" s="16"/>
      <c r="DL58" s="16"/>
      <c r="DM58" s="27"/>
      <c r="DO58" s="27"/>
      <c r="DP58" s="16"/>
      <c r="DQ58" s="16"/>
      <c r="DR58" s="27"/>
      <c r="DT58" s="27"/>
      <c r="DU58" s="16"/>
      <c r="DV58" s="16"/>
      <c r="DW58" s="27"/>
      <c r="DY58" s="27"/>
      <c r="DZ58" s="16"/>
      <c r="EA58" s="16"/>
      <c r="EB58" s="302"/>
    </row>
    <row r="59" spans="1:150" s="14" customFormat="1" ht="21" x14ac:dyDescent="0.4">
      <c r="A59" s="27"/>
      <c r="B59" s="27"/>
      <c r="C59" s="27"/>
      <c r="E59" s="16"/>
      <c r="F59" s="27"/>
      <c r="G59" s="27"/>
      <c r="I59" s="27"/>
      <c r="J59" s="16"/>
      <c r="K59" s="16"/>
      <c r="L59" s="27"/>
      <c r="N59" s="27"/>
      <c r="O59" s="16"/>
      <c r="P59" s="16"/>
      <c r="Q59" s="27"/>
      <c r="S59" s="27"/>
      <c r="T59" s="16"/>
      <c r="U59" s="16"/>
      <c r="V59" s="27"/>
      <c r="X59" s="27"/>
      <c r="Y59" s="16"/>
      <c r="Z59" s="16"/>
      <c r="AA59" s="27"/>
      <c r="AC59" s="27"/>
      <c r="AD59" s="16"/>
      <c r="AE59" s="16"/>
      <c r="AF59" s="27"/>
      <c r="AH59" s="27"/>
      <c r="AI59" s="16"/>
      <c r="AJ59" s="16"/>
      <c r="AK59" s="27"/>
      <c r="AM59" s="27"/>
      <c r="AN59" s="16"/>
      <c r="AO59" s="16"/>
      <c r="AP59" s="27"/>
      <c r="AR59" s="27"/>
      <c r="AS59" s="16"/>
      <c r="AT59" s="16"/>
      <c r="AU59" s="27"/>
      <c r="AW59" s="27"/>
      <c r="AX59" s="16"/>
      <c r="AY59" s="16"/>
      <c r="AZ59" s="27"/>
      <c r="BB59" s="27"/>
      <c r="BC59" s="16"/>
      <c r="BD59" s="16"/>
      <c r="BE59" s="27"/>
      <c r="BG59" s="27"/>
      <c r="BH59" s="16"/>
      <c r="BI59" s="16"/>
      <c r="BJ59" s="27"/>
      <c r="BL59" s="27"/>
      <c r="BM59" s="16"/>
      <c r="BN59" s="16"/>
      <c r="BO59" s="27"/>
      <c r="BQ59" s="27"/>
      <c r="BR59" s="16"/>
      <c r="BS59" s="16"/>
      <c r="BT59" s="27"/>
      <c r="BV59" s="27"/>
      <c r="BW59" s="16"/>
      <c r="BX59" s="16"/>
      <c r="BY59" s="27"/>
      <c r="CA59" s="27"/>
      <c r="CB59" s="16"/>
      <c r="CC59" s="16"/>
      <c r="CD59" s="27"/>
      <c r="CF59" s="27"/>
      <c r="CG59" s="16"/>
      <c r="CH59" s="16"/>
      <c r="CI59" s="27"/>
      <c r="CK59" s="27"/>
      <c r="CL59" s="16"/>
      <c r="CM59" s="16"/>
      <c r="CN59" s="27"/>
      <c r="CP59" s="27"/>
      <c r="CQ59" s="16"/>
      <c r="CR59" s="16"/>
      <c r="CS59" s="27"/>
      <c r="CU59" s="27"/>
      <c r="CV59" s="16"/>
      <c r="CW59" s="16"/>
      <c r="CX59" s="27"/>
      <c r="CZ59" s="27"/>
      <c r="DA59" s="16"/>
      <c r="DB59" s="16"/>
      <c r="DC59" s="27"/>
      <c r="DE59" s="27"/>
      <c r="DF59" s="16"/>
      <c r="DG59" s="16"/>
      <c r="DH59" s="27"/>
      <c r="DJ59" s="27"/>
      <c r="DK59" s="16"/>
      <c r="DL59" s="16"/>
      <c r="DM59" s="27"/>
      <c r="DO59" s="27"/>
      <c r="DP59" s="16"/>
      <c r="DQ59" s="16"/>
      <c r="DR59" s="27"/>
      <c r="DT59" s="27"/>
      <c r="DU59" s="16"/>
      <c r="DV59" s="16"/>
      <c r="DW59" s="27"/>
      <c r="DY59" s="27"/>
      <c r="DZ59" s="16"/>
      <c r="EA59" s="16"/>
      <c r="EB59" s="302"/>
    </row>
    <row r="60" spans="1:150" s="14" customFormat="1" ht="21" x14ac:dyDescent="0.4">
      <c r="A60" s="27"/>
      <c r="B60" s="27"/>
      <c r="C60" s="27"/>
      <c r="E60" s="16"/>
      <c r="F60" s="27"/>
      <c r="G60" s="27"/>
      <c r="I60" s="27"/>
      <c r="J60" s="16"/>
      <c r="K60" s="16"/>
      <c r="L60" s="27"/>
      <c r="N60" s="27"/>
      <c r="O60" s="16"/>
      <c r="P60" s="16"/>
      <c r="Q60" s="27"/>
      <c r="S60" s="27"/>
      <c r="T60" s="16"/>
      <c r="U60" s="16"/>
      <c r="V60" s="27"/>
      <c r="X60" s="27"/>
      <c r="Y60" s="16"/>
      <c r="Z60" s="16"/>
      <c r="AA60" s="27"/>
      <c r="AC60" s="27"/>
      <c r="AD60" s="16"/>
      <c r="AE60" s="16"/>
      <c r="AF60" s="27"/>
      <c r="AH60" s="27"/>
      <c r="AI60" s="16"/>
      <c r="AJ60" s="16"/>
      <c r="AK60" s="27"/>
      <c r="AM60" s="27"/>
      <c r="AN60" s="16"/>
      <c r="AO60" s="16"/>
      <c r="AP60" s="27"/>
      <c r="AR60" s="27"/>
      <c r="AS60" s="16"/>
      <c r="AT60" s="16"/>
      <c r="AU60" s="27"/>
      <c r="AW60" s="27"/>
      <c r="AX60" s="16"/>
      <c r="AY60" s="16"/>
      <c r="AZ60" s="27"/>
      <c r="BB60" s="27"/>
      <c r="BC60" s="16"/>
      <c r="BD60" s="16"/>
      <c r="BE60" s="27"/>
      <c r="BG60" s="27"/>
      <c r="BH60" s="16"/>
      <c r="BI60" s="16"/>
      <c r="BJ60" s="27"/>
      <c r="BL60" s="27"/>
      <c r="BM60" s="16"/>
      <c r="BN60" s="16"/>
      <c r="BO60" s="27"/>
      <c r="BQ60" s="27"/>
      <c r="BR60" s="16"/>
      <c r="BS60" s="16"/>
      <c r="BT60" s="27"/>
      <c r="BV60" s="27"/>
      <c r="BW60" s="16"/>
      <c r="BX60" s="16"/>
      <c r="BY60" s="27"/>
      <c r="CA60" s="27"/>
      <c r="CB60" s="16"/>
      <c r="CC60" s="16"/>
      <c r="CD60" s="27"/>
      <c r="CF60" s="27"/>
      <c r="CG60" s="16"/>
      <c r="CH60" s="16"/>
      <c r="CI60" s="27"/>
      <c r="CK60" s="27"/>
      <c r="CL60" s="16"/>
      <c r="CM60" s="16"/>
      <c r="CN60" s="27"/>
      <c r="CP60" s="27"/>
      <c r="CQ60" s="16"/>
      <c r="CR60" s="16"/>
      <c r="CS60" s="27"/>
      <c r="CU60" s="27"/>
      <c r="CV60" s="16"/>
      <c r="CW60" s="16"/>
      <c r="CX60" s="27"/>
      <c r="CZ60" s="27"/>
      <c r="DA60" s="16"/>
      <c r="DB60" s="16"/>
      <c r="DC60" s="27"/>
      <c r="DE60" s="27"/>
      <c r="DF60" s="16"/>
      <c r="DG60" s="16"/>
      <c r="DH60" s="27"/>
      <c r="DJ60" s="27"/>
      <c r="DK60" s="16"/>
      <c r="DL60" s="16"/>
      <c r="DM60" s="27"/>
      <c r="DO60" s="27"/>
      <c r="DP60" s="16"/>
      <c r="DQ60" s="16"/>
      <c r="DR60" s="27"/>
      <c r="DT60" s="27"/>
      <c r="DU60" s="16"/>
      <c r="DV60" s="16"/>
      <c r="DW60" s="27"/>
      <c r="DY60" s="27"/>
      <c r="DZ60" s="16"/>
      <c r="EA60" s="16"/>
      <c r="EB60" s="302"/>
    </row>
    <row r="61" spans="1:150" s="14" customFormat="1" ht="21" x14ac:dyDescent="0.4">
      <c r="A61" s="27"/>
      <c r="B61" s="27"/>
      <c r="C61" s="27"/>
      <c r="E61" s="16"/>
      <c r="F61" s="27"/>
      <c r="G61" s="27"/>
      <c r="I61" s="27"/>
      <c r="J61" s="16"/>
      <c r="K61" s="16"/>
      <c r="L61" s="27"/>
      <c r="N61" s="27"/>
      <c r="O61" s="16"/>
      <c r="P61" s="16"/>
      <c r="Q61" s="27"/>
      <c r="S61" s="27"/>
      <c r="T61" s="16"/>
      <c r="U61" s="16"/>
      <c r="V61" s="27"/>
      <c r="X61" s="27"/>
      <c r="Y61" s="16"/>
      <c r="Z61" s="16"/>
      <c r="AA61" s="27"/>
      <c r="AC61" s="27"/>
      <c r="AD61" s="16"/>
      <c r="AE61" s="16"/>
      <c r="AF61" s="27"/>
      <c r="AH61" s="27"/>
      <c r="AI61" s="16"/>
      <c r="AJ61" s="16"/>
      <c r="AK61" s="27"/>
      <c r="AM61" s="27"/>
      <c r="AN61" s="16"/>
      <c r="AO61" s="16"/>
      <c r="AP61" s="27"/>
      <c r="AR61" s="27"/>
      <c r="AS61" s="16"/>
      <c r="AT61" s="16"/>
      <c r="AU61" s="27"/>
      <c r="AW61" s="27"/>
      <c r="AX61" s="16"/>
      <c r="AY61" s="16"/>
      <c r="AZ61" s="27"/>
      <c r="BB61" s="27"/>
      <c r="BC61" s="16"/>
      <c r="BD61" s="16"/>
      <c r="BE61" s="27"/>
      <c r="BG61" s="27"/>
      <c r="BH61" s="16"/>
      <c r="BI61" s="16"/>
      <c r="BJ61" s="27"/>
      <c r="BL61" s="27"/>
      <c r="BM61" s="16"/>
      <c r="BN61" s="16"/>
      <c r="BO61" s="27"/>
      <c r="BQ61" s="27"/>
      <c r="BR61" s="16"/>
      <c r="BS61" s="16"/>
      <c r="BT61" s="27"/>
      <c r="BV61" s="27"/>
      <c r="BW61" s="16"/>
      <c r="BX61" s="16"/>
      <c r="BY61" s="27"/>
      <c r="CA61" s="27"/>
      <c r="CB61" s="16"/>
      <c r="CC61" s="16"/>
      <c r="CD61" s="27"/>
      <c r="CF61" s="27"/>
      <c r="CG61" s="16"/>
      <c r="CH61" s="16"/>
      <c r="CI61" s="27"/>
      <c r="CK61" s="27"/>
      <c r="CL61" s="16"/>
      <c r="CM61" s="16"/>
      <c r="CN61" s="27"/>
      <c r="CP61" s="27"/>
      <c r="CQ61" s="16"/>
      <c r="CR61" s="16"/>
      <c r="CS61" s="27"/>
      <c r="CU61" s="27"/>
      <c r="CV61" s="16"/>
      <c r="CW61" s="16"/>
      <c r="CX61" s="27"/>
      <c r="CZ61" s="27"/>
      <c r="DA61" s="16"/>
      <c r="DB61" s="16"/>
      <c r="DC61" s="27"/>
      <c r="DE61" s="27"/>
      <c r="DF61" s="16"/>
      <c r="DG61" s="16"/>
      <c r="DH61" s="27"/>
      <c r="DJ61" s="27"/>
      <c r="DK61" s="16"/>
      <c r="DL61" s="16"/>
      <c r="DM61" s="27"/>
      <c r="DO61" s="27"/>
      <c r="DP61" s="16"/>
      <c r="DQ61" s="16"/>
      <c r="DR61" s="27"/>
      <c r="DT61" s="27"/>
      <c r="DU61" s="16"/>
      <c r="DV61" s="16"/>
      <c r="DW61" s="27"/>
      <c r="DY61" s="27"/>
      <c r="DZ61" s="16"/>
      <c r="EA61" s="16"/>
      <c r="EB61" s="302"/>
    </row>
    <row r="62" spans="1:150" s="14" customFormat="1" ht="21" x14ac:dyDescent="0.4">
      <c r="A62" s="27"/>
      <c r="B62" s="27"/>
      <c r="C62" s="27"/>
      <c r="E62" s="16"/>
      <c r="F62" s="27"/>
      <c r="G62" s="27"/>
      <c r="I62" s="27"/>
      <c r="J62" s="16"/>
      <c r="K62" s="16"/>
      <c r="L62" s="27"/>
      <c r="N62" s="27"/>
      <c r="O62" s="16"/>
      <c r="P62" s="16"/>
      <c r="Q62" s="27"/>
      <c r="S62" s="27"/>
      <c r="T62" s="16"/>
      <c r="U62" s="16"/>
      <c r="V62" s="27"/>
      <c r="X62" s="27"/>
      <c r="Y62" s="16"/>
      <c r="Z62" s="16"/>
      <c r="AA62" s="27"/>
      <c r="AC62" s="27"/>
      <c r="AD62" s="16"/>
      <c r="AE62" s="16"/>
      <c r="AF62" s="27"/>
      <c r="AH62" s="27"/>
      <c r="AI62" s="16"/>
      <c r="AJ62" s="16"/>
      <c r="AK62" s="27"/>
      <c r="AM62" s="27"/>
      <c r="AN62" s="16"/>
      <c r="AO62" s="16"/>
      <c r="AP62" s="27"/>
      <c r="AR62" s="27"/>
      <c r="AS62" s="16"/>
      <c r="AT62" s="16"/>
      <c r="AU62" s="27"/>
      <c r="AW62" s="27"/>
      <c r="AX62" s="16"/>
      <c r="AY62" s="16"/>
      <c r="AZ62" s="27"/>
      <c r="BB62" s="27"/>
      <c r="BC62" s="16"/>
      <c r="BD62" s="16"/>
      <c r="BE62" s="27"/>
      <c r="BG62" s="27"/>
      <c r="BH62" s="16"/>
      <c r="BI62" s="16"/>
      <c r="BJ62" s="27"/>
      <c r="BL62" s="27"/>
      <c r="BM62" s="16"/>
      <c r="BN62" s="16"/>
      <c r="BO62" s="27"/>
      <c r="BQ62" s="27"/>
      <c r="BR62" s="16"/>
      <c r="BS62" s="16"/>
      <c r="BT62" s="27"/>
      <c r="BV62" s="27"/>
      <c r="BW62" s="16"/>
      <c r="BX62" s="16"/>
      <c r="BY62" s="27"/>
      <c r="CA62" s="27"/>
      <c r="CB62" s="16"/>
      <c r="CC62" s="16"/>
      <c r="CD62" s="27"/>
      <c r="CF62" s="27"/>
      <c r="CG62" s="16"/>
      <c r="CH62" s="16"/>
      <c r="CI62" s="27"/>
      <c r="CK62" s="27"/>
      <c r="CL62" s="16"/>
      <c r="CM62" s="16"/>
      <c r="CN62" s="27"/>
      <c r="CP62" s="27"/>
      <c r="CQ62" s="16"/>
      <c r="CR62" s="16"/>
      <c r="CS62" s="27"/>
      <c r="CU62" s="27"/>
      <c r="CV62" s="16"/>
      <c r="CW62" s="16"/>
      <c r="CX62" s="27"/>
      <c r="CZ62" s="27"/>
      <c r="DA62" s="16"/>
      <c r="DB62" s="16"/>
      <c r="DC62" s="27"/>
      <c r="DE62" s="27"/>
      <c r="DF62" s="16"/>
      <c r="DG62" s="16"/>
      <c r="DH62" s="27"/>
      <c r="DJ62" s="27"/>
      <c r="DK62" s="16"/>
      <c r="DL62" s="16"/>
      <c r="DM62" s="27"/>
      <c r="DO62" s="27"/>
      <c r="DP62" s="16"/>
      <c r="DQ62" s="16"/>
      <c r="DR62" s="27"/>
      <c r="DT62" s="27"/>
      <c r="DU62" s="16"/>
      <c r="DV62" s="16"/>
      <c r="DW62" s="27"/>
      <c r="DY62" s="27"/>
      <c r="DZ62" s="16"/>
      <c r="EA62" s="16"/>
      <c r="EB62" s="302"/>
    </row>
    <row r="63" spans="1:150" s="14" customFormat="1" ht="21" x14ac:dyDescent="0.4">
      <c r="A63" s="27"/>
      <c r="B63" s="27"/>
      <c r="C63" s="27"/>
      <c r="E63" s="16"/>
      <c r="F63" s="27"/>
      <c r="G63" s="27"/>
      <c r="I63" s="27"/>
      <c r="J63" s="16"/>
      <c r="K63" s="16"/>
      <c r="L63" s="27"/>
      <c r="N63" s="27"/>
      <c r="O63" s="16"/>
      <c r="P63" s="16"/>
      <c r="Q63" s="27"/>
      <c r="S63" s="27"/>
      <c r="T63" s="16"/>
      <c r="U63" s="16"/>
      <c r="V63" s="27"/>
      <c r="X63" s="27"/>
      <c r="Y63" s="16"/>
      <c r="Z63" s="16"/>
      <c r="AA63" s="27"/>
      <c r="AC63" s="27"/>
      <c r="AD63" s="16"/>
      <c r="AE63" s="16"/>
      <c r="AF63" s="27"/>
      <c r="AH63" s="27"/>
      <c r="AI63" s="16"/>
      <c r="AJ63" s="16"/>
      <c r="AK63" s="27"/>
      <c r="AM63" s="27"/>
      <c r="AN63" s="16"/>
      <c r="AO63" s="16"/>
      <c r="AP63" s="27"/>
      <c r="AR63" s="27"/>
      <c r="AS63" s="16"/>
      <c r="AT63" s="16"/>
      <c r="AU63" s="27"/>
      <c r="AW63" s="27"/>
      <c r="AX63" s="16"/>
      <c r="AY63" s="16"/>
      <c r="AZ63" s="27"/>
      <c r="BB63" s="27"/>
      <c r="BC63" s="16"/>
      <c r="BD63" s="16"/>
      <c r="BE63" s="27"/>
      <c r="BG63" s="27"/>
      <c r="BH63" s="16"/>
      <c r="BI63" s="16"/>
      <c r="BJ63" s="27"/>
      <c r="BL63" s="27"/>
      <c r="BM63" s="16"/>
      <c r="BN63" s="16"/>
      <c r="BO63" s="27"/>
      <c r="BQ63" s="27"/>
      <c r="BR63" s="16"/>
      <c r="BS63" s="16"/>
      <c r="BT63" s="27"/>
      <c r="BV63" s="27"/>
      <c r="BW63" s="16"/>
      <c r="BX63" s="16"/>
      <c r="BY63" s="27"/>
      <c r="CA63" s="27"/>
      <c r="CB63" s="16"/>
      <c r="CC63" s="16"/>
      <c r="CD63" s="27"/>
      <c r="CF63" s="27"/>
      <c r="CG63" s="16"/>
      <c r="CH63" s="16"/>
      <c r="CI63" s="27"/>
      <c r="CK63" s="27"/>
      <c r="CL63" s="16"/>
      <c r="CM63" s="16"/>
      <c r="CN63" s="27"/>
      <c r="CP63" s="27"/>
      <c r="CQ63" s="16"/>
      <c r="CR63" s="16"/>
      <c r="CS63" s="27"/>
      <c r="CU63" s="27"/>
      <c r="CV63" s="16"/>
      <c r="CW63" s="16"/>
      <c r="CX63" s="27"/>
      <c r="CZ63" s="27"/>
      <c r="DA63" s="16"/>
      <c r="DB63" s="16"/>
      <c r="DC63" s="27"/>
      <c r="DE63" s="27"/>
      <c r="DF63" s="16"/>
      <c r="DG63" s="16"/>
      <c r="DH63" s="27"/>
      <c r="DJ63" s="27"/>
      <c r="DK63" s="16"/>
      <c r="DL63" s="16"/>
      <c r="DM63" s="27"/>
      <c r="DO63" s="27"/>
      <c r="DP63" s="16"/>
      <c r="DQ63" s="16"/>
      <c r="DR63" s="27"/>
      <c r="DT63" s="27"/>
      <c r="DU63" s="16"/>
      <c r="DV63" s="16"/>
      <c r="DW63" s="27"/>
      <c r="DY63" s="27"/>
      <c r="DZ63" s="16"/>
      <c r="EA63" s="16"/>
      <c r="EB63" s="302"/>
    </row>
    <row r="64" spans="1:150" s="14" customFormat="1" ht="21" x14ac:dyDescent="0.4">
      <c r="A64" s="27"/>
      <c r="B64" s="27"/>
      <c r="C64" s="27"/>
      <c r="E64" s="16"/>
      <c r="F64" s="27"/>
      <c r="G64" s="27"/>
      <c r="I64" s="27"/>
      <c r="J64" s="16"/>
      <c r="K64" s="16"/>
      <c r="L64" s="27"/>
      <c r="N64" s="27"/>
      <c r="O64" s="16"/>
      <c r="P64" s="16"/>
      <c r="Q64" s="27"/>
      <c r="S64" s="27"/>
      <c r="T64" s="16"/>
      <c r="U64" s="16"/>
      <c r="V64" s="27"/>
      <c r="X64" s="27"/>
      <c r="Y64" s="16"/>
      <c r="Z64" s="16"/>
      <c r="AA64" s="27"/>
      <c r="AC64" s="27"/>
      <c r="AD64" s="16"/>
      <c r="AE64" s="16"/>
      <c r="AF64" s="27"/>
      <c r="AH64" s="27"/>
      <c r="AI64" s="16"/>
      <c r="AJ64" s="16"/>
      <c r="AK64" s="27"/>
      <c r="AM64" s="27"/>
      <c r="AN64" s="16"/>
      <c r="AO64" s="16"/>
      <c r="AP64" s="27"/>
      <c r="AR64" s="27"/>
      <c r="AS64" s="16"/>
      <c r="AT64" s="16"/>
      <c r="AU64" s="27"/>
      <c r="AW64" s="27"/>
      <c r="AX64" s="16"/>
      <c r="AY64" s="16"/>
      <c r="AZ64" s="27"/>
      <c r="BB64" s="27"/>
      <c r="BC64" s="16"/>
      <c r="BD64" s="16"/>
      <c r="BE64" s="27"/>
      <c r="BG64" s="27"/>
      <c r="BH64" s="16"/>
      <c r="BI64" s="16"/>
      <c r="BJ64" s="27"/>
      <c r="BL64" s="27"/>
      <c r="BM64" s="16"/>
      <c r="BN64" s="16"/>
      <c r="BO64" s="27"/>
      <c r="BQ64" s="27"/>
      <c r="BR64" s="16"/>
      <c r="BS64" s="16"/>
      <c r="BT64" s="27"/>
      <c r="BV64" s="27"/>
      <c r="BW64" s="16"/>
      <c r="BX64" s="16"/>
      <c r="BY64" s="27"/>
      <c r="CA64" s="27"/>
      <c r="CB64" s="16"/>
      <c r="CC64" s="16"/>
      <c r="CD64" s="27"/>
      <c r="CF64" s="27"/>
      <c r="CG64" s="16"/>
      <c r="CH64" s="16"/>
      <c r="CI64" s="27"/>
      <c r="CK64" s="27"/>
      <c r="CL64" s="16"/>
      <c r="CM64" s="16"/>
      <c r="CN64" s="27"/>
      <c r="CP64" s="27"/>
      <c r="CQ64" s="16"/>
      <c r="CR64" s="16"/>
      <c r="CS64" s="27"/>
      <c r="CU64" s="27"/>
      <c r="CV64" s="16"/>
      <c r="CW64" s="16"/>
      <c r="CX64" s="27"/>
      <c r="CZ64" s="27"/>
      <c r="DA64" s="16"/>
      <c r="DB64" s="16"/>
      <c r="DC64" s="27"/>
      <c r="DE64" s="27"/>
      <c r="DF64" s="16"/>
      <c r="DG64" s="16"/>
      <c r="DH64" s="27"/>
      <c r="DJ64" s="27"/>
      <c r="DK64" s="16"/>
      <c r="DL64" s="16"/>
      <c r="DM64" s="27"/>
      <c r="DO64" s="27"/>
      <c r="DP64" s="16"/>
      <c r="DQ64" s="16"/>
      <c r="DR64" s="27"/>
      <c r="DT64" s="27"/>
      <c r="DU64" s="16"/>
      <c r="DV64" s="16"/>
      <c r="DW64" s="27"/>
      <c r="DY64" s="27"/>
      <c r="DZ64" s="16"/>
      <c r="EA64" s="16"/>
      <c r="EB64" s="302"/>
    </row>
    <row r="65" spans="1:132" s="14" customFormat="1" ht="21" x14ac:dyDescent="0.4">
      <c r="A65" s="27"/>
      <c r="B65" s="27"/>
      <c r="C65" s="27"/>
      <c r="E65" s="16"/>
      <c r="F65" s="27"/>
      <c r="G65" s="27"/>
      <c r="I65" s="27"/>
      <c r="J65" s="16"/>
      <c r="K65" s="16"/>
      <c r="L65" s="27"/>
      <c r="N65" s="27"/>
      <c r="O65" s="16"/>
      <c r="P65" s="16"/>
      <c r="Q65" s="27"/>
      <c r="S65" s="27"/>
      <c r="T65" s="16"/>
      <c r="U65" s="16"/>
      <c r="V65" s="27"/>
      <c r="X65" s="27"/>
      <c r="Y65" s="16"/>
      <c r="Z65" s="16"/>
      <c r="AA65" s="27"/>
      <c r="AC65" s="27"/>
      <c r="AD65" s="16"/>
      <c r="AE65" s="16"/>
      <c r="AF65" s="27"/>
      <c r="AH65" s="27"/>
      <c r="AI65" s="16"/>
      <c r="AJ65" s="16"/>
      <c r="AK65" s="27"/>
      <c r="AM65" s="27"/>
      <c r="AN65" s="16"/>
      <c r="AO65" s="16"/>
      <c r="AP65" s="27"/>
      <c r="AR65" s="27"/>
      <c r="AS65" s="16"/>
      <c r="AT65" s="16"/>
      <c r="AU65" s="27"/>
      <c r="AW65" s="27"/>
      <c r="AX65" s="16"/>
      <c r="AY65" s="16"/>
      <c r="AZ65" s="27"/>
      <c r="BB65" s="27"/>
      <c r="BC65" s="16"/>
      <c r="BD65" s="16"/>
      <c r="BE65" s="27"/>
      <c r="BG65" s="27"/>
      <c r="BH65" s="16"/>
      <c r="BI65" s="16"/>
      <c r="BJ65" s="27"/>
      <c r="BL65" s="27"/>
      <c r="BM65" s="16"/>
      <c r="BN65" s="16"/>
      <c r="BO65" s="27"/>
      <c r="BQ65" s="27"/>
      <c r="BR65" s="16"/>
      <c r="BS65" s="16"/>
      <c r="BT65" s="27"/>
      <c r="BV65" s="27"/>
      <c r="BW65" s="16"/>
      <c r="BX65" s="16"/>
      <c r="BY65" s="27"/>
      <c r="CA65" s="27"/>
      <c r="CB65" s="16"/>
      <c r="CC65" s="16"/>
      <c r="CD65" s="27"/>
      <c r="CF65" s="27"/>
      <c r="CG65" s="16"/>
      <c r="CH65" s="16"/>
      <c r="CI65" s="27"/>
      <c r="CK65" s="27"/>
      <c r="CL65" s="16"/>
      <c r="CM65" s="16"/>
      <c r="CN65" s="27"/>
      <c r="CP65" s="27"/>
      <c r="CQ65" s="16"/>
      <c r="CR65" s="16"/>
      <c r="CS65" s="27"/>
      <c r="CU65" s="27"/>
      <c r="CV65" s="16"/>
      <c r="CW65" s="16"/>
      <c r="CX65" s="27"/>
      <c r="CZ65" s="27"/>
      <c r="DA65" s="16"/>
      <c r="DB65" s="16"/>
      <c r="DC65" s="27"/>
      <c r="DE65" s="27"/>
      <c r="DF65" s="16"/>
      <c r="DG65" s="16"/>
      <c r="DH65" s="27"/>
      <c r="DJ65" s="27"/>
      <c r="DK65" s="16"/>
      <c r="DL65" s="16"/>
      <c r="DM65" s="27"/>
      <c r="DO65" s="27"/>
      <c r="DP65" s="16"/>
      <c r="DQ65" s="16"/>
      <c r="DR65" s="27"/>
      <c r="DT65" s="27"/>
      <c r="DU65" s="16"/>
      <c r="DV65" s="16"/>
      <c r="DW65" s="27"/>
      <c r="DY65" s="27"/>
      <c r="DZ65" s="16"/>
      <c r="EA65" s="16"/>
      <c r="EB65" s="302"/>
    </row>
    <row r="66" spans="1:132" s="14" customFormat="1" ht="21" x14ac:dyDescent="0.4">
      <c r="A66" s="27"/>
      <c r="B66" s="27"/>
      <c r="C66" s="27"/>
      <c r="E66" s="16"/>
      <c r="F66" s="27"/>
      <c r="G66" s="27"/>
      <c r="I66" s="27"/>
      <c r="J66" s="16"/>
      <c r="K66" s="16"/>
      <c r="L66" s="27"/>
      <c r="N66" s="27"/>
      <c r="O66" s="16"/>
      <c r="P66" s="16"/>
      <c r="Q66" s="27"/>
      <c r="S66" s="27"/>
      <c r="T66" s="16"/>
      <c r="U66" s="16"/>
      <c r="V66" s="27"/>
      <c r="X66" s="27"/>
      <c r="Y66" s="16"/>
      <c r="Z66" s="16"/>
      <c r="AA66" s="27"/>
      <c r="AC66" s="27"/>
      <c r="AD66" s="16"/>
      <c r="AE66" s="16"/>
      <c r="AF66" s="27"/>
      <c r="AH66" s="27"/>
      <c r="AI66" s="16"/>
      <c r="AJ66" s="16"/>
      <c r="AK66" s="27"/>
      <c r="AM66" s="27"/>
      <c r="AN66" s="16"/>
      <c r="AO66" s="16"/>
      <c r="AP66" s="27"/>
      <c r="AR66" s="27"/>
      <c r="AS66" s="16"/>
      <c r="AT66" s="16"/>
      <c r="AU66" s="27"/>
      <c r="AW66" s="27"/>
      <c r="AX66" s="16"/>
      <c r="AY66" s="16"/>
      <c r="AZ66" s="27"/>
      <c r="BB66" s="27"/>
      <c r="BC66" s="16"/>
      <c r="BD66" s="16"/>
      <c r="BE66" s="27"/>
      <c r="BG66" s="27"/>
      <c r="BH66" s="16"/>
      <c r="BI66" s="16"/>
      <c r="BJ66" s="27"/>
      <c r="BL66" s="27"/>
      <c r="BM66" s="16"/>
      <c r="BN66" s="16"/>
      <c r="BO66" s="27"/>
      <c r="BQ66" s="27"/>
      <c r="BR66" s="16"/>
      <c r="BS66" s="16"/>
      <c r="BT66" s="27"/>
      <c r="BV66" s="27"/>
      <c r="BW66" s="16"/>
      <c r="BX66" s="16"/>
      <c r="BY66" s="27"/>
      <c r="CA66" s="27"/>
      <c r="CB66" s="16"/>
      <c r="CC66" s="16"/>
      <c r="CD66" s="27"/>
      <c r="CF66" s="27"/>
      <c r="CG66" s="16"/>
      <c r="CH66" s="16"/>
      <c r="CI66" s="27"/>
      <c r="CK66" s="27"/>
      <c r="CL66" s="16"/>
      <c r="CM66" s="16"/>
      <c r="CN66" s="27"/>
      <c r="CP66" s="27"/>
      <c r="CQ66" s="16"/>
      <c r="CR66" s="16"/>
      <c r="CS66" s="27"/>
      <c r="CU66" s="27"/>
      <c r="CV66" s="16"/>
      <c r="CW66" s="16"/>
      <c r="CX66" s="27"/>
      <c r="CZ66" s="27"/>
      <c r="DA66" s="16"/>
      <c r="DB66" s="16"/>
      <c r="DC66" s="27"/>
      <c r="DE66" s="27"/>
      <c r="DF66" s="16"/>
      <c r="DG66" s="16"/>
      <c r="DH66" s="27"/>
      <c r="DJ66" s="27"/>
      <c r="DK66" s="16"/>
      <c r="DL66" s="16"/>
      <c r="DM66" s="27"/>
      <c r="DO66" s="27"/>
      <c r="DP66" s="16"/>
      <c r="DQ66" s="16"/>
      <c r="DR66" s="27"/>
      <c r="DT66" s="27"/>
      <c r="DU66" s="16"/>
      <c r="DV66" s="16"/>
      <c r="DW66" s="27"/>
      <c r="DY66" s="27"/>
      <c r="DZ66" s="16"/>
      <c r="EA66" s="16"/>
      <c r="EB66" s="302"/>
    </row>
    <row r="67" spans="1:132" s="14" customFormat="1" ht="21" x14ac:dyDescent="0.4">
      <c r="A67" s="27"/>
      <c r="B67" s="27"/>
      <c r="C67" s="27"/>
      <c r="E67" s="16"/>
      <c r="F67" s="27"/>
      <c r="G67" s="27"/>
      <c r="I67" s="27"/>
      <c r="J67" s="16"/>
      <c r="K67" s="16"/>
      <c r="L67" s="27"/>
      <c r="N67" s="27"/>
      <c r="O67" s="16"/>
      <c r="P67" s="16"/>
      <c r="Q67" s="27"/>
      <c r="S67" s="27"/>
      <c r="T67" s="16"/>
      <c r="U67" s="16"/>
      <c r="V67" s="27"/>
      <c r="X67" s="27"/>
      <c r="Y67" s="16"/>
      <c r="Z67" s="16"/>
      <c r="AA67" s="27"/>
      <c r="AC67" s="27"/>
      <c r="AD67" s="16"/>
      <c r="AE67" s="16"/>
      <c r="AF67" s="27"/>
      <c r="AH67" s="27"/>
      <c r="AI67" s="16"/>
      <c r="AJ67" s="16"/>
      <c r="AK67" s="27"/>
      <c r="AM67" s="27"/>
      <c r="AN67" s="16"/>
      <c r="AO67" s="16"/>
      <c r="AP67" s="27"/>
      <c r="AR67" s="27"/>
      <c r="AS67" s="16"/>
      <c r="AT67" s="16"/>
      <c r="AU67" s="27"/>
      <c r="AW67" s="27"/>
      <c r="AX67" s="16"/>
      <c r="AY67" s="16"/>
      <c r="AZ67" s="27"/>
      <c r="BB67" s="27"/>
      <c r="BC67" s="16"/>
      <c r="BD67" s="16"/>
      <c r="BE67" s="27"/>
      <c r="BG67" s="27"/>
      <c r="BH67" s="16"/>
      <c r="BI67" s="16"/>
      <c r="BJ67" s="27"/>
      <c r="BL67" s="27"/>
      <c r="BM67" s="16"/>
      <c r="BN67" s="16"/>
      <c r="BO67" s="27"/>
      <c r="BQ67" s="27"/>
      <c r="BR67" s="16"/>
      <c r="BS67" s="16"/>
      <c r="BT67" s="27"/>
      <c r="BV67" s="27"/>
      <c r="BW67" s="16"/>
      <c r="BX67" s="16"/>
      <c r="BY67" s="27"/>
      <c r="CA67" s="27"/>
      <c r="CB67" s="16"/>
      <c r="CC67" s="16"/>
      <c r="CD67" s="27"/>
      <c r="CF67" s="27"/>
      <c r="CG67" s="16"/>
      <c r="CH67" s="16"/>
      <c r="CI67" s="27"/>
      <c r="CK67" s="27"/>
      <c r="CL67" s="16"/>
      <c r="CM67" s="16"/>
      <c r="CN67" s="27"/>
      <c r="CP67" s="27"/>
      <c r="CQ67" s="16"/>
      <c r="CR67" s="16"/>
      <c r="CS67" s="27"/>
      <c r="CU67" s="27"/>
      <c r="CV67" s="16"/>
      <c r="CW67" s="16"/>
      <c r="CX67" s="27"/>
      <c r="CZ67" s="27"/>
      <c r="DA67" s="16"/>
      <c r="DB67" s="16"/>
      <c r="DC67" s="27"/>
      <c r="DE67" s="27"/>
      <c r="DF67" s="16"/>
      <c r="DG67" s="16"/>
      <c r="DH67" s="27"/>
      <c r="DJ67" s="27"/>
      <c r="DK67" s="16"/>
      <c r="DL67" s="16"/>
      <c r="DM67" s="27"/>
      <c r="DO67" s="27"/>
      <c r="DP67" s="16"/>
      <c r="DQ67" s="16"/>
      <c r="DR67" s="27"/>
      <c r="DT67" s="27"/>
      <c r="DU67" s="16"/>
      <c r="DV67" s="16"/>
      <c r="DW67" s="27"/>
      <c r="DY67" s="27"/>
      <c r="DZ67" s="16"/>
      <c r="EA67" s="16"/>
      <c r="EB67" s="302"/>
    </row>
    <row r="68" spans="1:132" s="14" customFormat="1" ht="21" x14ac:dyDescent="0.4">
      <c r="A68" s="27"/>
      <c r="B68" s="27"/>
      <c r="C68" s="27"/>
      <c r="E68" s="16"/>
      <c r="F68" s="27"/>
      <c r="G68" s="27"/>
      <c r="I68" s="27"/>
      <c r="J68" s="16"/>
      <c r="K68" s="16"/>
      <c r="L68" s="27"/>
      <c r="N68" s="27"/>
      <c r="O68" s="16"/>
      <c r="P68" s="16"/>
      <c r="Q68" s="27"/>
      <c r="S68" s="27"/>
      <c r="T68" s="16"/>
      <c r="U68" s="16"/>
      <c r="V68" s="27"/>
      <c r="X68" s="27"/>
      <c r="Y68" s="16"/>
      <c r="Z68" s="16"/>
      <c r="AA68" s="27"/>
      <c r="AC68" s="27"/>
      <c r="AD68" s="16"/>
      <c r="AE68" s="16"/>
      <c r="AF68" s="27"/>
      <c r="AH68" s="27"/>
      <c r="AI68" s="16"/>
      <c r="AJ68" s="16"/>
      <c r="AK68" s="27"/>
      <c r="AM68" s="27"/>
      <c r="AN68" s="16"/>
      <c r="AO68" s="16"/>
      <c r="AP68" s="27"/>
      <c r="AR68" s="27"/>
      <c r="AS68" s="16"/>
      <c r="AT68" s="16"/>
      <c r="AU68" s="27"/>
      <c r="AW68" s="27"/>
      <c r="AX68" s="16"/>
      <c r="AY68" s="16"/>
      <c r="AZ68" s="27"/>
      <c r="BB68" s="27"/>
      <c r="BC68" s="16"/>
      <c r="BD68" s="16"/>
      <c r="BE68" s="27"/>
      <c r="BG68" s="27"/>
      <c r="BH68" s="16"/>
      <c r="BI68" s="16"/>
      <c r="BJ68" s="27"/>
      <c r="BL68" s="27"/>
      <c r="BM68" s="16"/>
      <c r="BN68" s="16"/>
      <c r="BO68" s="27"/>
      <c r="BQ68" s="27"/>
      <c r="BR68" s="16"/>
      <c r="BS68" s="16"/>
      <c r="BT68" s="27"/>
      <c r="BV68" s="27"/>
      <c r="BW68" s="16"/>
      <c r="BX68" s="16"/>
      <c r="BY68" s="27"/>
      <c r="CA68" s="27"/>
      <c r="CB68" s="16"/>
      <c r="CC68" s="16"/>
      <c r="CD68" s="27"/>
      <c r="CF68" s="27"/>
      <c r="CG68" s="16"/>
      <c r="CH68" s="16"/>
      <c r="CI68" s="27"/>
      <c r="CK68" s="27"/>
      <c r="CL68" s="16"/>
      <c r="CM68" s="16"/>
      <c r="CN68" s="27"/>
      <c r="CP68" s="27"/>
      <c r="CQ68" s="16"/>
      <c r="CR68" s="16"/>
      <c r="CS68" s="27"/>
      <c r="CU68" s="27"/>
      <c r="CV68" s="16"/>
      <c r="CW68" s="16"/>
      <c r="CX68" s="27"/>
      <c r="CZ68" s="27"/>
      <c r="DA68" s="16"/>
      <c r="DB68" s="16"/>
      <c r="DC68" s="27"/>
      <c r="DE68" s="27"/>
      <c r="DF68" s="16"/>
      <c r="DG68" s="16"/>
      <c r="DH68" s="27"/>
      <c r="DJ68" s="27"/>
      <c r="DK68" s="16"/>
      <c r="DL68" s="16"/>
      <c r="DM68" s="27"/>
      <c r="DO68" s="27"/>
      <c r="DP68" s="16"/>
      <c r="DQ68" s="16"/>
      <c r="DR68" s="27"/>
      <c r="DT68" s="27"/>
      <c r="DU68" s="16"/>
      <c r="DV68" s="16"/>
      <c r="DW68" s="27"/>
      <c r="DY68" s="27"/>
      <c r="DZ68" s="16"/>
      <c r="EA68" s="16"/>
      <c r="EB68" s="302"/>
    </row>
    <row r="69" spans="1:132" s="14" customFormat="1" ht="21" x14ac:dyDescent="0.4">
      <c r="A69" s="27"/>
      <c r="B69" s="27"/>
      <c r="C69" s="27"/>
      <c r="E69" s="16"/>
      <c r="F69" s="27"/>
      <c r="G69" s="27"/>
      <c r="I69" s="27"/>
      <c r="J69" s="16"/>
      <c r="K69" s="16"/>
      <c r="L69" s="27"/>
      <c r="N69" s="27"/>
      <c r="O69" s="16"/>
      <c r="P69" s="16"/>
      <c r="Q69" s="27"/>
      <c r="S69" s="27"/>
      <c r="T69" s="16"/>
      <c r="U69" s="16"/>
      <c r="V69" s="27"/>
      <c r="X69" s="27"/>
      <c r="Y69" s="16"/>
      <c r="Z69" s="16"/>
      <c r="AA69" s="27"/>
      <c r="AC69" s="27"/>
      <c r="AD69" s="16"/>
      <c r="AE69" s="16"/>
      <c r="AF69" s="27"/>
      <c r="AH69" s="27"/>
      <c r="AI69" s="16"/>
      <c r="AJ69" s="16"/>
      <c r="AK69" s="27"/>
      <c r="AM69" s="27"/>
      <c r="AN69" s="16"/>
      <c r="AO69" s="16"/>
      <c r="AP69" s="27"/>
      <c r="AR69" s="27"/>
      <c r="AS69" s="16"/>
      <c r="AT69" s="16"/>
      <c r="AU69" s="27"/>
      <c r="AW69" s="27"/>
      <c r="AX69" s="16"/>
      <c r="AY69" s="16"/>
      <c r="AZ69" s="27"/>
      <c r="BB69" s="27"/>
      <c r="BC69" s="16"/>
      <c r="BD69" s="16"/>
      <c r="BE69" s="27"/>
      <c r="BG69" s="27"/>
      <c r="BH69" s="16"/>
      <c r="BI69" s="16"/>
      <c r="BJ69" s="27"/>
      <c r="BL69" s="27"/>
      <c r="BM69" s="16"/>
      <c r="BN69" s="16"/>
      <c r="BO69" s="27"/>
      <c r="BQ69" s="27"/>
      <c r="BR69" s="16"/>
      <c r="BS69" s="16"/>
      <c r="BT69" s="27"/>
      <c r="BV69" s="27"/>
      <c r="BW69" s="16"/>
      <c r="BX69" s="16"/>
      <c r="BY69" s="27"/>
      <c r="CA69" s="27"/>
      <c r="CB69" s="16"/>
      <c r="CC69" s="16"/>
      <c r="CD69" s="27"/>
      <c r="CF69" s="27"/>
      <c r="CG69" s="16"/>
      <c r="CH69" s="16"/>
      <c r="CI69" s="27"/>
      <c r="CK69" s="27"/>
      <c r="CL69" s="16"/>
      <c r="CM69" s="16"/>
      <c r="CN69" s="27"/>
      <c r="CP69" s="27"/>
      <c r="CQ69" s="16"/>
      <c r="CR69" s="16"/>
      <c r="CS69" s="27"/>
      <c r="CU69" s="27"/>
      <c r="CV69" s="16"/>
      <c r="CW69" s="16"/>
      <c r="CX69" s="27"/>
      <c r="CZ69" s="27"/>
      <c r="DA69" s="16"/>
      <c r="DB69" s="16"/>
      <c r="DC69" s="27"/>
      <c r="DE69" s="27"/>
      <c r="DF69" s="16"/>
      <c r="DG69" s="16"/>
      <c r="DH69" s="27"/>
      <c r="DJ69" s="27"/>
      <c r="DK69" s="16"/>
      <c r="DL69" s="16"/>
      <c r="DM69" s="27"/>
      <c r="DO69" s="27"/>
      <c r="DP69" s="16"/>
      <c r="DQ69" s="16"/>
      <c r="DR69" s="27"/>
      <c r="DT69" s="27"/>
      <c r="DU69" s="16"/>
      <c r="DV69" s="16"/>
      <c r="DW69" s="27"/>
      <c r="DY69" s="27"/>
      <c r="DZ69" s="16"/>
      <c r="EA69" s="16"/>
      <c r="EB69" s="302"/>
    </row>
    <row r="70" spans="1:132" s="14" customFormat="1" ht="21" x14ac:dyDescent="0.4">
      <c r="A70" s="27"/>
      <c r="B70" s="27"/>
      <c r="C70" s="27"/>
      <c r="E70" s="16"/>
      <c r="F70" s="27"/>
      <c r="G70" s="27"/>
      <c r="I70" s="27"/>
      <c r="J70" s="16"/>
      <c r="K70" s="16"/>
      <c r="L70" s="27"/>
      <c r="N70" s="27"/>
      <c r="O70" s="16"/>
      <c r="P70" s="16"/>
      <c r="Q70" s="27"/>
      <c r="S70" s="27"/>
      <c r="T70" s="16"/>
      <c r="U70" s="16"/>
      <c r="V70" s="27"/>
      <c r="X70" s="27"/>
      <c r="Y70" s="16"/>
      <c r="Z70" s="16"/>
      <c r="AA70" s="27"/>
      <c r="AC70" s="27"/>
      <c r="AD70" s="16"/>
      <c r="AE70" s="16"/>
      <c r="AF70" s="27"/>
      <c r="AH70" s="27"/>
      <c r="AI70" s="16"/>
      <c r="AJ70" s="16"/>
      <c r="AK70" s="27"/>
      <c r="AM70" s="27"/>
      <c r="AN70" s="16"/>
      <c r="AO70" s="16"/>
      <c r="AP70" s="27"/>
      <c r="AR70" s="27"/>
      <c r="AS70" s="16"/>
      <c r="AT70" s="16"/>
      <c r="AU70" s="27"/>
      <c r="AW70" s="27"/>
      <c r="AX70" s="16"/>
      <c r="AY70" s="16"/>
      <c r="AZ70" s="27"/>
      <c r="BB70" s="27"/>
      <c r="BC70" s="16"/>
      <c r="BD70" s="16"/>
      <c r="BE70" s="27"/>
      <c r="BG70" s="27"/>
      <c r="BH70" s="16"/>
      <c r="BI70" s="16"/>
      <c r="BJ70" s="27"/>
      <c r="BL70" s="27"/>
      <c r="BM70" s="16"/>
      <c r="BN70" s="16"/>
      <c r="BO70" s="27"/>
      <c r="BQ70" s="27"/>
      <c r="BR70" s="16"/>
      <c r="BS70" s="16"/>
      <c r="BT70" s="27"/>
      <c r="BV70" s="27"/>
      <c r="BW70" s="16"/>
      <c r="BX70" s="16"/>
      <c r="BY70" s="27"/>
      <c r="CA70" s="27"/>
      <c r="CB70" s="16"/>
      <c r="CC70" s="16"/>
      <c r="CD70" s="27"/>
      <c r="CF70" s="27"/>
      <c r="CG70" s="16"/>
      <c r="CH70" s="16"/>
      <c r="CI70" s="27"/>
      <c r="CK70" s="27"/>
      <c r="CL70" s="16"/>
      <c r="CM70" s="16"/>
      <c r="CN70" s="27"/>
      <c r="CP70" s="27"/>
      <c r="CQ70" s="16"/>
      <c r="CR70" s="16"/>
      <c r="CS70" s="27"/>
      <c r="CU70" s="27"/>
      <c r="CV70" s="16"/>
      <c r="CW70" s="16"/>
      <c r="CX70" s="27"/>
      <c r="CZ70" s="27"/>
      <c r="DA70" s="16"/>
      <c r="DB70" s="16"/>
      <c r="DC70" s="27"/>
      <c r="DE70" s="27"/>
      <c r="DF70" s="16"/>
      <c r="DG70" s="16"/>
      <c r="DH70" s="27"/>
      <c r="DJ70" s="27"/>
      <c r="DK70" s="16"/>
      <c r="DL70" s="16"/>
      <c r="DM70" s="27"/>
      <c r="DO70" s="27"/>
      <c r="DP70" s="16"/>
      <c r="DQ70" s="16"/>
      <c r="DR70" s="27"/>
      <c r="DT70" s="27"/>
      <c r="DU70" s="16"/>
      <c r="DV70" s="16"/>
      <c r="DW70" s="27"/>
      <c r="DY70" s="27"/>
      <c r="DZ70" s="16"/>
      <c r="EA70" s="16"/>
      <c r="EB70" s="302"/>
    </row>
    <row r="71" spans="1:132" s="14" customFormat="1" ht="21" x14ac:dyDescent="0.4">
      <c r="A71" s="27"/>
      <c r="B71" s="27"/>
      <c r="C71" s="27"/>
      <c r="E71" s="16"/>
      <c r="F71" s="27"/>
      <c r="G71" s="27"/>
      <c r="I71" s="27"/>
      <c r="J71" s="16"/>
      <c r="K71" s="16"/>
      <c r="L71" s="27"/>
      <c r="N71" s="27"/>
      <c r="O71" s="16"/>
      <c r="P71" s="16"/>
      <c r="Q71" s="27"/>
      <c r="S71" s="27"/>
      <c r="T71" s="16"/>
      <c r="U71" s="16"/>
      <c r="V71" s="27"/>
      <c r="X71" s="27"/>
      <c r="Y71" s="16"/>
      <c r="Z71" s="16"/>
      <c r="AA71" s="27"/>
      <c r="AC71" s="27"/>
      <c r="AD71" s="16"/>
      <c r="AE71" s="16"/>
      <c r="AF71" s="27"/>
      <c r="AH71" s="27"/>
      <c r="AI71" s="16"/>
      <c r="AJ71" s="16"/>
      <c r="AK71" s="27"/>
      <c r="AM71" s="27"/>
      <c r="AN71" s="16"/>
      <c r="AO71" s="16"/>
      <c r="AP71" s="27"/>
      <c r="AR71" s="27"/>
      <c r="AS71" s="16"/>
      <c r="AT71" s="16"/>
      <c r="AU71" s="27"/>
      <c r="AW71" s="27"/>
      <c r="AX71" s="16"/>
      <c r="AY71" s="16"/>
      <c r="AZ71" s="27"/>
      <c r="BB71" s="27"/>
      <c r="BC71" s="16"/>
      <c r="BD71" s="16"/>
      <c r="BE71" s="27"/>
      <c r="BG71" s="27"/>
      <c r="BH71" s="16"/>
      <c r="BI71" s="16"/>
      <c r="BJ71" s="27"/>
      <c r="BL71" s="27"/>
      <c r="BM71" s="16"/>
      <c r="BN71" s="16"/>
      <c r="BO71" s="27"/>
      <c r="BQ71" s="27"/>
      <c r="BR71" s="16"/>
      <c r="BS71" s="16"/>
      <c r="BT71" s="27"/>
      <c r="BV71" s="27"/>
      <c r="BW71" s="16"/>
      <c r="BX71" s="16"/>
      <c r="BY71" s="27"/>
      <c r="CA71" s="27"/>
      <c r="CB71" s="16"/>
      <c r="CC71" s="16"/>
      <c r="CD71" s="27"/>
      <c r="CF71" s="27"/>
      <c r="CG71" s="16"/>
      <c r="CH71" s="16"/>
      <c r="CI71" s="27"/>
      <c r="CK71" s="27"/>
      <c r="CL71" s="16"/>
      <c r="CM71" s="16"/>
      <c r="CN71" s="27"/>
      <c r="CP71" s="27"/>
      <c r="CQ71" s="16"/>
      <c r="CR71" s="16"/>
      <c r="CS71" s="27"/>
      <c r="CU71" s="27"/>
      <c r="CV71" s="16"/>
      <c r="CW71" s="16"/>
      <c r="CX71" s="27"/>
      <c r="CZ71" s="27"/>
      <c r="DA71" s="16"/>
      <c r="DB71" s="16"/>
      <c r="DC71" s="27"/>
      <c r="DE71" s="27"/>
      <c r="DF71" s="16"/>
      <c r="DG71" s="16"/>
      <c r="DH71" s="27"/>
      <c r="DJ71" s="27"/>
      <c r="DK71" s="16"/>
      <c r="DL71" s="16"/>
      <c r="DM71" s="27"/>
      <c r="DO71" s="27"/>
      <c r="DP71" s="16"/>
      <c r="DQ71" s="16"/>
      <c r="DR71" s="27"/>
      <c r="DT71" s="27"/>
      <c r="DU71" s="16"/>
      <c r="DV71" s="16"/>
      <c r="DW71" s="27"/>
      <c r="DY71" s="27"/>
      <c r="DZ71" s="16"/>
      <c r="EA71" s="16"/>
      <c r="EB71" s="302"/>
    </row>
    <row r="72" spans="1:132" s="14" customFormat="1" ht="21" x14ac:dyDescent="0.4">
      <c r="A72" s="27"/>
      <c r="B72" s="27"/>
      <c r="C72" s="27"/>
      <c r="E72" s="16"/>
      <c r="F72" s="27"/>
      <c r="G72" s="27"/>
      <c r="I72" s="27"/>
      <c r="J72" s="16"/>
      <c r="K72" s="16"/>
      <c r="L72" s="27"/>
      <c r="N72" s="27"/>
      <c r="O72" s="16"/>
      <c r="P72" s="16"/>
      <c r="Q72" s="27"/>
      <c r="S72" s="27"/>
      <c r="T72" s="16"/>
      <c r="U72" s="16"/>
      <c r="V72" s="27"/>
      <c r="X72" s="27"/>
      <c r="Y72" s="16"/>
      <c r="Z72" s="16"/>
      <c r="AA72" s="27"/>
      <c r="AC72" s="27"/>
      <c r="AD72" s="16"/>
      <c r="AE72" s="16"/>
      <c r="AF72" s="27"/>
      <c r="AH72" s="27"/>
      <c r="AI72" s="16"/>
      <c r="AJ72" s="16"/>
      <c r="AK72" s="27"/>
      <c r="AM72" s="27"/>
      <c r="AN72" s="16"/>
      <c r="AO72" s="16"/>
      <c r="AP72" s="27"/>
      <c r="AR72" s="27"/>
      <c r="AS72" s="16"/>
      <c r="AT72" s="16"/>
      <c r="AU72" s="27"/>
      <c r="AW72" s="27"/>
      <c r="AX72" s="16"/>
      <c r="AY72" s="16"/>
      <c r="AZ72" s="27"/>
      <c r="BB72" s="27"/>
      <c r="BC72" s="16"/>
      <c r="BD72" s="16"/>
      <c r="BE72" s="27"/>
      <c r="BG72" s="27"/>
      <c r="BH72" s="16"/>
      <c r="BI72" s="16"/>
      <c r="BJ72" s="27"/>
      <c r="BL72" s="27"/>
      <c r="BM72" s="16"/>
      <c r="BN72" s="16"/>
      <c r="BO72" s="27"/>
      <c r="BQ72" s="27"/>
      <c r="BR72" s="16"/>
      <c r="BS72" s="16"/>
      <c r="BT72" s="27"/>
      <c r="BV72" s="27"/>
      <c r="BW72" s="16"/>
      <c r="BX72" s="16"/>
      <c r="BY72" s="27"/>
      <c r="CA72" s="27"/>
      <c r="CB72" s="16"/>
      <c r="CC72" s="16"/>
      <c r="CD72" s="27"/>
      <c r="CF72" s="27"/>
      <c r="CG72" s="16"/>
      <c r="CH72" s="16"/>
      <c r="CI72" s="27"/>
      <c r="CK72" s="27"/>
      <c r="CL72" s="16"/>
      <c r="CM72" s="16"/>
      <c r="CN72" s="27"/>
      <c r="CP72" s="27"/>
      <c r="CQ72" s="16"/>
      <c r="CR72" s="16"/>
      <c r="CS72" s="27"/>
      <c r="CU72" s="27"/>
      <c r="CV72" s="16"/>
      <c r="CW72" s="16"/>
      <c r="CX72" s="27"/>
      <c r="CZ72" s="27"/>
      <c r="DA72" s="16"/>
      <c r="DB72" s="16"/>
      <c r="DC72" s="27"/>
      <c r="DE72" s="27"/>
      <c r="DF72" s="16"/>
      <c r="DG72" s="16"/>
      <c r="DH72" s="27"/>
      <c r="DJ72" s="27"/>
      <c r="DK72" s="16"/>
      <c r="DL72" s="16"/>
      <c r="DM72" s="27"/>
      <c r="DO72" s="27"/>
      <c r="DP72" s="16"/>
      <c r="DQ72" s="16"/>
      <c r="DR72" s="27"/>
      <c r="DT72" s="27"/>
      <c r="DU72" s="16"/>
      <c r="DV72" s="16"/>
      <c r="DW72" s="27"/>
      <c r="DY72" s="27"/>
      <c r="DZ72" s="16"/>
      <c r="EA72" s="16"/>
      <c r="EB72" s="302"/>
    </row>
    <row r="73" spans="1:132" s="14" customFormat="1" ht="21" x14ac:dyDescent="0.4">
      <c r="A73" s="27"/>
      <c r="B73" s="27"/>
      <c r="C73" s="27"/>
      <c r="E73" s="16"/>
      <c r="F73" s="27"/>
      <c r="G73" s="27"/>
      <c r="I73" s="27"/>
      <c r="J73" s="16"/>
      <c r="K73" s="16"/>
      <c r="L73" s="27"/>
      <c r="N73" s="27"/>
      <c r="O73" s="16"/>
      <c r="P73" s="16"/>
      <c r="Q73" s="27"/>
      <c r="S73" s="27"/>
      <c r="T73" s="16"/>
      <c r="U73" s="16"/>
      <c r="V73" s="27"/>
      <c r="X73" s="27"/>
      <c r="Y73" s="16"/>
      <c r="Z73" s="16"/>
      <c r="AA73" s="27"/>
      <c r="AC73" s="27"/>
      <c r="AD73" s="16"/>
      <c r="AE73" s="16"/>
      <c r="AF73" s="27"/>
      <c r="AH73" s="27"/>
      <c r="AI73" s="16"/>
      <c r="AJ73" s="16"/>
      <c r="AK73" s="27"/>
      <c r="AM73" s="27"/>
      <c r="AN73" s="16"/>
      <c r="AO73" s="16"/>
      <c r="AP73" s="27"/>
      <c r="AR73" s="27"/>
      <c r="AS73" s="16"/>
      <c r="AT73" s="16"/>
      <c r="AU73" s="27"/>
      <c r="AW73" s="27"/>
      <c r="AX73" s="16"/>
      <c r="AY73" s="16"/>
      <c r="AZ73" s="27"/>
      <c r="BB73" s="27"/>
      <c r="BC73" s="16"/>
      <c r="BD73" s="16"/>
      <c r="BE73" s="27"/>
      <c r="BG73" s="27"/>
      <c r="BH73" s="16"/>
      <c r="BI73" s="16"/>
      <c r="BJ73" s="27"/>
      <c r="BL73" s="27"/>
      <c r="BM73" s="16"/>
      <c r="BN73" s="16"/>
      <c r="BO73" s="27"/>
      <c r="BQ73" s="27"/>
      <c r="BR73" s="16"/>
      <c r="BS73" s="16"/>
      <c r="BT73" s="27"/>
      <c r="BV73" s="27"/>
      <c r="BW73" s="16"/>
      <c r="BX73" s="16"/>
      <c r="BY73" s="27"/>
      <c r="CA73" s="27"/>
      <c r="CB73" s="16"/>
      <c r="CC73" s="16"/>
      <c r="CD73" s="27"/>
      <c r="CF73" s="27"/>
      <c r="CG73" s="16"/>
      <c r="CH73" s="16"/>
      <c r="CI73" s="27"/>
      <c r="CK73" s="27"/>
      <c r="CL73" s="16"/>
      <c r="CM73" s="16"/>
      <c r="CN73" s="27"/>
      <c r="CP73" s="27"/>
      <c r="CQ73" s="16"/>
      <c r="CR73" s="16"/>
      <c r="CS73" s="27"/>
      <c r="CU73" s="27"/>
      <c r="CV73" s="16"/>
      <c r="CW73" s="16"/>
      <c r="CX73" s="27"/>
      <c r="CZ73" s="27"/>
      <c r="DA73" s="16"/>
      <c r="DB73" s="16"/>
      <c r="DC73" s="27"/>
      <c r="DE73" s="27"/>
      <c r="DF73" s="16"/>
      <c r="DG73" s="16"/>
      <c r="DH73" s="27"/>
      <c r="DJ73" s="27"/>
      <c r="DK73" s="16"/>
      <c r="DL73" s="16"/>
      <c r="DM73" s="27"/>
      <c r="DO73" s="27"/>
      <c r="DP73" s="16"/>
      <c r="DQ73" s="16"/>
      <c r="DR73" s="27"/>
      <c r="DT73" s="27"/>
      <c r="DU73" s="16"/>
      <c r="DV73" s="16"/>
      <c r="DW73" s="27"/>
      <c r="DY73" s="27"/>
      <c r="DZ73" s="16"/>
      <c r="EA73" s="16"/>
      <c r="EB73" s="302"/>
    </row>
    <row r="74" spans="1:132" s="14" customFormat="1" ht="21" x14ac:dyDescent="0.4">
      <c r="A74" s="27"/>
      <c r="B74" s="27"/>
      <c r="C74" s="27"/>
      <c r="E74" s="16"/>
      <c r="F74" s="27"/>
      <c r="G74" s="27"/>
      <c r="I74" s="27"/>
      <c r="J74" s="16"/>
      <c r="K74" s="16"/>
      <c r="L74" s="27"/>
      <c r="N74" s="27"/>
      <c r="O74" s="16"/>
      <c r="P74" s="16"/>
      <c r="Q74" s="27"/>
      <c r="S74" s="27"/>
      <c r="T74" s="16"/>
      <c r="U74" s="16"/>
      <c r="V74" s="27"/>
      <c r="X74" s="27"/>
      <c r="Y74" s="16"/>
      <c r="Z74" s="16"/>
      <c r="AA74" s="27"/>
      <c r="AC74" s="27"/>
      <c r="AD74" s="16"/>
      <c r="AE74" s="16"/>
      <c r="AF74" s="27"/>
      <c r="AH74" s="27"/>
      <c r="AI74" s="16"/>
      <c r="AJ74" s="16"/>
      <c r="AK74" s="27"/>
      <c r="AM74" s="27"/>
      <c r="AN74" s="16"/>
      <c r="AO74" s="16"/>
      <c r="AP74" s="27"/>
      <c r="AR74" s="27"/>
      <c r="AS74" s="16"/>
      <c r="AT74" s="16"/>
      <c r="AU74" s="27"/>
      <c r="AW74" s="27"/>
      <c r="AX74" s="16"/>
      <c r="AY74" s="16"/>
      <c r="AZ74" s="27"/>
      <c r="BB74" s="27"/>
      <c r="BC74" s="16"/>
      <c r="BD74" s="16"/>
      <c r="BE74" s="27"/>
      <c r="BG74" s="27"/>
      <c r="BH74" s="16"/>
      <c r="BI74" s="16"/>
      <c r="BJ74" s="27"/>
      <c r="BL74" s="27"/>
      <c r="BM74" s="16"/>
      <c r="BN74" s="16"/>
      <c r="BO74" s="27"/>
      <c r="BQ74" s="27"/>
      <c r="BR74" s="16"/>
      <c r="BS74" s="16"/>
      <c r="BT74" s="27"/>
      <c r="BV74" s="27"/>
      <c r="BW74" s="16"/>
      <c r="BX74" s="16"/>
      <c r="BY74" s="27"/>
      <c r="CA74" s="27"/>
      <c r="CB74" s="16"/>
      <c r="CC74" s="16"/>
      <c r="CD74" s="27"/>
      <c r="CF74" s="27"/>
      <c r="CG74" s="16"/>
      <c r="CH74" s="16"/>
      <c r="CI74" s="27"/>
      <c r="CK74" s="27"/>
      <c r="CL74" s="16"/>
      <c r="CM74" s="16"/>
      <c r="CN74" s="27"/>
      <c r="CP74" s="27"/>
      <c r="CQ74" s="16"/>
      <c r="CR74" s="16"/>
      <c r="CS74" s="27"/>
      <c r="CU74" s="27"/>
      <c r="CV74" s="16"/>
      <c r="CW74" s="16"/>
      <c r="CX74" s="27"/>
      <c r="CZ74" s="27"/>
      <c r="DA74" s="16"/>
      <c r="DB74" s="16"/>
      <c r="DC74" s="27"/>
      <c r="DE74" s="27"/>
      <c r="DF74" s="16"/>
      <c r="DG74" s="16"/>
      <c r="DH74" s="27"/>
      <c r="DJ74" s="27"/>
      <c r="DK74" s="16"/>
      <c r="DL74" s="16"/>
      <c r="DM74" s="27"/>
      <c r="DO74" s="27"/>
      <c r="DP74" s="16"/>
      <c r="DQ74" s="16"/>
      <c r="DR74" s="27"/>
      <c r="DT74" s="27"/>
      <c r="DU74" s="16"/>
      <c r="DV74" s="16"/>
      <c r="DW74" s="27"/>
      <c r="DY74" s="27"/>
      <c r="DZ74" s="16"/>
      <c r="EA74" s="16"/>
      <c r="EB74" s="302"/>
    </row>
    <row r="75" spans="1:132" s="14" customFormat="1" ht="21" x14ac:dyDescent="0.4">
      <c r="A75" s="27"/>
      <c r="B75" s="27"/>
      <c r="C75" s="27"/>
      <c r="E75" s="16"/>
      <c r="F75" s="27"/>
      <c r="G75" s="27"/>
      <c r="I75" s="27"/>
      <c r="J75" s="16"/>
      <c r="K75" s="16"/>
      <c r="L75" s="27"/>
      <c r="N75" s="27"/>
      <c r="O75" s="16"/>
      <c r="P75" s="16"/>
      <c r="Q75" s="27"/>
      <c r="S75" s="27"/>
      <c r="T75" s="16"/>
      <c r="U75" s="16"/>
      <c r="V75" s="27"/>
      <c r="X75" s="27"/>
      <c r="Y75" s="16"/>
      <c r="Z75" s="16"/>
      <c r="AA75" s="27"/>
      <c r="AC75" s="27"/>
      <c r="AD75" s="16"/>
      <c r="AE75" s="16"/>
      <c r="AF75" s="27"/>
      <c r="AH75" s="27"/>
      <c r="AI75" s="16"/>
      <c r="AJ75" s="16"/>
      <c r="AK75" s="27"/>
      <c r="AM75" s="27"/>
      <c r="AN75" s="16"/>
      <c r="AO75" s="16"/>
      <c r="AP75" s="27"/>
      <c r="AR75" s="27"/>
      <c r="AS75" s="16"/>
      <c r="AT75" s="16"/>
      <c r="AU75" s="27"/>
      <c r="AW75" s="27"/>
      <c r="AX75" s="16"/>
      <c r="AY75" s="16"/>
      <c r="AZ75" s="27"/>
      <c r="BB75" s="27"/>
      <c r="BC75" s="16"/>
      <c r="BD75" s="16"/>
      <c r="BE75" s="27"/>
      <c r="BG75" s="27"/>
      <c r="BH75" s="16"/>
      <c r="BI75" s="16"/>
      <c r="BJ75" s="27"/>
      <c r="BL75" s="27"/>
      <c r="BM75" s="16"/>
      <c r="BN75" s="16"/>
      <c r="BO75" s="27"/>
      <c r="BQ75" s="27"/>
      <c r="BR75" s="16"/>
      <c r="BS75" s="16"/>
      <c r="BT75" s="27"/>
      <c r="BV75" s="27"/>
      <c r="BW75" s="16"/>
      <c r="BX75" s="16"/>
      <c r="BY75" s="27"/>
      <c r="CA75" s="27"/>
      <c r="CB75" s="16"/>
      <c r="CC75" s="16"/>
      <c r="CD75" s="27"/>
      <c r="CF75" s="27"/>
      <c r="CG75" s="16"/>
      <c r="CH75" s="16"/>
      <c r="CI75" s="27"/>
      <c r="CK75" s="27"/>
      <c r="CL75" s="16"/>
      <c r="CM75" s="16"/>
      <c r="CN75" s="27"/>
      <c r="CP75" s="27"/>
      <c r="CQ75" s="16"/>
      <c r="CR75" s="16"/>
      <c r="CS75" s="27"/>
      <c r="CU75" s="27"/>
      <c r="CV75" s="16"/>
      <c r="CW75" s="16"/>
      <c r="CX75" s="27"/>
      <c r="CZ75" s="27"/>
      <c r="DA75" s="16"/>
      <c r="DB75" s="16"/>
      <c r="DC75" s="27"/>
      <c r="DE75" s="27"/>
      <c r="DF75" s="16"/>
      <c r="DG75" s="16"/>
      <c r="DH75" s="27"/>
      <c r="DJ75" s="27"/>
      <c r="DK75" s="16"/>
      <c r="DL75" s="16"/>
      <c r="DM75" s="27"/>
      <c r="DO75" s="27"/>
      <c r="DP75" s="16"/>
      <c r="DQ75" s="16"/>
      <c r="DR75" s="27"/>
      <c r="DT75" s="27"/>
      <c r="DU75" s="16"/>
      <c r="DV75" s="16"/>
      <c r="DW75" s="27"/>
      <c r="DY75" s="27"/>
      <c r="DZ75" s="16"/>
      <c r="EA75" s="16"/>
      <c r="EB75" s="302"/>
    </row>
    <row r="76" spans="1:132" s="14" customFormat="1" ht="21" x14ac:dyDescent="0.4">
      <c r="A76" s="27"/>
      <c r="B76" s="27"/>
      <c r="C76" s="27"/>
      <c r="E76" s="16"/>
      <c r="F76" s="27"/>
      <c r="G76" s="27"/>
      <c r="I76" s="27"/>
      <c r="J76" s="16"/>
      <c r="K76" s="16"/>
      <c r="L76" s="27"/>
      <c r="N76" s="27"/>
      <c r="O76" s="16"/>
      <c r="P76" s="16"/>
      <c r="Q76" s="27"/>
      <c r="S76" s="27"/>
      <c r="T76" s="16"/>
      <c r="U76" s="16"/>
      <c r="V76" s="27"/>
      <c r="X76" s="27"/>
      <c r="Y76" s="16"/>
      <c r="Z76" s="16"/>
      <c r="AA76" s="27"/>
      <c r="AC76" s="27"/>
      <c r="AD76" s="16"/>
      <c r="AE76" s="16"/>
      <c r="AF76" s="27"/>
      <c r="AH76" s="27"/>
      <c r="AI76" s="16"/>
      <c r="AJ76" s="16"/>
      <c r="AK76" s="27"/>
      <c r="AM76" s="27"/>
      <c r="AN76" s="16"/>
      <c r="AO76" s="16"/>
      <c r="AP76" s="27"/>
      <c r="AR76" s="27"/>
      <c r="AS76" s="16"/>
      <c r="AT76" s="16"/>
      <c r="AU76" s="27"/>
      <c r="AW76" s="27"/>
      <c r="AX76" s="16"/>
      <c r="AY76" s="16"/>
      <c r="AZ76" s="27"/>
      <c r="BB76" s="27"/>
      <c r="BC76" s="16"/>
      <c r="BD76" s="16"/>
      <c r="BE76" s="27"/>
      <c r="BG76" s="27"/>
      <c r="BH76" s="16"/>
      <c r="BI76" s="16"/>
      <c r="BJ76" s="27"/>
      <c r="BL76" s="27"/>
      <c r="BM76" s="16"/>
      <c r="BN76" s="16"/>
      <c r="BO76" s="27"/>
      <c r="BQ76" s="27"/>
      <c r="BR76" s="16"/>
      <c r="BS76" s="16"/>
      <c r="BT76" s="27"/>
      <c r="BV76" s="27"/>
      <c r="BW76" s="16"/>
      <c r="BX76" s="16"/>
      <c r="BY76" s="27"/>
      <c r="CA76" s="27"/>
      <c r="CB76" s="16"/>
      <c r="CC76" s="16"/>
      <c r="CD76" s="27"/>
      <c r="CF76" s="27"/>
      <c r="CG76" s="16"/>
      <c r="CH76" s="16"/>
      <c r="CI76" s="27"/>
      <c r="CK76" s="27"/>
      <c r="CL76" s="16"/>
      <c r="CM76" s="16"/>
      <c r="CN76" s="27"/>
      <c r="CP76" s="27"/>
      <c r="CQ76" s="16"/>
      <c r="CR76" s="16"/>
      <c r="CS76" s="27"/>
      <c r="CU76" s="27"/>
      <c r="CV76" s="16"/>
      <c r="CW76" s="16"/>
      <c r="CX76" s="27"/>
      <c r="CZ76" s="27"/>
      <c r="DA76" s="16"/>
      <c r="DB76" s="16"/>
      <c r="DC76" s="27"/>
      <c r="DE76" s="27"/>
      <c r="DF76" s="16"/>
      <c r="DG76" s="16"/>
      <c r="DH76" s="27"/>
      <c r="DJ76" s="27"/>
      <c r="DK76" s="16"/>
      <c r="DL76" s="16"/>
      <c r="DM76" s="27"/>
      <c r="DO76" s="27"/>
      <c r="DP76" s="16"/>
      <c r="DQ76" s="16"/>
      <c r="DR76" s="27"/>
      <c r="DT76" s="27"/>
      <c r="DU76" s="16"/>
      <c r="DV76" s="16"/>
      <c r="DW76" s="27"/>
      <c r="DY76" s="27"/>
      <c r="DZ76" s="16"/>
      <c r="EA76" s="16"/>
      <c r="EB76" s="302"/>
    </row>
    <row r="77" spans="1:132" s="14" customFormat="1" ht="21" x14ac:dyDescent="0.4">
      <c r="A77" s="27"/>
      <c r="B77" s="27"/>
      <c r="C77" s="27"/>
      <c r="E77" s="16"/>
      <c r="F77" s="27"/>
      <c r="G77" s="27"/>
      <c r="I77" s="27"/>
      <c r="J77" s="16"/>
      <c r="K77" s="16"/>
      <c r="L77" s="27"/>
      <c r="N77" s="27"/>
      <c r="O77" s="16"/>
      <c r="P77" s="16"/>
      <c r="Q77" s="27"/>
      <c r="S77" s="27"/>
      <c r="T77" s="16"/>
      <c r="U77" s="16"/>
      <c r="V77" s="27"/>
      <c r="X77" s="27"/>
      <c r="Y77" s="16"/>
      <c r="Z77" s="16"/>
      <c r="AA77" s="27"/>
      <c r="AC77" s="27"/>
      <c r="AD77" s="16"/>
      <c r="AE77" s="16"/>
      <c r="AF77" s="27"/>
      <c r="AH77" s="27"/>
      <c r="AI77" s="16"/>
      <c r="AJ77" s="16"/>
      <c r="AK77" s="27"/>
      <c r="AM77" s="27"/>
      <c r="AN77" s="16"/>
      <c r="AO77" s="16"/>
      <c r="AP77" s="27"/>
      <c r="AR77" s="27"/>
      <c r="AS77" s="16"/>
      <c r="AT77" s="16"/>
      <c r="AU77" s="27"/>
      <c r="AW77" s="27"/>
      <c r="AX77" s="16"/>
      <c r="AY77" s="16"/>
      <c r="AZ77" s="27"/>
      <c r="BB77" s="27"/>
      <c r="BC77" s="16"/>
      <c r="BD77" s="16"/>
      <c r="BE77" s="27"/>
      <c r="BG77" s="27"/>
      <c r="BH77" s="16"/>
      <c r="BI77" s="16"/>
      <c r="BJ77" s="27"/>
      <c r="BL77" s="27"/>
      <c r="BM77" s="16"/>
      <c r="BN77" s="16"/>
      <c r="BO77" s="27"/>
      <c r="BQ77" s="27"/>
      <c r="BR77" s="16"/>
      <c r="BS77" s="16"/>
      <c r="BT77" s="27"/>
      <c r="BV77" s="27"/>
      <c r="BW77" s="16"/>
      <c r="BX77" s="16"/>
      <c r="BY77" s="27"/>
      <c r="CA77" s="27"/>
      <c r="CB77" s="16"/>
      <c r="CC77" s="16"/>
      <c r="CD77" s="27"/>
      <c r="CF77" s="27"/>
      <c r="CG77" s="16"/>
      <c r="CH77" s="16"/>
      <c r="CI77" s="27"/>
      <c r="CK77" s="27"/>
      <c r="CL77" s="16"/>
      <c r="CM77" s="16"/>
      <c r="CN77" s="27"/>
      <c r="CP77" s="27"/>
      <c r="CQ77" s="16"/>
      <c r="CR77" s="16"/>
      <c r="CS77" s="27"/>
      <c r="CU77" s="27"/>
      <c r="CV77" s="16"/>
      <c r="CW77" s="16"/>
      <c r="CX77" s="27"/>
      <c r="CZ77" s="27"/>
      <c r="DA77" s="16"/>
      <c r="DB77" s="16"/>
      <c r="DC77" s="27"/>
      <c r="DE77" s="27"/>
      <c r="DF77" s="16"/>
      <c r="DG77" s="16"/>
      <c r="DH77" s="27"/>
      <c r="DJ77" s="27"/>
      <c r="DK77" s="16"/>
      <c r="DL77" s="16"/>
      <c r="DM77" s="27"/>
      <c r="DO77" s="27"/>
      <c r="DP77" s="16"/>
      <c r="DQ77" s="16"/>
      <c r="DR77" s="27"/>
      <c r="DT77" s="27"/>
      <c r="DU77" s="16"/>
      <c r="DV77" s="16"/>
      <c r="DW77" s="27"/>
      <c r="DY77" s="27"/>
      <c r="DZ77" s="16"/>
      <c r="EA77" s="16"/>
      <c r="EB77" s="302"/>
    </row>
    <row r="78" spans="1:132" s="14" customFormat="1" ht="21" x14ac:dyDescent="0.4">
      <c r="A78" s="27"/>
      <c r="B78" s="27"/>
      <c r="C78" s="27"/>
      <c r="E78" s="16"/>
      <c r="F78" s="27"/>
      <c r="G78" s="27"/>
      <c r="I78" s="27"/>
      <c r="J78" s="16"/>
      <c r="K78" s="16"/>
      <c r="L78" s="27"/>
      <c r="N78" s="27"/>
      <c r="O78" s="16"/>
      <c r="P78" s="16"/>
      <c r="Q78" s="27"/>
      <c r="S78" s="27"/>
      <c r="T78" s="16"/>
      <c r="U78" s="16"/>
      <c r="V78" s="27"/>
      <c r="X78" s="27"/>
      <c r="Y78" s="16"/>
      <c r="Z78" s="16"/>
      <c r="AA78" s="27"/>
      <c r="AC78" s="27"/>
      <c r="AD78" s="16"/>
      <c r="AE78" s="16"/>
      <c r="AF78" s="27"/>
      <c r="AH78" s="27"/>
      <c r="AI78" s="16"/>
      <c r="AJ78" s="16"/>
      <c r="AK78" s="27"/>
      <c r="AM78" s="27"/>
      <c r="AN78" s="16"/>
      <c r="AO78" s="16"/>
      <c r="AP78" s="27"/>
      <c r="AR78" s="27"/>
      <c r="AS78" s="16"/>
      <c r="AT78" s="16"/>
      <c r="AU78" s="27"/>
      <c r="AW78" s="27"/>
      <c r="AX78" s="16"/>
      <c r="AY78" s="16"/>
      <c r="AZ78" s="27"/>
      <c r="BB78" s="27"/>
      <c r="BC78" s="16"/>
      <c r="BD78" s="16"/>
      <c r="BE78" s="27"/>
      <c r="BG78" s="27"/>
      <c r="BH78" s="16"/>
      <c r="BI78" s="16"/>
      <c r="BJ78" s="27"/>
      <c r="BL78" s="27"/>
      <c r="BM78" s="16"/>
      <c r="BN78" s="16"/>
      <c r="BO78" s="27"/>
      <c r="BQ78" s="27"/>
      <c r="BR78" s="16"/>
      <c r="BS78" s="16"/>
      <c r="BT78" s="27"/>
      <c r="BV78" s="27"/>
      <c r="BW78" s="16"/>
      <c r="BX78" s="16"/>
      <c r="BY78" s="27"/>
      <c r="CA78" s="27"/>
      <c r="CB78" s="16"/>
      <c r="CC78" s="16"/>
      <c r="CD78" s="27"/>
      <c r="CF78" s="27"/>
      <c r="CG78" s="16"/>
      <c r="CH78" s="16"/>
      <c r="CI78" s="27"/>
      <c r="CK78" s="27"/>
      <c r="CL78" s="16"/>
      <c r="CM78" s="16"/>
      <c r="CN78" s="27"/>
      <c r="CP78" s="27"/>
      <c r="CQ78" s="16"/>
      <c r="CR78" s="16"/>
      <c r="CS78" s="27"/>
      <c r="CU78" s="27"/>
      <c r="CV78" s="16"/>
      <c r="CW78" s="16"/>
      <c r="CX78" s="27"/>
      <c r="CZ78" s="27"/>
      <c r="DA78" s="16"/>
      <c r="DB78" s="16"/>
      <c r="DC78" s="27"/>
      <c r="DE78" s="27"/>
      <c r="DF78" s="16"/>
      <c r="DG78" s="16"/>
      <c r="DH78" s="27"/>
      <c r="DJ78" s="27"/>
      <c r="DK78" s="16"/>
      <c r="DL78" s="16"/>
      <c r="DM78" s="27"/>
      <c r="DO78" s="27"/>
      <c r="DP78" s="16"/>
      <c r="DQ78" s="16"/>
      <c r="DR78" s="27"/>
      <c r="DT78" s="27"/>
      <c r="DU78" s="16"/>
      <c r="DV78" s="16"/>
      <c r="DW78" s="27"/>
      <c r="DY78" s="27"/>
      <c r="DZ78" s="16"/>
      <c r="EA78" s="16"/>
      <c r="EB78" s="302"/>
    </row>
    <row r="79" spans="1:132" s="14" customFormat="1" ht="21" x14ac:dyDescent="0.4">
      <c r="A79" s="27"/>
      <c r="B79" s="27"/>
      <c r="C79" s="27"/>
      <c r="E79" s="16"/>
      <c r="F79" s="27"/>
      <c r="G79" s="27"/>
      <c r="I79" s="27"/>
      <c r="J79" s="16"/>
      <c r="K79" s="16"/>
      <c r="L79" s="27"/>
      <c r="N79" s="27"/>
      <c r="O79" s="16"/>
      <c r="P79" s="16"/>
      <c r="Q79" s="27"/>
      <c r="S79" s="27"/>
      <c r="T79" s="16"/>
      <c r="U79" s="16"/>
      <c r="V79" s="27"/>
      <c r="X79" s="27"/>
      <c r="Y79" s="16"/>
      <c r="Z79" s="16"/>
      <c r="AA79" s="27"/>
      <c r="AC79" s="27"/>
      <c r="AD79" s="16"/>
      <c r="AE79" s="16"/>
      <c r="AF79" s="27"/>
      <c r="AH79" s="27"/>
      <c r="AI79" s="16"/>
      <c r="AJ79" s="16"/>
      <c r="AK79" s="27"/>
      <c r="AM79" s="27"/>
      <c r="AN79" s="16"/>
      <c r="AO79" s="16"/>
      <c r="AP79" s="27"/>
      <c r="AR79" s="27"/>
      <c r="AS79" s="16"/>
      <c r="AT79" s="16"/>
      <c r="AU79" s="27"/>
      <c r="AW79" s="27"/>
      <c r="AX79" s="16"/>
      <c r="AY79" s="16"/>
      <c r="AZ79" s="27"/>
      <c r="BB79" s="27"/>
      <c r="BC79" s="16"/>
      <c r="BD79" s="16"/>
      <c r="BE79" s="27"/>
      <c r="BG79" s="27"/>
      <c r="BH79" s="16"/>
      <c r="BI79" s="16"/>
      <c r="BJ79" s="27"/>
      <c r="BL79" s="27"/>
      <c r="BM79" s="16"/>
      <c r="BN79" s="16"/>
      <c r="BO79" s="27"/>
      <c r="BQ79" s="27"/>
      <c r="BR79" s="16"/>
      <c r="BS79" s="16"/>
      <c r="BT79" s="27"/>
      <c r="BV79" s="27"/>
      <c r="BW79" s="16"/>
      <c r="BX79" s="16"/>
      <c r="BY79" s="27"/>
      <c r="CA79" s="27"/>
      <c r="CB79" s="16"/>
      <c r="CC79" s="16"/>
      <c r="CD79" s="27"/>
      <c r="CF79" s="27"/>
      <c r="CG79" s="16"/>
      <c r="CH79" s="16"/>
      <c r="CI79" s="27"/>
      <c r="CK79" s="27"/>
      <c r="CL79" s="16"/>
      <c r="CM79" s="16"/>
      <c r="CN79" s="27"/>
      <c r="CP79" s="27"/>
      <c r="CQ79" s="16"/>
      <c r="CR79" s="16"/>
      <c r="CS79" s="27"/>
      <c r="CU79" s="27"/>
      <c r="CV79" s="16"/>
      <c r="CW79" s="16"/>
      <c r="CX79" s="27"/>
      <c r="CZ79" s="27"/>
      <c r="DA79" s="16"/>
      <c r="DB79" s="16"/>
      <c r="DC79" s="27"/>
      <c r="DE79" s="27"/>
      <c r="DF79" s="16"/>
      <c r="DG79" s="16"/>
      <c r="DH79" s="27"/>
      <c r="DJ79" s="27"/>
      <c r="DK79" s="16"/>
      <c r="DL79" s="16"/>
      <c r="DM79" s="27"/>
      <c r="DO79" s="27"/>
      <c r="DP79" s="16"/>
      <c r="DQ79" s="16"/>
      <c r="DR79" s="27"/>
      <c r="DT79" s="27"/>
      <c r="DU79" s="16"/>
      <c r="DV79" s="16"/>
      <c r="DW79" s="27"/>
      <c r="DY79" s="27"/>
      <c r="DZ79" s="16"/>
      <c r="EA79" s="16"/>
      <c r="EB79" s="302"/>
    </row>
    <row r="80" spans="1:132" s="14" customFormat="1" ht="21" x14ac:dyDescent="0.4">
      <c r="A80" s="27"/>
      <c r="B80" s="27"/>
      <c r="C80" s="27"/>
      <c r="E80" s="16"/>
      <c r="F80" s="27"/>
      <c r="G80" s="27"/>
      <c r="I80" s="27"/>
      <c r="J80" s="16"/>
      <c r="K80" s="16"/>
      <c r="L80" s="27"/>
      <c r="N80" s="27"/>
      <c r="O80" s="16"/>
      <c r="P80" s="16"/>
      <c r="Q80" s="27"/>
      <c r="S80" s="27"/>
      <c r="T80" s="16"/>
      <c r="U80" s="16"/>
      <c r="V80" s="27"/>
      <c r="X80" s="27"/>
      <c r="Y80" s="16"/>
      <c r="Z80" s="16"/>
      <c r="AA80" s="27"/>
      <c r="AC80" s="27"/>
      <c r="AD80" s="16"/>
      <c r="AE80" s="16"/>
      <c r="AF80" s="27"/>
      <c r="AH80" s="27"/>
      <c r="AI80" s="16"/>
      <c r="AJ80" s="16"/>
      <c r="AK80" s="27"/>
      <c r="AM80" s="27"/>
      <c r="AN80" s="16"/>
      <c r="AO80" s="16"/>
      <c r="AP80" s="27"/>
      <c r="AR80" s="27"/>
      <c r="AS80" s="16"/>
      <c r="AT80" s="16"/>
      <c r="AU80" s="27"/>
      <c r="AW80" s="27"/>
      <c r="AX80" s="16"/>
      <c r="AY80" s="16"/>
      <c r="AZ80" s="27"/>
      <c r="BB80" s="27"/>
      <c r="BC80" s="16"/>
      <c r="BD80" s="16"/>
      <c r="BE80" s="27"/>
      <c r="BG80" s="27"/>
      <c r="BH80" s="16"/>
      <c r="BI80" s="16"/>
      <c r="BJ80" s="27"/>
      <c r="BL80" s="27"/>
      <c r="BM80" s="16"/>
      <c r="BN80" s="16"/>
      <c r="BO80" s="27"/>
      <c r="BQ80" s="27"/>
      <c r="BR80" s="16"/>
      <c r="BS80" s="16"/>
      <c r="BT80" s="27"/>
      <c r="BV80" s="27"/>
      <c r="BW80" s="16"/>
      <c r="BX80" s="16"/>
      <c r="BY80" s="27"/>
      <c r="CA80" s="27"/>
      <c r="CB80" s="16"/>
      <c r="CC80" s="16"/>
      <c r="CD80" s="27"/>
      <c r="CF80" s="27"/>
      <c r="CG80" s="16"/>
      <c r="CH80" s="16"/>
      <c r="CI80" s="27"/>
      <c r="CK80" s="27"/>
      <c r="CL80" s="16"/>
      <c r="CM80" s="16"/>
      <c r="CN80" s="27"/>
      <c r="CP80" s="27"/>
      <c r="CQ80" s="16"/>
      <c r="CR80" s="16"/>
      <c r="CS80" s="27"/>
      <c r="CU80" s="27"/>
      <c r="CV80" s="16"/>
      <c r="CW80" s="16"/>
      <c r="CX80" s="27"/>
      <c r="CZ80" s="27"/>
      <c r="DA80" s="16"/>
      <c r="DB80" s="16"/>
      <c r="DC80" s="27"/>
      <c r="DE80" s="27"/>
      <c r="DF80" s="16"/>
      <c r="DG80" s="16"/>
      <c r="DH80" s="27"/>
      <c r="DJ80" s="27"/>
      <c r="DK80" s="16"/>
      <c r="DL80" s="16"/>
      <c r="DM80" s="27"/>
      <c r="DO80" s="27"/>
      <c r="DP80" s="16"/>
      <c r="DQ80" s="16"/>
      <c r="DR80" s="27"/>
      <c r="DT80" s="27"/>
      <c r="DU80" s="16"/>
      <c r="DV80" s="16"/>
      <c r="DW80" s="27"/>
      <c r="DY80" s="27"/>
      <c r="DZ80" s="16"/>
      <c r="EA80" s="16"/>
      <c r="EB80" s="302"/>
    </row>
    <row r="81" spans="1:132" s="14" customFormat="1" ht="21" x14ac:dyDescent="0.4">
      <c r="A81" s="27"/>
      <c r="B81" s="27"/>
      <c r="C81" s="27"/>
      <c r="E81" s="16"/>
      <c r="F81" s="27"/>
      <c r="G81" s="27"/>
      <c r="I81" s="27"/>
      <c r="J81" s="16"/>
      <c r="K81" s="16"/>
      <c r="L81" s="27"/>
      <c r="N81" s="27"/>
      <c r="O81" s="16"/>
      <c r="P81" s="16"/>
      <c r="Q81" s="27"/>
      <c r="S81" s="27"/>
      <c r="T81" s="16"/>
      <c r="U81" s="16"/>
      <c r="V81" s="27"/>
      <c r="X81" s="27"/>
      <c r="Y81" s="16"/>
      <c r="Z81" s="16"/>
      <c r="AA81" s="27"/>
      <c r="AC81" s="27"/>
      <c r="AD81" s="16"/>
      <c r="AE81" s="16"/>
      <c r="AF81" s="27"/>
      <c r="AH81" s="27"/>
      <c r="AI81" s="16"/>
      <c r="AJ81" s="16"/>
      <c r="AK81" s="27"/>
      <c r="AM81" s="27"/>
      <c r="AN81" s="16"/>
      <c r="AO81" s="16"/>
      <c r="AP81" s="27"/>
      <c r="AR81" s="27"/>
      <c r="AS81" s="16"/>
      <c r="AT81" s="16"/>
      <c r="AU81" s="27"/>
      <c r="AW81" s="27"/>
      <c r="AX81" s="16"/>
      <c r="AY81" s="16"/>
      <c r="AZ81" s="27"/>
      <c r="BB81" s="27"/>
      <c r="BC81" s="16"/>
      <c r="BD81" s="16"/>
      <c r="BE81" s="27"/>
      <c r="BG81" s="27"/>
      <c r="BH81" s="16"/>
      <c r="BI81" s="16"/>
      <c r="BJ81" s="27"/>
      <c r="BL81" s="27"/>
      <c r="BM81" s="16"/>
      <c r="BN81" s="16"/>
      <c r="BO81" s="27"/>
      <c r="BQ81" s="27"/>
      <c r="BR81" s="16"/>
      <c r="BS81" s="16"/>
      <c r="BT81" s="27"/>
      <c r="BV81" s="27"/>
      <c r="BW81" s="16"/>
      <c r="BX81" s="16"/>
      <c r="BY81" s="27"/>
      <c r="CA81" s="27"/>
      <c r="CB81" s="16"/>
      <c r="CC81" s="16"/>
      <c r="CD81" s="27"/>
      <c r="CF81" s="27"/>
      <c r="CG81" s="16"/>
      <c r="CH81" s="16"/>
      <c r="CI81" s="27"/>
      <c r="CK81" s="27"/>
      <c r="CL81" s="16"/>
      <c r="CM81" s="16"/>
      <c r="CN81" s="27"/>
      <c r="CP81" s="27"/>
      <c r="CQ81" s="16"/>
      <c r="CR81" s="16"/>
      <c r="CS81" s="27"/>
      <c r="CU81" s="27"/>
      <c r="CV81" s="16"/>
      <c r="CW81" s="16"/>
      <c r="CX81" s="27"/>
      <c r="CZ81" s="27"/>
      <c r="DA81" s="16"/>
      <c r="DB81" s="16"/>
      <c r="DC81" s="27"/>
      <c r="DE81" s="27"/>
      <c r="DF81" s="16"/>
      <c r="DG81" s="16"/>
      <c r="DH81" s="27"/>
      <c r="DJ81" s="27"/>
      <c r="DK81" s="16"/>
      <c r="DL81" s="16"/>
      <c r="DM81" s="27"/>
      <c r="DO81" s="27"/>
      <c r="DP81" s="16"/>
      <c r="DQ81" s="16"/>
      <c r="DR81" s="27"/>
      <c r="DT81" s="27"/>
      <c r="DU81" s="16"/>
      <c r="DV81" s="16"/>
      <c r="DW81" s="27"/>
      <c r="DY81" s="27"/>
      <c r="DZ81" s="16"/>
      <c r="EA81" s="16"/>
      <c r="EB81" s="302"/>
    </row>
    <row r="82" spans="1:132" s="14" customFormat="1" ht="21" x14ac:dyDescent="0.4">
      <c r="A82" s="27"/>
      <c r="B82" s="27"/>
      <c r="C82" s="27"/>
      <c r="E82" s="16"/>
      <c r="F82" s="27"/>
      <c r="G82" s="27"/>
      <c r="I82" s="27"/>
      <c r="J82" s="16"/>
      <c r="K82" s="16"/>
      <c r="L82" s="27"/>
      <c r="N82" s="27"/>
      <c r="O82" s="16"/>
      <c r="P82" s="16"/>
      <c r="Q82" s="27"/>
      <c r="S82" s="27"/>
      <c r="T82" s="16"/>
      <c r="U82" s="16"/>
      <c r="V82" s="27"/>
      <c r="X82" s="27"/>
      <c r="Y82" s="16"/>
      <c r="Z82" s="16"/>
      <c r="AA82" s="27"/>
      <c r="AC82" s="27"/>
      <c r="AD82" s="16"/>
      <c r="AE82" s="16"/>
      <c r="AF82" s="27"/>
      <c r="AH82" s="27"/>
      <c r="AI82" s="16"/>
      <c r="AJ82" s="16"/>
      <c r="AK82" s="27"/>
      <c r="AM82" s="27"/>
      <c r="AN82" s="16"/>
      <c r="AO82" s="16"/>
      <c r="AP82" s="27"/>
      <c r="AR82" s="27"/>
      <c r="AS82" s="16"/>
      <c r="AT82" s="16"/>
      <c r="AU82" s="27"/>
      <c r="AW82" s="27"/>
      <c r="AX82" s="16"/>
      <c r="AY82" s="16"/>
      <c r="AZ82" s="27"/>
      <c r="BB82" s="27"/>
      <c r="BC82" s="16"/>
      <c r="BD82" s="16"/>
      <c r="BE82" s="27"/>
      <c r="BG82" s="27"/>
      <c r="BH82" s="16"/>
      <c r="BI82" s="16"/>
      <c r="BJ82" s="27"/>
      <c r="BL82" s="27"/>
      <c r="BM82" s="16"/>
      <c r="BN82" s="16"/>
      <c r="BO82" s="27"/>
      <c r="BQ82" s="27"/>
      <c r="BR82" s="16"/>
      <c r="BS82" s="16"/>
      <c r="BT82" s="27"/>
      <c r="BV82" s="27"/>
      <c r="BW82" s="16"/>
      <c r="BX82" s="16"/>
      <c r="BY82" s="27"/>
      <c r="CA82" s="27"/>
      <c r="CB82" s="16"/>
      <c r="CC82" s="16"/>
      <c r="CD82" s="27"/>
      <c r="CF82" s="27"/>
      <c r="CG82" s="16"/>
      <c r="CH82" s="16"/>
      <c r="CI82" s="27"/>
      <c r="CK82" s="27"/>
      <c r="CL82" s="16"/>
      <c r="CM82" s="16"/>
      <c r="CN82" s="27"/>
      <c r="CP82" s="27"/>
      <c r="CQ82" s="16"/>
      <c r="CR82" s="16"/>
      <c r="CS82" s="27"/>
      <c r="CU82" s="27"/>
      <c r="CV82" s="16"/>
      <c r="CW82" s="16"/>
      <c r="CX82" s="27"/>
      <c r="CZ82" s="27"/>
      <c r="DA82" s="16"/>
      <c r="DB82" s="16"/>
      <c r="DC82" s="27"/>
      <c r="DE82" s="27"/>
      <c r="DF82" s="16"/>
      <c r="DG82" s="16"/>
      <c r="DH82" s="27"/>
      <c r="DJ82" s="27"/>
      <c r="DK82" s="16"/>
      <c r="DL82" s="16"/>
      <c r="DM82" s="27"/>
      <c r="DO82" s="27"/>
      <c r="DP82" s="16"/>
      <c r="DQ82" s="16"/>
      <c r="DR82" s="27"/>
      <c r="DT82" s="27"/>
      <c r="DU82" s="16"/>
      <c r="DV82" s="16"/>
      <c r="DW82" s="27"/>
      <c r="DY82" s="27"/>
      <c r="DZ82" s="16"/>
      <c r="EA82" s="16"/>
      <c r="EB82" s="302"/>
    </row>
    <row r="83" spans="1:132" s="14" customFormat="1" ht="21" x14ac:dyDescent="0.4">
      <c r="A83" s="27"/>
      <c r="B83" s="27"/>
      <c r="C83" s="27"/>
      <c r="E83" s="16"/>
      <c r="F83" s="27"/>
      <c r="G83" s="27"/>
      <c r="I83" s="27"/>
      <c r="J83" s="16"/>
      <c r="K83" s="16"/>
      <c r="L83" s="27"/>
      <c r="N83" s="27"/>
      <c r="O83" s="16"/>
      <c r="P83" s="16"/>
      <c r="Q83" s="27"/>
      <c r="S83" s="27"/>
      <c r="T83" s="16"/>
      <c r="U83" s="16"/>
      <c r="V83" s="27"/>
      <c r="X83" s="27"/>
      <c r="Y83" s="16"/>
      <c r="Z83" s="16"/>
      <c r="AA83" s="27"/>
      <c r="AC83" s="27"/>
      <c r="AD83" s="16"/>
      <c r="AE83" s="16"/>
      <c r="AF83" s="27"/>
      <c r="AH83" s="27"/>
      <c r="AI83" s="16"/>
      <c r="AJ83" s="16"/>
      <c r="AK83" s="27"/>
      <c r="AM83" s="27"/>
      <c r="AN83" s="16"/>
      <c r="AO83" s="16"/>
      <c r="AP83" s="27"/>
      <c r="AR83" s="27"/>
      <c r="AS83" s="16"/>
      <c r="AT83" s="16"/>
      <c r="AU83" s="27"/>
      <c r="AW83" s="27"/>
      <c r="AX83" s="16"/>
      <c r="AY83" s="16"/>
      <c r="AZ83" s="27"/>
      <c r="BB83" s="27"/>
      <c r="BC83" s="16"/>
      <c r="BD83" s="16"/>
      <c r="BE83" s="27"/>
      <c r="BG83" s="27"/>
      <c r="BH83" s="16"/>
      <c r="BI83" s="16"/>
      <c r="BJ83" s="27"/>
      <c r="BL83" s="27"/>
      <c r="BM83" s="16"/>
      <c r="BN83" s="16"/>
      <c r="BO83" s="27"/>
      <c r="BQ83" s="27"/>
      <c r="BR83" s="16"/>
      <c r="BS83" s="16"/>
      <c r="BT83" s="27"/>
      <c r="BV83" s="27"/>
      <c r="BW83" s="16"/>
      <c r="BX83" s="16"/>
      <c r="BY83" s="27"/>
      <c r="CA83" s="27"/>
      <c r="CB83" s="16"/>
      <c r="CC83" s="16"/>
      <c r="CD83" s="27"/>
      <c r="CF83" s="27"/>
      <c r="CG83" s="16"/>
      <c r="CH83" s="16"/>
      <c r="CI83" s="27"/>
      <c r="CK83" s="27"/>
      <c r="CL83" s="16"/>
      <c r="CM83" s="16"/>
      <c r="CN83" s="27"/>
      <c r="CP83" s="27"/>
      <c r="CQ83" s="16"/>
      <c r="CR83" s="16"/>
      <c r="CS83" s="27"/>
      <c r="CU83" s="27"/>
      <c r="CV83" s="16"/>
      <c r="CW83" s="16"/>
      <c r="CX83" s="27"/>
      <c r="CZ83" s="27"/>
      <c r="DA83" s="16"/>
      <c r="DB83" s="16"/>
      <c r="DC83" s="27"/>
      <c r="DE83" s="27"/>
      <c r="DF83" s="16"/>
      <c r="DG83" s="16"/>
      <c r="DH83" s="27"/>
      <c r="DJ83" s="27"/>
      <c r="DK83" s="16"/>
      <c r="DL83" s="16"/>
      <c r="DM83" s="27"/>
      <c r="DO83" s="27"/>
      <c r="DP83" s="16"/>
      <c r="DQ83" s="16"/>
      <c r="DR83" s="27"/>
      <c r="DT83" s="27"/>
      <c r="DU83" s="16"/>
      <c r="DV83" s="16"/>
      <c r="DW83" s="27"/>
      <c r="DY83" s="27"/>
      <c r="DZ83" s="16"/>
      <c r="EA83" s="16"/>
      <c r="EB83" s="302"/>
    </row>
    <row r="84" spans="1:132" s="14" customFormat="1" ht="21" x14ac:dyDescent="0.4">
      <c r="A84" s="27"/>
      <c r="B84" s="27"/>
      <c r="C84" s="27"/>
      <c r="E84" s="16"/>
      <c r="F84" s="27"/>
      <c r="G84" s="27"/>
      <c r="I84" s="27"/>
      <c r="J84" s="16"/>
      <c r="K84" s="16"/>
      <c r="L84" s="27"/>
      <c r="N84" s="27"/>
      <c r="O84" s="16"/>
      <c r="P84" s="16"/>
      <c r="Q84" s="27"/>
      <c r="S84" s="27"/>
      <c r="T84" s="16"/>
      <c r="U84" s="16"/>
      <c r="V84" s="27"/>
      <c r="X84" s="27"/>
      <c r="Y84" s="16"/>
      <c r="Z84" s="16"/>
      <c r="AA84" s="27"/>
      <c r="AC84" s="27"/>
      <c r="AD84" s="16"/>
      <c r="AE84" s="16"/>
      <c r="AF84" s="27"/>
      <c r="AH84" s="27"/>
      <c r="AI84" s="16"/>
      <c r="AJ84" s="16"/>
      <c r="AK84" s="27"/>
      <c r="AM84" s="27"/>
      <c r="AN84" s="16"/>
      <c r="AO84" s="16"/>
      <c r="AP84" s="27"/>
      <c r="AR84" s="27"/>
      <c r="AS84" s="16"/>
      <c r="AT84" s="16"/>
      <c r="AU84" s="27"/>
      <c r="AW84" s="27"/>
      <c r="AX84" s="16"/>
      <c r="AY84" s="16"/>
      <c r="AZ84" s="27"/>
      <c r="BB84" s="27"/>
      <c r="BC84" s="16"/>
      <c r="BD84" s="16"/>
      <c r="BE84" s="27"/>
      <c r="BG84" s="27"/>
      <c r="BH84" s="16"/>
      <c r="BI84" s="16"/>
      <c r="BJ84" s="27"/>
      <c r="BL84" s="27"/>
      <c r="BM84" s="16"/>
      <c r="BN84" s="16"/>
      <c r="BO84" s="27"/>
      <c r="BQ84" s="27"/>
      <c r="BR84" s="16"/>
      <c r="BS84" s="16"/>
      <c r="BT84" s="27"/>
      <c r="BV84" s="27"/>
      <c r="BW84" s="16"/>
      <c r="BX84" s="16"/>
      <c r="BY84" s="27"/>
      <c r="CA84" s="27"/>
      <c r="CB84" s="16"/>
      <c r="CC84" s="16"/>
      <c r="CD84" s="27"/>
      <c r="CF84" s="27"/>
      <c r="CG84" s="16"/>
      <c r="CH84" s="16"/>
      <c r="CI84" s="27"/>
      <c r="CK84" s="27"/>
      <c r="CL84" s="16"/>
      <c r="CM84" s="16"/>
      <c r="CN84" s="27"/>
      <c r="CP84" s="27"/>
      <c r="CQ84" s="16"/>
      <c r="CR84" s="16"/>
      <c r="CS84" s="27"/>
      <c r="CU84" s="27"/>
      <c r="CV84" s="16"/>
      <c r="CW84" s="16"/>
      <c r="CX84" s="27"/>
      <c r="CZ84" s="27"/>
      <c r="DA84" s="16"/>
      <c r="DB84" s="16"/>
      <c r="DC84" s="27"/>
      <c r="DE84" s="27"/>
      <c r="DF84" s="16"/>
      <c r="DG84" s="16"/>
      <c r="DH84" s="27"/>
      <c r="DJ84" s="27"/>
      <c r="DK84" s="16"/>
      <c r="DL84" s="16"/>
      <c r="DM84" s="27"/>
      <c r="DO84" s="27"/>
      <c r="DP84" s="16"/>
      <c r="DQ84" s="16"/>
      <c r="DR84" s="27"/>
      <c r="DT84" s="27"/>
      <c r="DU84" s="16"/>
      <c r="DV84" s="16"/>
      <c r="DW84" s="27"/>
      <c r="DY84" s="27"/>
      <c r="DZ84" s="16"/>
      <c r="EA84" s="16"/>
      <c r="EB84" s="302"/>
    </row>
    <row r="85" spans="1:132" s="14" customFormat="1" ht="21" x14ac:dyDescent="0.4">
      <c r="A85" s="27"/>
      <c r="B85" s="27"/>
      <c r="C85" s="27"/>
      <c r="E85" s="16"/>
      <c r="F85" s="27"/>
      <c r="G85" s="27"/>
      <c r="I85" s="27"/>
      <c r="J85" s="16"/>
      <c r="K85" s="16"/>
      <c r="L85" s="27"/>
      <c r="N85" s="27"/>
      <c r="O85" s="16"/>
      <c r="P85" s="16"/>
      <c r="Q85" s="27"/>
      <c r="S85" s="27"/>
      <c r="T85" s="16"/>
      <c r="U85" s="16"/>
      <c r="V85" s="27"/>
      <c r="X85" s="27"/>
      <c r="Y85" s="16"/>
      <c r="Z85" s="16"/>
      <c r="AA85" s="27"/>
      <c r="AC85" s="27"/>
      <c r="AD85" s="16"/>
      <c r="AE85" s="16"/>
      <c r="AF85" s="27"/>
      <c r="AH85" s="27"/>
      <c r="AI85" s="16"/>
      <c r="AJ85" s="16"/>
      <c r="AK85" s="27"/>
      <c r="AM85" s="27"/>
      <c r="AN85" s="16"/>
      <c r="AO85" s="16"/>
      <c r="AP85" s="27"/>
      <c r="AR85" s="27"/>
      <c r="AS85" s="16"/>
      <c r="AT85" s="16"/>
      <c r="AU85" s="27"/>
      <c r="AW85" s="27"/>
      <c r="AX85" s="16"/>
      <c r="AY85" s="16"/>
      <c r="AZ85" s="27"/>
      <c r="BB85" s="27"/>
      <c r="BC85" s="16"/>
      <c r="BD85" s="16"/>
      <c r="BE85" s="27"/>
      <c r="BG85" s="27"/>
      <c r="BH85" s="16"/>
      <c r="BI85" s="16"/>
      <c r="BJ85" s="27"/>
      <c r="BL85" s="27"/>
      <c r="BM85" s="16"/>
      <c r="BN85" s="16"/>
      <c r="BO85" s="27"/>
      <c r="BQ85" s="27"/>
      <c r="BR85" s="16"/>
      <c r="BS85" s="16"/>
      <c r="BT85" s="27"/>
      <c r="BV85" s="27"/>
      <c r="BW85" s="16"/>
      <c r="BX85" s="16"/>
      <c r="BY85" s="27"/>
      <c r="CA85" s="27"/>
      <c r="CB85" s="16"/>
      <c r="CC85" s="16"/>
      <c r="CD85" s="27"/>
      <c r="CF85" s="27"/>
      <c r="CG85" s="16"/>
      <c r="CH85" s="16"/>
      <c r="CI85" s="27"/>
      <c r="CK85" s="27"/>
      <c r="CL85" s="16"/>
      <c r="CM85" s="16"/>
      <c r="CN85" s="27"/>
      <c r="CP85" s="27"/>
      <c r="CQ85" s="16"/>
      <c r="CR85" s="16"/>
      <c r="CS85" s="27"/>
      <c r="CU85" s="27"/>
      <c r="CV85" s="16"/>
      <c r="CW85" s="16"/>
      <c r="CX85" s="27"/>
      <c r="CZ85" s="27"/>
      <c r="DA85" s="16"/>
      <c r="DB85" s="16"/>
      <c r="DC85" s="27"/>
      <c r="DE85" s="27"/>
      <c r="DF85" s="16"/>
      <c r="DG85" s="16"/>
      <c r="DH85" s="27"/>
      <c r="DJ85" s="27"/>
      <c r="DK85" s="16"/>
      <c r="DL85" s="16"/>
      <c r="DM85" s="27"/>
      <c r="DO85" s="27"/>
      <c r="DP85" s="16"/>
      <c r="DQ85" s="16"/>
      <c r="DR85" s="27"/>
      <c r="DT85" s="27"/>
      <c r="DU85" s="16"/>
      <c r="DV85" s="16"/>
      <c r="DW85" s="27"/>
      <c r="DY85" s="27"/>
      <c r="DZ85" s="16"/>
      <c r="EA85" s="16"/>
      <c r="EB85" s="302"/>
    </row>
    <row r="86" spans="1:132" s="14" customFormat="1" ht="21" x14ac:dyDescent="0.4">
      <c r="A86" s="27"/>
      <c r="B86" s="27"/>
      <c r="C86" s="27"/>
      <c r="E86" s="16"/>
      <c r="F86" s="27"/>
      <c r="G86" s="27"/>
      <c r="I86" s="27"/>
      <c r="J86" s="16"/>
      <c r="K86" s="16"/>
      <c r="L86" s="27"/>
      <c r="N86" s="27"/>
      <c r="O86" s="16"/>
      <c r="P86" s="16"/>
      <c r="Q86" s="27"/>
      <c r="S86" s="27"/>
      <c r="T86" s="16"/>
      <c r="U86" s="16"/>
      <c r="V86" s="27"/>
      <c r="X86" s="27"/>
      <c r="Y86" s="16"/>
      <c r="Z86" s="16"/>
      <c r="AA86" s="27"/>
      <c r="AC86" s="27"/>
      <c r="AD86" s="16"/>
      <c r="AE86" s="16"/>
      <c r="AF86" s="27"/>
      <c r="AH86" s="27"/>
      <c r="AI86" s="16"/>
      <c r="AJ86" s="16"/>
      <c r="AK86" s="27"/>
      <c r="AM86" s="27"/>
      <c r="AN86" s="16"/>
      <c r="AO86" s="16"/>
      <c r="AP86" s="27"/>
      <c r="AR86" s="27"/>
      <c r="AS86" s="16"/>
      <c r="AT86" s="16"/>
      <c r="AU86" s="27"/>
      <c r="AW86" s="27"/>
      <c r="AX86" s="16"/>
      <c r="AY86" s="16"/>
      <c r="AZ86" s="27"/>
      <c r="BB86" s="27"/>
      <c r="BC86" s="16"/>
      <c r="BD86" s="16"/>
      <c r="BE86" s="27"/>
      <c r="BG86" s="27"/>
      <c r="BH86" s="16"/>
      <c r="BI86" s="16"/>
      <c r="BJ86" s="27"/>
      <c r="BL86" s="27"/>
      <c r="BM86" s="16"/>
      <c r="BN86" s="16"/>
      <c r="BO86" s="27"/>
      <c r="BQ86" s="27"/>
      <c r="BR86" s="16"/>
      <c r="BS86" s="16"/>
      <c r="BT86" s="27"/>
      <c r="BV86" s="27"/>
      <c r="BW86" s="16"/>
      <c r="BX86" s="16"/>
      <c r="BY86" s="27"/>
      <c r="CA86" s="27"/>
      <c r="CB86" s="16"/>
      <c r="CC86" s="16"/>
      <c r="CD86" s="27"/>
      <c r="CF86" s="27"/>
      <c r="CG86" s="16"/>
      <c r="CH86" s="16"/>
      <c r="CI86" s="27"/>
      <c r="CK86" s="27"/>
      <c r="CL86" s="16"/>
      <c r="CM86" s="16"/>
      <c r="CN86" s="27"/>
      <c r="CP86" s="27"/>
      <c r="CQ86" s="16"/>
      <c r="CR86" s="16"/>
      <c r="CS86" s="27"/>
      <c r="CU86" s="27"/>
      <c r="CV86" s="16"/>
      <c r="CW86" s="16"/>
      <c r="CX86" s="27"/>
      <c r="CZ86" s="27"/>
      <c r="DA86" s="16"/>
      <c r="DB86" s="16"/>
      <c r="DC86" s="27"/>
      <c r="DE86" s="27"/>
      <c r="DF86" s="16"/>
      <c r="DG86" s="16"/>
      <c r="DH86" s="27"/>
      <c r="DJ86" s="27"/>
      <c r="DK86" s="16"/>
      <c r="DL86" s="16"/>
      <c r="DM86" s="27"/>
      <c r="DO86" s="27"/>
      <c r="DP86" s="16"/>
      <c r="DQ86" s="16"/>
      <c r="DR86" s="27"/>
      <c r="DT86" s="27"/>
      <c r="DU86" s="16"/>
      <c r="DV86" s="16"/>
      <c r="DW86" s="27"/>
      <c r="DY86" s="27"/>
      <c r="DZ86" s="16"/>
      <c r="EA86" s="16"/>
      <c r="EB86" s="302"/>
    </row>
    <row r="87" spans="1:132" s="14" customFormat="1" ht="21" x14ac:dyDescent="0.4">
      <c r="A87" s="27"/>
      <c r="B87" s="27"/>
      <c r="C87" s="27"/>
      <c r="E87" s="16"/>
      <c r="F87" s="27"/>
      <c r="G87" s="27"/>
      <c r="I87" s="27"/>
      <c r="J87" s="16"/>
      <c r="K87" s="16"/>
      <c r="L87" s="27"/>
      <c r="N87" s="27"/>
      <c r="O87" s="16"/>
      <c r="P87" s="16"/>
      <c r="Q87" s="27"/>
      <c r="S87" s="27"/>
      <c r="T87" s="16"/>
      <c r="U87" s="16"/>
      <c r="V87" s="27"/>
      <c r="X87" s="27"/>
      <c r="Y87" s="16"/>
      <c r="Z87" s="16"/>
      <c r="AA87" s="27"/>
      <c r="AC87" s="27"/>
      <c r="AD87" s="16"/>
      <c r="AE87" s="16"/>
      <c r="AF87" s="27"/>
      <c r="AH87" s="27"/>
      <c r="AI87" s="16"/>
      <c r="AJ87" s="16"/>
      <c r="AK87" s="27"/>
      <c r="AM87" s="27"/>
      <c r="AN87" s="16"/>
      <c r="AO87" s="16"/>
      <c r="AP87" s="27"/>
      <c r="AR87" s="27"/>
      <c r="AS87" s="16"/>
      <c r="AT87" s="16"/>
      <c r="AU87" s="27"/>
      <c r="AW87" s="27"/>
      <c r="AX87" s="16"/>
      <c r="AY87" s="16"/>
      <c r="AZ87" s="27"/>
      <c r="BB87" s="27"/>
      <c r="BC87" s="16"/>
      <c r="BD87" s="16"/>
      <c r="BE87" s="27"/>
      <c r="BG87" s="27"/>
      <c r="BH87" s="16"/>
      <c r="BI87" s="16"/>
      <c r="BJ87" s="27"/>
      <c r="BL87" s="27"/>
      <c r="BM87" s="16"/>
      <c r="BN87" s="16"/>
      <c r="BO87" s="27"/>
      <c r="BQ87" s="27"/>
      <c r="BR87" s="16"/>
      <c r="BS87" s="16"/>
      <c r="BT87" s="27"/>
      <c r="BV87" s="27"/>
      <c r="BW87" s="16"/>
      <c r="BX87" s="16"/>
      <c r="BY87" s="27"/>
      <c r="CA87" s="27"/>
      <c r="CB87" s="16"/>
      <c r="CC87" s="16"/>
      <c r="CD87" s="27"/>
      <c r="CF87" s="27"/>
      <c r="CG87" s="16"/>
      <c r="CH87" s="16"/>
      <c r="CI87" s="27"/>
      <c r="CK87" s="27"/>
      <c r="CL87" s="16"/>
      <c r="CM87" s="16"/>
      <c r="CN87" s="27"/>
      <c r="CP87" s="27"/>
      <c r="CQ87" s="16"/>
      <c r="CR87" s="16"/>
      <c r="CS87" s="27"/>
      <c r="CU87" s="27"/>
      <c r="CV87" s="16"/>
      <c r="CW87" s="16"/>
      <c r="CX87" s="27"/>
      <c r="CZ87" s="27"/>
      <c r="DA87" s="16"/>
      <c r="DB87" s="16"/>
      <c r="DC87" s="27"/>
      <c r="DE87" s="27"/>
      <c r="DF87" s="16"/>
      <c r="DG87" s="16"/>
      <c r="DH87" s="27"/>
      <c r="DJ87" s="27"/>
      <c r="DK87" s="16"/>
      <c r="DL87" s="16"/>
      <c r="DM87" s="27"/>
      <c r="DO87" s="27"/>
      <c r="DP87" s="16"/>
      <c r="DQ87" s="16"/>
      <c r="DR87" s="27"/>
      <c r="DT87" s="27"/>
      <c r="DU87" s="16"/>
      <c r="DV87" s="16"/>
      <c r="DW87" s="27"/>
      <c r="DY87" s="27"/>
      <c r="DZ87" s="16"/>
      <c r="EA87" s="16"/>
      <c r="EB87" s="302"/>
    </row>
    <row r="88" spans="1:132" s="14" customFormat="1" ht="21" x14ac:dyDescent="0.4">
      <c r="A88" s="27"/>
      <c r="B88" s="27"/>
      <c r="C88" s="27"/>
      <c r="E88" s="16"/>
      <c r="F88" s="27"/>
      <c r="G88" s="27"/>
      <c r="I88" s="27"/>
      <c r="J88" s="16"/>
      <c r="K88" s="16"/>
      <c r="L88" s="27"/>
      <c r="N88" s="27"/>
      <c r="O88" s="16"/>
      <c r="P88" s="16"/>
      <c r="Q88" s="27"/>
      <c r="S88" s="27"/>
      <c r="T88" s="16"/>
      <c r="U88" s="16"/>
      <c r="V88" s="27"/>
      <c r="X88" s="27"/>
      <c r="Y88" s="16"/>
      <c r="Z88" s="16"/>
      <c r="AA88" s="27"/>
      <c r="AC88" s="27"/>
      <c r="AD88" s="16"/>
      <c r="AE88" s="16"/>
      <c r="AF88" s="27"/>
      <c r="AH88" s="27"/>
      <c r="AI88" s="16"/>
      <c r="AJ88" s="16"/>
      <c r="AK88" s="27"/>
      <c r="AM88" s="27"/>
      <c r="AN88" s="16"/>
      <c r="AO88" s="16"/>
      <c r="AP88" s="27"/>
      <c r="AR88" s="27"/>
      <c r="AS88" s="16"/>
      <c r="AT88" s="16"/>
      <c r="AU88" s="27"/>
      <c r="AW88" s="27"/>
      <c r="AX88" s="16"/>
      <c r="AY88" s="16"/>
      <c r="AZ88" s="27"/>
      <c r="BB88" s="27"/>
      <c r="BC88" s="16"/>
      <c r="BD88" s="16"/>
      <c r="BE88" s="27"/>
      <c r="BG88" s="27"/>
      <c r="BH88" s="16"/>
      <c r="BI88" s="16"/>
      <c r="BJ88" s="27"/>
      <c r="BL88" s="27"/>
      <c r="BM88" s="16"/>
      <c r="BN88" s="16"/>
      <c r="BO88" s="27"/>
      <c r="BQ88" s="27"/>
      <c r="BR88" s="16"/>
      <c r="BS88" s="16"/>
      <c r="BT88" s="27"/>
      <c r="BV88" s="27"/>
      <c r="BW88" s="16"/>
      <c r="BX88" s="16"/>
      <c r="BY88" s="27"/>
      <c r="CA88" s="27"/>
      <c r="CB88" s="16"/>
      <c r="CC88" s="16"/>
      <c r="CD88" s="27"/>
      <c r="CF88" s="27"/>
      <c r="CG88" s="16"/>
      <c r="CH88" s="16"/>
      <c r="CI88" s="27"/>
      <c r="CK88" s="27"/>
      <c r="CL88" s="16"/>
      <c r="CM88" s="16"/>
      <c r="CN88" s="27"/>
      <c r="CP88" s="27"/>
      <c r="CQ88" s="16"/>
      <c r="CR88" s="16"/>
      <c r="CS88" s="27"/>
      <c r="CU88" s="27"/>
      <c r="CV88" s="16"/>
      <c r="CW88" s="16"/>
      <c r="CX88" s="27"/>
      <c r="CZ88" s="27"/>
      <c r="DA88" s="16"/>
      <c r="DB88" s="16"/>
      <c r="DC88" s="27"/>
      <c r="DE88" s="27"/>
      <c r="DF88" s="16"/>
      <c r="DG88" s="16"/>
      <c r="DH88" s="27"/>
      <c r="DJ88" s="27"/>
      <c r="DK88" s="16"/>
      <c r="DL88" s="16"/>
      <c r="DM88" s="27"/>
      <c r="DO88" s="27"/>
      <c r="DP88" s="16"/>
      <c r="DQ88" s="16"/>
      <c r="DR88" s="27"/>
      <c r="DT88" s="27"/>
      <c r="DU88" s="16"/>
      <c r="DV88" s="16"/>
      <c r="DW88" s="27"/>
      <c r="DY88" s="27"/>
      <c r="DZ88" s="16"/>
      <c r="EA88" s="16"/>
      <c r="EB88" s="302"/>
    </row>
    <row r="89" spans="1:132" s="14" customFormat="1" ht="21" x14ac:dyDescent="0.4">
      <c r="A89" s="27"/>
      <c r="B89" s="27"/>
      <c r="C89" s="27"/>
      <c r="E89" s="16"/>
      <c r="F89" s="27"/>
      <c r="G89" s="27"/>
      <c r="I89" s="27"/>
      <c r="J89" s="16"/>
      <c r="K89" s="16"/>
      <c r="L89" s="27"/>
      <c r="N89" s="27"/>
      <c r="O89" s="16"/>
      <c r="P89" s="16"/>
      <c r="Q89" s="27"/>
      <c r="S89" s="27"/>
      <c r="T89" s="16"/>
      <c r="U89" s="16"/>
      <c r="V89" s="27"/>
      <c r="X89" s="27"/>
      <c r="Y89" s="16"/>
      <c r="Z89" s="16"/>
      <c r="AA89" s="27"/>
      <c r="AC89" s="27"/>
      <c r="AD89" s="16"/>
      <c r="AE89" s="16"/>
      <c r="AF89" s="27"/>
      <c r="AH89" s="27"/>
      <c r="AI89" s="16"/>
      <c r="AJ89" s="16"/>
      <c r="AK89" s="27"/>
      <c r="AM89" s="27"/>
      <c r="AN89" s="16"/>
      <c r="AO89" s="16"/>
      <c r="AP89" s="27"/>
      <c r="AR89" s="27"/>
      <c r="AS89" s="16"/>
      <c r="AT89" s="16"/>
      <c r="AU89" s="27"/>
      <c r="AW89" s="27"/>
      <c r="AX89" s="16"/>
      <c r="AY89" s="16"/>
      <c r="AZ89" s="27"/>
      <c r="BB89" s="27"/>
      <c r="BC89" s="16"/>
      <c r="BD89" s="16"/>
      <c r="BE89" s="27"/>
      <c r="BG89" s="27"/>
      <c r="BH89" s="16"/>
      <c r="BI89" s="16"/>
      <c r="BJ89" s="27"/>
      <c r="BL89" s="27"/>
      <c r="BM89" s="16"/>
      <c r="BN89" s="16"/>
      <c r="BO89" s="27"/>
      <c r="BQ89" s="27"/>
      <c r="BR89" s="16"/>
      <c r="BS89" s="16"/>
      <c r="BT89" s="27"/>
      <c r="BV89" s="27"/>
      <c r="BW89" s="16"/>
      <c r="BX89" s="16"/>
      <c r="BY89" s="27"/>
      <c r="CA89" s="27"/>
      <c r="CB89" s="16"/>
      <c r="CC89" s="16"/>
      <c r="CD89" s="27"/>
      <c r="CF89" s="27"/>
      <c r="CG89" s="16"/>
      <c r="CH89" s="16"/>
      <c r="CI89" s="27"/>
      <c r="CK89" s="27"/>
      <c r="CL89" s="16"/>
      <c r="CM89" s="16"/>
      <c r="CN89" s="27"/>
      <c r="CP89" s="27"/>
      <c r="CQ89" s="16"/>
      <c r="CR89" s="16"/>
      <c r="CS89" s="27"/>
      <c r="CU89" s="27"/>
      <c r="CV89" s="16"/>
      <c r="CW89" s="16"/>
      <c r="CX89" s="27"/>
      <c r="CZ89" s="27"/>
      <c r="DA89" s="16"/>
      <c r="DB89" s="16"/>
      <c r="DC89" s="27"/>
      <c r="DE89" s="27"/>
      <c r="DF89" s="16"/>
      <c r="DG89" s="16"/>
      <c r="DH89" s="27"/>
      <c r="DJ89" s="27"/>
      <c r="DK89" s="16"/>
      <c r="DL89" s="16"/>
      <c r="DM89" s="27"/>
      <c r="DO89" s="27"/>
      <c r="DP89" s="16"/>
      <c r="DQ89" s="16"/>
      <c r="DR89" s="27"/>
      <c r="DT89" s="27"/>
      <c r="DU89" s="16"/>
      <c r="DV89" s="16"/>
      <c r="DW89" s="27"/>
      <c r="DY89" s="27"/>
      <c r="DZ89" s="16"/>
      <c r="EA89" s="16"/>
      <c r="EB89" s="302"/>
    </row>
    <row r="90" spans="1:132" s="14" customFormat="1" ht="21" x14ac:dyDescent="0.4">
      <c r="A90" s="27"/>
      <c r="B90" s="27"/>
      <c r="C90" s="27"/>
      <c r="E90" s="16"/>
      <c r="F90" s="27"/>
      <c r="G90" s="27"/>
      <c r="I90" s="27"/>
      <c r="J90" s="16"/>
      <c r="K90" s="16"/>
      <c r="L90" s="27"/>
      <c r="N90" s="27"/>
      <c r="O90" s="16"/>
      <c r="P90" s="16"/>
      <c r="Q90" s="27"/>
      <c r="S90" s="27"/>
      <c r="T90" s="16"/>
      <c r="U90" s="16"/>
      <c r="V90" s="27"/>
      <c r="X90" s="27"/>
      <c r="Y90" s="16"/>
      <c r="Z90" s="16"/>
      <c r="AA90" s="27"/>
      <c r="AC90" s="27"/>
      <c r="AD90" s="16"/>
      <c r="AE90" s="16"/>
      <c r="AF90" s="27"/>
      <c r="AH90" s="27"/>
      <c r="AI90" s="16"/>
      <c r="AJ90" s="16"/>
      <c r="AK90" s="27"/>
      <c r="AM90" s="27"/>
      <c r="AN90" s="16"/>
      <c r="AO90" s="16"/>
      <c r="AP90" s="27"/>
      <c r="AR90" s="27"/>
      <c r="AS90" s="16"/>
      <c r="AT90" s="16"/>
      <c r="AU90" s="27"/>
      <c r="AW90" s="27"/>
      <c r="AX90" s="16"/>
      <c r="AY90" s="16"/>
      <c r="AZ90" s="27"/>
      <c r="BB90" s="27"/>
      <c r="BC90" s="16"/>
      <c r="BD90" s="16"/>
      <c r="BE90" s="27"/>
      <c r="BG90" s="27"/>
      <c r="BH90" s="16"/>
      <c r="BI90" s="16"/>
      <c r="BJ90" s="27"/>
      <c r="BL90" s="27"/>
      <c r="BM90" s="16"/>
      <c r="BN90" s="16"/>
      <c r="BO90" s="27"/>
      <c r="BQ90" s="27"/>
      <c r="BR90" s="16"/>
      <c r="BS90" s="16"/>
      <c r="BT90" s="27"/>
      <c r="BV90" s="27"/>
      <c r="BW90" s="16"/>
      <c r="BX90" s="16"/>
      <c r="BY90" s="27"/>
      <c r="CA90" s="27"/>
      <c r="CB90" s="16"/>
      <c r="CC90" s="16"/>
      <c r="CD90" s="27"/>
      <c r="CF90" s="27"/>
      <c r="CG90" s="16"/>
      <c r="CH90" s="16"/>
      <c r="CI90" s="27"/>
      <c r="CK90" s="27"/>
      <c r="CL90" s="16"/>
      <c r="CM90" s="16"/>
      <c r="CN90" s="27"/>
      <c r="CP90" s="27"/>
      <c r="CQ90" s="16"/>
      <c r="CR90" s="16"/>
      <c r="CS90" s="27"/>
      <c r="CU90" s="27"/>
      <c r="CV90" s="16"/>
      <c r="CW90" s="16"/>
      <c r="CX90" s="27"/>
      <c r="CZ90" s="27"/>
      <c r="DA90" s="16"/>
      <c r="DB90" s="16"/>
      <c r="DC90" s="27"/>
      <c r="DE90" s="27"/>
      <c r="DF90" s="16"/>
      <c r="DG90" s="16"/>
      <c r="DH90" s="27"/>
      <c r="DJ90" s="27"/>
      <c r="DK90" s="16"/>
      <c r="DL90" s="16"/>
      <c r="DM90" s="27"/>
      <c r="DO90" s="27"/>
      <c r="DP90" s="16"/>
      <c r="DQ90" s="16"/>
      <c r="DR90" s="27"/>
      <c r="DT90" s="27"/>
      <c r="DU90" s="16"/>
      <c r="DV90" s="16"/>
      <c r="DW90" s="27"/>
      <c r="DY90" s="27"/>
      <c r="DZ90" s="16"/>
      <c r="EA90" s="16"/>
      <c r="EB90" s="302"/>
    </row>
    <row r="91" spans="1:132" s="14" customFormat="1" ht="21" x14ac:dyDescent="0.4">
      <c r="A91" s="27"/>
      <c r="B91" s="27"/>
      <c r="C91" s="27"/>
      <c r="E91" s="16"/>
      <c r="F91" s="27"/>
      <c r="G91" s="27"/>
      <c r="I91" s="27"/>
      <c r="J91" s="16"/>
      <c r="K91" s="16"/>
      <c r="L91" s="27"/>
      <c r="N91" s="27"/>
      <c r="O91" s="16"/>
      <c r="P91" s="16"/>
      <c r="Q91" s="27"/>
      <c r="S91" s="27"/>
      <c r="T91" s="16"/>
      <c r="U91" s="16"/>
      <c r="V91" s="27"/>
      <c r="X91" s="27"/>
      <c r="Y91" s="16"/>
      <c r="Z91" s="16"/>
      <c r="AA91" s="27"/>
      <c r="AC91" s="27"/>
      <c r="AD91" s="16"/>
      <c r="AE91" s="16"/>
      <c r="AF91" s="27"/>
      <c r="AH91" s="27"/>
      <c r="AI91" s="16"/>
      <c r="AJ91" s="16"/>
      <c r="AK91" s="27"/>
      <c r="AM91" s="27"/>
      <c r="AN91" s="16"/>
      <c r="AO91" s="16"/>
      <c r="AP91" s="27"/>
      <c r="AR91" s="27"/>
      <c r="AS91" s="16"/>
      <c r="AT91" s="16"/>
      <c r="AU91" s="27"/>
      <c r="AW91" s="27"/>
      <c r="AX91" s="16"/>
      <c r="AY91" s="16"/>
      <c r="AZ91" s="27"/>
      <c r="BB91" s="27"/>
      <c r="BC91" s="16"/>
      <c r="BD91" s="16"/>
      <c r="BE91" s="27"/>
      <c r="BG91" s="27"/>
      <c r="BH91" s="16"/>
      <c r="BI91" s="16"/>
      <c r="BJ91" s="27"/>
      <c r="BL91" s="27"/>
      <c r="BM91" s="16"/>
      <c r="BN91" s="16"/>
      <c r="BO91" s="27"/>
      <c r="BQ91" s="27"/>
      <c r="BR91" s="16"/>
      <c r="BS91" s="16"/>
      <c r="BT91" s="27"/>
      <c r="BV91" s="27"/>
      <c r="BW91" s="16"/>
      <c r="BX91" s="16"/>
      <c r="BY91" s="27"/>
      <c r="CA91" s="27"/>
      <c r="CB91" s="16"/>
      <c r="CC91" s="16"/>
      <c r="CD91" s="27"/>
      <c r="CF91" s="27"/>
      <c r="CG91" s="16"/>
      <c r="CH91" s="16"/>
      <c r="CI91" s="27"/>
      <c r="CK91" s="27"/>
      <c r="CL91" s="16"/>
      <c r="CM91" s="16"/>
      <c r="CN91" s="27"/>
      <c r="CP91" s="27"/>
      <c r="CQ91" s="16"/>
      <c r="CR91" s="16"/>
      <c r="CS91" s="27"/>
      <c r="CU91" s="27"/>
      <c r="CV91" s="16"/>
      <c r="CW91" s="16"/>
      <c r="CX91" s="27"/>
      <c r="CZ91" s="27"/>
      <c r="DA91" s="16"/>
      <c r="DB91" s="16"/>
      <c r="DC91" s="27"/>
      <c r="DE91" s="27"/>
      <c r="DF91" s="16"/>
      <c r="DG91" s="16"/>
      <c r="DH91" s="27"/>
      <c r="DJ91" s="27"/>
      <c r="DK91" s="16"/>
      <c r="DL91" s="16"/>
      <c r="DM91" s="27"/>
      <c r="DO91" s="27"/>
      <c r="DP91" s="16"/>
      <c r="DQ91" s="16"/>
      <c r="DR91" s="27"/>
      <c r="DT91" s="27"/>
      <c r="DU91" s="16"/>
      <c r="DV91" s="16"/>
      <c r="DW91" s="27"/>
      <c r="DY91" s="27"/>
      <c r="DZ91" s="16"/>
      <c r="EA91" s="16"/>
      <c r="EB91" s="302"/>
    </row>
    <row r="92" spans="1:132" s="14" customFormat="1" ht="21" x14ac:dyDescent="0.4">
      <c r="A92" s="27"/>
      <c r="B92" s="27"/>
      <c r="C92" s="27"/>
      <c r="E92" s="16"/>
      <c r="F92" s="27"/>
      <c r="G92" s="27"/>
      <c r="I92" s="27"/>
      <c r="J92" s="16"/>
      <c r="K92" s="16"/>
      <c r="L92" s="27"/>
      <c r="N92" s="27"/>
      <c r="O92" s="16"/>
      <c r="P92" s="16"/>
      <c r="Q92" s="27"/>
      <c r="S92" s="27"/>
      <c r="T92" s="16"/>
      <c r="U92" s="16"/>
      <c r="V92" s="27"/>
      <c r="X92" s="27"/>
      <c r="Y92" s="16"/>
      <c r="Z92" s="16"/>
      <c r="AA92" s="27"/>
      <c r="AC92" s="27"/>
      <c r="AD92" s="16"/>
      <c r="AE92" s="16"/>
      <c r="AF92" s="27"/>
      <c r="AH92" s="27"/>
      <c r="AI92" s="16"/>
      <c r="AJ92" s="16"/>
      <c r="AK92" s="27"/>
      <c r="AM92" s="27"/>
      <c r="AN92" s="16"/>
      <c r="AO92" s="16"/>
      <c r="AP92" s="27"/>
      <c r="AR92" s="27"/>
      <c r="AS92" s="16"/>
      <c r="AT92" s="16"/>
      <c r="AU92" s="27"/>
      <c r="AW92" s="27"/>
      <c r="AX92" s="16"/>
      <c r="AY92" s="16"/>
      <c r="AZ92" s="27"/>
      <c r="BB92" s="27"/>
      <c r="BC92" s="16"/>
      <c r="BD92" s="16"/>
      <c r="BE92" s="27"/>
      <c r="BG92" s="27"/>
      <c r="BH92" s="16"/>
      <c r="BI92" s="16"/>
      <c r="BJ92" s="27"/>
      <c r="BL92" s="27"/>
      <c r="BM92" s="16"/>
      <c r="BN92" s="16"/>
      <c r="BO92" s="27"/>
      <c r="BQ92" s="27"/>
      <c r="BR92" s="16"/>
      <c r="BS92" s="16"/>
      <c r="BT92" s="27"/>
      <c r="BV92" s="27"/>
      <c r="BW92" s="16"/>
      <c r="BX92" s="16"/>
      <c r="BY92" s="27"/>
      <c r="CA92" s="27"/>
      <c r="CB92" s="16"/>
      <c r="CC92" s="16"/>
      <c r="CD92" s="27"/>
      <c r="CF92" s="27"/>
      <c r="CG92" s="16"/>
      <c r="CH92" s="16"/>
      <c r="CI92" s="27"/>
      <c r="CK92" s="27"/>
      <c r="CL92" s="16"/>
      <c r="CM92" s="16"/>
      <c r="CN92" s="27"/>
      <c r="CP92" s="27"/>
      <c r="CQ92" s="16"/>
      <c r="CR92" s="16"/>
      <c r="CS92" s="27"/>
      <c r="CU92" s="27"/>
      <c r="CV92" s="16"/>
      <c r="CW92" s="16"/>
      <c r="CX92" s="27"/>
      <c r="CZ92" s="27"/>
      <c r="DA92" s="16"/>
      <c r="DB92" s="16"/>
      <c r="DC92" s="27"/>
      <c r="DE92" s="27"/>
      <c r="DF92" s="16"/>
      <c r="DG92" s="16"/>
      <c r="DH92" s="27"/>
      <c r="DJ92" s="27"/>
      <c r="DK92" s="16"/>
      <c r="DL92" s="16"/>
      <c r="DM92" s="27"/>
      <c r="DO92" s="27"/>
      <c r="DP92" s="16"/>
      <c r="DQ92" s="16"/>
      <c r="DR92" s="27"/>
      <c r="DT92" s="27"/>
      <c r="DU92" s="16"/>
      <c r="DV92" s="16"/>
      <c r="DW92" s="27"/>
      <c r="DY92" s="27"/>
      <c r="DZ92" s="16"/>
      <c r="EA92" s="16"/>
      <c r="EB92" s="302"/>
    </row>
    <row r="93" spans="1:132" s="14" customFormat="1" ht="21" x14ac:dyDescent="0.4">
      <c r="A93" s="27"/>
      <c r="B93" s="27"/>
      <c r="C93" s="27"/>
      <c r="E93" s="16"/>
      <c r="F93" s="27"/>
      <c r="G93" s="27"/>
      <c r="I93" s="27"/>
      <c r="J93" s="16"/>
      <c r="K93" s="16"/>
      <c r="L93" s="27"/>
      <c r="N93" s="27"/>
      <c r="O93" s="16"/>
      <c r="P93" s="16"/>
      <c r="Q93" s="27"/>
      <c r="S93" s="27"/>
      <c r="T93" s="16"/>
      <c r="U93" s="16"/>
      <c r="V93" s="27"/>
      <c r="X93" s="27"/>
      <c r="Y93" s="16"/>
      <c r="Z93" s="16"/>
      <c r="AA93" s="27"/>
      <c r="AC93" s="27"/>
      <c r="AD93" s="16"/>
      <c r="AE93" s="16"/>
      <c r="AF93" s="27"/>
      <c r="AH93" s="27"/>
      <c r="AI93" s="16"/>
      <c r="AJ93" s="16"/>
      <c r="AK93" s="27"/>
      <c r="AM93" s="27"/>
      <c r="AN93" s="16"/>
      <c r="AO93" s="16"/>
      <c r="AP93" s="27"/>
      <c r="AR93" s="27"/>
      <c r="AS93" s="16"/>
      <c r="AT93" s="16"/>
      <c r="AU93" s="27"/>
      <c r="AW93" s="27"/>
      <c r="AX93" s="16"/>
      <c r="AY93" s="16"/>
      <c r="AZ93" s="27"/>
      <c r="BB93" s="27"/>
      <c r="BC93" s="16"/>
      <c r="BD93" s="16"/>
      <c r="BE93" s="27"/>
      <c r="BG93" s="27"/>
      <c r="BH93" s="16"/>
      <c r="BI93" s="16"/>
      <c r="BJ93" s="27"/>
      <c r="BL93" s="27"/>
      <c r="BM93" s="16"/>
      <c r="BN93" s="16"/>
      <c r="BO93" s="27"/>
      <c r="BQ93" s="27"/>
      <c r="BR93" s="16"/>
      <c r="BS93" s="16"/>
      <c r="BT93" s="27"/>
      <c r="BV93" s="27"/>
      <c r="BW93" s="16"/>
      <c r="BX93" s="16"/>
      <c r="BY93" s="27"/>
      <c r="CA93" s="27"/>
      <c r="CB93" s="16"/>
      <c r="CC93" s="16"/>
      <c r="CD93" s="27"/>
      <c r="CF93" s="27"/>
      <c r="CG93" s="16"/>
      <c r="CH93" s="16"/>
      <c r="CI93" s="27"/>
      <c r="CK93" s="27"/>
      <c r="CL93" s="16"/>
      <c r="CM93" s="16"/>
      <c r="CN93" s="27"/>
      <c r="CP93" s="27"/>
      <c r="CQ93" s="16"/>
      <c r="CR93" s="16"/>
      <c r="CS93" s="27"/>
      <c r="CU93" s="27"/>
      <c r="CV93" s="16"/>
      <c r="CW93" s="16"/>
      <c r="CX93" s="27"/>
      <c r="CZ93" s="27"/>
      <c r="DA93" s="16"/>
      <c r="DB93" s="16"/>
      <c r="DC93" s="27"/>
      <c r="DE93" s="27"/>
      <c r="DF93" s="16"/>
      <c r="DG93" s="16"/>
      <c r="DH93" s="27"/>
      <c r="DJ93" s="27"/>
      <c r="DK93" s="16"/>
      <c r="DL93" s="16"/>
      <c r="DM93" s="27"/>
      <c r="DO93" s="27"/>
      <c r="DP93" s="16"/>
      <c r="DQ93" s="16"/>
      <c r="DR93" s="27"/>
      <c r="DT93" s="27"/>
      <c r="DU93" s="16"/>
      <c r="DV93" s="16"/>
      <c r="DW93" s="27"/>
      <c r="DY93" s="27"/>
      <c r="DZ93" s="16"/>
      <c r="EA93" s="16"/>
      <c r="EB93" s="302"/>
    </row>
    <row r="94" spans="1:132" s="14" customFormat="1" ht="21" x14ac:dyDescent="0.4">
      <c r="A94" s="27"/>
      <c r="B94" s="27"/>
      <c r="C94" s="27"/>
      <c r="E94" s="16"/>
      <c r="F94" s="27"/>
      <c r="G94" s="27"/>
      <c r="I94" s="27"/>
      <c r="J94" s="16"/>
      <c r="K94" s="16"/>
      <c r="L94" s="27"/>
      <c r="N94" s="27"/>
      <c r="O94" s="16"/>
      <c r="P94" s="16"/>
      <c r="Q94" s="27"/>
      <c r="S94" s="27"/>
      <c r="T94" s="16"/>
      <c r="U94" s="16"/>
      <c r="V94" s="27"/>
      <c r="X94" s="27"/>
      <c r="Y94" s="16"/>
      <c r="Z94" s="16"/>
      <c r="AA94" s="27"/>
      <c r="AC94" s="27"/>
      <c r="AD94" s="16"/>
      <c r="AE94" s="16"/>
      <c r="AF94" s="27"/>
      <c r="AH94" s="27"/>
      <c r="AI94" s="16"/>
      <c r="AJ94" s="16"/>
      <c r="AK94" s="27"/>
      <c r="AM94" s="27"/>
      <c r="AN94" s="16"/>
      <c r="AO94" s="16"/>
      <c r="AP94" s="27"/>
      <c r="AR94" s="27"/>
      <c r="AS94" s="16"/>
      <c r="AT94" s="16"/>
      <c r="AU94" s="27"/>
      <c r="AW94" s="27"/>
      <c r="AX94" s="16"/>
      <c r="AY94" s="16"/>
      <c r="AZ94" s="27"/>
      <c r="BB94" s="27"/>
      <c r="BC94" s="16"/>
      <c r="BD94" s="16"/>
      <c r="BE94" s="27"/>
      <c r="BG94" s="27"/>
      <c r="BH94" s="16"/>
      <c r="BI94" s="16"/>
      <c r="BJ94" s="27"/>
      <c r="BL94" s="27"/>
      <c r="BM94" s="16"/>
      <c r="BN94" s="16"/>
      <c r="BO94" s="27"/>
      <c r="BQ94" s="27"/>
      <c r="BR94" s="16"/>
      <c r="BS94" s="16"/>
      <c r="BT94" s="27"/>
      <c r="BV94" s="27"/>
      <c r="BW94" s="16"/>
      <c r="BX94" s="16"/>
      <c r="BY94" s="27"/>
      <c r="CA94" s="27"/>
      <c r="CB94" s="16"/>
      <c r="CC94" s="16"/>
      <c r="CD94" s="27"/>
      <c r="CF94" s="27"/>
      <c r="CG94" s="16"/>
      <c r="CH94" s="16"/>
      <c r="CI94" s="27"/>
      <c r="CK94" s="27"/>
      <c r="CL94" s="16"/>
      <c r="CM94" s="16"/>
      <c r="CN94" s="27"/>
      <c r="CP94" s="27"/>
      <c r="CQ94" s="16"/>
      <c r="CR94" s="16"/>
      <c r="CS94" s="27"/>
      <c r="CU94" s="27"/>
      <c r="CV94" s="16"/>
      <c r="CW94" s="16"/>
      <c r="CX94" s="27"/>
      <c r="CZ94" s="27"/>
      <c r="DA94" s="16"/>
      <c r="DB94" s="16"/>
      <c r="DC94" s="27"/>
      <c r="DE94" s="27"/>
      <c r="DF94" s="16"/>
      <c r="DG94" s="16"/>
      <c r="DH94" s="27"/>
      <c r="DJ94" s="27"/>
      <c r="DK94" s="16"/>
      <c r="DL94" s="16"/>
      <c r="DM94" s="27"/>
      <c r="DO94" s="27"/>
      <c r="DP94" s="16"/>
      <c r="DQ94" s="16"/>
      <c r="DR94" s="27"/>
      <c r="DT94" s="27"/>
      <c r="DU94" s="16"/>
      <c r="DV94" s="16"/>
      <c r="DW94" s="27"/>
      <c r="DY94" s="27"/>
      <c r="DZ94" s="16"/>
      <c r="EA94" s="16"/>
      <c r="EB94" s="302"/>
    </row>
    <row r="95" spans="1:132" s="14" customFormat="1" ht="21" x14ac:dyDescent="0.4">
      <c r="A95" s="27"/>
      <c r="B95" s="27"/>
      <c r="C95" s="27"/>
      <c r="E95" s="16"/>
      <c r="F95" s="27"/>
      <c r="G95" s="27"/>
      <c r="I95" s="27"/>
      <c r="J95" s="16"/>
      <c r="K95" s="16"/>
      <c r="L95" s="27"/>
      <c r="N95" s="27"/>
      <c r="O95" s="16"/>
      <c r="P95" s="16"/>
      <c r="Q95" s="27"/>
      <c r="S95" s="27"/>
      <c r="T95" s="16"/>
      <c r="U95" s="16"/>
      <c r="V95" s="27"/>
      <c r="X95" s="27"/>
      <c r="Y95" s="16"/>
      <c r="Z95" s="16"/>
      <c r="AA95" s="27"/>
      <c r="AC95" s="27"/>
      <c r="AD95" s="16"/>
      <c r="AE95" s="16"/>
      <c r="AF95" s="27"/>
      <c r="AH95" s="27"/>
      <c r="AI95" s="16"/>
      <c r="AJ95" s="16"/>
      <c r="AK95" s="27"/>
      <c r="AM95" s="27"/>
      <c r="AN95" s="16"/>
      <c r="AO95" s="16"/>
      <c r="AP95" s="27"/>
      <c r="AR95" s="27"/>
      <c r="AS95" s="16"/>
      <c r="AT95" s="16"/>
      <c r="AU95" s="27"/>
      <c r="AW95" s="27"/>
      <c r="AX95" s="16"/>
      <c r="AY95" s="16"/>
      <c r="AZ95" s="27"/>
      <c r="BB95" s="27"/>
      <c r="BC95" s="16"/>
      <c r="BD95" s="16"/>
      <c r="BE95" s="27"/>
      <c r="BG95" s="27"/>
      <c r="BH95" s="16"/>
      <c r="BI95" s="16"/>
      <c r="BJ95" s="27"/>
      <c r="BL95" s="27"/>
      <c r="BM95" s="16"/>
      <c r="BN95" s="16"/>
      <c r="BO95" s="27"/>
      <c r="BQ95" s="27"/>
      <c r="BR95" s="16"/>
      <c r="BS95" s="16"/>
      <c r="BT95" s="27"/>
      <c r="BV95" s="27"/>
      <c r="BW95" s="16"/>
      <c r="BX95" s="16"/>
      <c r="BY95" s="27"/>
      <c r="CA95" s="27"/>
      <c r="CB95" s="16"/>
      <c r="CC95" s="16"/>
      <c r="CD95" s="27"/>
      <c r="CF95" s="27"/>
      <c r="CG95" s="16"/>
      <c r="CH95" s="16"/>
      <c r="CI95" s="27"/>
      <c r="CK95" s="27"/>
      <c r="CL95" s="16"/>
      <c r="CM95" s="16"/>
      <c r="CN95" s="27"/>
      <c r="CP95" s="27"/>
      <c r="CQ95" s="16"/>
      <c r="CR95" s="16"/>
      <c r="CS95" s="27"/>
      <c r="CU95" s="27"/>
      <c r="CV95" s="16"/>
      <c r="CW95" s="16"/>
      <c r="CX95" s="27"/>
      <c r="CZ95" s="27"/>
      <c r="DA95" s="16"/>
      <c r="DB95" s="16"/>
      <c r="DC95" s="27"/>
      <c r="DE95" s="27"/>
      <c r="DF95" s="16"/>
      <c r="DG95" s="16"/>
      <c r="DH95" s="27"/>
      <c r="DJ95" s="27"/>
      <c r="DK95" s="16"/>
      <c r="DL95" s="16"/>
      <c r="DM95" s="27"/>
      <c r="DO95" s="27"/>
      <c r="DP95" s="16"/>
      <c r="DQ95" s="16"/>
      <c r="DR95" s="27"/>
      <c r="DT95" s="27"/>
      <c r="DU95" s="16"/>
      <c r="DV95" s="16"/>
      <c r="DW95" s="27"/>
      <c r="DY95" s="27"/>
      <c r="DZ95" s="16"/>
      <c r="EA95" s="16"/>
      <c r="EB95" s="302"/>
    </row>
    <row r="96" spans="1:132" s="14" customFormat="1" ht="21" x14ac:dyDescent="0.4">
      <c r="A96" s="27"/>
      <c r="B96" s="27"/>
      <c r="C96" s="27"/>
      <c r="E96" s="16"/>
      <c r="F96" s="27"/>
      <c r="G96" s="27"/>
      <c r="I96" s="27"/>
      <c r="J96" s="16"/>
      <c r="K96" s="16"/>
      <c r="L96" s="27"/>
      <c r="N96" s="27"/>
      <c r="O96" s="16"/>
      <c r="P96" s="16"/>
      <c r="Q96" s="27"/>
      <c r="S96" s="27"/>
      <c r="T96" s="16"/>
      <c r="U96" s="16"/>
      <c r="V96" s="27"/>
      <c r="X96" s="27"/>
      <c r="Y96" s="16"/>
      <c r="Z96" s="16"/>
      <c r="AA96" s="27"/>
      <c r="AC96" s="27"/>
      <c r="AD96" s="16"/>
      <c r="AE96" s="16"/>
      <c r="AF96" s="27"/>
      <c r="AH96" s="27"/>
      <c r="AI96" s="16"/>
      <c r="AJ96" s="16"/>
      <c r="AK96" s="27"/>
      <c r="AM96" s="27"/>
      <c r="AN96" s="16"/>
      <c r="AO96" s="16"/>
      <c r="AP96" s="27"/>
      <c r="AR96" s="27"/>
      <c r="AS96" s="16"/>
      <c r="AT96" s="16"/>
      <c r="AU96" s="27"/>
      <c r="AW96" s="27"/>
      <c r="AX96" s="16"/>
      <c r="AY96" s="16"/>
      <c r="AZ96" s="27"/>
      <c r="BB96" s="27"/>
      <c r="BC96" s="16"/>
      <c r="BD96" s="16"/>
      <c r="BE96" s="27"/>
      <c r="BG96" s="27"/>
      <c r="BH96" s="16"/>
      <c r="BI96" s="16"/>
      <c r="BJ96" s="27"/>
      <c r="BL96" s="27"/>
      <c r="BM96" s="16"/>
      <c r="BN96" s="16"/>
      <c r="BO96" s="27"/>
      <c r="BQ96" s="27"/>
      <c r="BR96" s="16"/>
      <c r="BS96" s="16"/>
      <c r="BT96" s="27"/>
      <c r="BV96" s="27"/>
      <c r="BW96" s="16"/>
      <c r="BX96" s="16"/>
      <c r="BY96" s="27"/>
      <c r="CA96" s="27"/>
      <c r="CB96" s="16"/>
      <c r="CC96" s="16"/>
      <c r="CD96" s="27"/>
      <c r="CF96" s="27"/>
      <c r="CG96" s="16"/>
      <c r="CH96" s="16"/>
      <c r="CI96" s="27"/>
      <c r="CK96" s="27"/>
      <c r="CL96" s="16"/>
      <c r="CM96" s="16"/>
      <c r="CN96" s="27"/>
      <c r="CP96" s="27"/>
      <c r="CQ96" s="16"/>
      <c r="CR96" s="16"/>
      <c r="CS96" s="27"/>
      <c r="CU96" s="27"/>
      <c r="CV96" s="16"/>
      <c r="CW96" s="16"/>
      <c r="CX96" s="27"/>
      <c r="CZ96" s="27"/>
      <c r="DA96" s="16"/>
      <c r="DB96" s="16"/>
      <c r="DC96" s="27"/>
      <c r="DE96" s="27"/>
      <c r="DF96" s="16"/>
      <c r="DG96" s="16"/>
      <c r="DH96" s="27"/>
      <c r="DJ96" s="27"/>
      <c r="DK96" s="16"/>
      <c r="DL96" s="16"/>
      <c r="DM96" s="27"/>
      <c r="DO96" s="27"/>
      <c r="DP96" s="16"/>
      <c r="DQ96" s="16"/>
      <c r="DR96" s="27"/>
      <c r="DT96" s="27"/>
      <c r="DU96" s="16"/>
      <c r="DV96" s="16"/>
      <c r="DW96" s="27"/>
      <c r="DY96" s="27"/>
      <c r="DZ96" s="16"/>
      <c r="EA96" s="16"/>
      <c r="EB96" s="302"/>
    </row>
    <row r="97" spans="1:132" s="14" customFormat="1" ht="21" x14ac:dyDescent="0.4">
      <c r="A97" s="27"/>
      <c r="B97" s="27"/>
      <c r="C97" s="27"/>
      <c r="E97" s="16"/>
      <c r="F97" s="27"/>
      <c r="G97" s="27"/>
      <c r="I97" s="27"/>
      <c r="J97" s="16"/>
      <c r="K97" s="16"/>
      <c r="L97" s="27"/>
      <c r="N97" s="27"/>
      <c r="O97" s="16"/>
      <c r="P97" s="16"/>
      <c r="Q97" s="27"/>
      <c r="S97" s="27"/>
      <c r="T97" s="16"/>
      <c r="U97" s="16"/>
      <c r="V97" s="27"/>
      <c r="X97" s="27"/>
      <c r="Y97" s="16"/>
      <c r="Z97" s="16"/>
      <c r="AA97" s="27"/>
      <c r="AC97" s="27"/>
      <c r="AD97" s="16"/>
      <c r="AE97" s="16"/>
      <c r="AF97" s="27"/>
      <c r="AH97" s="27"/>
      <c r="AI97" s="16"/>
      <c r="AJ97" s="16"/>
      <c r="AK97" s="27"/>
      <c r="AM97" s="27"/>
      <c r="AN97" s="16"/>
      <c r="AO97" s="16"/>
      <c r="AP97" s="27"/>
      <c r="AR97" s="27"/>
      <c r="AS97" s="16"/>
      <c r="AT97" s="16"/>
      <c r="AU97" s="27"/>
      <c r="AW97" s="27"/>
      <c r="AX97" s="16"/>
      <c r="AY97" s="16"/>
      <c r="AZ97" s="27"/>
      <c r="BB97" s="27"/>
      <c r="BC97" s="16"/>
      <c r="BD97" s="16"/>
      <c r="BE97" s="27"/>
      <c r="BG97" s="27"/>
      <c r="BH97" s="16"/>
      <c r="BI97" s="16"/>
      <c r="BJ97" s="27"/>
      <c r="BL97" s="27"/>
      <c r="BM97" s="16"/>
      <c r="BN97" s="16"/>
      <c r="BO97" s="27"/>
      <c r="BQ97" s="27"/>
      <c r="BR97" s="16"/>
      <c r="BS97" s="16"/>
      <c r="BT97" s="27"/>
      <c r="BV97" s="27"/>
      <c r="BW97" s="16"/>
      <c r="BX97" s="16"/>
      <c r="BY97" s="27"/>
      <c r="CA97" s="27"/>
      <c r="CB97" s="16"/>
      <c r="CC97" s="16"/>
      <c r="CD97" s="27"/>
      <c r="CF97" s="27"/>
      <c r="CG97" s="16"/>
      <c r="CH97" s="16"/>
      <c r="CI97" s="27"/>
      <c r="CK97" s="27"/>
      <c r="CL97" s="16"/>
      <c r="CM97" s="16"/>
      <c r="CN97" s="27"/>
      <c r="CP97" s="27"/>
      <c r="CQ97" s="16"/>
      <c r="CR97" s="16"/>
      <c r="CS97" s="27"/>
      <c r="CU97" s="27"/>
      <c r="CV97" s="16"/>
      <c r="CW97" s="16"/>
      <c r="CX97" s="27"/>
      <c r="CZ97" s="27"/>
      <c r="DA97" s="16"/>
      <c r="DB97" s="16"/>
      <c r="DC97" s="27"/>
      <c r="DE97" s="27"/>
      <c r="DF97" s="16"/>
      <c r="DG97" s="16"/>
      <c r="DH97" s="27"/>
      <c r="DJ97" s="27"/>
      <c r="DK97" s="16"/>
      <c r="DL97" s="16"/>
      <c r="DM97" s="27"/>
      <c r="DO97" s="27"/>
      <c r="DP97" s="16"/>
      <c r="DQ97" s="16"/>
      <c r="DR97" s="27"/>
      <c r="DT97" s="27"/>
      <c r="DU97" s="16"/>
      <c r="DV97" s="16"/>
      <c r="DW97" s="27"/>
      <c r="DY97" s="27"/>
      <c r="DZ97" s="16"/>
      <c r="EA97" s="16"/>
      <c r="EB97" s="302"/>
    </row>
    <row r="98" spans="1:132" s="14" customFormat="1" ht="21" x14ac:dyDescent="0.4">
      <c r="A98" s="27"/>
      <c r="B98" s="27"/>
      <c r="C98" s="27"/>
      <c r="E98" s="16"/>
      <c r="F98" s="27"/>
      <c r="G98" s="27"/>
      <c r="I98" s="27"/>
      <c r="J98" s="16"/>
      <c r="K98" s="16"/>
      <c r="L98" s="27"/>
      <c r="N98" s="27"/>
      <c r="O98" s="16"/>
      <c r="P98" s="16"/>
      <c r="Q98" s="27"/>
      <c r="S98" s="27"/>
      <c r="T98" s="16"/>
      <c r="U98" s="16"/>
      <c r="V98" s="27"/>
      <c r="X98" s="27"/>
      <c r="Y98" s="16"/>
      <c r="Z98" s="16"/>
      <c r="AA98" s="27"/>
      <c r="AC98" s="27"/>
      <c r="AD98" s="16"/>
      <c r="AE98" s="16"/>
      <c r="AF98" s="27"/>
      <c r="AH98" s="27"/>
      <c r="AI98" s="16"/>
      <c r="AJ98" s="16"/>
      <c r="AK98" s="27"/>
      <c r="AM98" s="27"/>
      <c r="AN98" s="16"/>
      <c r="AO98" s="16"/>
      <c r="AP98" s="27"/>
      <c r="AR98" s="27"/>
      <c r="AS98" s="16"/>
      <c r="AT98" s="16"/>
      <c r="AU98" s="27"/>
      <c r="AW98" s="27"/>
      <c r="AX98" s="16"/>
      <c r="AY98" s="16"/>
      <c r="AZ98" s="27"/>
      <c r="BB98" s="27"/>
      <c r="BC98" s="16"/>
      <c r="BD98" s="16"/>
      <c r="BE98" s="27"/>
      <c r="BG98" s="27"/>
      <c r="BH98" s="16"/>
      <c r="BI98" s="16"/>
      <c r="BJ98" s="27"/>
      <c r="BL98" s="27"/>
      <c r="BM98" s="16"/>
      <c r="BN98" s="16"/>
      <c r="BO98" s="27"/>
      <c r="BQ98" s="27"/>
      <c r="BR98" s="16"/>
      <c r="BS98" s="16"/>
      <c r="BT98" s="27"/>
      <c r="BV98" s="27"/>
      <c r="BW98" s="16"/>
      <c r="BX98" s="16"/>
      <c r="BY98" s="27"/>
      <c r="CA98" s="27"/>
      <c r="CB98" s="16"/>
      <c r="CC98" s="16"/>
      <c r="CD98" s="27"/>
      <c r="CF98" s="27"/>
      <c r="CG98" s="16"/>
      <c r="CH98" s="16"/>
      <c r="CI98" s="27"/>
      <c r="CK98" s="27"/>
      <c r="CL98" s="16"/>
      <c r="CM98" s="16"/>
      <c r="CN98" s="27"/>
      <c r="CP98" s="27"/>
      <c r="CQ98" s="16"/>
      <c r="CR98" s="16"/>
      <c r="CS98" s="27"/>
      <c r="CU98" s="27"/>
      <c r="CV98" s="16"/>
      <c r="CW98" s="16"/>
      <c r="CX98" s="27"/>
      <c r="CZ98" s="27"/>
      <c r="DA98" s="16"/>
      <c r="DB98" s="16"/>
      <c r="DC98" s="27"/>
      <c r="DE98" s="27"/>
      <c r="DF98" s="16"/>
      <c r="DG98" s="16"/>
      <c r="DH98" s="27"/>
      <c r="DJ98" s="27"/>
      <c r="DK98" s="16"/>
      <c r="DL98" s="16"/>
      <c r="DM98" s="27"/>
      <c r="DO98" s="27"/>
      <c r="DP98" s="16"/>
      <c r="DQ98" s="16"/>
      <c r="DR98" s="27"/>
      <c r="DT98" s="27"/>
      <c r="DU98" s="16"/>
      <c r="DV98" s="16"/>
      <c r="DW98" s="27"/>
      <c r="DY98" s="27"/>
      <c r="DZ98" s="16"/>
      <c r="EA98" s="16"/>
      <c r="EB98" s="302"/>
    </row>
    <row r="99" spans="1:132" s="14" customFormat="1" ht="21" x14ac:dyDescent="0.4">
      <c r="A99" s="27"/>
      <c r="B99" s="27"/>
      <c r="C99" s="27"/>
      <c r="E99" s="16"/>
      <c r="F99" s="27"/>
      <c r="G99" s="27"/>
      <c r="I99" s="27"/>
      <c r="J99" s="16"/>
      <c r="K99" s="16"/>
      <c r="L99" s="27"/>
      <c r="N99" s="27"/>
      <c r="O99" s="16"/>
      <c r="P99" s="16"/>
      <c r="Q99" s="27"/>
      <c r="S99" s="27"/>
      <c r="T99" s="16"/>
      <c r="U99" s="16"/>
      <c r="V99" s="27"/>
      <c r="X99" s="27"/>
      <c r="Y99" s="16"/>
      <c r="Z99" s="16"/>
      <c r="AA99" s="27"/>
      <c r="AC99" s="27"/>
      <c r="AD99" s="16"/>
      <c r="AE99" s="16"/>
      <c r="AF99" s="27"/>
      <c r="AH99" s="27"/>
      <c r="AI99" s="16"/>
      <c r="AJ99" s="16"/>
      <c r="AK99" s="27"/>
      <c r="AM99" s="27"/>
      <c r="AN99" s="16"/>
      <c r="AO99" s="16"/>
      <c r="AP99" s="27"/>
      <c r="AR99" s="27"/>
      <c r="AS99" s="16"/>
      <c r="AT99" s="16"/>
      <c r="AU99" s="27"/>
      <c r="AW99" s="27"/>
      <c r="AX99" s="16"/>
      <c r="AY99" s="16"/>
      <c r="AZ99" s="27"/>
      <c r="BB99" s="27"/>
      <c r="BC99" s="16"/>
      <c r="BD99" s="16"/>
      <c r="BE99" s="27"/>
      <c r="BG99" s="27"/>
      <c r="BH99" s="16"/>
      <c r="BI99" s="16"/>
      <c r="BJ99" s="27"/>
      <c r="BL99" s="27"/>
      <c r="BM99" s="16"/>
      <c r="BN99" s="16"/>
      <c r="BO99" s="27"/>
      <c r="BQ99" s="27"/>
      <c r="BR99" s="16"/>
      <c r="BS99" s="16"/>
      <c r="BT99" s="27"/>
      <c r="BV99" s="27"/>
      <c r="BW99" s="16"/>
      <c r="BX99" s="16"/>
      <c r="BY99" s="27"/>
      <c r="CA99" s="27"/>
      <c r="CB99" s="16"/>
      <c r="CC99" s="16"/>
      <c r="CD99" s="27"/>
      <c r="CF99" s="27"/>
      <c r="CG99" s="16"/>
      <c r="CH99" s="16"/>
      <c r="CI99" s="27"/>
      <c r="CK99" s="27"/>
      <c r="CL99" s="16"/>
      <c r="CM99" s="16"/>
      <c r="CN99" s="27"/>
      <c r="CP99" s="27"/>
      <c r="CQ99" s="16"/>
      <c r="CR99" s="16"/>
      <c r="CS99" s="27"/>
      <c r="CU99" s="27"/>
      <c r="CV99" s="16"/>
      <c r="CW99" s="16"/>
      <c r="CX99" s="27"/>
      <c r="CZ99" s="27"/>
      <c r="DA99" s="16"/>
      <c r="DB99" s="16"/>
      <c r="DC99" s="27"/>
      <c r="DE99" s="27"/>
      <c r="DF99" s="16"/>
      <c r="DG99" s="16"/>
      <c r="DH99" s="27"/>
      <c r="DJ99" s="27"/>
      <c r="DK99" s="16"/>
      <c r="DL99" s="16"/>
      <c r="DM99" s="27"/>
      <c r="DO99" s="27"/>
      <c r="DP99" s="16"/>
      <c r="DQ99" s="16"/>
      <c r="DR99" s="27"/>
      <c r="DT99" s="27"/>
      <c r="DU99" s="16"/>
      <c r="DV99" s="16"/>
      <c r="DW99" s="27"/>
      <c r="DY99" s="27"/>
      <c r="DZ99" s="16"/>
      <c r="EA99" s="16"/>
      <c r="EB99" s="302"/>
    </row>
    <row r="100" spans="1:132" s="14" customFormat="1" ht="21" x14ac:dyDescent="0.4">
      <c r="A100" s="27"/>
      <c r="B100" s="27"/>
      <c r="C100" s="27"/>
      <c r="E100" s="16"/>
      <c r="F100" s="27"/>
      <c r="G100" s="27"/>
      <c r="I100" s="27"/>
      <c r="J100" s="16"/>
      <c r="K100" s="16"/>
      <c r="L100" s="27"/>
      <c r="N100" s="27"/>
      <c r="O100" s="16"/>
      <c r="P100" s="16"/>
      <c r="Q100" s="27"/>
      <c r="S100" s="27"/>
      <c r="T100" s="16"/>
      <c r="U100" s="16"/>
      <c r="V100" s="27"/>
      <c r="X100" s="27"/>
      <c r="Y100" s="16"/>
      <c r="Z100" s="16"/>
      <c r="AA100" s="27"/>
      <c r="AC100" s="27"/>
      <c r="AD100" s="16"/>
      <c r="AE100" s="16"/>
      <c r="AF100" s="27"/>
      <c r="AH100" s="27"/>
      <c r="AI100" s="16"/>
      <c r="AJ100" s="16"/>
      <c r="AK100" s="27"/>
      <c r="AM100" s="27"/>
      <c r="AN100" s="16"/>
      <c r="AO100" s="16"/>
      <c r="AP100" s="27"/>
      <c r="AR100" s="27"/>
      <c r="AS100" s="16"/>
      <c r="AT100" s="16"/>
      <c r="AU100" s="27"/>
      <c r="AW100" s="27"/>
      <c r="AX100" s="16"/>
      <c r="AY100" s="16"/>
      <c r="AZ100" s="27"/>
      <c r="BB100" s="27"/>
      <c r="BC100" s="16"/>
      <c r="BD100" s="16"/>
      <c r="BE100" s="27"/>
      <c r="BG100" s="27"/>
      <c r="BH100" s="16"/>
      <c r="BI100" s="16"/>
      <c r="BJ100" s="27"/>
      <c r="BL100" s="27"/>
      <c r="BM100" s="16"/>
      <c r="BN100" s="16"/>
      <c r="BO100" s="27"/>
      <c r="BQ100" s="27"/>
      <c r="BR100" s="16"/>
      <c r="BS100" s="16"/>
      <c r="BT100" s="27"/>
      <c r="BV100" s="27"/>
      <c r="BW100" s="16"/>
      <c r="BX100" s="16"/>
      <c r="BY100" s="27"/>
      <c r="CA100" s="27"/>
      <c r="CB100" s="16"/>
      <c r="CC100" s="16"/>
      <c r="CD100" s="27"/>
      <c r="CF100" s="27"/>
      <c r="CG100" s="16"/>
      <c r="CH100" s="16"/>
      <c r="CI100" s="27"/>
      <c r="CK100" s="27"/>
      <c r="CL100" s="16"/>
      <c r="CM100" s="16"/>
      <c r="CN100" s="27"/>
      <c r="CP100" s="27"/>
      <c r="CQ100" s="16"/>
      <c r="CR100" s="16"/>
      <c r="CS100" s="27"/>
      <c r="CU100" s="27"/>
      <c r="CV100" s="16"/>
      <c r="CW100" s="16"/>
      <c r="CX100" s="27"/>
      <c r="CZ100" s="27"/>
      <c r="DA100" s="16"/>
      <c r="DB100" s="16"/>
      <c r="DC100" s="27"/>
      <c r="DE100" s="27"/>
      <c r="DF100" s="16"/>
      <c r="DG100" s="16"/>
      <c r="DH100" s="27"/>
      <c r="DJ100" s="27"/>
      <c r="DK100" s="16"/>
      <c r="DL100" s="16"/>
      <c r="DM100" s="27"/>
      <c r="DO100" s="27"/>
      <c r="DP100" s="16"/>
      <c r="DQ100" s="16"/>
      <c r="DR100" s="27"/>
      <c r="DT100" s="27"/>
      <c r="DU100" s="16"/>
      <c r="DV100" s="16"/>
      <c r="DW100" s="27"/>
      <c r="DY100" s="27"/>
      <c r="DZ100" s="16"/>
      <c r="EA100" s="16"/>
      <c r="EB100" s="302"/>
    </row>
    <row r="101" spans="1:132" s="14" customFormat="1" ht="21" x14ac:dyDescent="0.4">
      <c r="A101" s="27"/>
      <c r="B101" s="27"/>
      <c r="C101" s="27"/>
      <c r="E101" s="16"/>
      <c r="F101" s="27"/>
      <c r="G101" s="27"/>
      <c r="I101" s="27"/>
      <c r="J101" s="16"/>
      <c r="K101" s="16"/>
      <c r="L101" s="27"/>
      <c r="N101" s="27"/>
      <c r="O101" s="16"/>
      <c r="P101" s="16"/>
      <c r="Q101" s="27"/>
      <c r="S101" s="27"/>
      <c r="T101" s="16"/>
      <c r="U101" s="16"/>
      <c r="V101" s="27"/>
      <c r="X101" s="27"/>
      <c r="Y101" s="16"/>
      <c r="Z101" s="16"/>
      <c r="AA101" s="27"/>
      <c r="AC101" s="27"/>
      <c r="AD101" s="16"/>
      <c r="AE101" s="16"/>
      <c r="AF101" s="27"/>
      <c r="AH101" s="27"/>
      <c r="AI101" s="16"/>
      <c r="AJ101" s="16"/>
      <c r="AK101" s="27"/>
      <c r="AM101" s="27"/>
      <c r="AN101" s="16"/>
      <c r="AO101" s="16"/>
      <c r="AP101" s="27"/>
      <c r="AR101" s="27"/>
      <c r="AS101" s="16"/>
      <c r="AT101" s="16"/>
      <c r="AU101" s="27"/>
      <c r="AW101" s="27"/>
      <c r="AX101" s="16"/>
      <c r="AY101" s="16"/>
      <c r="AZ101" s="27"/>
      <c r="BB101" s="27"/>
      <c r="BC101" s="16"/>
      <c r="BD101" s="16"/>
      <c r="BE101" s="27"/>
      <c r="BG101" s="27"/>
      <c r="BH101" s="16"/>
      <c r="BI101" s="16"/>
      <c r="BJ101" s="27"/>
      <c r="BL101" s="27"/>
      <c r="BM101" s="16"/>
      <c r="BN101" s="16"/>
      <c r="BO101" s="27"/>
      <c r="BQ101" s="27"/>
      <c r="BR101" s="16"/>
      <c r="BS101" s="16"/>
      <c r="BT101" s="27"/>
      <c r="BV101" s="27"/>
      <c r="BW101" s="16"/>
      <c r="BX101" s="16"/>
      <c r="BY101" s="27"/>
      <c r="CA101" s="27"/>
      <c r="CB101" s="16"/>
      <c r="CC101" s="16"/>
      <c r="CD101" s="27"/>
      <c r="CF101" s="27"/>
      <c r="CG101" s="16"/>
      <c r="CH101" s="16"/>
      <c r="CI101" s="27"/>
      <c r="CK101" s="27"/>
      <c r="CL101" s="16"/>
      <c r="CM101" s="16"/>
      <c r="CN101" s="27"/>
      <c r="CP101" s="27"/>
      <c r="CQ101" s="16"/>
      <c r="CR101" s="16"/>
      <c r="CS101" s="27"/>
      <c r="CU101" s="27"/>
      <c r="CV101" s="16"/>
      <c r="CW101" s="16"/>
      <c r="CX101" s="27"/>
      <c r="CZ101" s="27"/>
      <c r="DA101" s="16"/>
      <c r="DB101" s="16"/>
      <c r="DC101" s="27"/>
      <c r="DE101" s="27"/>
      <c r="DF101" s="16"/>
      <c r="DG101" s="16"/>
      <c r="DH101" s="27"/>
      <c r="DJ101" s="27"/>
      <c r="DK101" s="16"/>
      <c r="DL101" s="16"/>
      <c r="DM101" s="27"/>
      <c r="DO101" s="27"/>
      <c r="DP101" s="16"/>
      <c r="DQ101" s="16"/>
      <c r="DR101" s="27"/>
      <c r="DT101" s="27"/>
      <c r="DU101" s="16"/>
      <c r="DV101" s="16"/>
      <c r="DW101" s="27"/>
      <c r="DY101" s="27"/>
      <c r="DZ101" s="16"/>
      <c r="EA101" s="16"/>
      <c r="EB101" s="302"/>
    </row>
    <row r="102" spans="1:132" s="14" customFormat="1" ht="21" x14ac:dyDescent="0.4">
      <c r="A102" s="27"/>
      <c r="B102" s="27"/>
      <c r="C102" s="27"/>
      <c r="E102" s="16"/>
      <c r="F102" s="27"/>
      <c r="G102" s="27"/>
      <c r="I102" s="27"/>
      <c r="J102" s="16"/>
      <c r="K102" s="16"/>
      <c r="L102" s="27"/>
      <c r="N102" s="27"/>
      <c r="O102" s="16"/>
      <c r="P102" s="16"/>
      <c r="Q102" s="27"/>
      <c r="S102" s="27"/>
      <c r="T102" s="16"/>
      <c r="U102" s="16"/>
      <c r="V102" s="27"/>
      <c r="X102" s="27"/>
      <c r="Y102" s="16"/>
      <c r="Z102" s="16"/>
      <c r="AA102" s="27"/>
      <c r="AC102" s="27"/>
      <c r="AD102" s="16"/>
      <c r="AE102" s="16"/>
      <c r="AF102" s="27"/>
      <c r="AH102" s="27"/>
      <c r="AI102" s="16"/>
      <c r="AJ102" s="16"/>
      <c r="AK102" s="27"/>
      <c r="AM102" s="27"/>
      <c r="AN102" s="16"/>
      <c r="AO102" s="16"/>
      <c r="AP102" s="27"/>
      <c r="AR102" s="27"/>
      <c r="AS102" s="16"/>
      <c r="AT102" s="16"/>
      <c r="AU102" s="27"/>
      <c r="AW102" s="27"/>
      <c r="AX102" s="16"/>
      <c r="AY102" s="16"/>
      <c r="AZ102" s="27"/>
      <c r="BB102" s="27"/>
      <c r="BC102" s="16"/>
      <c r="BD102" s="16"/>
      <c r="BE102" s="27"/>
      <c r="BG102" s="27"/>
      <c r="BH102" s="16"/>
      <c r="BI102" s="16"/>
      <c r="BJ102" s="27"/>
      <c r="BL102" s="27"/>
      <c r="BM102" s="16"/>
      <c r="BN102" s="16"/>
      <c r="BO102" s="27"/>
      <c r="BQ102" s="27"/>
      <c r="BR102" s="16"/>
      <c r="BS102" s="16"/>
      <c r="BT102" s="27"/>
      <c r="BV102" s="27"/>
      <c r="BW102" s="16"/>
      <c r="BX102" s="16"/>
      <c r="BY102" s="27"/>
      <c r="CA102" s="27"/>
      <c r="CB102" s="16"/>
      <c r="CC102" s="16"/>
      <c r="CD102" s="27"/>
      <c r="CF102" s="27"/>
      <c r="CG102" s="16"/>
      <c r="CH102" s="16"/>
      <c r="CI102" s="27"/>
      <c r="CK102" s="27"/>
      <c r="CL102" s="16"/>
      <c r="CM102" s="16"/>
      <c r="CN102" s="27"/>
      <c r="CP102" s="27"/>
      <c r="CQ102" s="16"/>
      <c r="CR102" s="16"/>
      <c r="CS102" s="27"/>
      <c r="CU102" s="27"/>
      <c r="CV102" s="16"/>
      <c r="CW102" s="16"/>
      <c r="CX102" s="27"/>
      <c r="CZ102" s="27"/>
      <c r="DA102" s="16"/>
      <c r="DB102" s="16"/>
      <c r="DC102" s="27"/>
      <c r="DE102" s="27"/>
      <c r="DF102" s="16"/>
      <c r="DG102" s="16"/>
      <c r="DH102" s="27"/>
      <c r="DJ102" s="27"/>
      <c r="DK102" s="16"/>
      <c r="DL102" s="16"/>
      <c r="DM102" s="27"/>
      <c r="DO102" s="27"/>
      <c r="DP102" s="16"/>
      <c r="DQ102" s="16"/>
      <c r="DR102" s="27"/>
      <c r="DT102" s="27"/>
      <c r="DU102" s="16"/>
      <c r="DV102" s="16"/>
      <c r="DW102" s="27"/>
      <c r="DY102" s="27"/>
      <c r="DZ102" s="16"/>
      <c r="EA102" s="16"/>
      <c r="EB102" s="302"/>
    </row>
    <row r="103" spans="1:132" s="14" customFormat="1" ht="21" x14ac:dyDescent="0.4">
      <c r="A103" s="27"/>
      <c r="B103" s="27"/>
      <c r="C103" s="27"/>
      <c r="E103" s="16"/>
      <c r="F103" s="27"/>
      <c r="G103" s="27"/>
      <c r="I103" s="27"/>
      <c r="J103" s="16"/>
      <c r="K103" s="16"/>
      <c r="L103" s="27"/>
      <c r="N103" s="27"/>
      <c r="O103" s="16"/>
      <c r="P103" s="16"/>
      <c r="Q103" s="27"/>
      <c r="S103" s="27"/>
      <c r="T103" s="16"/>
      <c r="U103" s="16"/>
      <c r="V103" s="27"/>
      <c r="X103" s="27"/>
      <c r="Y103" s="16"/>
      <c r="Z103" s="16"/>
      <c r="AA103" s="27"/>
      <c r="AC103" s="27"/>
      <c r="AD103" s="16"/>
      <c r="AE103" s="16"/>
      <c r="AF103" s="27"/>
      <c r="AH103" s="27"/>
      <c r="AI103" s="16"/>
      <c r="AJ103" s="16"/>
      <c r="AK103" s="27"/>
      <c r="AM103" s="27"/>
      <c r="AN103" s="16"/>
      <c r="AO103" s="16"/>
      <c r="AP103" s="27"/>
      <c r="AR103" s="27"/>
      <c r="AS103" s="16"/>
      <c r="AT103" s="16"/>
      <c r="AU103" s="27"/>
      <c r="AW103" s="27"/>
      <c r="AX103" s="16"/>
      <c r="AY103" s="16"/>
      <c r="AZ103" s="27"/>
      <c r="BB103" s="27"/>
      <c r="BC103" s="16"/>
      <c r="BD103" s="16"/>
      <c r="BE103" s="27"/>
      <c r="BG103" s="27"/>
      <c r="BH103" s="16"/>
      <c r="BI103" s="16"/>
      <c r="BJ103" s="27"/>
      <c r="BL103" s="27"/>
      <c r="BM103" s="16"/>
      <c r="BN103" s="16"/>
      <c r="BO103" s="27"/>
      <c r="BQ103" s="27"/>
      <c r="BR103" s="16"/>
      <c r="BS103" s="16"/>
      <c r="BT103" s="27"/>
      <c r="BV103" s="27"/>
      <c r="BW103" s="16"/>
      <c r="BX103" s="16"/>
      <c r="BY103" s="27"/>
      <c r="CA103" s="27"/>
      <c r="CB103" s="16"/>
      <c r="CC103" s="16"/>
      <c r="CD103" s="27"/>
      <c r="CF103" s="27"/>
      <c r="CG103" s="16"/>
      <c r="CH103" s="16"/>
      <c r="CI103" s="27"/>
      <c r="CK103" s="27"/>
      <c r="CL103" s="16"/>
      <c r="CM103" s="16"/>
      <c r="CN103" s="27"/>
      <c r="CP103" s="27"/>
      <c r="CQ103" s="16"/>
      <c r="CR103" s="16"/>
      <c r="CS103" s="27"/>
      <c r="CU103" s="27"/>
      <c r="CV103" s="16"/>
      <c r="CW103" s="16"/>
      <c r="CX103" s="27"/>
      <c r="CZ103" s="27"/>
      <c r="DA103" s="16"/>
      <c r="DB103" s="16"/>
      <c r="DC103" s="27"/>
      <c r="DE103" s="27"/>
      <c r="DF103" s="16"/>
      <c r="DG103" s="16"/>
      <c r="DH103" s="27"/>
      <c r="DJ103" s="27"/>
      <c r="DK103" s="16"/>
      <c r="DL103" s="16"/>
      <c r="DM103" s="27"/>
      <c r="DO103" s="27"/>
      <c r="DP103" s="16"/>
      <c r="DQ103" s="16"/>
      <c r="DR103" s="27"/>
      <c r="DT103" s="27"/>
      <c r="DU103" s="16"/>
      <c r="DV103" s="16"/>
      <c r="DW103" s="27"/>
      <c r="DY103" s="27"/>
      <c r="DZ103" s="16"/>
      <c r="EA103" s="16"/>
      <c r="EB103" s="302"/>
    </row>
    <row r="104" spans="1:132" s="14" customFormat="1" ht="21" x14ac:dyDescent="0.4">
      <c r="A104" s="27"/>
      <c r="B104" s="27"/>
      <c r="C104" s="27"/>
      <c r="E104" s="16"/>
      <c r="F104" s="27"/>
      <c r="G104" s="27"/>
      <c r="I104" s="27"/>
      <c r="J104" s="16"/>
      <c r="K104" s="16"/>
      <c r="L104" s="27"/>
      <c r="N104" s="27"/>
      <c r="O104" s="16"/>
      <c r="P104" s="16"/>
      <c r="Q104" s="27"/>
      <c r="S104" s="27"/>
      <c r="T104" s="16"/>
      <c r="U104" s="16"/>
      <c r="V104" s="27"/>
      <c r="X104" s="27"/>
      <c r="Y104" s="16"/>
      <c r="Z104" s="16"/>
      <c r="AA104" s="27"/>
      <c r="AC104" s="27"/>
      <c r="AD104" s="16"/>
      <c r="AE104" s="16"/>
      <c r="AF104" s="27"/>
      <c r="AH104" s="27"/>
      <c r="AI104" s="16"/>
      <c r="AJ104" s="16"/>
      <c r="AK104" s="27"/>
      <c r="AM104" s="27"/>
      <c r="AN104" s="16"/>
      <c r="AO104" s="16"/>
      <c r="AP104" s="27"/>
      <c r="AR104" s="27"/>
      <c r="AS104" s="16"/>
      <c r="AT104" s="16"/>
      <c r="AU104" s="27"/>
      <c r="AW104" s="27"/>
      <c r="AX104" s="16"/>
      <c r="AY104" s="16"/>
      <c r="AZ104" s="27"/>
      <c r="BB104" s="27"/>
      <c r="BC104" s="16"/>
      <c r="BD104" s="16"/>
      <c r="BE104" s="27"/>
      <c r="BG104" s="27"/>
      <c r="BH104" s="16"/>
      <c r="BI104" s="16"/>
      <c r="BJ104" s="27"/>
      <c r="BL104" s="27"/>
      <c r="BM104" s="16"/>
      <c r="BN104" s="16"/>
      <c r="BO104" s="27"/>
      <c r="BQ104" s="27"/>
      <c r="BR104" s="16"/>
      <c r="BS104" s="16"/>
      <c r="BT104" s="27"/>
      <c r="BV104" s="27"/>
      <c r="BW104" s="16"/>
      <c r="BX104" s="16"/>
      <c r="BY104" s="27"/>
      <c r="CA104" s="27"/>
      <c r="CB104" s="16"/>
      <c r="CC104" s="16"/>
      <c r="CD104" s="27"/>
      <c r="CF104" s="27"/>
      <c r="CG104" s="16"/>
      <c r="CH104" s="16"/>
      <c r="CI104" s="27"/>
      <c r="CK104" s="27"/>
      <c r="CL104" s="16"/>
      <c r="CM104" s="16"/>
      <c r="CN104" s="27"/>
      <c r="CP104" s="27"/>
      <c r="CQ104" s="16"/>
      <c r="CR104" s="16"/>
      <c r="CS104" s="27"/>
      <c r="CU104" s="27"/>
      <c r="CV104" s="16"/>
      <c r="CW104" s="16"/>
      <c r="CX104" s="27"/>
      <c r="CZ104" s="27"/>
      <c r="DA104" s="16"/>
      <c r="DB104" s="16"/>
      <c r="DC104" s="27"/>
      <c r="DE104" s="27"/>
      <c r="DF104" s="16"/>
      <c r="DG104" s="16"/>
      <c r="DH104" s="27"/>
      <c r="DJ104" s="27"/>
      <c r="DK104" s="16"/>
      <c r="DL104" s="16"/>
      <c r="DM104" s="27"/>
      <c r="DO104" s="27"/>
      <c r="DP104" s="16"/>
      <c r="DQ104" s="16"/>
      <c r="DR104" s="27"/>
      <c r="DT104" s="27"/>
      <c r="DU104" s="16"/>
      <c r="DV104" s="16"/>
      <c r="DW104" s="27"/>
      <c r="DY104" s="27"/>
      <c r="DZ104" s="16"/>
      <c r="EA104" s="16"/>
      <c r="EB104" s="302"/>
    </row>
    <row r="105" spans="1:132" s="14" customFormat="1" ht="21" x14ac:dyDescent="0.4">
      <c r="A105" s="27"/>
      <c r="B105" s="27"/>
      <c r="C105" s="27"/>
      <c r="E105" s="16"/>
      <c r="F105" s="27"/>
      <c r="G105" s="27"/>
      <c r="I105" s="27"/>
      <c r="J105" s="16"/>
      <c r="K105" s="16"/>
      <c r="L105" s="27"/>
      <c r="N105" s="27"/>
      <c r="O105" s="16"/>
      <c r="P105" s="16"/>
      <c r="Q105" s="27"/>
      <c r="S105" s="27"/>
      <c r="T105" s="16"/>
      <c r="U105" s="16"/>
      <c r="V105" s="27"/>
      <c r="X105" s="27"/>
      <c r="Y105" s="16"/>
      <c r="Z105" s="16"/>
      <c r="AA105" s="27"/>
      <c r="AC105" s="27"/>
      <c r="AD105" s="16"/>
      <c r="AE105" s="16"/>
      <c r="AF105" s="27"/>
      <c r="AH105" s="27"/>
      <c r="AI105" s="16"/>
      <c r="AJ105" s="16"/>
      <c r="AK105" s="27"/>
      <c r="AM105" s="27"/>
      <c r="AN105" s="16"/>
      <c r="AO105" s="16"/>
      <c r="AP105" s="27"/>
      <c r="AR105" s="27"/>
      <c r="AS105" s="16"/>
      <c r="AT105" s="16"/>
      <c r="AU105" s="27"/>
      <c r="AW105" s="27"/>
      <c r="AX105" s="16"/>
      <c r="AY105" s="16"/>
      <c r="AZ105" s="27"/>
      <c r="BB105" s="27"/>
      <c r="BC105" s="16"/>
      <c r="BD105" s="16"/>
      <c r="BE105" s="27"/>
      <c r="BG105" s="27"/>
      <c r="BH105" s="16"/>
      <c r="BI105" s="16"/>
      <c r="BJ105" s="27"/>
      <c r="BL105" s="27"/>
      <c r="BM105" s="16"/>
      <c r="BN105" s="16"/>
      <c r="BO105" s="27"/>
      <c r="BQ105" s="27"/>
      <c r="BR105" s="16"/>
      <c r="BS105" s="16"/>
      <c r="BT105" s="27"/>
      <c r="BV105" s="27"/>
      <c r="BW105" s="16"/>
      <c r="BX105" s="16"/>
      <c r="BY105" s="27"/>
      <c r="CA105" s="27"/>
      <c r="CB105" s="16"/>
      <c r="CC105" s="16"/>
      <c r="CD105" s="27"/>
      <c r="CF105" s="27"/>
      <c r="CG105" s="16"/>
      <c r="CH105" s="16"/>
      <c r="CI105" s="27"/>
      <c r="CK105" s="27"/>
      <c r="CL105" s="16"/>
      <c r="CM105" s="16"/>
      <c r="CN105" s="27"/>
      <c r="CP105" s="27"/>
      <c r="CQ105" s="16"/>
      <c r="CR105" s="16"/>
      <c r="CS105" s="27"/>
      <c r="CU105" s="27"/>
      <c r="CV105" s="16"/>
      <c r="CW105" s="16"/>
      <c r="CX105" s="27"/>
      <c r="CZ105" s="27"/>
      <c r="DA105" s="16"/>
      <c r="DB105" s="16"/>
      <c r="DC105" s="27"/>
      <c r="DE105" s="27"/>
      <c r="DF105" s="16"/>
      <c r="DG105" s="16"/>
      <c r="DH105" s="27"/>
      <c r="DJ105" s="27"/>
      <c r="DK105" s="16"/>
      <c r="DL105" s="16"/>
      <c r="DM105" s="27"/>
      <c r="DO105" s="27"/>
      <c r="DP105" s="16"/>
      <c r="DQ105" s="16"/>
      <c r="DR105" s="27"/>
      <c r="DT105" s="27"/>
      <c r="DU105" s="16"/>
      <c r="DV105" s="16"/>
      <c r="DW105" s="27"/>
      <c r="DY105" s="27"/>
      <c r="DZ105" s="16"/>
      <c r="EA105" s="16"/>
      <c r="EB105" s="302"/>
    </row>
    <row r="106" spans="1:132" s="14" customFormat="1" ht="21" x14ac:dyDescent="0.4">
      <c r="A106" s="27"/>
      <c r="B106" s="27"/>
      <c r="C106" s="27"/>
      <c r="E106" s="16"/>
      <c r="F106" s="27"/>
      <c r="G106" s="27"/>
      <c r="I106" s="27"/>
      <c r="J106" s="16"/>
      <c r="K106" s="16"/>
      <c r="L106" s="27"/>
      <c r="N106" s="27"/>
      <c r="O106" s="16"/>
      <c r="P106" s="16"/>
      <c r="Q106" s="27"/>
      <c r="S106" s="27"/>
      <c r="T106" s="16"/>
      <c r="U106" s="16"/>
      <c r="V106" s="27"/>
      <c r="X106" s="27"/>
      <c r="Y106" s="16"/>
      <c r="Z106" s="16"/>
      <c r="AA106" s="27"/>
      <c r="AC106" s="27"/>
      <c r="AD106" s="16"/>
      <c r="AE106" s="16"/>
      <c r="AF106" s="27"/>
      <c r="AH106" s="27"/>
      <c r="AI106" s="16"/>
      <c r="AJ106" s="16"/>
      <c r="AK106" s="27"/>
      <c r="AM106" s="27"/>
      <c r="AN106" s="16"/>
      <c r="AO106" s="16"/>
      <c r="AP106" s="27"/>
      <c r="AR106" s="27"/>
      <c r="AS106" s="16"/>
      <c r="AT106" s="16"/>
      <c r="AU106" s="27"/>
      <c r="AW106" s="27"/>
      <c r="AX106" s="16"/>
      <c r="AY106" s="16"/>
      <c r="AZ106" s="27"/>
      <c r="BB106" s="27"/>
      <c r="BC106" s="16"/>
      <c r="BD106" s="16"/>
      <c r="BE106" s="27"/>
      <c r="BG106" s="27"/>
      <c r="BH106" s="16"/>
      <c r="BI106" s="16"/>
      <c r="BJ106" s="27"/>
      <c r="BL106" s="27"/>
      <c r="BM106" s="16"/>
      <c r="BN106" s="16"/>
      <c r="BO106" s="27"/>
      <c r="BQ106" s="27"/>
      <c r="BR106" s="16"/>
      <c r="BS106" s="16"/>
      <c r="BT106" s="27"/>
      <c r="BV106" s="27"/>
      <c r="BW106" s="16"/>
      <c r="BX106" s="16"/>
      <c r="BY106" s="27"/>
      <c r="CA106" s="27"/>
      <c r="CB106" s="16"/>
      <c r="CC106" s="16"/>
      <c r="CD106" s="27"/>
      <c r="CF106" s="27"/>
      <c r="CG106" s="16"/>
      <c r="CH106" s="16"/>
      <c r="CI106" s="27"/>
      <c r="CK106" s="27"/>
      <c r="CL106" s="16"/>
      <c r="CM106" s="16"/>
      <c r="CN106" s="27"/>
      <c r="CP106" s="27"/>
      <c r="CQ106" s="16"/>
      <c r="CR106" s="16"/>
      <c r="CS106" s="27"/>
      <c r="CU106" s="27"/>
      <c r="CV106" s="16"/>
      <c r="CW106" s="16"/>
      <c r="CX106" s="27"/>
      <c r="CZ106" s="27"/>
      <c r="DA106" s="16"/>
      <c r="DB106" s="16"/>
      <c r="DC106" s="27"/>
      <c r="DE106" s="27"/>
      <c r="DF106" s="16"/>
      <c r="DG106" s="16"/>
      <c r="DH106" s="27"/>
      <c r="DJ106" s="27"/>
      <c r="DK106" s="16"/>
      <c r="DL106" s="16"/>
      <c r="DM106" s="27"/>
      <c r="DO106" s="27"/>
      <c r="DP106" s="16"/>
      <c r="DQ106" s="16"/>
      <c r="DR106" s="27"/>
      <c r="DT106" s="27"/>
      <c r="DU106" s="16"/>
      <c r="DV106" s="16"/>
      <c r="DW106" s="27"/>
      <c r="DY106" s="27"/>
      <c r="DZ106" s="16"/>
      <c r="EA106" s="16"/>
      <c r="EB106" s="302"/>
    </row>
    <row r="107" spans="1:132" s="14" customFormat="1" ht="21" x14ac:dyDescent="0.4">
      <c r="A107" s="27"/>
      <c r="B107" s="27"/>
      <c r="C107" s="27"/>
      <c r="E107" s="16"/>
      <c r="F107" s="27"/>
      <c r="G107" s="27"/>
      <c r="I107" s="27"/>
      <c r="J107" s="16"/>
      <c r="K107" s="16"/>
      <c r="L107" s="27"/>
      <c r="N107" s="27"/>
      <c r="O107" s="16"/>
      <c r="P107" s="16"/>
      <c r="Q107" s="27"/>
      <c r="S107" s="27"/>
      <c r="T107" s="16"/>
      <c r="U107" s="16"/>
      <c r="V107" s="27"/>
      <c r="X107" s="27"/>
      <c r="Y107" s="16"/>
      <c r="Z107" s="16"/>
      <c r="AA107" s="27"/>
      <c r="AC107" s="27"/>
      <c r="AD107" s="16"/>
      <c r="AE107" s="16"/>
      <c r="AF107" s="27"/>
      <c r="AH107" s="27"/>
      <c r="AI107" s="16"/>
      <c r="AJ107" s="16"/>
      <c r="AK107" s="27"/>
      <c r="AM107" s="27"/>
      <c r="AN107" s="16"/>
      <c r="AO107" s="16"/>
      <c r="AP107" s="27"/>
      <c r="AR107" s="27"/>
      <c r="AS107" s="16"/>
      <c r="AT107" s="16"/>
      <c r="AU107" s="27"/>
      <c r="AW107" s="27"/>
      <c r="AX107" s="16"/>
      <c r="AY107" s="16"/>
      <c r="AZ107" s="27"/>
      <c r="BB107" s="27"/>
      <c r="BC107" s="16"/>
      <c r="BD107" s="16"/>
      <c r="BE107" s="27"/>
      <c r="BG107" s="27"/>
      <c r="BH107" s="16"/>
      <c r="BI107" s="16"/>
      <c r="BJ107" s="27"/>
      <c r="BL107" s="27"/>
      <c r="BM107" s="16"/>
      <c r="BN107" s="16"/>
      <c r="BO107" s="27"/>
      <c r="BQ107" s="27"/>
      <c r="BR107" s="16"/>
      <c r="BS107" s="16"/>
      <c r="BT107" s="27"/>
      <c r="BV107" s="27"/>
      <c r="BW107" s="16"/>
      <c r="BX107" s="16"/>
      <c r="BY107" s="27"/>
      <c r="CA107" s="27"/>
      <c r="CB107" s="16"/>
      <c r="CC107" s="16"/>
      <c r="CD107" s="27"/>
      <c r="CF107" s="27"/>
      <c r="CG107" s="16"/>
      <c r="CH107" s="16"/>
      <c r="CI107" s="27"/>
      <c r="CK107" s="27"/>
      <c r="CL107" s="16"/>
      <c r="CM107" s="16"/>
      <c r="CN107" s="27"/>
      <c r="CP107" s="27"/>
      <c r="CQ107" s="16"/>
      <c r="CR107" s="16"/>
      <c r="CS107" s="27"/>
      <c r="CU107" s="27"/>
      <c r="CV107" s="16"/>
      <c r="CW107" s="16"/>
      <c r="CX107" s="27"/>
      <c r="CZ107" s="27"/>
      <c r="DA107" s="16"/>
      <c r="DB107" s="16"/>
      <c r="DC107" s="27"/>
      <c r="DE107" s="27"/>
      <c r="DF107" s="16"/>
      <c r="DG107" s="16"/>
      <c r="DH107" s="27"/>
      <c r="DJ107" s="27"/>
      <c r="DK107" s="16"/>
      <c r="DL107" s="16"/>
      <c r="DM107" s="27"/>
      <c r="DO107" s="27"/>
      <c r="DP107" s="16"/>
      <c r="DQ107" s="16"/>
      <c r="DR107" s="27"/>
      <c r="DT107" s="27"/>
      <c r="DU107" s="16"/>
      <c r="DV107" s="16"/>
      <c r="DW107" s="27"/>
      <c r="DY107" s="27"/>
      <c r="DZ107" s="16"/>
      <c r="EA107" s="16"/>
      <c r="EB107" s="302"/>
    </row>
    <row r="108" spans="1:132" s="14" customFormat="1" ht="21" x14ac:dyDescent="0.4">
      <c r="A108" s="27"/>
      <c r="B108" s="27"/>
      <c r="C108" s="27"/>
      <c r="E108" s="16"/>
      <c r="F108" s="27"/>
      <c r="G108" s="27"/>
      <c r="I108" s="27"/>
      <c r="J108" s="16"/>
      <c r="K108" s="16"/>
      <c r="L108" s="27"/>
      <c r="N108" s="27"/>
      <c r="O108" s="16"/>
      <c r="P108" s="16"/>
      <c r="Q108" s="27"/>
      <c r="S108" s="27"/>
      <c r="T108" s="16"/>
      <c r="U108" s="16"/>
      <c r="V108" s="27"/>
      <c r="X108" s="27"/>
      <c r="Y108" s="16"/>
      <c r="Z108" s="16"/>
      <c r="AA108" s="27"/>
      <c r="AC108" s="27"/>
      <c r="AD108" s="16"/>
      <c r="AE108" s="16"/>
      <c r="AF108" s="27"/>
      <c r="AH108" s="27"/>
      <c r="AI108" s="16"/>
      <c r="AJ108" s="16"/>
      <c r="AK108" s="27"/>
      <c r="AM108" s="27"/>
      <c r="AN108" s="16"/>
      <c r="AO108" s="16"/>
      <c r="AP108" s="27"/>
      <c r="AR108" s="27"/>
      <c r="AS108" s="16"/>
      <c r="AT108" s="16"/>
      <c r="AU108" s="27"/>
      <c r="AW108" s="27"/>
      <c r="AX108" s="16"/>
      <c r="AY108" s="16"/>
      <c r="AZ108" s="27"/>
      <c r="BB108" s="27"/>
      <c r="BC108" s="16"/>
      <c r="BD108" s="16"/>
      <c r="BE108" s="27"/>
      <c r="BG108" s="27"/>
      <c r="BH108" s="16"/>
      <c r="BI108" s="16"/>
      <c r="BJ108" s="27"/>
      <c r="BL108" s="27"/>
      <c r="BM108" s="16"/>
      <c r="BN108" s="16"/>
      <c r="BO108" s="27"/>
      <c r="BQ108" s="27"/>
      <c r="BR108" s="16"/>
      <c r="BS108" s="16"/>
      <c r="BT108" s="27"/>
      <c r="BV108" s="27"/>
      <c r="BW108" s="16"/>
      <c r="BX108" s="16"/>
      <c r="BY108" s="27"/>
      <c r="CA108" s="27"/>
      <c r="CB108" s="16"/>
      <c r="CC108" s="16"/>
      <c r="CD108" s="27"/>
      <c r="CF108" s="27"/>
      <c r="CG108" s="16"/>
      <c r="CH108" s="16"/>
      <c r="CI108" s="27"/>
      <c r="CK108" s="27"/>
      <c r="CL108" s="16"/>
      <c r="CM108" s="16"/>
      <c r="CN108" s="27"/>
      <c r="CP108" s="27"/>
      <c r="CQ108" s="16"/>
      <c r="CR108" s="16"/>
      <c r="CS108" s="27"/>
      <c r="CU108" s="27"/>
      <c r="CV108" s="16"/>
      <c r="CW108" s="16"/>
      <c r="CX108" s="27"/>
      <c r="CZ108" s="27"/>
      <c r="DA108" s="16"/>
      <c r="DB108" s="16"/>
      <c r="DC108" s="27"/>
      <c r="DE108" s="27"/>
      <c r="DF108" s="16"/>
      <c r="DG108" s="16"/>
      <c r="DH108" s="27"/>
      <c r="DJ108" s="27"/>
      <c r="DK108" s="16"/>
      <c r="DL108" s="16"/>
      <c r="DM108" s="27"/>
      <c r="DO108" s="27"/>
      <c r="DP108" s="16"/>
      <c r="DQ108" s="16"/>
      <c r="DR108" s="27"/>
      <c r="DT108" s="27"/>
      <c r="DU108" s="16"/>
      <c r="DV108" s="16"/>
      <c r="DW108" s="27"/>
      <c r="DY108" s="27"/>
      <c r="DZ108" s="16"/>
      <c r="EA108" s="16"/>
      <c r="EB108" s="302"/>
    </row>
    <row r="109" spans="1:132" s="14" customFormat="1" ht="21" x14ac:dyDescent="0.4">
      <c r="A109" s="27"/>
      <c r="B109" s="27"/>
      <c r="C109" s="27"/>
      <c r="E109" s="16"/>
      <c r="F109" s="27"/>
      <c r="G109" s="27"/>
      <c r="I109" s="27"/>
      <c r="J109" s="16"/>
      <c r="K109" s="16"/>
      <c r="L109" s="27"/>
      <c r="N109" s="27"/>
      <c r="O109" s="16"/>
      <c r="P109" s="16"/>
      <c r="Q109" s="27"/>
      <c r="S109" s="27"/>
      <c r="T109" s="16"/>
      <c r="U109" s="16"/>
      <c r="V109" s="27"/>
      <c r="X109" s="27"/>
      <c r="Y109" s="16"/>
      <c r="Z109" s="16"/>
      <c r="AA109" s="27"/>
      <c r="AC109" s="27"/>
      <c r="AD109" s="16"/>
      <c r="AE109" s="16"/>
      <c r="AF109" s="27"/>
      <c r="AH109" s="27"/>
      <c r="AI109" s="16"/>
      <c r="AJ109" s="16"/>
      <c r="AK109" s="27"/>
      <c r="AM109" s="27"/>
      <c r="AN109" s="16"/>
      <c r="AO109" s="16"/>
      <c r="AP109" s="27"/>
      <c r="AR109" s="27"/>
      <c r="AS109" s="16"/>
      <c r="AT109" s="16"/>
      <c r="AU109" s="27"/>
      <c r="AW109" s="27"/>
      <c r="AX109" s="16"/>
      <c r="AY109" s="16"/>
      <c r="AZ109" s="27"/>
      <c r="BB109" s="27"/>
      <c r="BC109" s="16"/>
      <c r="BD109" s="16"/>
      <c r="BE109" s="27"/>
      <c r="BG109" s="27"/>
      <c r="BH109" s="16"/>
      <c r="BI109" s="16"/>
      <c r="BJ109" s="27"/>
      <c r="BL109" s="27"/>
      <c r="BM109" s="16"/>
      <c r="BN109" s="16"/>
      <c r="BO109" s="27"/>
      <c r="BQ109" s="27"/>
      <c r="BR109" s="16"/>
      <c r="BS109" s="16"/>
      <c r="BT109" s="27"/>
      <c r="BV109" s="27"/>
      <c r="BW109" s="16"/>
      <c r="BX109" s="16"/>
      <c r="BY109" s="27"/>
      <c r="CA109" s="27"/>
      <c r="CB109" s="16"/>
      <c r="CC109" s="16"/>
      <c r="CD109" s="27"/>
      <c r="CF109" s="27"/>
      <c r="CG109" s="16"/>
      <c r="CH109" s="16"/>
      <c r="CI109" s="27"/>
      <c r="CK109" s="27"/>
      <c r="CL109" s="16"/>
      <c r="CM109" s="16"/>
      <c r="CN109" s="27"/>
      <c r="CP109" s="27"/>
      <c r="CQ109" s="16"/>
      <c r="CR109" s="16"/>
      <c r="CS109" s="27"/>
      <c r="CU109" s="27"/>
      <c r="CV109" s="16"/>
      <c r="CW109" s="16"/>
      <c r="CX109" s="27"/>
      <c r="CZ109" s="27"/>
      <c r="DA109" s="16"/>
      <c r="DB109" s="16"/>
      <c r="DC109" s="27"/>
      <c r="DE109" s="27"/>
      <c r="DF109" s="16"/>
      <c r="DG109" s="16"/>
      <c r="DH109" s="27"/>
      <c r="DJ109" s="27"/>
      <c r="DK109" s="16"/>
      <c r="DL109" s="16"/>
      <c r="DM109" s="27"/>
      <c r="DO109" s="27"/>
      <c r="DP109" s="16"/>
      <c r="DQ109" s="16"/>
      <c r="DR109" s="27"/>
      <c r="DT109" s="27"/>
      <c r="DU109" s="16"/>
      <c r="DV109" s="16"/>
      <c r="DW109" s="27"/>
      <c r="DY109" s="27"/>
      <c r="DZ109" s="16"/>
      <c r="EA109" s="16"/>
      <c r="EB109" s="302"/>
    </row>
    <row r="110" spans="1:132" s="14" customFormat="1" ht="21" x14ac:dyDescent="0.4">
      <c r="A110" s="27"/>
      <c r="B110" s="27"/>
      <c r="C110" s="27"/>
      <c r="E110" s="16"/>
      <c r="F110" s="27"/>
      <c r="G110" s="27"/>
      <c r="I110" s="27"/>
      <c r="J110" s="16"/>
      <c r="K110" s="16"/>
      <c r="L110" s="27"/>
      <c r="N110" s="27"/>
      <c r="O110" s="16"/>
      <c r="P110" s="16"/>
      <c r="Q110" s="27"/>
      <c r="S110" s="27"/>
      <c r="T110" s="16"/>
      <c r="U110" s="16"/>
      <c r="V110" s="27"/>
      <c r="X110" s="27"/>
      <c r="Y110" s="16"/>
      <c r="Z110" s="16"/>
      <c r="AA110" s="27"/>
      <c r="AC110" s="27"/>
      <c r="AD110" s="16"/>
      <c r="AE110" s="16"/>
      <c r="AF110" s="27"/>
      <c r="AH110" s="27"/>
      <c r="AI110" s="16"/>
      <c r="AJ110" s="16"/>
      <c r="AK110" s="27"/>
      <c r="AM110" s="27"/>
      <c r="AN110" s="16"/>
      <c r="AO110" s="16"/>
      <c r="AP110" s="27"/>
      <c r="AR110" s="27"/>
      <c r="AS110" s="16"/>
      <c r="AT110" s="16"/>
      <c r="AU110" s="27"/>
      <c r="AW110" s="27"/>
      <c r="AX110" s="16"/>
      <c r="AY110" s="16"/>
      <c r="AZ110" s="27"/>
      <c r="BB110" s="27"/>
      <c r="BC110" s="16"/>
      <c r="BD110" s="16"/>
      <c r="BE110" s="27"/>
      <c r="BG110" s="27"/>
      <c r="BH110" s="16"/>
      <c r="BI110" s="16"/>
      <c r="BJ110" s="27"/>
      <c r="BL110" s="27"/>
      <c r="BM110" s="16"/>
      <c r="BN110" s="16"/>
      <c r="BO110" s="27"/>
      <c r="BQ110" s="27"/>
      <c r="BR110" s="16"/>
      <c r="BS110" s="16"/>
      <c r="BT110" s="27"/>
      <c r="BV110" s="27"/>
      <c r="BW110" s="16"/>
      <c r="BX110" s="16"/>
      <c r="BY110" s="27"/>
      <c r="CA110" s="27"/>
      <c r="CB110" s="16"/>
      <c r="CC110" s="16"/>
      <c r="CD110" s="27"/>
      <c r="CF110" s="27"/>
      <c r="CG110" s="16"/>
      <c r="CH110" s="16"/>
      <c r="CI110" s="27"/>
      <c r="CK110" s="27"/>
      <c r="CL110" s="16"/>
      <c r="CM110" s="16"/>
      <c r="CN110" s="27"/>
      <c r="CP110" s="27"/>
      <c r="CQ110" s="16"/>
      <c r="CR110" s="16"/>
      <c r="CS110" s="27"/>
      <c r="CU110" s="27"/>
      <c r="CV110" s="16"/>
      <c r="CW110" s="16"/>
      <c r="CX110" s="27"/>
      <c r="CZ110" s="27"/>
      <c r="DA110" s="16"/>
      <c r="DB110" s="16"/>
      <c r="DC110" s="27"/>
      <c r="DE110" s="27"/>
      <c r="DF110" s="16"/>
      <c r="DG110" s="16"/>
      <c r="DH110" s="27"/>
      <c r="DJ110" s="27"/>
      <c r="DK110" s="16"/>
      <c r="DL110" s="16"/>
      <c r="DM110" s="27"/>
      <c r="DO110" s="27"/>
      <c r="DP110" s="16"/>
      <c r="DQ110" s="16"/>
      <c r="DR110" s="27"/>
      <c r="DT110" s="27"/>
      <c r="DU110" s="16"/>
      <c r="DV110" s="16"/>
      <c r="DW110" s="27"/>
      <c r="DY110" s="27"/>
      <c r="DZ110" s="16"/>
      <c r="EA110" s="16"/>
      <c r="EB110" s="302"/>
    </row>
    <row r="111" spans="1:132" s="14" customFormat="1" ht="21" x14ac:dyDescent="0.4">
      <c r="A111" s="27"/>
      <c r="B111" s="27"/>
      <c r="C111" s="27"/>
      <c r="E111" s="16"/>
      <c r="F111" s="27"/>
      <c r="G111" s="27"/>
      <c r="I111" s="27"/>
      <c r="J111" s="16"/>
      <c r="K111" s="16"/>
      <c r="L111" s="27"/>
      <c r="N111" s="27"/>
      <c r="O111" s="16"/>
      <c r="P111" s="16"/>
      <c r="Q111" s="27"/>
      <c r="S111" s="27"/>
      <c r="T111" s="16"/>
      <c r="U111" s="16"/>
      <c r="V111" s="27"/>
      <c r="X111" s="27"/>
      <c r="Y111" s="16"/>
      <c r="Z111" s="16"/>
      <c r="AA111" s="27"/>
      <c r="AC111" s="27"/>
      <c r="AD111" s="16"/>
      <c r="AE111" s="16"/>
      <c r="AF111" s="27"/>
      <c r="AH111" s="27"/>
      <c r="AI111" s="16"/>
      <c r="AJ111" s="16"/>
      <c r="AK111" s="27"/>
      <c r="AM111" s="27"/>
      <c r="AN111" s="16"/>
      <c r="AO111" s="16"/>
      <c r="AP111" s="27"/>
      <c r="AR111" s="27"/>
      <c r="AS111" s="16"/>
      <c r="AT111" s="16"/>
      <c r="AU111" s="27"/>
      <c r="AW111" s="27"/>
      <c r="AX111" s="16"/>
      <c r="AY111" s="16"/>
      <c r="AZ111" s="27"/>
      <c r="BB111" s="27"/>
      <c r="BC111" s="16"/>
      <c r="BD111" s="16"/>
      <c r="BE111" s="27"/>
      <c r="BG111" s="27"/>
      <c r="BH111" s="16"/>
      <c r="BI111" s="16"/>
      <c r="BJ111" s="27"/>
      <c r="BL111" s="27"/>
      <c r="BM111" s="16"/>
      <c r="BN111" s="16"/>
      <c r="BO111" s="27"/>
      <c r="BQ111" s="27"/>
      <c r="BR111" s="16"/>
      <c r="BS111" s="16"/>
      <c r="BT111" s="27"/>
      <c r="BV111" s="27"/>
      <c r="BW111" s="16"/>
      <c r="BX111" s="16"/>
      <c r="BY111" s="27"/>
      <c r="CA111" s="27"/>
      <c r="CB111" s="16"/>
      <c r="CC111" s="16"/>
      <c r="CD111" s="27"/>
      <c r="CF111" s="27"/>
      <c r="CG111" s="16"/>
      <c r="CH111" s="16"/>
      <c r="CI111" s="27"/>
      <c r="CK111" s="27"/>
      <c r="CL111" s="16"/>
      <c r="CM111" s="16"/>
      <c r="CN111" s="27"/>
      <c r="CP111" s="27"/>
      <c r="CQ111" s="16"/>
      <c r="CR111" s="16"/>
      <c r="CS111" s="27"/>
      <c r="CU111" s="27"/>
      <c r="CV111" s="16"/>
      <c r="CW111" s="16"/>
      <c r="CX111" s="27"/>
      <c r="CZ111" s="27"/>
      <c r="DA111" s="16"/>
      <c r="DB111" s="16"/>
      <c r="DC111" s="27"/>
      <c r="DE111" s="27"/>
      <c r="DF111" s="16"/>
      <c r="DG111" s="16"/>
      <c r="DH111" s="27"/>
      <c r="DJ111" s="27"/>
      <c r="DK111" s="16"/>
      <c r="DL111" s="16"/>
      <c r="DM111" s="27"/>
      <c r="DO111" s="27"/>
      <c r="DP111" s="16"/>
      <c r="DQ111" s="16"/>
      <c r="DR111" s="27"/>
      <c r="DT111" s="27"/>
      <c r="DU111" s="16"/>
      <c r="DV111" s="16"/>
      <c r="DW111" s="27"/>
      <c r="DY111" s="27"/>
      <c r="DZ111" s="16"/>
      <c r="EA111" s="16"/>
      <c r="EB111" s="302"/>
    </row>
    <row r="112" spans="1:132" s="14" customFormat="1" ht="21" x14ac:dyDescent="0.4">
      <c r="A112" s="27"/>
      <c r="B112" s="27"/>
      <c r="C112" s="27"/>
      <c r="E112" s="16"/>
      <c r="F112" s="27"/>
      <c r="G112" s="27"/>
      <c r="I112" s="27"/>
      <c r="J112" s="16"/>
      <c r="K112" s="16"/>
      <c r="L112" s="27"/>
      <c r="N112" s="27"/>
      <c r="O112" s="16"/>
      <c r="P112" s="16"/>
      <c r="Q112" s="27"/>
      <c r="S112" s="27"/>
      <c r="T112" s="16"/>
      <c r="U112" s="16"/>
      <c r="V112" s="27"/>
      <c r="X112" s="27"/>
      <c r="Y112" s="16"/>
      <c r="Z112" s="16"/>
      <c r="AA112" s="27"/>
      <c r="AC112" s="27"/>
      <c r="AD112" s="16"/>
      <c r="AE112" s="16"/>
      <c r="AF112" s="27"/>
      <c r="AH112" s="27"/>
      <c r="AI112" s="16"/>
      <c r="AJ112" s="16"/>
      <c r="AK112" s="27"/>
      <c r="AM112" s="27"/>
      <c r="AN112" s="16"/>
      <c r="AO112" s="16"/>
      <c r="AP112" s="27"/>
      <c r="AR112" s="27"/>
      <c r="AS112" s="16"/>
      <c r="AT112" s="16"/>
      <c r="AU112" s="27"/>
      <c r="AW112" s="27"/>
      <c r="AX112" s="16"/>
      <c r="AY112" s="16"/>
      <c r="AZ112" s="27"/>
      <c r="BB112" s="27"/>
      <c r="BC112" s="16"/>
      <c r="BD112" s="16"/>
      <c r="BE112" s="27"/>
      <c r="BG112" s="27"/>
      <c r="BH112" s="16"/>
      <c r="BI112" s="16"/>
      <c r="BJ112" s="27"/>
      <c r="BL112" s="27"/>
      <c r="BM112" s="16"/>
      <c r="BN112" s="16"/>
      <c r="BO112" s="27"/>
      <c r="BQ112" s="27"/>
      <c r="BR112" s="16"/>
      <c r="BS112" s="16"/>
      <c r="BT112" s="27"/>
      <c r="BV112" s="27"/>
      <c r="BW112" s="16"/>
      <c r="BX112" s="16"/>
      <c r="BY112" s="27"/>
      <c r="CA112" s="27"/>
      <c r="CB112" s="16"/>
      <c r="CC112" s="16"/>
      <c r="CD112" s="27"/>
      <c r="CF112" s="27"/>
      <c r="CG112" s="16"/>
      <c r="CH112" s="16"/>
      <c r="CI112" s="27"/>
      <c r="CK112" s="27"/>
      <c r="CL112" s="16"/>
      <c r="CM112" s="16"/>
      <c r="CN112" s="27"/>
      <c r="CP112" s="27"/>
      <c r="CQ112" s="16"/>
      <c r="CR112" s="16"/>
      <c r="CS112" s="27"/>
      <c r="CU112" s="27"/>
      <c r="CV112" s="16"/>
      <c r="CW112" s="16"/>
      <c r="CX112" s="27"/>
      <c r="CZ112" s="27"/>
      <c r="DA112" s="16"/>
      <c r="DB112" s="16"/>
      <c r="DC112" s="27"/>
      <c r="DE112" s="27"/>
      <c r="DF112" s="16"/>
      <c r="DG112" s="16"/>
      <c r="DH112" s="27"/>
      <c r="DJ112" s="27"/>
      <c r="DK112" s="16"/>
      <c r="DL112" s="16"/>
      <c r="DM112" s="27"/>
      <c r="DO112" s="27"/>
      <c r="DP112" s="16"/>
      <c r="DQ112" s="16"/>
      <c r="DR112" s="27"/>
      <c r="DT112" s="27"/>
      <c r="DU112" s="16"/>
      <c r="DV112" s="16"/>
      <c r="DW112" s="27"/>
      <c r="DY112" s="27"/>
      <c r="DZ112" s="16"/>
      <c r="EA112" s="16"/>
      <c r="EB112" s="302"/>
    </row>
    <row r="113" spans="1:132" s="14" customFormat="1" ht="21" x14ac:dyDescent="0.4">
      <c r="A113" s="27"/>
      <c r="B113" s="27"/>
      <c r="C113" s="27"/>
      <c r="E113" s="16"/>
      <c r="F113" s="27"/>
      <c r="G113" s="27"/>
      <c r="I113" s="27"/>
      <c r="J113" s="16"/>
      <c r="K113" s="16"/>
      <c r="L113" s="27"/>
      <c r="N113" s="27"/>
      <c r="O113" s="16"/>
      <c r="P113" s="16"/>
      <c r="Q113" s="27"/>
      <c r="S113" s="27"/>
      <c r="T113" s="16"/>
      <c r="U113" s="16"/>
      <c r="V113" s="27"/>
      <c r="X113" s="27"/>
      <c r="Y113" s="16"/>
      <c r="Z113" s="16"/>
      <c r="AA113" s="27"/>
      <c r="AC113" s="27"/>
      <c r="AD113" s="16"/>
      <c r="AE113" s="16"/>
      <c r="AF113" s="27"/>
      <c r="AH113" s="27"/>
      <c r="AI113" s="16"/>
      <c r="AJ113" s="16"/>
      <c r="AK113" s="27"/>
      <c r="AM113" s="27"/>
      <c r="AN113" s="16"/>
      <c r="AO113" s="16"/>
      <c r="AP113" s="27"/>
      <c r="AR113" s="27"/>
      <c r="AS113" s="16"/>
      <c r="AT113" s="16"/>
      <c r="AU113" s="27"/>
      <c r="AW113" s="27"/>
      <c r="AX113" s="16"/>
      <c r="AY113" s="16"/>
      <c r="AZ113" s="27"/>
      <c r="BB113" s="27"/>
      <c r="BC113" s="16"/>
      <c r="BD113" s="16"/>
      <c r="BE113" s="27"/>
      <c r="BG113" s="27"/>
      <c r="BH113" s="16"/>
      <c r="BI113" s="16"/>
      <c r="BJ113" s="27"/>
      <c r="BL113" s="27"/>
      <c r="BM113" s="16"/>
      <c r="BN113" s="16"/>
      <c r="BO113" s="27"/>
      <c r="BQ113" s="27"/>
      <c r="BR113" s="16"/>
      <c r="BS113" s="16"/>
      <c r="BT113" s="27"/>
      <c r="BV113" s="27"/>
      <c r="BW113" s="16"/>
      <c r="BX113" s="16"/>
      <c r="BY113" s="27"/>
      <c r="CA113" s="27"/>
      <c r="CB113" s="16"/>
      <c r="CC113" s="16"/>
      <c r="CD113" s="27"/>
      <c r="CF113" s="27"/>
      <c r="CG113" s="16"/>
      <c r="CH113" s="16"/>
      <c r="CI113" s="27"/>
      <c r="CK113" s="27"/>
      <c r="CL113" s="16"/>
      <c r="CM113" s="16"/>
      <c r="CN113" s="27"/>
      <c r="CP113" s="27"/>
      <c r="CQ113" s="16"/>
      <c r="CR113" s="16"/>
      <c r="CS113" s="27"/>
      <c r="CU113" s="27"/>
      <c r="CV113" s="16"/>
      <c r="CW113" s="16"/>
      <c r="CX113" s="27"/>
      <c r="CZ113" s="27"/>
      <c r="DA113" s="16"/>
      <c r="DB113" s="16"/>
      <c r="DC113" s="27"/>
      <c r="DE113" s="27"/>
      <c r="DF113" s="16"/>
      <c r="DG113" s="16"/>
      <c r="DH113" s="27"/>
      <c r="DJ113" s="27"/>
      <c r="DK113" s="16"/>
      <c r="DL113" s="16"/>
      <c r="DM113" s="27"/>
      <c r="DO113" s="27"/>
      <c r="DP113" s="16"/>
      <c r="DQ113" s="16"/>
      <c r="DR113" s="27"/>
      <c r="DT113" s="27"/>
      <c r="DU113" s="16"/>
      <c r="DV113" s="16"/>
      <c r="DW113" s="27"/>
      <c r="DY113" s="27"/>
      <c r="DZ113" s="16"/>
      <c r="EA113" s="16"/>
      <c r="EB113" s="302"/>
    </row>
    <row r="114" spans="1:132" s="14" customFormat="1" ht="21" x14ac:dyDescent="0.4">
      <c r="A114" s="27"/>
      <c r="B114" s="27"/>
      <c r="C114" s="27"/>
      <c r="E114" s="16"/>
      <c r="F114" s="27"/>
      <c r="G114" s="27"/>
      <c r="I114" s="27"/>
      <c r="J114" s="16"/>
      <c r="K114" s="16"/>
      <c r="L114" s="27"/>
      <c r="N114" s="27"/>
      <c r="O114" s="16"/>
      <c r="P114" s="16"/>
      <c r="Q114" s="27"/>
      <c r="S114" s="27"/>
      <c r="T114" s="16"/>
      <c r="U114" s="16"/>
      <c r="V114" s="27"/>
      <c r="X114" s="27"/>
      <c r="Y114" s="16"/>
      <c r="Z114" s="16"/>
      <c r="AA114" s="27"/>
      <c r="AC114" s="27"/>
      <c r="AD114" s="16"/>
      <c r="AE114" s="16"/>
      <c r="AF114" s="27"/>
      <c r="AH114" s="27"/>
      <c r="AI114" s="16"/>
      <c r="AJ114" s="16"/>
      <c r="AK114" s="27"/>
      <c r="AM114" s="27"/>
      <c r="AN114" s="16"/>
      <c r="AO114" s="16"/>
      <c r="AP114" s="27"/>
      <c r="AR114" s="27"/>
      <c r="AS114" s="16"/>
      <c r="AT114" s="16"/>
      <c r="AU114" s="27"/>
      <c r="AW114" s="27"/>
      <c r="AX114" s="16"/>
      <c r="AY114" s="16"/>
      <c r="AZ114" s="27"/>
      <c r="BB114" s="27"/>
      <c r="BC114" s="16"/>
      <c r="BD114" s="16"/>
      <c r="BE114" s="27"/>
      <c r="BG114" s="27"/>
      <c r="BH114" s="16"/>
      <c r="BI114" s="16"/>
      <c r="BJ114" s="27"/>
      <c r="BL114" s="27"/>
      <c r="BM114" s="16"/>
      <c r="BN114" s="16"/>
      <c r="BO114" s="27"/>
      <c r="BQ114" s="27"/>
      <c r="BR114" s="16"/>
      <c r="BS114" s="16"/>
      <c r="BT114" s="27"/>
      <c r="BV114" s="27"/>
      <c r="BW114" s="16"/>
      <c r="BX114" s="16"/>
      <c r="BY114" s="27"/>
      <c r="CA114" s="27"/>
      <c r="CB114" s="16"/>
      <c r="CC114" s="16"/>
      <c r="CD114" s="27"/>
      <c r="CF114" s="27"/>
      <c r="CG114" s="16"/>
      <c r="CH114" s="16"/>
      <c r="CI114" s="27"/>
      <c r="CK114" s="27"/>
      <c r="CL114" s="16"/>
      <c r="CM114" s="16"/>
      <c r="CN114" s="27"/>
      <c r="CP114" s="27"/>
      <c r="CQ114" s="16"/>
      <c r="CR114" s="16"/>
      <c r="CS114" s="27"/>
      <c r="CU114" s="27"/>
      <c r="CV114" s="16"/>
      <c r="CW114" s="16"/>
      <c r="CX114" s="27"/>
      <c r="CZ114" s="27"/>
      <c r="DA114" s="16"/>
      <c r="DB114" s="16"/>
      <c r="DC114" s="27"/>
      <c r="DE114" s="27"/>
      <c r="DF114" s="16"/>
      <c r="DG114" s="16"/>
      <c r="DH114" s="27"/>
      <c r="DJ114" s="27"/>
      <c r="DK114" s="16"/>
      <c r="DL114" s="16"/>
      <c r="DM114" s="27"/>
      <c r="DO114" s="27"/>
      <c r="DP114" s="16"/>
      <c r="DQ114" s="16"/>
      <c r="DR114" s="27"/>
      <c r="DT114" s="27"/>
      <c r="DU114" s="16"/>
      <c r="DV114" s="16"/>
      <c r="DW114" s="27"/>
      <c r="DY114" s="27"/>
      <c r="DZ114" s="16"/>
      <c r="EA114" s="16"/>
      <c r="EB114" s="302"/>
    </row>
    <row r="115" spans="1:132" s="14" customFormat="1" ht="21" x14ac:dyDescent="0.4">
      <c r="A115" s="27"/>
      <c r="B115" s="27"/>
      <c r="C115" s="27"/>
      <c r="E115" s="16"/>
      <c r="F115" s="27"/>
      <c r="G115" s="27"/>
      <c r="I115" s="27"/>
      <c r="J115" s="16"/>
      <c r="K115" s="16"/>
      <c r="L115" s="27"/>
      <c r="N115" s="27"/>
      <c r="O115" s="16"/>
      <c r="P115" s="16"/>
      <c r="Q115" s="27"/>
      <c r="S115" s="27"/>
      <c r="T115" s="16"/>
      <c r="U115" s="16"/>
      <c r="V115" s="27"/>
      <c r="X115" s="27"/>
      <c r="Y115" s="16"/>
      <c r="Z115" s="16"/>
      <c r="AA115" s="27"/>
      <c r="AC115" s="27"/>
      <c r="AD115" s="16"/>
      <c r="AE115" s="16"/>
      <c r="AF115" s="27"/>
      <c r="AH115" s="27"/>
      <c r="AI115" s="16"/>
      <c r="AJ115" s="16"/>
      <c r="AK115" s="27"/>
      <c r="AM115" s="27"/>
      <c r="AN115" s="16"/>
      <c r="AO115" s="16"/>
      <c r="AP115" s="27"/>
      <c r="AR115" s="27"/>
      <c r="AS115" s="16"/>
      <c r="AT115" s="16"/>
      <c r="AU115" s="27"/>
      <c r="AW115" s="27"/>
      <c r="AX115" s="16"/>
      <c r="AY115" s="16"/>
      <c r="AZ115" s="27"/>
      <c r="BB115" s="27"/>
      <c r="BC115" s="16"/>
      <c r="BD115" s="16"/>
      <c r="BE115" s="27"/>
      <c r="BG115" s="27"/>
      <c r="BH115" s="16"/>
      <c r="BI115" s="16"/>
      <c r="BJ115" s="27"/>
      <c r="BL115" s="27"/>
      <c r="BM115" s="16"/>
      <c r="BN115" s="16"/>
      <c r="BO115" s="27"/>
      <c r="BQ115" s="27"/>
      <c r="BR115" s="16"/>
      <c r="BS115" s="16"/>
      <c r="BT115" s="27"/>
      <c r="BV115" s="27"/>
      <c r="BW115" s="16"/>
      <c r="BX115" s="16"/>
      <c r="BY115" s="27"/>
      <c r="CA115" s="27"/>
      <c r="CB115" s="16"/>
      <c r="CC115" s="16"/>
      <c r="CD115" s="27"/>
      <c r="CF115" s="27"/>
      <c r="CG115" s="16"/>
      <c r="CH115" s="16"/>
      <c r="CI115" s="27"/>
      <c r="CK115" s="27"/>
      <c r="CL115" s="16"/>
      <c r="CM115" s="16"/>
      <c r="CN115" s="27"/>
      <c r="CP115" s="27"/>
      <c r="CQ115" s="16"/>
      <c r="CR115" s="16"/>
      <c r="CS115" s="27"/>
      <c r="CU115" s="27"/>
      <c r="CV115" s="16"/>
      <c r="CW115" s="16"/>
      <c r="CX115" s="27"/>
      <c r="CZ115" s="27"/>
      <c r="DA115" s="16"/>
      <c r="DB115" s="16"/>
      <c r="DC115" s="27"/>
      <c r="DE115" s="27"/>
      <c r="DF115" s="16"/>
      <c r="DG115" s="16"/>
      <c r="DH115" s="27"/>
      <c r="DJ115" s="27"/>
      <c r="DK115" s="16"/>
      <c r="DL115" s="16"/>
      <c r="DM115" s="27"/>
      <c r="DO115" s="27"/>
      <c r="DP115" s="16"/>
      <c r="DQ115" s="16"/>
      <c r="DR115" s="27"/>
      <c r="DT115" s="27"/>
      <c r="DU115" s="16"/>
      <c r="DV115" s="16"/>
      <c r="DW115" s="27"/>
      <c r="DY115" s="27"/>
      <c r="DZ115" s="16"/>
      <c r="EA115" s="16"/>
      <c r="EB115" s="302"/>
    </row>
    <row r="116" spans="1:132" s="14" customFormat="1" ht="21" x14ac:dyDescent="0.4">
      <c r="A116" s="27"/>
      <c r="B116" s="27"/>
      <c r="C116" s="27"/>
      <c r="E116" s="16"/>
      <c r="F116" s="27"/>
      <c r="G116" s="27"/>
      <c r="I116" s="27"/>
      <c r="J116" s="16"/>
      <c r="K116" s="16"/>
      <c r="L116" s="27"/>
      <c r="N116" s="27"/>
      <c r="O116" s="16"/>
      <c r="P116" s="16"/>
      <c r="Q116" s="27"/>
      <c r="S116" s="27"/>
      <c r="T116" s="16"/>
      <c r="U116" s="16"/>
      <c r="V116" s="27"/>
      <c r="X116" s="27"/>
      <c r="Y116" s="16"/>
      <c r="Z116" s="16"/>
      <c r="AA116" s="27"/>
      <c r="AC116" s="27"/>
      <c r="AD116" s="16"/>
      <c r="AE116" s="16"/>
      <c r="AF116" s="27"/>
      <c r="AH116" s="27"/>
      <c r="AI116" s="16"/>
      <c r="AJ116" s="16"/>
      <c r="AK116" s="27"/>
      <c r="AM116" s="27"/>
      <c r="AN116" s="16"/>
      <c r="AO116" s="16"/>
      <c r="AP116" s="27"/>
      <c r="AR116" s="27"/>
      <c r="AS116" s="16"/>
      <c r="AT116" s="16"/>
      <c r="AU116" s="27"/>
      <c r="AW116" s="27"/>
      <c r="AX116" s="16"/>
      <c r="AY116" s="16"/>
      <c r="AZ116" s="27"/>
      <c r="BB116" s="27"/>
      <c r="BC116" s="16"/>
      <c r="BD116" s="16"/>
      <c r="BE116" s="27"/>
      <c r="BG116" s="27"/>
      <c r="BH116" s="16"/>
      <c r="BI116" s="16"/>
      <c r="BJ116" s="27"/>
      <c r="BL116" s="27"/>
      <c r="BM116" s="16"/>
      <c r="BN116" s="16"/>
      <c r="BO116" s="27"/>
      <c r="BQ116" s="27"/>
      <c r="BR116" s="16"/>
      <c r="BS116" s="16"/>
      <c r="BT116" s="27"/>
      <c r="BV116" s="27"/>
      <c r="BW116" s="16"/>
      <c r="BX116" s="16"/>
      <c r="BY116" s="27"/>
      <c r="CA116" s="27"/>
      <c r="CB116" s="16"/>
      <c r="CC116" s="16"/>
      <c r="CD116" s="27"/>
      <c r="CF116" s="27"/>
      <c r="CG116" s="16"/>
      <c r="CH116" s="16"/>
      <c r="CI116" s="27"/>
      <c r="CK116" s="27"/>
      <c r="CL116" s="16"/>
      <c r="CM116" s="16"/>
      <c r="CN116" s="27"/>
      <c r="CP116" s="27"/>
      <c r="CQ116" s="16"/>
      <c r="CR116" s="16"/>
      <c r="CS116" s="27"/>
      <c r="CU116" s="27"/>
      <c r="CV116" s="16"/>
      <c r="CW116" s="16"/>
      <c r="CX116" s="27"/>
      <c r="CZ116" s="27"/>
      <c r="DA116" s="16"/>
      <c r="DB116" s="16"/>
      <c r="DC116" s="27"/>
      <c r="DE116" s="27"/>
      <c r="DF116" s="16"/>
      <c r="DG116" s="16"/>
      <c r="DH116" s="27"/>
      <c r="DJ116" s="27"/>
      <c r="DK116" s="16"/>
      <c r="DL116" s="16"/>
      <c r="DM116" s="27"/>
      <c r="DO116" s="27"/>
      <c r="DP116" s="16"/>
      <c r="DQ116" s="16"/>
      <c r="DR116" s="27"/>
      <c r="DT116" s="27"/>
      <c r="DU116" s="16"/>
      <c r="DV116" s="16"/>
      <c r="DW116" s="27"/>
      <c r="DY116" s="27"/>
      <c r="DZ116" s="16"/>
      <c r="EA116" s="16"/>
      <c r="EB116" s="302"/>
    </row>
    <row r="117" spans="1:132" s="14" customFormat="1" ht="21" x14ac:dyDescent="0.4">
      <c r="A117" s="27"/>
      <c r="B117" s="27"/>
      <c r="C117" s="27"/>
      <c r="E117" s="16"/>
      <c r="F117" s="27"/>
      <c r="G117" s="27"/>
      <c r="I117" s="27"/>
      <c r="J117" s="16"/>
      <c r="K117" s="16"/>
      <c r="L117" s="27"/>
      <c r="N117" s="27"/>
      <c r="O117" s="16"/>
      <c r="P117" s="16"/>
      <c r="Q117" s="27"/>
      <c r="S117" s="27"/>
      <c r="T117" s="16"/>
      <c r="U117" s="16"/>
      <c r="V117" s="27"/>
      <c r="X117" s="27"/>
      <c r="Y117" s="16"/>
      <c r="Z117" s="16"/>
      <c r="AA117" s="27"/>
      <c r="AC117" s="27"/>
      <c r="AD117" s="16"/>
      <c r="AE117" s="16"/>
      <c r="AF117" s="27"/>
      <c r="AH117" s="27"/>
      <c r="AI117" s="16"/>
      <c r="AJ117" s="16"/>
      <c r="AK117" s="27"/>
      <c r="AM117" s="27"/>
      <c r="AN117" s="16"/>
      <c r="AO117" s="16"/>
      <c r="AP117" s="27"/>
      <c r="AR117" s="27"/>
      <c r="AS117" s="16"/>
      <c r="AT117" s="16"/>
      <c r="AU117" s="27"/>
      <c r="AW117" s="27"/>
      <c r="AX117" s="16"/>
      <c r="AY117" s="16"/>
      <c r="AZ117" s="27"/>
      <c r="BB117" s="27"/>
      <c r="BC117" s="16"/>
      <c r="BD117" s="16"/>
      <c r="BE117" s="27"/>
      <c r="BG117" s="27"/>
      <c r="BH117" s="16"/>
      <c r="BI117" s="16"/>
      <c r="BJ117" s="27"/>
      <c r="BL117" s="27"/>
      <c r="BM117" s="16"/>
      <c r="BN117" s="16"/>
      <c r="BO117" s="27"/>
      <c r="BQ117" s="27"/>
      <c r="BR117" s="16"/>
      <c r="BS117" s="16"/>
      <c r="BT117" s="27"/>
      <c r="BV117" s="27"/>
      <c r="BW117" s="16"/>
      <c r="BX117" s="16"/>
      <c r="BY117" s="27"/>
      <c r="CA117" s="27"/>
      <c r="CB117" s="16"/>
      <c r="CC117" s="16"/>
      <c r="CD117" s="27"/>
      <c r="CF117" s="27"/>
      <c r="CG117" s="16"/>
      <c r="CH117" s="16"/>
      <c r="CI117" s="27"/>
      <c r="CK117" s="27"/>
      <c r="CL117" s="16"/>
      <c r="CM117" s="16"/>
      <c r="CN117" s="27"/>
      <c r="CP117" s="27"/>
      <c r="CQ117" s="16"/>
      <c r="CR117" s="16"/>
      <c r="CS117" s="27"/>
      <c r="CU117" s="27"/>
      <c r="CV117" s="16"/>
      <c r="CW117" s="16"/>
      <c r="CX117" s="27"/>
      <c r="CZ117" s="27"/>
      <c r="DA117" s="16"/>
      <c r="DB117" s="16"/>
      <c r="DC117" s="27"/>
      <c r="DE117" s="27"/>
      <c r="DF117" s="16"/>
      <c r="DG117" s="16"/>
      <c r="DH117" s="27"/>
      <c r="DJ117" s="27"/>
      <c r="DK117" s="16"/>
      <c r="DL117" s="16"/>
      <c r="DM117" s="27"/>
      <c r="DO117" s="27"/>
      <c r="DP117" s="16"/>
      <c r="DQ117" s="16"/>
      <c r="DR117" s="27"/>
      <c r="DT117" s="27"/>
      <c r="DU117" s="16"/>
      <c r="DV117" s="16"/>
      <c r="DW117" s="27"/>
      <c r="DY117" s="27"/>
      <c r="DZ117" s="16"/>
      <c r="EA117" s="16"/>
      <c r="EB117" s="302"/>
    </row>
    <row r="118" spans="1:132" s="14" customFormat="1" ht="21" x14ac:dyDescent="0.4">
      <c r="A118" s="27"/>
      <c r="B118" s="27"/>
      <c r="C118" s="27"/>
      <c r="E118" s="16"/>
      <c r="F118" s="27"/>
      <c r="G118" s="27"/>
      <c r="I118" s="27"/>
      <c r="J118" s="16"/>
      <c r="K118" s="16"/>
      <c r="L118" s="27"/>
      <c r="N118" s="27"/>
      <c r="O118" s="16"/>
      <c r="P118" s="16"/>
      <c r="Q118" s="27"/>
      <c r="S118" s="27"/>
      <c r="T118" s="16"/>
      <c r="U118" s="16"/>
      <c r="V118" s="27"/>
      <c r="X118" s="27"/>
      <c r="Y118" s="16"/>
      <c r="Z118" s="16"/>
      <c r="AA118" s="27"/>
      <c r="AC118" s="27"/>
      <c r="AD118" s="16"/>
      <c r="AE118" s="16"/>
      <c r="AF118" s="27"/>
      <c r="AH118" s="27"/>
      <c r="AI118" s="16"/>
      <c r="AJ118" s="16"/>
      <c r="AK118" s="27"/>
      <c r="AM118" s="27"/>
      <c r="AN118" s="16"/>
      <c r="AO118" s="16"/>
      <c r="AP118" s="27"/>
      <c r="AR118" s="27"/>
      <c r="AS118" s="16"/>
      <c r="AT118" s="16"/>
      <c r="AU118" s="27"/>
      <c r="AW118" s="27"/>
      <c r="AX118" s="16"/>
      <c r="AY118" s="16"/>
      <c r="AZ118" s="27"/>
      <c r="BB118" s="27"/>
      <c r="BC118" s="16"/>
      <c r="BD118" s="16"/>
      <c r="BE118" s="27"/>
      <c r="BG118" s="27"/>
      <c r="BH118" s="16"/>
      <c r="BI118" s="16"/>
      <c r="BJ118" s="27"/>
      <c r="BL118" s="27"/>
      <c r="BM118" s="16"/>
      <c r="BN118" s="16"/>
      <c r="BO118" s="27"/>
      <c r="BQ118" s="27"/>
      <c r="BR118" s="16"/>
      <c r="BS118" s="16"/>
      <c r="BT118" s="27"/>
      <c r="BV118" s="27"/>
      <c r="BW118" s="16"/>
      <c r="BX118" s="16"/>
      <c r="BY118" s="27"/>
      <c r="CA118" s="27"/>
      <c r="CB118" s="16"/>
      <c r="CC118" s="16"/>
      <c r="CD118" s="27"/>
      <c r="CF118" s="27"/>
      <c r="CG118" s="16"/>
      <c r="CH118" s="16"/>
      <c r="CI118" s="27"/>
      <c r="CK118" s="27"/>
      <c r="CL118" s="16"/>
      <c r="CM118" s="16"/>
      <c r="CN118" s="27"/>
      <c r="CP118" s="27"/>
      <c r="CQ118" s="16"/>
      <c r="CR118" s="16"/>
      <c r="CS118" s="27"/>
      <c r="CU118" s="27"/>
      <c r="CV118" s="16"/>
      <c r="CW118" s="16"/>
      <c r="CX118" s="27"/>
      <c r="CZ118" s="27"/>
      <c r="DA118" s="16"/>
      <c r="DB118" s="16"/>
      <c r="DC118" s="27"/>
      <c r="DE118" s="27"/>
      <c r="DF118" s="16"/>
      <c r="DG118" s="16"/>
      <c r="DH118" s="27"/>
      <c r="DJ118" s="27"/>
      <c r="DK118" s="16"/>
      <c r="DL118" s="16"/>
      <c r="DM118" s="27"/>
      <c r="DO118" s="27"/>
      <c r="DP118" s="16"/>
      <c r="DQ118" s="16"/>
      <c r="DR118" s="27"/>
      <c r="DT118" s="27"/>
      <c r="DU118" s="16"/>
      <c r="DV118" s="16"/>
      <c r="DW118" s="27"/>
      <c r="DY118" s="27"/>
      <c r="DZ118" s="16"/>
      <c r="EA118" s="16"/>
      <c r="EB118" s="302"/>
    </row>
    <row r="119" spans="1:132" s="14" customFormat="1" ht="21" x14ac:dyDescent="0.4">
      <c r="A119" s="27"/>
      <c r="B119" s="27"/>
      <c r="C119" s="27"/>
      <c r="E119" s="16"/>
      <c r="F119" s="27"/>
      <c r="G119" s="27"/>
      <c r="I119" s="27"/>
      <c r="J119" s="16"/>
      <c r="K119" s="16"/>
      <c r="L119" s="27"/>
      <c r="N119" s="27"/>
      <c r="O119" s="16"/>
      <c r="P119" s="16"/>
      <c r="Q119" s="27"/>
      <c r="S119" s="27"/>
      <c r="T119" s="16"/>
      <c r="U119" s="16"/>
      <c r="V119" s="27"/>
      <c r="X119" s="27"/>
      <c r="Y119" s="16"/>
      <c r="Z119" s="16"/>
      <c r="AA119" s="27"/>
      <c r="AC119" s="27"/>
      <c r="AD119" s="16"/>
      <c r="AE119" s="16"/>
      <c r="AF119" s="27"/>
      <c r="AH119" s="27"/>
      <c r="AI119" s="16"/>
      <c r="AJ119" s="16"/>
      <c r="AK119" s="27"/>
      <c r="AM119" s="27"/>
      <c r="AN119" s="16"/>
      <c r="AO119" s="16"/>
      <c r="AP119" s="27"/>
      <c r="AR119" s="27"/>
      <c r="AS119" s="16"/>
      <c r="AT119" s="16"/>
      <c r="AU119" s="27"/>
      <c r="AW119" s="27"/>
      <c r="AX119" s="16"/>
      <c r="AY119" s="16"/>
      <c r="AZ119" s="27"/>
      <c r="BB119" s="27"/>
      <c r="BC119" s="16"/>
      <c r="BD119" s="16"/>
      <c r="BE119" s="27"/>
      <c r="BG119" s="27"/>
      <c r="BH119" s="16"/>
      <c r="BI119" s="16"/>
      <c r="BJ119" s="27"/>
      <c r="BL119" s="27"/>
      <c r="BM119" s="16"/>
      <c r="BN119" s="16"/>
      <c r="BO119" s="27"/>
      <c r="BQ119" s="27"/>
      <c r="BR119" s="16"/>
      <c r="BS119" s="16"/>
      <c r="BT119" s="27"/>
      <c r="BV119" s="27"/>
      <c r="BW119" s="16"/>
      <c r="BX119" s="16"/>
      <c r="BY119" s="27"/>
      <c r="CA119" s="27"/>
      <c r="CB119" s="16"/>
      <c r="CC119" s="16"/>
      <c r="CD119" s="27"/>
      <c r="CF119" s="27"/>
      <c r="CG119" s="16"/>
      <c r="CH119" s="16"/>
      <c r="CI119" s="27"/>
      <c r="CK119" s="27"/>
      <c r="CL119" s="16"/>
      <c r="CM119" s="16"/>
      <c r="CN119" s="27"/>
      <c r="CP119" s="27"/>
      <c r="CQ119" s="16"/>
      <c r="CR119" s="16"/>
      <c r="CS119" s="27"/>
      <c r="CU119" s="27"/>
      <c r="CV119" s="16"/>
      <c r="CW119" s="16"/>
      <c r="CX119" s="27"/>
      <c r="CZ119" s="27"/>
      <c r="DA119" s="16"/>
      <c r="DB119" s="16"/>
      <c r="DC119" s="27"/>
      <c r="DE119" s="27"/>
      <c r="DF119" s="16"/>
      <c r="DG119" s="16"/>
      <c r="DH119" s="27"/>
      <c r="DJ119" s="27"/>
      <c r="DK119" s="16"/>
      <c r="DL119" s="16"/>
      <c r="DM119" s="27"/>
      <c r="DO119" s="27"/>
      <c r="DP119" s="16"/>
      <c r="DQ119" s="16"/>
      <c r="DR119" s="27"/>
      <c r="DT119" s="27"/>
      <c r="DU119" s="16"/>
      <c r="DV119" s="16"/>
      <c r="DW119" s="27"/>
      <c r="DY119" s="27"/>
      <c r="DZ119" s="16"/>
      <c r="EA119" s="16"/>
      <c r="EB119" s="302"/>
    </row>
    <row r="120" spans="1:132" s="14" customFormat="1" ht="21" x14ac:dyDescent="0.4">
      <c r="A120" s="27"/>
      <c r="B120" s="27"/>
      <c r="C120" s="27"/>
      <c r="E120" s="16"/>
      <c r="F120" s="27"/>
      <c r="G120" s="27"/>
      <c r="I120" s="27"/>
      <c r="J120" s="16"/>
      <c r="K120" s="16"/>
      <c r="L120" s="27"/>
      <c r="N120" s="27"/>
      <c r="O120" s="16"/>
      <c r="P120" s="16"/>
      <c r="Q120" s="27"/>
      <c r="S120" s="27"/>
      <c r="T120" s="16"/>
      <c r="U120" s="16"/>
      <c r="V120" s="27"/>
      <c r="X120" s="27"/>
      <c r="Y120" s="16"/>
      <c r="Z120" s="16"/>
      <c r="AA120" s="27"/>
      <c r="AC120" s="27"/>
      <c r="AD120" s="16"/>
      <c r="AE120" s="16"/>
      <c r="AF120" s="27"/>
      <c r="AH120" s="27"/>
      <c r="AI120" s="16"/>
      <c r="AJ120" s="16"/>
      <c r="AK120" s="27"/>
      <c r="AM120" s="27"/>
      <c r="AN120" s="16"/>
      <c r="AO120" s="16"/>
      <c r="AP120" s="27"/>
      <c r="AR120" s="27"/>
      <c r="AS120" s="16"/>
      <c r="AT120" s="16"/>
      <c r="AU120" s="27"/>
      <c r="AW120" s="27"/>
      <c r="AX120" s="16"/>
      <c r="AY120" s="16"/>
      <c r="AZ120" s="27"/>
      <c r="BB120" s="27"/>
      <c r="BC120" s="16"/>
      <c r="BD120" s="16"/>
      <c r="BE120" s="27"/>
      <c r="BG120" s="27"/>
      <c r="BH120" s="16"/>
      <c r="BI120" s="16"/>
      <c r="BJ120" s="27"/>
      <c r="BL120" s="27"/>
      <c r="BM120" s="16"/>
      <c r="BN120" s="16"/>
      <c r="BO120" s="27"/>
      <c r="BQ120" s="27"/>
      <c r="BR120" s="16"/>
      <c r="BS120" s="16"/>
      <c r="BT120" s="27"/>
      <c r="BV120" s="27"/>
      <c r="BW120" s="16"/>
      <c r="BX120" s="16"/>
      <c r="BY120" s="27"/>
      <c r="CA120" s="27"/>
      <c r="CB120" s="16"/>
      <c r="CC120" s="16"/>
      <c r="CD120" s="27"/>
      <c r="CF120" s="27"/>
      <c r="CG120" s="16"/>
      <c r="CH120" s="16"/>
      <c r="CI120" s="27"/>
      <c r="CK120" s="27"/>
      <c r="CL120" s="16"/>
      <c r="CM120" s="16"/>
      <c r="CN120" s="27"/>
      <c r="CP120" s="27"/>
      <c r="CQ120" s="16"/>
      <c r="CR120" s="16"/>
      <c r="CS120" s="27"/>
      <c r="CU120" s="27"/>
      <c r="CV120" s="16"/>
      <c r="CW120" s="16"/>
      <c r="CX120" s="27"/>
      <c r="CZ120" s="27"/>
      <c r="DA120" s="16"/>
      <c r="DB120" s="16"/>
      <c r="DC120" s="27"/>
      <c r="DE120" s="27"/>
      <c r="DF120" s="16"/>
      <c r="DG120" s="16"/>
      <c r="DH120" s="27"/>
      <c r="DJ120" s="27"/>
      <c r="DK120" s="16"/>
      <c r="DL120" s="16"/>
      <c r="DM120" s="27"/>
      <c r="DO120" s="27"/>
      <c r="DP120" s="16"/>
      <c r="DQ120" s="16"/>
      <c r="DR120" s="27"/>
      <c r="DT120" s="27"/>
      <c r="DU120" s="16"/>
      <c r="DV120" s="16"/>
      <c r="DW120" s="27"/>
      <c r="DY120" s="27"/>
      <c r="DZ120" s="16"/>
      <c r="EA120" s="16"/>
      <c r="EB120" s="302"/>
    </row>
    <row r="121" spans="1:132" s="14" customFormat="1" ht="21" x14ac:dyDescent="0.4">
      <c r="A121" s="27"/>
      <c r="B121" s="27"/>
      <c r="C121" s="27"/>
      <c r="E121" s="16"/>
      <c r="F121" s="27"/>
      <c r="G121" s="27"/>
      <c r="I121" s="27"/>
      <c r="J121" s="16"/>
      <c r="K121" s="16"/>
      <c r="L121" s="27"/>
      <c r="N121" s="27"/>
      <c r="O121" s="16"/>
      <c r="P121" s="16"/>
      <c r="Q121" s="27"/>
      <c r="S121" s="27"/>
      <c r="T121" s="16"/>
      <c r="U121" s="16"/>
      <c r="V121" s="27"/>
      <c r="X121" s="27"/>
      <c r="Y121" s="16"/>
      <c r="Z121" s="16"/>
      <c r="AA121" s="27"/>
      <c r="AC121" s="27"/>
      <c r="AD121" s="16"/>
      <c r="AE121" s="16"/>
      <c r="AF121" s="27"/>
      <c r="AH121" s="27"/>
      <c r="AI121" s="16"/>
      <c r="AJ121" s="16"/>
      <c r="AK121" s="27"/>
      <c r="AM121" s="27"/>
      <c r="AN121" s="16"/>
      <c r="AO121" s="16"/>
      <c r="AP121" s="27"/>
      <c r="AR121" s="27"/>
      <c r="AS121" s="16"/>
      <c r="AT121" s="16"/>
      <c r="AU121" s="27"/>
      <c r="AW121" s="27"/>
      <c r="AX121" s="16"/>
      <c r="AY121" s="16"/>
      <c r="AZ121" s="27"/>
      <c r="BB121" s="27"/>
      <c r="BC121" s="16"/>
      <c r="BD121" s="16"/>
      <c r="BE121" s="27"/>
      <c r="BG121" s="27"/>
      <c r="BH121" s="16"/>
      <c r="BI121" s="16"/>
      <c r="BJ121" s="27"/>
      <c r="BL121" s="27"/>
      <c r="BM121" s="16"/>
      <c r="BN121" s="16"/>
      <c r="BO121" s="27"/>
      <c r="BQ121" s="27"/>
      <c r="BR121" s="16"/>
      <c r="BS121" s="16"/>
      <c r="BT121" s="27"/>
      <c r="BV121" s="27"/>
      <c r="BW121" s="16"/>
      <c r="BX121" s="16"/>
      <c r="BY121" s="27"/>
      <c r="CA121" s="27"/>
      <c r="CB121" s="16"/>
      <c r="CC121" s="16"/>
      <c r="CD121" s="27"/>
      <c r="CF121" s="27"/>
      <c r="CG121" s="16"/>
      <c r="CH121" s="16"/>
      <c r="CI121" s="27"/>
      <c r="CK121" s="27"/>
      <c r="CL121" s="16"/>
      <c r="CM121" s="16"/>
      <c r="CN121" s="27"/>
      <c r="CP121" s="27"/>
      <c r="CQ121" s="16"/>
      <c r="CR121" s="16"/>
      <c r="CS121" s="27"/>
      <c r="CU121" s="27"/>
      <c r="CV121" s="16"/>
      <c r="CW121" s="16"/>
      <c r="CX121" s="27"/>
      <c r="CZ121" s="27"/>
      <c r="DA121" s="16"/>
      <c r="DB121" s="16"/>
      <c r="DC121" s="27"/>
      <c r="DE121" s="27"/>
      <c r="DF121" s="16"/>
      <c r="DG121" s="16"/>
      <c r="DH121" s="27"/>
      <c r="DJ121" s="27"/>
      <c r="DK121" s="16"/>
      <c r="DL121" s="16"/>
      <c r="DM121" s="27"/>
      <c r="DO121" s="27"/>
      <c r="DP121" s="16"/>
      <c r="DQ121" s="16"/>
      <c r="DR121" s="27"/>
      <c r="DT121" s="27"/>
      <c r="DU121" s="16"/>
      <c r="DV121" s="16"/>
      <c r="DW121" s="27"/>
      <c r="DY121" s="27"/>
      <c r="DZ121" s="16"/>
      <c r="EA121" s="16"/>
      <c r="EB121" s="302"/>
    </row>
    <row r="122" spans="1:132" s="14" customFormat="1" ht="21" x14ac:dyDescent="0.4">
      <c r="A122" s="27"/>
      <c r="B122" s="27"/>
      <c r="C122" s="27"/>
      <c r="E122" s="16"/>
      <c r="F122" s="27"/>
      <c r="G122" s="27"/>
      <c r="I122" s="27"/>
      <c r="J122" s="16"/>
      <c r="K122" s="16"/>
      <c r="L122" s="27"/>
      <c r="N122" s="27"/>
      <c r="O122" s="16"/>
      <c r="P122" s="16"/>
      <c r="Q122" s="27"/>
      <c r="S122" s="27"/>
      <c r="T122" s="16"/>
      <c r="U122" s="16"/>
      <c r="V122" s="27"/>
      <c r="X122" s="27"/>
      <c r="Y122" s="16"/>
      <c r="Z122" s="16"/>
      <c r="AA122" s="27"/>
      <c r="AC122" s="27"/>
      <c r="AD122" s="16"/>
      <c r="AE122" s="16"/>
      <c r="AF122" s="27"/>
      <c r="AH122" s="27"/>
      <c r="AI122" s="16"/>
      <c r="AJ122" s="16"/>
      <c r="AK122" s="27"/>
      <c r="AM122" s="27"/>
      <c r="AN122" s="16"/>
      <c r="AO122" s="16"/>
      <c r="AP122" s="27"/>
      <c r="AR122" s="27"/>
      <c r="AS122" s="16"/>
      <c r="AT122" s="16"/>
      <c r="AU122" s="27"/>
      <c r="AW122" s="27"/>
      <c r="AX122" s="16"/>
      <c r="AY122" s="16"/>
      <c r="AZ122" s="27"/>
      <c r="BB122" s="27"/>
      <c r="BC122" s="16"/>
      <c r="BD122" s="16"/>
      <c r="BE122" s="27"/>
      <c r="BG122" s="27"/>
      <c r="BH122" s="16"/>
      <c r="BI122" s="16"/>
      <c r="BJ122" s="27"/>
      <c r="BL122" s="27"/>
      <c r="BM122" s="16"/>
      <c r="BN122" s="16"/>
      <c r="BO122" s="27"/>
      <c r="BQ122" s="27"/>
      <c r="BR122" s="16"/>
      <c r="BS122" s="16"/>
      <c r="BT122" s="27"/>
      <c r="BV122" s="27"/>
      <c r="BW122" s="16"/>
      <c r="BX122" s="16"/>
      <c r="BY122" s="27"/>
      <c r="CA122" s="27"/>
      <c r="CB122" s="16"/>
      <c r="CC122" s="16"/>
      <c r="CD122" s="27"/>
      <c r="CF122" s="27"/>
      <c r="CG122" s="16"/>
      <c r="CH122" s="16"/>
      <c r="CI122" s="27"/>
      <c r="CK122" s="27"/>
      <c r="CL122" s="16"/>
      <c r="CM122" s="16"/>
      <c r="CN122" s="27"/>
      <c r="CP122" s="27"/>
      <c r="CQ122" s="16"/>
      <c r="CR122" s="16"/>
      <c r="CS122" s="27"/>
      <c r="CU122" s="27"/>
      <c r="CV122" s="16"/>
      <c r="CW122" s="16"/>
      <c r="CX122" s="27"/>
      <c r="CZ122" s="27"/>
      <c r="DA122" s="16"/>
      <c r="DB122" s="16"/>
      <c r="DC122" s="27"/>
      <c r="DE122" s="27"/>
      <c r="DF122" s="16"/>
      <c r="DG122" s="16"/>
      <c r="DH122" s="27"/>
      <c r="DJ122" s="27"/>
      <c r="DK122" s="16"/>
      <c r="DL122" s="16"/>
      <c r="DM122" s="27"/>
      <c r="DO122" s="27"/>
      <c r="DP122" s="16"/>
      <c r="DQ122" s="16"/>
      <c r="DR122" s="27"/>
      <c r="DT122" s="27"/>
      <c r="DU122" s="16"/>
      <c r="DV122" s="16"/>
      <c r="DW122" s="27"/>
      <c r="DY122" s="27"/>
      <c r="DZ122" s="16"/>
      <c r="EA122" s="16"/>
      <c r="EB122" s="302"/>
    </row>
    <row r="123" spans="1:132" s="14" customFormat="1" ht="21" x14ac:dyDescent="0.4">
      <c r="A123" s="27"/>
      <c r="B123" s="27"/>
      <c r="C123" s="27"/>
      <c r="E123" s="16"/>
      <c r="F123" s="27"/>
      <c r="G123" s="27"/>
      <c r="I123" s="27"/>
      <c r="J123" s="16"/>
      <c r="K123" s="16"/>
      <c r="L123" s="27"/>
      <c r="N123" s="27"/>
      <c r="O123" s="16"/>
      <c r="P123" s="16"/>
      <c r="Q123" s="27"/>
      <c r="S123" s="27"/>
      <c r="T123" s="16"/>
      <c r="U123" s="16"/>
      <c r="V123" s="27"/>
      <c r="X123" s="27"/>
      <c r="Y123" s="16"/>
      <c r="Z123" s="16"/>
      <c r="AA123" s="27"/>
      <c r="AC123" s="27"/>
      <c r="AD123" s="16"/>
      <c r="AE123" s="16"/>
      <c r="AF123" s="27"/>
      <c r="AH123" s="27"/>
      <c r="AI123" s="16"/>
      <c r="AJ123" s="16"/>
      <c r="AK123" s="27"/>
      <c r="AM123" s="27"/>
      <c r="AN123" s="16"/>
      <c r="AO123" s="16"/>
      <c r="AP123" s="27"/>
      <c r="AR123" s="27"/>
      <c r="AS123" s="16"/>
      <c r="AT123" s="16"/>
      <c r="AU123" s="27"/>
      <c r="AW123" s="27"/>
      <c r="AX123" s="16"/>
      <c r="AY123" s="16"/>
      <c r="AZ123" s="27"/>
      <c r="BB123" s="27"/>
      <c r="BC123" s="16"/>
      <c r="BD123" s="16"/>
      <c r="BE123" s="27"/>
      <c r="BG123" s="27"/>
      <c r="BH123" s="16"/>
      <c r="BI123" s="16"/>
      <c r="BJ123" s="27"/>
      <c r="BL123" s="27"/>
      <c r="BM123" s="16"/>
      <c r="BN123" s="16"/>
      <c r="BO123" s="27"/>
      <c r="BQ123" s="27"/>
      <c r="BR123" s="16"/>
      <c r="BS123" s="16"/>
      <c r="BT123" s="27"/>
      <c r="BV123" s="27"/>
      <c r="BW123" s="16"/>
      <c r="BX123" s="16"/>
      <c r="BY123" s="27"/>
      <c r="CA123" s="27"/>
      <c r="CB123" s="16"/>
      <c r="CC123" s="16"/>
      <c r="CD123" s="27"/>
      <c r="CF123" s="27"/>
      <c r="CG123" s="16"/>
      <c r="CH123" s="16"/>
      <c r="CI123" s="27"/>
      <c r="CK123" s="27"/>
      <c r="CL123" s="16"/>
      <c r="CM123" s="16"/>
      <c r="CN123" s="27"/>
      <c r="CP123" s="27"/>
      <c r="CQ123" s="16"/>
      <c r="CR123" s="16"/>
      <c r="CS123" s="27"/>
      <c r="CU123" s="27"/>
      <c r="CV123" s="16"/>
      <c r="CW123" s="16"/>
      <c r="CX123" s="27"/>
      <c r="CZ123" s="27"/>
      <c r="DA123" s="16"/>
      <c r="DB123" s="16"/>
      <c r="DC123" s="27"/>
      <c r="DE123" s="27"/>
      <c r="DF123" s="16"/>
      <c r="DG123" s="16"/>
      <c r="DH123" s="27"/>
      <c r="DJ123" s="27"/>
      <c r="DK123" s="16"/>
      <c r="DL123" s="16"/>
      <c r="DM123" s="27"/>
      <c r="DO123" s="27"/>
      <c r="DP123" s="16"/>
      <c r="DQ123" s="16"/>
      <c r="DR123" s="27"/>
      <c r="DT123" s="27"/>
      <c r="DU123" s="16"/>
      <c r="DV123" s="16"/>
      <c r="DW123" s="27"/>
      <c r="DY123" s="27"/>
      <c r="DZ123" s="16"/>
      <c r="EA123" s="16"/>
      <c r="EB123" s="302"/>
    </row>
    <row r="124" spans="1:132" s="14" customFormat="1" ht="21" x14ac:dyDescent="0.4">
      <c r="A124" s="27"/>
      <c r="B124" s="27"/>
      <c r="C124" s="27"/>
      <c r="E124" s="16"/>
      <c r="F124" s="27"/>
      <c r="G124" s="27"/>
      <c r="I124" s="27"/>
      <c r="J124" s="16"/>
      <c r="K124" s="16"/>
      <c r="L124" s="27"/>
      <c r="N124" s="27"/>
      <c r="O124" s="16"/>
      <c r="P124" s="16"/>
      <c r="Q124" s="27"/>
      <c r="S124" s="27"/>
      <c r="T124" s="16"/>
      <c r="U124" s="16"/>
      <c r="V124" s="27"/>
      <c r="X124" s="27"/>
      <c r="Y124" s="16"/>
      <c r="Z124" s="16"/>
      <c r="AA124" s="27"/>
      <c r="AC124" s="27"/>
      <c r="AD124" s="16"/>
      <c r="AE124" s="16"/>
      <c r="AF124" s="27"/>
      <c r="AH124" s="27"/>
      <c r="AI124" s="16"/>
      <c r="AJ124" s="16"/>
      <c r="AK124" s="27"/>
      <c r="AM124" s="27"/>
      <c r="AN124" s="16"/>
      <c r="AO124" s="16"/>
      <c r="AP124" s="27"/>
      <c r="AR124" s="27"/>
      <c r="AS124" s="16"/>
      <c r="AT124" s="16"/>
      <c r="AU124" s="27"/>
      <c r="AW124" s="27"/>
      <c r="AX124" s="16"/>
      <c r="AY124" s="16"/>
      <c r="AZ124" s="27"/>
      <c r="BB124" s="27"/>
      <c r="BC124" s="16"/>
      <c r="BD124" s="16"/>
      <c r="BE124" s="27"/>
      <c r="BG124" s="27"/>
      <c r="BH124" s="16"/>
      <c r="BI124" s="16"/>
      <c r="BJ124" s="27"/>
      <c r="BL124" s="27"/>
      <c r="BM124" s="16"/>
      <c r="BN124" s="16"/>
      <c r="BO124" s="27"/>
      <c r="BQ124" s="27"/>
      <c r="BR124" s="16"/>
      <c r="BS124" s="16"/>
      <c r="BT124" s="27"/>
      <c r="BV124" s="27"/>
      <c r="BW124" s="16"/>
      <c r="BX124" s="16"/>
      <c r="BY124" s="27"/>
      <c r="CA124" s="27"/>
      <c r="CB124" s="16"/>
      <c r="CC124" s="16"/>
      <c r="CD124" s="27"/>
      <c r="CF124" s="27"/>
      <c r="CG124" s="16"/>
      <c r="CH124" s="16"/>
      <c r="CI124" s="27"/>
      <c r="CK124" s="27"/>
      <c r="CL124" s="16"/>
      <c r="CM124" s="16"/>
      <c r="CN124" s="27"/>
      <c r="CP124" s="27"/>
      <c r="CQ124" s="16"/>
      <c r="CR124" s="16"/>
      <c r="CS124" s="27"/>
      <c r="CU124" s="27"/>
      <c r="CV124" s="16"/>
      <c r="CW124" s="16"/>
      <c r="CX124" s="27"/>
      <c r="CZ124" s="27"/>
      <c r="DA124" s="16"/>
      <c r="DB124" s="16"/>
      <c r="DC124" s="27"/>
      <c r="DE124" s="27"/>
      <c r="DF124" s="16"/>
      <c r="DG124" s="16"/>
      <c r="DH124" s="27"/>
      <c r="DJ124" s="27"/>
      <c r="DK124" s="16"/>
      <c r="DL124" s="16"/>
      <c r="DM124" s="27"/>
      <c r="DO124" s="27"/>
      <c r="DP124" s="16"/>
      <c r="DQ124" s="16"/>
      <c r="DR124" s="27"/>
      <c r="DT124" s="27"/>
      <c r="DU124" s="16"/>
      <c r="DV124" s="16"/>
      <c r="DW124" s="27"/>
      <c r="DY124" s="27"/>
      <c r="DZ124" s="16"/>
      <c r="EA124" s="16"/>
      <c r="EB124" s="302"/>
    </row>
    <row r="125" spans="1:132" s="14" customFormat="1" ht="21" x14ac:dyDescent="0.4">
      <c r="A125" s="27"/>
      <c r="B125" s="27"/>
      <c r="C125" s="27"/>
      <c r="E125" s="16"/>
      <c r="F125" s="27"/>
      <c r="G125" s="27"/>
      <c r="I125" s="27"/>
      <c r="J125" s="16"/>
      <c r="K125" s="16"/>
      <c r="L125" s="27"/>
      <c r="N125" s="27"/>
      <c r="O125" s="16"/>
      <c r="P125" s="16"/>
      <c r="Q125" s="27"/>
      <c r="S125" s="27"/>
      <c r="T125" s="16"/>
      <c r="U125" s="16"/>
      <c r="V125" s="27"/>
      <c r="X125" s="27"/>
      <c r="Y125" s="16"/>
      <c r="Z125" s="16"/>
      <c r="AA125" s="27"/>
      <c r="AC125" s="27"/>
      <c r="AD125" s="16"/>
      <c r="AE125" s="16"/>
      <c r="AF125" s="27"/>
      <c r="AH125" s="27"/>
      <c r="AI125" s="16"/>
      <c r="AJ125" s="16"/>
      <c r="AK125" s="27"/>
      <c r="AM125" s="27"/>
      <c r="AN125" s="16"/>
      <c r="AO125" s="16"/>
      <c r="AP125" s="27"/>
      <c r="AR125" s="27"/>
      <c r="AS125" s="16"/>
      <c r="AT125" s="16"/>
      <c r="AU125" s="27"/>
      <c r="AW125" s="27"/>
      <c r="AX125" s="16"/>
      <c r="AY125" s="16"/>
      <c r="AZ125" s="27"/>
      <c r="BB125" s="27"/>
      <c r="BC125" s="16"/>
      <c r="BD125" s="16"/>
      <c r="BE125" s="27"/>
      <c r="BG125" s="27"/>
      <c r="BH125" s="16"/>
      <c r="BI125" s="16"/>
      <c r="BJ125" s="27"/>
      <c r="BL125" s="27"/>
      <c r="BM125" s="16"/>
      <c r="BN125" s="16"/>
      <c r="BO125" s="27"/>
      <c r="BQ125" s="27"/>
      <c r="BR125" s="16"/>
      <c r="BS125" s="16"/>
      <c r="BT125" s="27"/>
      <c r="BV125" s="27"/>
      <c r="BW125" s="16"/>
      <c r="BX125" s="16"/>
      <c r="BY125" s="27"/>
      <c r="CA125" s="27"/>
      <c r="CB125" s="16"/>
      <c r="CC125" s="16"/>
      <c r="CD125" s="27"/>
      <c r="CF125" s="27"/>
      <c r="CG125" s="16"/>
      <c r="CH125" s="16"/>
      <c r="CI125" s="27"/>
      <c r="CK125" s="27"/>
      <c r="CL125" s="16"/>
      <c r="CM125" s="16"/>
      <c r="CN125" s="27"/>
      <c r="CP125" s="27"/>
      <c r="CQ125" s="16"/>
      <c r="CR125" s="16"/>
      <c r="CS125" s="27"/>
      <c r="CU125" s="27"/>
      <c r="CV125" s="16"/>
      <c r="CW125" s="16"/>
      <c r="CX125" s="27"/>
      <c r="CZ125" s="27"/>
      <c r="DA125" s="16"/>
      <c r="DB125" s="16"/>
      <c r="DC125" s="27"/>
      <c r="DE125" s="27"/>
      <c r="DF125" s="16"/>
      <c r="DG125" s="16"/>
      <c r="DH125" s="27"/>
      <c r="DJ125" s="27"/>
      <c r="DK125" s="16"/>
      <c r="DL125" s="16"/>
      <c r="DM125" s="27"/>
      <c r="DO125" s="27"/>
      <c r="DP125" s="16"/>
      <c r="DQ125" s="16"/>
      <c r="DR125" s="27"/>
      <c r="DT125" s="27"/>
      <c r="DU125" s="16"/>
      <c r="DV125" s="16"/>
      <c r="DW125" s="27"/>
      <c r="DY125" s="27"/>
      <c r="DZ125" s="16"/>
      <c r="EA125" s="16"/>
      <c r="EB125" s="302"/>
    </row>
    <row r="126" spans="1:132" s="14" customFormat="1" ht="21" x14ac:dyDescent="0.4">
      <c r="A126" s="27"/>
      <c r="B126" s="27"/>
      <c r="C126" s="27"/>
      <c r="E126" s="16"/>
      <c r="F126" s="27"/>
      <c r="G126" s="27"/>
      <c r="I126" s="27"/>
      <c r="J126" s="16"/>
      <c r="K126" s="16"/>
      <c r="L126" s="27"/>
      <c r="N126" s="27"/>
      <c r="O126" s="16"/>
      <c r="P126" s="16"/>
      <c r="Q126" s="27"/>
      <c r="S126" s="27"/>
      <c r="T126" s="16"/>
      <c r="U126" s="16"/>
      <c r="V126" s="27"/>
      <c r="X126" s="27"/>
      <c r="Y126" s="16"/>
      <c r="Z126" s="16"/>
      <c r="AA126" s="27"/>
      <c r="AC126" s="27"/>
      <c r="AD126" s="16"/>
      <c r="AE126" s="16"/>
      <c r="AF126" s="27"/>
      <c r="AH126" s="27"/>
      <c r="AI126" s="16"/>
      <c r="AJ126" s="16"/>
      <c r="AK126" s="27"/>
      <c r="AM126" s="27"/>
      <c r="AN126" s="16"/>
      <c r="AO126" s="16"/>
      <c r="AP126" s="27"/>
      <c r="AR126" s="27"/>
      <c r="AS126" s="16"/>
      <c r="AT126" s="16"/>
      <c r="AU126" s="27"/>
      <c r="AW126" s="27"/>
      <c r="AX126" s="16"/>
      <c r="AY126" s="16"/>
      <c r="AZ126" s="27"/>
      <c r="BB126" s="27"/>
      <c r="BC126" s="16"/>
      <c r="BD126" s="16"/>
      <c r="BE126" s="27"/>
      <c r="BG126" s="27"/>
      <c r="BH126" s="16"/>
      <c r="BI126" s="16"/>
      <c r="BJ126" s="27"/>
      <c r="BL126" s="27"/>
      <c r="BM126" s="16"/>
      <c r="BN126" s="16"/>
      <c r="BO126" s="27"/>
      <c r="BQ126" s="27"/>
      <c r="BR126" s="16"/>
      <c r="BS126" s="16"/>
      <c r="BT126" s="27"/>
      <c r="BV126" s="27"/>
      <c r="BW126" s="16"/>
      <c r="BX126" s="16"/>
      <c r="BY126" s="27"/>
      <c r="CA126" s="27"/>
      <c r="CB126" s="16"/>
      <c r="CC126" s="16"/>
      <c r="CD126" s="27"/>
      <c r="CF126" s="27"/>
      <c r="CG126" s="16"/>
      <c r="CH126" s="16"/>
      <c r="CI126" s="27"/>
      <c r="CK126" s="27"/>
      <c r="CL126" s="16"/>
      <c r="CM126" s="16"/>
      <c r="CN126" s="27"/>
      <c r="CP126" s="27"/>
      <c r="CQ126" s="16"/>
      <c r="CR126" s="16"/>
      <c r="CS126" s="27"/>
      <c r="CU126" s="27"/>
      <c r="CV126" s="16"/>
      <c r="CW126" s="16"/>
      <c r="CX126" s="27"/>
      <c r="CZ126" s="27"/>
      <c r="DA126" s="16"/>
      <c r="DB126" s="16"/>
      <c r="DC126" s="27"/>
      <c r="DE126" s="27"/>
      <c r="DF126" s="16"/>
      <c r="DG126" s="16"/>
      <c r="DH126" s="27"/>
      <c r="DJ126" s="27"/>
      <c r="DK126" s="16"/>
      <c r="DL126" s="16"/>
      <c r="DM126" s="27"/>
      <c r="DO126" s="27"/>
      <c r="DP126" s="16"/>
      <c r="DQ126" s="16"/>
      <c r="DR126" s="27"/>
      <c r="DT126" s="27"/>
      <c r="DU126" s="16"/>
      <c r="DV126" s="16"/>
      <c r="DW126" s="27"/>
      <c r="DY126" s="27"/>
      <c r="DZ126" s="16"/>
      <c r="EA126" s="16"/>
      <c r="EB126" s="302"/>
    </row>
    <row r="127" spans="1:132" s="14" customFormat="1" ht="21" x14ac:dyDescent="0.4">
      <c r="A127" s="27"/>
      <c r="B127" s="27"/>
      <c r="C127" s="27"/>
      <c r="E127" s="16"/>
      <c r="F127" s="27"/>
      <c r="G127" s="27"/>
      <c r="I127" s="27"/>
      <c r="J127" s="16"/>
      <c r="K127" s="16"/>
      <c r="L127" s="27"/>
      <c r="N127" s="27"/>
      <c r="O127" s="16"/>
      <c r="P127" s="16"/>
      <c r="Q127" s="27"/>
      <c r="S127" s="27"/>
      <c r="T127" s="16"/>
      <c r="U127" s="16"/>
      <c r="V127" s="27"/>
      <c r="X127" s="27"/>
      <c r="Y127" s="16"/>
      <c r="Z127" s="16"/>
      <c r="AA127" s="27"/>
      <c r="AC127" s="27"/>
      <c r="AD127" s="16"/>
      <c r="AE127" s="16"/>
      <c r="AF127" s="27"/>
      <c r="AH127" s="27"/>
      <c r="AI127" s="16"/>
      <c r="AJ127" s="16"/>
      <c r="AK127" s="27"/>
      <c r="AM127" s="27"/>
      <c r="AN127" s="16"/>
      <c r="AO127" s="16"/>
      <c r="AP127" s="27"/>
      <c r="AR127" s="27"/>
      <c r="AS127" s="16"/>
      <c r="AT127" s="16"/>
      <c r="AU127" s="27"/>
      <c r="AW127" s="27"/>
      <c r="AX127" s="16"/>
      <c r="AY127" s="16"/>
      <c r="AZ127" s="27"/>
      <c r="BB127" s="27"/>
      <c r="BC127" s="16"/>
      <c r="BD127" s="16"/>
      <c r="BE127" s="27"/>
      <c r="BG127" s="27"/>
      <c r="BH127" s="16"/>
      <c r="BI127" s="16"/>
      <c r="BJ127" s="27"/>
      <c r="BL127" s="27"/>
      <c r="BM127" s="16"/>
      <c r="BN127" s="16"/>
      <c r="BO127" s="27"/>
      <c r="BQ127" s="27"/>
      <c r="BR127" s="16"/>
      <c r="BS127" s="16"/>
      <c r="BT127" s="27"/>
      <c r="BV127" s="27"/>
      <c r="BW127" s="16"/>
      <c r="BX127" s="16"/>
      <c r="BY127" s="27"/>
      <c r="CA127" s="27"/>
      <c r="CB127" s="16"/>
      <c r="CC127" s="16"/>
      <c r="CD127" s="27"/>
      <c r="CF127" s="27"/>
      <c r="CG127" s="16"/>
      <c r="CH127" s="16"/>
      <c r="CI127" s="27"/>
      <c r="CK127" s="27"/>
      <c r="CL127" s="16"/>
      <c r="CM127" s="16"/>
      <c r="CN127" s="27"/>
      <c r="CP127" s="27"/>
      <c r="CQ127" s="16"/>
      <c r="CR127" s="16"/>
      <c r="CS127" s="27"/>
      <c r="CU127" s="27"/>
      <c r="CV127" s="16"/>
      <c r="CW127" s="16"/>
      <c r="CX127" s="27"/>
      <c r="CZ127" s="27"/>
      <c r="DA127" s="16"/>
      <c r="DB127" s="16"/>
      <c r="DC127" s="27"/>
      <c r="DE127" s="27"/>
      <c r="DF127" s="16"/>
      <c r="DG127" s="16"/>
      <c r="DH127" s="27"/>
      <c r="DJ127" s="27"/>
      <c r="DK127" s="16"/>
      <c r="DL127" s="16"/>
      <c r="DM127" s="27"/>
      <c r="DO127" s="27"/>
      <c r="DP127" s="16"/>
      <c r="DQ127" s="16"/>
      <c r="DR127" s="27"/>
      <c r="DT127" s="27"/>
      <c r="DU127" s="16"/>
      <c r="DV127" s="16"/>
      <c r="DW127" s="27"/>
      <c r="DY127" s="27"/>
      <c r="DZ127" s="16"/>
      <c r="EA127" s="16"/>
      <c r="EB127" s="302"/>
    </row>
    <row r="128" spans="1:132" s="14" customFormat="1" ht="21" x14ac:dyDescent="0.4">
      <c r="A128" s="27"/>
      <c r="B128" s="27"/>
      <c r="C128" s="27"/>
      <c r="E128" s="16"/>
      <c r="F128" s="27"/>
      <c r="G128" s="27"/>
      <c r="I128" s="27"/>
      <c r="J128" s="16"/>
      <c r="K128" s="16"/>
      <c r="L128" s="27"/>
      <c r="N128" s="27"/>
      <c r="O128" s="16"/>
      <c r="P128" s="16"/>
      <c r="Q128" s="27"/>
      <c r="S128" s="27"/>
      <c r="T128" s="16"/>
      <c r="U128" s="16"/>
      <c r="V128" s="27"/>
      <c r="X128" s="27"/>
      <c r="Y128" s="16"/>
      <c r="Z128" s="16"/>
      <c r="AA128" s="27"/>
      <c r="AC128" s="27"/>
      <c r="AD128" s="16"/>
      <c r="AE128" s="16"/>
      <c r="AF128" s="27"/>
      <c r="AH128" s="27"/>
      <c r="AI128" s="16"/>
      <c r="AJ128" s="16"/>
      <c r="AK128" s="27"/>
      <c r="AM128" s="27"/>
      <c r="AN128" s="16"/>
      <c r="AO128" s="16"/>
      <c r="AP128" s="27"/>
      <c r="AR128" s="27"/>
      <c r="AS128" s="16"/>
      <c r="AT128" s="16"/>
      <c r="AU128" s="27"/>
      <c r="AW128" s="27"/>
      <c r="AX128" s="16"/>
      <c r="AY128" s="16"/>
      <c r="AZ128" s="27"/>
      <c r="BB128" s="27"/>
      <c r="BC128" s="16"/>
      <c r="BD128" s="16"/>
      <c r="BE128" s="27"/>
      <c r="BG128" s="27"/>
      <c r="BH128" s="16"/>
      <c r="BI128" s="16"/>
      <c r="BJ128" s="27"/>
      <c r="BL128" s="27"/>
      <c r="BM128" s="16"/>
      <c r="BN128" s="16"/>
      <c r="BO128" s="27"/>
      <c r="BQ128" s="27"/>
      <c r="BR128" s="16"/>
      <c r="BS128" s="16"/>
      <c r="BT128" s="27"/>
      <c r="BV128" s="27"/>
      <c r="BW128" s="16"/>
      <c r="BX128" s="16"/>
      <c r="BY128" s="27"/>
      <c r="CA128" s="27"/>
      <c r="CB128" s="16"/>
      <c r="CC128" s="16"/>
      <c r="CD128" s="27"/>
      <c r="CF128" s="27"/>
      <c r="CG128" s="16"/>
      <c r="CH128" s="16"/>
      <c r="CI128" s="27"/>
      <c r="CK128" s="27"/>
      <c r="CL128" s="16"/>
      <c r="CM128" s="16"/>
      <c r="CN128" s="27"/>
      <c r="CP128" s="27"/>
      <c r="CQ128" s="16"/>
      <c r="CR128" s="16"/>
      <c r="CS128" s="27"/>
      <c r="CU128" s="27"/>
      <c r="CV128" s="16"/>
      <c r="CW128" s="16"/>
      <c r="CX128" s="27"/>
      <c r="CZ128" s="27"/>
      <c r="DA128" s="16"/>
      <c r="DB128" s="16"/>
      <c r="DC128" s="27"/>
      <c r="DE128" s="27"/>
      <c r="DF128" s="16"/>
      <c r="DG128" s="16"/>
      <c r="DH128" s="27"/>
      <c r="DJ128" s="27"/>
      <c r="DK128" s="16"/>
      <c r="DL128" s="16"/>
      <c r="DM128" s="27"/>
      <c r="DO128" s="27"/>
      <c r="DP128" s="16"/>
      <c r="DQ128" s="16"/>
      <c r="DR128" s="27"/>
      <c r="DT128" s="27"/>
      <c r="DU128" s="16"/>
      <c r="DV128" s="16"/>
      <c r="DW128" s="27"/>
      <c r="DY128" s="27"/>
      <c r="DZ128" s="16"/>
      <c r="EA128" s="16"/>
      <c r="EB128" s="302"/>
    </row>
    <row r="129" spans="1:132" s="14" customFormat="1" ht="21" x14ac:dyDescent="0.4">
      <c r="A129" s="27"/>
      <c r="B129" s="27"/>
      <c r="C129" s="27"/>
      <c r="E129" s="16"/>
      <c r="F129" s="27"/>
      <c r="G129" s="27"/>
      <c r="I129" s="27"/>
      <c r="J129" s="16"/>
      <c r="K129" s="16"/>
      <c r="L129" s="27"/>
      <c r="N129" s="27"/>
      <c r="O129" s="16"/>
      <c r="P129" s="16"/>
      <c r="Q129" s="27"/>
      <c r="S129" s="27"/>
      <c r="T129" s="16"/>
      <c r="U129" s="16"/>
      <c r="V129" s="27"/>
      <c r="X129" s="27"/>
      <c r="Y129" s="16"/>
      <c r="Z129" s="16"/>
      <c r="AA129" s="27"/>
      <c r="AC129" s="27"/>
      <c r="AD129" s="16"/>
      <c r="AE129" s="16"/>
      <c r="AF129" s="27"/>
      <c r="AH129" s="27"/>
      <c r="AI129" s="16"/>
      <c r="AJ129" s="16"/>
      <c r="AK129" s="27"/>
      <c r="AM129" s="27"/>
      <c r="AN129" s="16"/>
      <c r="AO129" s="16"/>
      <c r="AP129" s="27"/>
      <c r="AR129" s="27"/>
      <c r="AS129" s="16"/>
      <c r="AT129" s="16"/>
      <c r="AU129" s="27"/>
      <c r="AW129" s="27"/>
      <c r="AX129" s="16"/>
      <c r="AY129" s="16"/>
      <c r="AZ129" s="27"/>
      <c r="BB129" s="27"/>
      <c r="BC129" s="16"/>
      <c r="BD129" s="16"/>
      <c r="BE129" s="27"/>
      <c r="BG129" s="27"/>
      <c r="BH129" s="16"/>
      <c r="BI129" s="16"/>
      <c r="BJ129" s="27"/>
      <c r="BL129" s="27"/>
      <c r="BM129" s="16"/>
      <c r="BN129" s="16"/>
      <c r="BO129" s="27"/>
      <c r="BQ129" s="27"/>
      <c r="BR129" s="16"/>
      <c r="BS129" s="16"/>
      <c r="BT129" s="27"/>
      <c r="BV129" s="27"/>
      <c r="BW129" s="16"/>
      <c r="BX129" s="16"/>
      <c r="BY129" s="27"/>
      <c r="CA129" s="27"/>
      <c r="CB129" s="16"/>
      <c r="CC129" s="16"/>
      <c r="CD129" s="27"/>
      <c r="CF129" s="27"/>
      <c r="CG129" s="16"/>
      <c r="CH129" s="16"/>
      <c r="CI129" s="27"/>
      <c r="CK129" s="27"/>
      <c r="CL129" s="16"/>
      <c r="CM129" s="16"/>
      <c r="CN129" s="27"/>
      <c r="CP129" s="27"/>
      <c r="CQ129" s="16"/>
      <c r="CR129" s="16"/>
      <c r="CS129" s="27"/>
      <c r="CU129" s="27"/>
      <c r="CV129" s="16"/>
      <c r="CW129" s="16"/>
      <c r="CX129" s="27"/>
      <c r="CZ129" s="27"/>
      <c r="DA129" s="16"/>
      <c r="DB129" s="16"/>
      <c r="DC129" s="27"/>
      <c r="DE129" s="27"/>
      <c r="DF129" s="16"/>
      <c r="DG129" s="16"/>
      <c r="DH129" s="27"/>
      <c r="DJ129" s="27"/>
      <c r="DK129" s="16"/>
      <c r="DL129" s="16"/>
      <c r="DM129" s="27"/>
      <c r="DO129" s="27"/>
      <c r="DP129" s="16"/>
      <c r="DQ129" s="16"/>
      <c r="DR129" s="27"/>
      <c r="DT129" s="27"/>
      <c r="DU129" s="16"/>
      <c r="DV129" s="16"/>
      <c r="DW129" s="27"/>
      <c r="DY129" s="27"/>
      <c r="DZ129" s="16"/>
      <c r="EA129" s="16"/>
      <c r="EB129" s="302"/>
    </row>
    <row r="130" spans="1:132" s="14" customFormat="1" ht="21" x14ac:dyDescent="0.4">
      <c r="A130" s="27"/>
      <c r="B130" s="27"/>
      <c r="C130" s="27"/>
      <c r="E130" s="16"/>
      <c r="F130" s="27"/>
      <c r="G130" s="27"/>
      <c r="I130" s="27"/>
      <c r="J130" s="16"/>
      <c r="K130" s="16"/>
      <c r="L130" s="27"/>
      <c r="N130" s="27"/>
      <c r="O130" s="16"/>
      <c r="P130" s="16"/>
      <c r="Q130" s="27"/>
      <c r="S130" s="27"/>
      <c r="T130" s="16"/>
      <c r="U130" s="16"/>
      <c r="V130" s="27"/>
      <c r="X130" s="27"/>
      <c r="Y130" s="16"/>
      <c r="Z130" s="16"/>
      <c r="AA130" s="27"/>
      <c r="AC130" s="27"/>
      <c r="AD130" s="16"/>
      <c r="AE130" s="16"/>
      <c r="AF130" s="27"/>
      <c r="AH130" s="27"/>
      <c r="AI130" s="16"/>
      <c r="AJ130" s="16"/>
      <c r="AK130" s="27"/>
      <c r="AM130" s="27"/>
      <c r="AN130" s="16"/>
      <c r="AO130" s="16"/>
      <c r="AP130" s="27"/>
      <c r="AR130" s="27"/>
      <c r="AS130" s="16"/>
      <c r="AT130" s="16"/>
      <c r="AU130" s="27"/>
      <c r="AW130" s="27"/>
      <c r="AX130" s="16"/>
      <c r="AY130" s="16"/>
      <c r="AZ130" s="27"/>
      <c r="BB130" s="27"/>
      <c r="BC130" s="16"/>
      <c r="BD130" s="16"/>
      <c r="BE130" s="27"/>
      <c r="BG130" s="27"/>
      <c r="BH130" s="16"/>
      <c r="BI130" s="16"/>
      <c r="BJ130" s="27"/>
      <c r="BL130" s="27"/>
      <c r="BM130" s="16"/>
      <c r="BN130" s="16"/>
      <c r="BO130" s="27"/>
      <c r="BQ130" s="27"/>
      <c r="BR130" s="16"/>
      <c r="BS130" s="16"/>
      <c r="BT130" s="27"/>
      <c r="BV130" s="27"/>
      <c r="BW130" s="16"/>
      <c r="BX130" s="16"/>
      <c r="BY130" s="27"/>
      <c r="CA130" s="27"/>
      <c r="CB130" s="16"/>
      <c r="CC130" s="16"/>
      <c r="CD130" s="27"/>
      <c r="CF130" s="27"/>
      <c r="CG130" s="16"/>
      <c r="CH130" s="16"/>
      <c r="CI130" s="27"/>
      <c r="CK130" s="27"/>
      <c r="CL130" s="16"/>
      <c r="CM130" s="16"/>
      <c r="CN130" s="27"/>
      <c r="CP130" s="27"/>
      <c r="CQ130" s="16"/>
      <c r="CR130" s="16"/>
      <c r="CS130" s="27"/>
      <c r="CU130" s="27"/>
      <c r="CV130" s="16"/>
      <c r="CW130" s="16"/>
      <c r="CX130" s="27"/>
      <c r="CZ130" s="27"/>
      <c r="DA130" s="16"/>
      <c r="DB130" s="16"/>
      <c r="DC130" s="27"/>
      <c r="DE130" s="27"/>
      <c r="DF130" s="16"/>
      <c r="DG130" s="16"/>
      <c r="DH130" s="27"/>
      <c r="DJ130" s="27"/>
      <c r="DK130" s="16"/>
      <c r="DL130" s="16"/>
      <c r="DM130" s="27"/>
      <c r="DO130" s="27"/>
      <c r="DP130" s="16"/>
      <c r="DQ130" s="16"/>
      <c r="DR130" s="27"/>
      <c r="DT130" s="27"/>
      <c r="DU130" s="16"/>
      <c r="DV130" s="16"/>
      <c r="DW130" s="27"/>
      <c r="DY130" s="27"/>
      <c r="DZ130" s="16"/>
      <c r="EA130" s="16"/>
      <c r="EB130" s="302"/>
    </row>
    <row r="131" spans="1:132" s="14" customFormat="1" ht="21" x14ac:dyDescent="0.4">
      <c r="A131" s="27"/>
      <c r="B131" s="27"/>
      <c r="C131" s="27"/>
      <c r="E131" s="16"/>
      <c r="F131" s="27"/>
      <c r="G131" s="27"/>
      <c r="I131" s="27"/>
      <c r="J131" s="16"/>
      <c r="K131" s="16"/>
      <c r="L131" s="27"/>
      <c r="N131" s="27"/>
      <c r="O131" s="16"/>
      <c r="P131" s="16"/>
      <c r="Q131" s="27"/>
      <c r="S131" s="27"/>
      <c r="T131" s="16"/>
      <c r="U131" s="16"/>
      <c r="V131" s="27"/>
      <c r="X131" s="27"/>
      <c r="Y131" s="16"/>
      <c r="Z131" s="16"/>
      <c r="AA131" s="27"/>
      <c r="AC131" s="27"/>
      <c r="AD131" s="16"/>
      <c r="AE131" s="16"/>
      <c r="AF131" s="27"/>
      <c r="AH131" s="27"/>
      <c r="AI131" s="16"/>
      <c r="AJ131" s="16"/>
      <c r="AK131" s="27"/>
      <c r="AM131" s="27"/>
      <c r="AN131" s="16"/>
      <c r="AO131" s="16"/>
      <c r="AP131" s="27"/>
      <c r="AR131" s="27"/>
      <c r="AS131" s="16"/>
      <c r="AT131" s="16"/>
      <c r="AU131" s="27"/>
      <c r="AW131" s="27"/>
      <c r="AX131" s="16"/>
      <c r="AY131" s="16"/>
      <c r="AZ131" s="27"/>
      <c r="BB131" s="27"/>
      <c r="BC131" s="16"/>
      <c r="BD131" s="16"/>
      <c r="BE131" s="27"/>
      <c r="BG131" s="27"/>
      <c r="BH131" s="16"/>
      <c r="BI131" s="16"/>
      <c r="BJ131" s="27"/>
      <c r="BL131" s="27"/>
      <c r="BM131" s="16"/>
      <c r="BN131" s="16"/>
      <c r="BO131" s="27"/>
      <c r="BQ131" s="27"/>
      <c r="BR131" s="16"/>
      <c r="BS131" s="16"/>
      <c r="BT131" s="27"/>
      <c r="BV131" s="27"/>
      <c r="BW131" s="16"/>
      <c r="BX131" s="16"/>
      <c r="BY131" s="27"/>
      <c r="CA131" s="27"/>
      <c r="CB131" s="16"/>
      <c r="CC131" s="16"/>
      <c r="CD131" s="27"/>
      <c r="CF131" s="27"/>
      <c r="CG131" s="16"/>
      <c r="CH131" s="16"/>
      <c r="CI131" s="27"/>
      <c r="CK131" s="27"/>
      <c r="CL131" s="16"/>
      <c r="CM131" s="16"/>
      <c r="CN131" s="27"/>
      <c r="CP131" s="27"/>
      <c r="CQ131" s="16"/>
      <c r="CR131" s="16"/>
      <c r="CS131" s="27"/>
      <c r="CU131" s="27"/>
      <c r="CV131" s="16"/>
      <c r="CW131" s="16"/>
      <c r="CX131" s="27"/>
      <c r="CZ131" s="27"/>
      <c r="DA131" s="16"/>
      <c r="DB131" s="16"/>
      <c r="DC131" s="27"/>
      <c r="DE131" s="27"/>
      <c r="DF131" s="16"/>
      <c r="DG131" s="16"/>
      <c r="DH131" s="27"/>
      <c r="DJ131" s="27"/>
      <c r="DK131" s="16"/>
      <c r="DL131" s="16"/>
      <c r="DM131" s="27"/>
      <c r="DO131" s="27"/>
      <c r="DP131" s="16"/>
      <c r="DQ131" s="16"/>
      <c r="DR131" s="27"/>
      <c r="DT131" s="27"/>
      <c r="DU131" s="16"/>
      <c r="DV131" s="16"/>
      <c r="DW131" s="27"/>
      <c r="DY131" s="27"/>
      <c r="DZ131" s="16"/>
      <c r="EA131" s="16"/>
      <c r="EB131" s="302"/>
    </row>
    <row r="132" spans="1:132" s="14" customFormat="1" ht="21" x14ac:dyDescent="0.4">
      <c r="A132" s="27"/>
      <c r="B132" s="27"/>
      <c r="C132" s="27"/>
      <c r="E132" s="16"/>
      <c r="F132" s="27"/>
      <c r="G132" s="27"/>
      <c r="I132" s="27"/>
      <c r="J132" s="16"/>
      <c r="K132" s="16"/>
      <c r="L132" s="27"/>
      <c r="N132" s="27"/>
      <c r="O132" s="16"/>
      <c r="P132" s="16"/>
      <c r="Q132" s="27"/>
      <c r="S132" s="27"/>
      <c r="T132" s="16"/>
      <c r="U132" s="16"/>
      <c r="V132" s="27"/>
      <c r="X132" s="27"/>
      <c r="Y132" s="16"/>
      <c r="Z132" s="16"/>
      <c r="AA132" s="27"/>
      <c r="AC132" s="27"/>
      <c r="AD132" s="16"/>
      <c r="AE132" s="16"/>
      <c r="AF132" s="27"/>
      <c r="AH132" s="27"/>
      <c r="AI132" s="16"/>
      <c r="AJ132" s="16"/>
      <c r="AK132" s="27"/>
      <c r="AM132" s="27"/>
      <c r="AN132" s="16"/>
      <c r="AO132" s="16"/>
      <c r="AP132" s="27"/>
      <c r="AR132" s="27"/>
      <c r="AS132" s="16"/>
      <c r="AT132" s="16"/>
      <c r="AU132" s="27"/>
      <c r="AW132" s="27"/>
      <c r="AX132" s="16"/>
      <c r="AY132" s="16"/>
      <c r="AZ132" s="27"/>
      <c r="BB132" s="27"/>
      <c r="BC132" s="16"/>
      <c r="BD132" s="16"/>
      <c r="BE132" s="27"/>
      <c r="BG132" s="27"/>
      <c r="BH132" s="16"/>
      <c r="BI132" s="16"/>
      <c r="BJ132" s="27"/>
      <c r="BL132" s="27"/>
      <c r="BM132" s="16"/>
      <c r="BN132" s="16"/>
      <c r="BO132" s="27"/>
      <c r="BQ132" s="27"/>
      <c r="BR132" s="16"/>
      <c r="BS132" s="16"/>
      <c r="BT132" s="27"/>
      <c r="BV132" s="27"/>
      <c r="BW132" s="16"/>
      <c r="BX132" s="16"/>
      <c r="BY132" s="27"/>
      <c r="CA132" s="27"/>
      <c r="CB132" s="16"/>
      <c r="CC132" s="16"/>
      <c r="CD132" s="27"/>
      <c r="CF132" s="27"/>
      <c r="CG132" s="16"/>
      <c r="CH132" s="16"/>
      <c r="CI132" s="27"/>
      <c r="CK132" s="27"/>
      <c r="CL132" s="16"/>
      <c r="CM132" s="16"/>
      <c r="CN132" s="27"/>
      <c r="CP132" s="27"/>
      <c r="CQ132" s="16"/>
      <c r="CR132" s="16"/>
      <c r="CS132" s="27"/>
      <c r="CU132" s="27"/>
      <c r="CV132" s="16"/>
      <c r="CW132" s="16"/>
      <c r="CX132" s="27"/>
      <c r="CZ132" s="27"/>
      <c r="DA132" s="16"/>
      <c r="DB132" s="16"/>
      <c r="DC132" s="27"/>
      <c r="DE132" s="27"/>
      <c r="DF132" s="16"/>
      <c r="DG132" s="16"/>
      <c r="DH132" s="27"/>
      <c r="DJ132" s="27"/>
      <c r="DK132" s="16"/>
      <c r="DL132" s="16"/>
      <c r="DM132" s="27"/>
      <c r="DO132" s="27"/>
      <c r="DP132" s="16"/>
      <c r="DQ132" s="16"/>
      <c r="DR132" s="27"/>
      <c r="DT132" s="27"/>
      <c r="DU132" s="16"/>
      <c r="DV132" s="16"/>
      <c r="DW132" s="27"/>
      <c r="DY132" s="27"/>
      <c r="DZ132" s="16"/>
      <c r="EA132" s="16"/>
      <c r="EB132" s="302"/>
    </row>
    <row r="133" spans="1:132" s="14" customFormat="1" ht="21" x14ac:dyDescent="0.4">
      <c r="A133" s="27"/>
      <c r="B133" s="27"/>
      <c r="C133" s="27"/>
      <c r="E133" s="16"/>
      <c r="F133" s="27"/>
      <c r="G133" s="27"/>
      <c r="I133" s="27"/>
      <c r="J133" s="16"/>
      <c r="K133" s="16"/>
      <c r="L133" s="27"/>
      <c r="N133" s="27"/>
      <c r="O133" s="16"/>
      <c r="P133" s="16"/>
      <c r="Q133" s="27"/>
      <c r="S133" s="27"/>
      <c r="T133" s="16"/>
      <c r="U133" s="16"/>
      <c r="V133" s="27"/>
      <c r="X133" s="27"/>
      <c r="Y133" s="16"/>
      <c r="Z133" s="16"/>
      <c r="AA133" s="27"/>
      <c r="AC133" s="27"/>
      <c r="AD133" s="16"/>
      <c r="AE133" s="16"/>
      <c r="AF133" s="27"/>
      <c r="AH133" s="27"/>
      <c r="AI133" s="16"/>
      <c r="AJ133" s="16"/>
      <c r="AK133" s="27"/>
      <c r="AM133" s="27"/>
      <c r="AN133" s="16"/>
      <c r="AO133" s="16"/>
      <c r="AP133" s="27"/>
      <c r="AR133" s="27"/>
      <c r="AS133" s="16"/>
      <c r="AT133" s="16"/>
      <c r="AU133" s="27"/>
      <c r="AW133" s="27"/>
      <c r="AX133" s="16"/>
      <c r="AY133" s="16"/>
      <c r="AZ133" s="27"/>
      <c r="BB133" s="27"/>
      <c r="BC133" s="16"/>
      <c r="BD133" s="16"/>
      <c r="BE133" s="27"/>
      <c r="BG133" s="27"/>
      <c r="BH133" s="16"/>
      <c r="BI133" s="16"/>
      <c r="BJ133" s="27"/>
      <c r="BL133" s="27"/>
      <c r="BM133" s="16"/>
      <c r="BN133" s="16"/>
      <c r="BO133" s="27"/>
      <c r="BQ133" s="27"/>
      <c r="BR133" s="16"/>
      <c r="BS133" s="16"/>
      <c r="BT133" s="27"/>
      <c r="BV133" s="27"/>
      <c r="BW133" s="16"/>
      <c r="BX133" s="16"/>
      <c r="BY133" s="27"/>
      <c r="CA133" s="27"/>
      <c r="CB133" s="16"/>
      <c r="CC133" s="16"/>
      <c r="CD133" s="27"/>
      <c r="CF133" s="27"/>
      <c r="CG133" s="16"/>
      <c r="CH133" s="16"/>
      <c r="CI133" s="27"/>
      <c r="CK133" s="27"/>
      <c r="CL133" s="16"/>
      <c r="CM133" s="16"/>
      <c r="CN133" s="27"/>
      <c r="CP133" s="27"/>
      <c r="CQ133" s="16"/>
      <c r="CR133" s="16"/>
      <c r="CS133" s="27"/>
      <c r="CU133" s="27"/>
      <c r="CV133" s="16"/>
      <c r="CW133" s="16"/>
      <c r="CX133" s="27"/>
      <c r="CZ133" s="27"/>
      <c r="DA133" s="16"/>
      <c r="DB133" s="16"/>
      <c r="DC133" s="27"/>
      <c r="DE133" s="27"/>
      <c r="DF133" s="16"/>
      <c r="DG133" s="16"/>
      <c r="DH133" s="27"/>
      <c r="DJ133" s="27"/>
      <c r="DK133" s="16"/>
      <c r="DL133" s="16"/>
      <c r="DM133" s="27"/>
      <c r="DO133" s="27"/>
      <c r="DP133" s="16"/>
      <c r="DQ133" s="16"/>
      <c r="DR133" s="27"/>
      <c r="DT133" s="27"/>
      <c r="DU133" s="16"/>
      <c r="DV133" s="16"/>
      <c r="DW133" s="27"/>
      <c r="DY133" s="27"/>
      <c r="DZ133" s="16"/>
      <c r="EA133" s="16"/>
      <c r="EB133" s="302"/>
    </row>
    <row r="134" spans="1:132" s="14" customFormat="1" ht="21" x14ac:dyDescent="0.4">
      <c r="A134" s="27"/>
      <c r="B134" s="27"/>
      <c r="C134" s="27"/>
      <c r="E134" s="16"/>
      <c r="F134" s="27"/>
      <c r="G134" s="27"/>
      <c r="I134" s="27"/>
      <c r="J134" s="16"/>
      <c r="K134" s="16"/>
      <c r="L134" s="27"/>
      <c r="N134" s="27"/>
      <c r="O134" s="16"/>
      <c r="P134" s="16"/>
      <c r="Q134" s="27"/>
      <c r="S134" s="27"/>
      <c r="T134" s="16"/>
      <c r="U134" s="16"/>
      <c r="V134" s="27"/>
      <c r="X134" s="27"/>
      <c r="Y134" s="16"/>
      <c r="Z134" s="16"/>
      <c r="AA134" s="27"/>
      <c r="AC134" s="27"/>
      <c r="AD134" s="16"/>
      <c r="AE134" s="16"/>
      <c r="AF134" s="27"/>
      <c r="AH134" s="27"/>
      <c r="AI134" s="16"/>
      <c r="AJ134" s="16"/>
      <c r="AK134" s="27"/>
      <c r="AM134" s="27"/>
      <c r="AN134" s="16"/>
      <c r="AO134" s="16"/>
      <c r="AP134" s="27"/>
      <c r="AR134" s="27"/>
      <c r="AS134" s="16"/>
      <c r="AT134" s="16"/>
      <c r="AU134" s="27"/>
      <c r="AW134" s="27"/>
      <c r="AX134" s="16"/>
      <c r="AY134" s="16"/>
      <c r="AZ134" s="27"/>
      <c r="BB134" s="27"/>
      <c r="BC134" s="16"/>
      <c r="BD134" s="16"/>
      <c r="BE134" s="27"/>
      <c r="BG134" s="27"/>
      <c r="BH134" s="16"/>
      <c r="BI134" s="16"/>
      <c r="BJ134" s="27"/>
      <c r="BL134" s="27"/>
      <c r="BM134" s="16"/>
      <c r="BN134" s="16"/>
      <c r="BO134" s="27"/>
      <c r="BQ134" s="27"/>
      <c r="BR134" s="16"/>
      <c r="BS134" s="16"/>
      <c r="BT134" s="27"/>
      <c r="BV134" s="27"/>
      <c r="BW134" s="16"/>
      <c r="BX134" s="16"/>
      <c r="BY134" s="27"/>
      <c r="CA134" s="27"/>
      <c r="CB134" s="16"/>
      <c r="CC134" s="16"/>
      <c r="CD134" s="27"/>
      <c r="CF134" s="27"/>
      <c r="CG134" s="16"/>
      <c r="CH134" s="16"/>
      <c r="CI134" s="27"/>
      <c r="CK134" s="27"/>
      <c r="CL134" s="16"/>
      <c r="CM134" s="16"/>
      <c r="CN134" s="27"/>
      <c r="CP134" s="27"/>
      <c r="CQ134" s="16"/>
      <c r="CR134" s="16"/>
      <c r="CS134" s="27"/>
      <c r="CU134" s="27"/>
      <c r="CV134" s="16"/>
      <c r="CW134" s="16"/>
      <c r="CX134" s="27"/>
      <c r="CZ134" s="27"/>
      <c r="DA134" s="16"/>
      <c r="DB134" s="16"/>
      <c r="DC134" s="27"/>
      <c r="DE134" s="27"/>
      <c r="DF134" s="16"/>
      <c r="DG134" s="16"/>
      <c r="DH134" s="27"/>
      <c r="DJ134" s="27"/>
      <c r="DK134" s="16"/>
      <c r="DL134" s="16"/>
      <c r="DM134" s="27"/>
      <c r="DO134" s="27"/>
      <c r="DP134" s="16"/>
      <c r="DQ134" s="16"/>
      <c r="DR134" s="27"/>
      <c r="DT134" s="27"/>
      <c r="DU134" s="16"/>
      <c r="DV134" s="16"/>
      <c r="DW134" s="27"/>
      <c r="DY134" s="27"/>
      <c r="DZ134" s="16"/>
      <c r="EA134" s="16"/>
      <c r="EB134" s="302"/>
    </row>
    <row r="135" spans="1:132" s="14" customFormat="1" ht="21" x14ac:dyDescent="0.4">
      <c r="A135" s="27"/>
      <c r="B135" s="27"/>
      <c r="C135" s="27"/>
      <c r="E135" s="16"/>
      <c r="F135" s="27"/>
      <c r="G135" s="27"/>
      <c r="I135" s="27"/>
      <c r="J135" s="16"/>
      <c r="K135" s="16"/>
      <c r="L135" s="27"/>
      <c r="N135" s="27"/>
      <c r="O135" s="16"/>
      <c r="P135" s="16"/>
      <c r="Q135" s="27"/>
      <c r="S135" s="27"/>
      <c r="T135" s="16"/>
      <c r="U135" s="16"/>
      <c r="V135" s="27"/>
      <c r="X135" s="27"/>
      <c r="Y135" s="16"/>
      <c r="Z135" s="16"/>
      <c r="AA135" s="27"/>
      <c r="AC135" s="27"/>
      <c r="AD135" s="16"/>
      <c r="AE135" s="16"/>
      <c r="AF135" s="27"/>
      <c r="AH135" s="27"/>
      <c r="AI135" s="16"/>
      <c r="AJ135" s="16"/>
      <c r="AK135" s="27"/>
      <c r="AM135" s="27"/>
      <c r="AN135" s="16"/>
      <c r="AO135" s="16"/>
      <c r="AP135" s="27"/>
      <c r="AR135" s="27"/>
      <c r="AS135" s="16"/>
      <c r="AT135" s="16"/>
      <c r="AU135" s="27"/>
      <c r="AW135" s="27"/>
      <c r="AX135" s="16"/>
      <c r="AY135" s="16"/>
      <c r="AZ135" s="27"/>
      <c r="BB135" s="27"/>
      <c r="BC135" s="16"/>
      <c r="BD135" s="16"/>
      <c r="BE135" s="27"/>
      <c r="BG135" s="27"/>
      <c r="BH135" s="16"/>
      <c r="BI135" s="16"/>
      <c r="BJ135" s="27"/>
      <c r="BL135" s="27"/>
      <c r="BM135" s="16"/>
      <c r="BN135" s="16"/>
      <c r="BO135" s="27"/>
      <c r="BQ135" s="27"/>
      <c r="BR135" s="16"/>
      <c r="BS135" s="16"/>
      <c r="BT135" s="27"/>
      <c r="BV135" s="27"/>
      <c r="BW135" s="16"/>
      <c r="BX135" s="16"/>
      <c r="BY135" s="27"/>
      <c r="CA135" s="27"/>
      <c r="CB135" s="16"/>
      <c r="CC135" s="16"/>
      <c r="CD135" s="27"/>
      <c r="CF135" s="27"/>
      <c r="CG135" s="16"/>
      <c r="CH135" s="16"/>
      <c r="CI135" s="27"/>
      <c r="CK135" s="27"/>
      <c r="CL135" s="16"/>
      <c r="CM135" s="16"/>
      <c r="CN135" s="27"/>
      <c r="CP135" s="27"/>
      <c r="CQ135" s="16"/>
      <c r="CR135" s="16"/>
      <c r="CS135" s="27"/>
      <c r="CU135" s="27"/>
      <c r="CV135" s="16"/>
      <c r="CW135" s="16"/>
      <c r="CX135" s="27"/>
      <c r="CZ135" s="27"/>
      <c r="DA135" s="16"/>
      <c r="DB135" s="16"/>
      <c r="DC135" s="27"/>
      <c r="DE135" s="27"/>
      <c r="DF135" s="16"/>
      <c r="DG135" s="16"/>
      <c r="DH135" s="27"/>
      <c r="DJ135" s="27"/>
      <c r="DK135" s="16"/>
      <c r="DL135" s="16"/>
      <c r="DM135" s="27"/>
      <c r="DO135" s="27"/>
      <c r="DP135" s="16"/>
      <c r="DQ135" s="16"/>
      <c r="DR135" s="27"/>
      <c r="DT135" s="27"/>
      <c r="DU135" s="16"/>
      <c r="DV135" s="16"/>
      <c r="DW135" s="27"/>
      <c r="DY135" s="27"/>
      <c r="DZ135" s="16"/>
      <c r="EA135" s="16"/>
      <c r="EB135" s="302"/>
    </row>
    <row r="136" spans="1:132" s="14" customFormat="1" ht="21" x14ac:dyDescent="0.4">
      <c r="A136" s="27"/>
      <c r="B136" s="27"/>
      <c r="C136" s="27"/>
      <c r="E136" s="16"/>
      <c r="F136" s="27"/>
      <c r="G136" s="27"/>
      <c r="I136" s="27"/>
      <c r="J136" s="16"/>
      <c r="K136" s="16"/>
      <c r="L136" s="27"/>
      <c r="N136" s="27"/>
      <c r="O136" s="16"/>
      <c r="P136" s="16"/>
      <c r="Q136" s="27"/>
      <c r="S136" s="27"/>
      <c r="T136" s="16"/>
      <c r="U136" s="16"/>
      <c r="V136" s="27"/>
      <c r="X136" s="27"/>
      <c r="Y136" s="16"/>
      <c r="Z136" s="16"/>
      <c r="AA136" s="27"/>
      <c r="AC136" s="27"/>
      <c r="AD136" s="16"/>
      <c r="AE136" s="16"/>
      <c r="AF136" s="27"/>
      <c r="AH136" s="27"/>
      <c r="AI136" s="16"/>
      <c r="AJ136" s="16"/>
      <c r="AK136" s="27"/>
      <c r="AM136" s="27"/>
      <c r="AN136" s="16"/>
      <c r="AO136" s="16"/>
      <c r="AP136" s="27"/>
      <c r="AR136" s="27"/>
      <c r="AS136" s="16"/>
      <c r="AT136" s="16"/>
      <c r="AU136" s="27"/>
      <c r="AW136" s="27"/>
      <c r="AX136" s="16"/>
      <c r="AY136" s="16"/>
      <c r="AZ136" s="27"/>
      <c r="BB136" s="27"/>
      <c r="BC136" s="16"/>
      <c r="BD136" s="16"/>
      <c r="BE136" s="27"/>
      <c r="BG136" s="27"/>
      <c r="BH136" s="16"/>
      <c r="BI136" s="16"/>
      <c r="BJ136" s="27"/>
      <c r="BL136" s="27"/>
      <c r="BM136" s="16"/>
      <c r="BN136" s="16"/>
      <c r="BO136" s="27"/>
      <c r="BQ136" s="27"/>
      <c r="BR136" s="16"/>
      <c r="BS136" s="16"/>
      <c r="BT136" s="27"/>
      <c r="BV136" s="27"/>
      <c r="BW136" s="16"/>
      <c r="BX136" s="16"/>
      <c r="BY136" s="27"/>
      <c r="CA136" s="27"/>
      <c r="CB136" s="16"/>
      <c r="CC136" s="16"/>
      <c r="CD136" s="27"/>
      <c r="CF136" s="27"/>
      <c r="CG136" s="16"/>
      <c r="CH136" s="16"/>
      <c r="CI136" s="27"/>
      <c r="CK136" s="27"/>
      <c r="CL136" s="16"/>
      <c r="CM136" s="16"/>
      <c r="CN136" s="27"/>
      <c r="CP136" s="27"/>
      <c r="CQ136" s="16"/>
      <c r="CR136" s="16"/>
      <c r="CS136" s="27"/>
      <c r="CU136" s="27"/>
      <c r="CV136" s="16"/>
      <c r="CW136" s="16"/>
      <c r="CX136" s="27"/>
      <c r="CZ136" s="27"/>
      <c r="DA136" s="16"/>
      <c r="DB136" s="16"/>
      <c r="DC136" s="27"/>
      <c r="DE136" s="27"/>
      <c r="DF136" s="16"/>
      <c r="DG136" s="16"/>
      <c r="DH136" s="27"/>
      <c r="DJ136" s="27"/>
      <c r="DK136" s="16"/>
      <c r="DL136" s="16"/>
      <c r="DM136" s="27"/>
      <c r="DO136" s="27"/>
      <c r="DP136" s="16"/>
      <c r="DQ136" s="16"/>
      <c r="DR136" s="27"/>
      <c r="DT136" s="27"/>
      <c r="DU136" s="16"/>
      <c r="DV136" s="16"/>
      <c r="DW136" s="27"/>
      <c r="DY136" s="27"/>
      <c r="DZ136" s="16"/>
      <c r="EA136" s="16"/>
      <c r="EB136" s="302"/>
    </row>
    <row r="137" spans="1:132" s="14" customFormat="1" ht="21" x14ac:dyDescent="0.4">
      <c r="A137" s="27"/>
      <c r="B137" s="27"/>
      <c r="C137" s="27"/>
      <c r="E137" s="16"/>
      <c r="F137" s="27"/>
      <c r="G137" s="27"/>
      <c r="I137" s="27"/>
      <c r="J137" s="16"/>
      <c r="K137" s="16"/>
      <c r="L137" s="27"/>
      <c r="N137" s="27"/>
      <c r="O137" s="16"/>
      <c r="P137" s="16"/>
      <c r="Q137" s="27"/>
      <c r="S137" s="27"/>
      <c r="T137" s="16"/>
      <c r="U137" s="16"/>
      <c r="V137" s="27"/>
      <c r="X137" s="27"/>
      <c r="Y137" s="16"/>
      <c r="Z137" s="16"/>
      <c r="AA137" s="27"/>
      <c r="AC137" s="27"/>
      <c r="AD137" s="16"/>
      <c r="AE137" s="16"/>
      <c r="AF137" s="27"/>
      <c r="AH137" s="27"/>
      <c r="AI137" s="16"/>
      <c r="AJ137" s="16"/>
      <c r="AK137" s="27"/>
      <c r="AM137" s="27"/>
      <c r="AN137" s="16"/>
      <c r="AO137" s="16"/>
      <c r="AP137" s="27"/>
      <c r="AR137" s="27"/>
      <c r="AS137" s="16"/>
      <c r="AT137" s="16"/>
      <c r="AU137" s="27"/>
      <c r="AW137" s="27"/>
      <c r="AX137" s="16"/>
      <c r="AY137" s="16"/>
      <c r="AZ137" s="27"/>
      <c r="BB137" s="27"/>
      <c r="BC137" s="16"/>
      <c r="BD137" s="16"/>
      <c r="BE137" s="27"/>
      <c r="BG137" s="27"/>
      <c r="BH137" s="16"/>
      <c r="BI137" s="16"/>
      <c r="BJ137" s="27"/>
      <c r="BL137" s="27"/>
      <c r="BM137" s="16"/>
      <c r="BN137" s="16"/>
      <c r="BO137" s="27"/>
      <c r="BQ137" s="27"/>
      <c r="BR137" s="16"/>
      <c r="BS137" s="16"/>
      <c r="BT137" s="27"/>
      <c r="BV137" s="27"/>
      <c r="BW137" s="16"/>
      <c r="BX137" s="16"/>
      <c r="BY137" s="27"/>
      <c r="CA137" s="27"/>
      <c r="CB137" s="16"/>
      <c r="CC137" s="16"/>
      <c r="CD137" s="27"/>
      <c r="CF137" s="27"/>
      <c r="CG137" s="16"/>
      <c r="CH137" s="16"/>
      <c r="CI137" s="27"/>
      <c r="CK137" s="27"/>
      <c r="CL137" s="16"/>
      <c r="CM137" s="16"/>
      <c r="CN137" s="27"/>
      <c r="CP137" s="27"/>
      <c r="CQ137" s="16"/>
      <c r="CR137" s="16"/>
      <c r="CS137" s="27"/>
      <c r="CU137" s="27"/>
      <c r="CV137" s="16"/>
      <c r="CW137" s="16"/>
      <c r="CX137" s="27"/>
      <c r="CZ137" s="27"/>
      <c r="DA137" s="16"/>
      <c r="DB137" s="16"/>
      <c r="DC137" s="27"/>
      <c r="DE137" s="27"/>
      <c r="DF137" s="16"/>
      <c r="DG137" s="16"/>
      <c r="DH137" s="27"/>
      <c r="DJ137" s="27"/>
      <c r="DK137" s="16"/>
      <c r="DL137" s="16"/>
      <c r="DM137" s="27"/>
      <c r="DO137" s="27"/>
      <c r="DP137" s="16"/>
      <c r="DQ137" s="16"/>
      <c r="DR137" s="27"/>
      <c r="DT137" s="27"/>
      <c r="DU137" s="16"/>
      <c r="DV137" s="16"/>
      <c r="DW137" s="27"/>
      <c r="DY137" s="27"/>
      <c r="DZ137" s="16"/>
      <c r="EA137" s="16"/>
      <c r="EB137" s="302"/>
    </row>
    <row r="138" spans="1:132" s="14" customFormat="1" ht="21" x14ac:dyDescent="0.4">
      <c r="A138" s="27"/>
      <c r="B138" s="27"/>
      <c r="C138" s="27"/>
      <c r="E138" s="16"/>
      <c r="F138" s="27"/>
      <c r="G138" s="27"/>
      <c r="I138" s="27"/>
      <c r="J138" s="16"/>
      <c r="K138" s="16"/>
      <c r="L138" s="27"/>
      <c r="N138" s="27"/>
      <c r="O138" s="16"/>
      <c r="P138" s="16"/>
      <c r="Q138" s="27"/>
      <c r="S138" s="27"/>
      <c r="T138" s="16"/>
      <c r="U138" s="16"/>
      <c r="V138" s="27"/>
      <c r="X138" s="27"/>
      <c r="Y138" s="16"/>
      <c r="Z138" s="16"/>
      <c r="AA138" s="27"/>
      <c r="AC138" s="27"/>
      <c r="AD138" s="16"/>
      <c r="AE138" s="16"/>
      <c r="AF138" s="27"/>
      <c r="AH138" s="27"/>
      <c r="AI138" s="16"/>
      <c r="AJ138" s="16"/>
      <c r="AK138" s="27"/>
      <c r="AM138" s="27"/>
      <c r="AN138" s="16"/>
      <c r="AO138" s="16"/>
      <c r="AP138" s="27"/>
      <c r="AR138" s="27"/>
      <c r="AS138" s="16"/>
      <c r="AT138" s="16"/>
      <c r="AU138" s="27"/>
      <c r="AW138" s="27"/>
      <c r="AX138" s="16"/>
      <c r="AY138" s="16"/>
      <c r="AZ138" s="27"/>
      <c r="BB138" s="27"/>
      <c r="BC138" s="16"/>
      <c r="BD138" s="16"/>
      <c r="BE138" s="27"/>
      <c r="BG138" s="27"/>
      <c r="BH138" s="16"/>
      <c r="BI138" s="16"/>
      <c r="BJ138" s="27"/>
      <c r="BL138" s="27"/>
      <c r="BM138" s="16"/>
      <c r="BN138" s="16"/>
      <c r="BO138" s="27"/>
      <c r="BQ138" s="27"/>
      <c r="BR138" s="16"/>
      <c r="BS138" s="16"/>
      <c r="BT138" s="27"/>
      <c r="BV138" s="27"/>
      <c r="BW138" s="16"/>
      <c r="BX138" s="16"/>
      <c r="BY138" s="27"/>
      <c r="CA138" s="27"/>
      <c r="CB138" s="16"/>
      <c r="CC138" s="16"/>
      <c r="CD138" s="27"/>
      <c r="CF138" s="27"/>
      <c r="CG138" s="16"/>
      <c r="CH138" s="16"/>
      <c r="CI138" s="27"/>
      <c r="CK138" s="27"/>
      <c r="CL138" s="16"/>
      <c r="CM138" s="16"/>
      <c r="CN138" s="27"/>
      <c r="CP138" s="27"/>
      <c r="CQ138" s="16"/>
      <c r="CR138" s="16"/>
      <c r="CS138" s="27"/>
      <c r="CU138" s="27"/>
      <c r="CV138" s="16"/>
      <c r="CW138" s="16"/>
      <c r="CX138" s="27"/>
      <c r="CZ138" s="27"/>
      <c r="DA138" s="16"/>
      <c r="DB138" s="16"/>
      <c r="DC138" s="27"/>
      <c r="DE138" s="27"/>
      <c r="DF138" s="16"/>
      <c r="DG138" s="16"/>
      <c r="DH138" s="27"/>
      <c r="DJ138" s="27"/>
      <c r="DK138" s="16"/>
      <c r="DL138" s="16"/>
      <c r="DM138" s="27"/>
      <c r="DO138" s="27"/>
      <c r="DP138" s="16"/>
      <c r="DQ138" s="16"/>
      <c r="DR138" s="27"/>
      <c r="DT138" s="27"/>
      <c r="DU138" s="16"/>
      <c r="DV138" s="16"/>
      <c r="DW138" s="27"/>
      <c r="DY138" s="27"/>
      <c r="DZ138" s="16"/>
      <c r="EA138" s="16"/>
      <c r="EB138" s="302"/>
    </row>
    <row r="139" spans="1:132" s="14" customFormat="1" ht="21" x14ac:dyDescent="0.4">
      <c r="A139" s="27"/>
      <c r="B139" s="27"/>
      <c r="C139" s="27"/>
      <c r="E139" s="16"/>
      <c r="F139" s="27"/>
      <c r="G139" s="27"/>
      <c r="I139" s="27"/>
      <c r="J139" s="16"/>
      <c r="K139" s="16"/>
      <c r="L139" s="27"/>
      <c r="N139" s="27"/>
      <c r="O139" s="16"/>
      <c r="P139" s="16"/>
      <c r="Q139" s="27"/>
      <c r="S139" s="27"/>
      <c r="T139" s="16"/>
      <c r="U139" s="16"/>
      <c r="V139" s="27"/>
      <c r="X139" s="27"/>
      <c r="Y139" s="16"/>
      <c r="Z139" s="16"/>
      <c r="AA139" s="27"/>
      <c r="AC139" s="27"/>
      <c r="AD139" s="16"/>
      <c r="AE139" s="16"/>
      <c r="AF139" s="27"/>
      <c r="AH139" s="27"/>
      <c r="AI139" s="16"/>
      <c r="AJ139" s="16"/>
      <c r="AK139" s="27"/>
      <c r="AM139" s="27"/>
      <c r="AN139" s="16"/>
      <c r="AO139" s="16"/>
      <c r="AP139" s="27"/>
      <c r="AR139" s="27"/>
      <c r="AS139" s="16"/>
      <c r="AT139" s="16"/>
      <c r="AU139" s="27"/>
      <c r="AW139" s="27"/>
      <c r="AX139" s="16"/>
      <c r="AY139" s="16"/>
      <c r="AZ139" s="27"/>
      <c r="BB139" s="27"/>
      <c r="BC139" s="16"/>
      <c r="BD139" s="16"/>
      <c r="BE139" s="27"/>
      <c r="BG139" s="27"/>
      <c r="BH139" s="16"/>
      <c r="BI139" s="16"/>
      <c r="BJ139" s="27"/>
      <c r="BL139" s="27"/>
      <c r="BM139" s="16"/>
      <c r="BN139" s="16"/>
      <c r="BO139" s="27"/>
      <c r="BQ139" s="27"/>
      <c r="BR139" s="16"/>
      <c r="BS139" s="16"/>
      <c r="BT139" s="27"/>
      <c r="BV139" s="27"/>
      <c r="BW139" s="16"/>
      <c r="BX139" s="16"/>
      <c r="BY139" s="27"/>
      <c r="CA139" s="27"/>
      <c r="CB139" s="16"/>
      <c r="CC139" s="16"/>
      <c r="CD139" s="27"/>
      <c r="CF139" s="27"/>
      <c r="CG139" s="16"/>
      <c r="CH139" s="16"/>
      <c r="CI139" s="27"/>
      <c r="CK139" s="27"/>
      <c r="CL139" s="16"/>
      <c r="CM139" s="16"/>
      <c r="CN139" s="27"/>
      <c r="CP139" s="27"/>
      <c r="CQ139" s="16"/>
      <c r="CR139" s="16"/>
      <c r="CS139" s="27"/>
      <c r="CU139" s="27"/>
      <c r="CV139" s="16"/>
      <c r="CW139" s="16"/>
      <c r="CX139" s="27"/>
      <c r="CZ139" s="27"/>
      <c r="DA139" s="16"/>
      <c r="DB139" s="16"/>
      <c r="DC139" s="27"/>
      <c r="DE139" s="27"/>
      <c r="DF139" s="16"/>
      <c r="DG139" s="16"/>
      <c r="DH139" s="27"/>
      <c r="DJ139" s="27"/>
      <c r="DK139" s="16"/>
      <c r="DL139" s="16"/>
      <c r="DM139" s="27"/>
      <c r="DO139" s="27"/>
      <c r="DP139" s="16"/>
      <c r="DQ139" s="16"/>
      <c r="DR139" s="27"/>
      <c r="DT139" s="27"/>
      <c r="DU139" s="16"/>
      <c r="DV139" s="16"/>
      <c r="DW139" s="27"/>
      <c r="DY139" s="27"/>
      <c r="DZ139" s="16"/>
      <c r="EA139" s="16"/>
      <c r="EB139" s="302"/>
    </row>
    <row r="140" spans="1:132" s="14" customFormat="1" ht="21" x14ac:dyDescent="0.4">
      <c r="A140" s="27"/>
      <c r="B140" s="27"/>
      <c r="C140" s="27"/>
      <c r="E140" s="16"/>
      <c r="F140" s="27"/>
      <c r="G140" s="27"/>
      <c r="I140" s="27"/>
      <c r="J140" s="16"/>
      <c r="K140" s="16"/>
      <c r="L140" s="27"/>
      <c r="N140" s="27"/>
      <c r="O140" s="16"/>
      <c r="P140" s="16"/>
      <c r="Q140" s="27"/>
      <c r="S140" s="27"/>
      <c r="T140" s="16"/>
      <c r="U140" s="16"/>
      <c r="V140" s="27"/>
      <c r="X140" s="27"/>
      <c r="Y140" s="16"/>
      <c r="Z140" s="16"/>
      <c r="AA140" s="27"/>
      <c r="AC140" s="27"/>
      <c r="AD140" s="16"/>
      <c r="AE140" s="16"/>
      <c r="AF140" s="27"/>
      <c r="AH140" s="27"/>
      <c r="AI140" s="16"/>
      <c r="AJ140" s="16"/>
      <c r="AK140" s="27"/>
      <c r="AM140" s="27"/>
      <c r="AN140" s="16"/>
      <c r="AO140" s="16"/>
      <c r="AP140" s="27"/>
      <c r="AR140" s="27"/>
      <c r="AS140" s="16"/>
      <c r="AT140" s="16"/>
      <c r="AU140" s="27"/>
      <c r="AW140" s="27"/>
      <c r="AX140" s="16"/>
      <c r="AY140" s="16"/>
      <c r="AZ140" s="27"/>
      <c r="BB140" s="27"/>
      <c r="BC140" s="16"/>
      <c r="BD140" s="16"/>
      <c r="BE140" s="27"/>
      <c r="BG140" s="27"/>
      <c r="BH140" s="16"/>
      <c r="BI140" s="16"/>
      <c r="BJ140" s="27"/>
      <c r="BL140" s="27"/>
      <c r="BM140" s="16"/>
      <c r="BN140" s="16"/>
      <c r="BO140" s="27"/>
      <c r="BQ140" s="27"/>
      <c r="BR140" s="16"/>
      <c r="BS140" s="16"/>
      <c r="BT140" s="27"/>
      <c r="BV140" s="27"/>
      <c r="BW140" s="16"/>
      <c r="BX140" s="16"/>
      <c r="BY140" s="27"/>
      <c r="CA140" s="27"/>
      <c r="CB140" s="16"/>
      <c r="CC140" s="16"/>
      <c r="CD140" s="27"/>
      <c r="CF140" s="27"/>
      <c r="CG140" s="16"/>
      <c r="CH140" s="16"/>
      <c r="CI140" s="27"/>
      <c r="CK140" s="27"/>
      <c r="CL140" s="16"/>
      <c r="CM140" s="16"/>
      <c r="CN140" s="27"/>
      <c r="CP140" s="27"/>
      <c r="CQ140" s="16"/>
      <c r="CR140" s="16"/>
      <c r="CS140" s="27"/>
      <c r="CU140" s="27"/>
      <c r="CV140" s="16"/>
      <c r="CW140" s="16"/>
      <c r="CX140" s="27"/>
      <c r="CZ140" s="27"/>
      <c r="DA140" s="16"/>
      <c r="DB140" s="16"/>
      <c r="DC140" s="27"/>
      <c r="DE140" s="27"/>
      <c r="DF140" s="16"/>
      <c r="DG140" s="16"/>
      <c r="DH140" s="27"/>
      <c r="DJ140" s="27"/>
      <c r="DK140" s="16"/>
      <c r="DL140" s="16"/>
      <c r="DM140" s="27"/>
      <c r="DO140" s="27"/>
      <c r="DP140" s="16"/>
      <c r="DQ140" s="16"/>
      <c r="DR140" s="27"/>
      <c r="DT140" s="27"/>
      <c r="DU140" s="16"/>
      <c r="DV140" s="16"/>
      <c r="DW140" s="27"/>
      <c r="DY140" s="27"/>
      <c r="DZ140" s="16"/>
      <c r="EA140" s="16"/>
      <c r="EB140" s="302"/>
    </row>
    <row r="141" spans="1:132" s="14" customFormat="1" ht="21" x14ac:dyDescent="0.4">
      <c r="A141" s="27"/>
      <c r="B141" s="27"/>
      <c r="C141" s="27"/>
      <c r="E141" s="16"/>
      <c r="F141" s="27"/>
      <c r="G141" s="27"/>
      <c r="I141" s="27"/>
      <c r="J141" s="16"/>
      <c r="K141" s="16"/>
      <c r="L141" s="27"/>
      <c r="N141" s="27"/>
      <c r="O141" s="16"/>
      <c r="P141" s="16"/>
      <c r="Q141" s="27"/>
      <c r="S141" s="27"/>
      <c r="T141" s="16"/>
      <c r="U141" s="16"/>
      <c r="V141" s="27"/>
      <c r="X141" s="27"/>
      <c r="Y141" s="16"/>
      <c r="Z141" s="16"/>
      <c r="AA141" s="27"/>
      <c r="AC141" s="27"/>
      <c r="AD141" s="16"/>
      <c r="AE141" s="16"/>
      <c r="AF141" s="27"/>
      <c r="AH141" s="27"/>
      <c r="AI141" s="16"/>
      <c r="AJ141" s="16"/>
      <c r="AK141" s="27"/>
      <c r="AM141" s="27"/>
      <c r="AN141" s="16"/>
      <c r="AO141" s="16"/>
      <c r="AP141" s="27"/>
      <c r="AR141" s="27"/>
      <c r="AS141" s="16"/>
      <c r="AT141" s="16"/>
      <c r="AU141" s="27"/>
      <c r="AW141" s="27"/>
      <c r="AX141" s="16"/>
      <c r="AY141" s="16"/>
      <c r="AZ141" s="27"/>
      <c r="BB141" s="27"/>
      <c r="BC141" s="16"/>
      <c r="BD141" s="16"/>
      <c r="BE141" s="27"/>
      <c r="BG141" s="27"/>
      <c r="BH141" s="16"/>
      <c r="BI141" s="16"/>
      <c r="BJ141" s="27"/>
      <c r="BL141" s="27"/>
      <c r="BM141" s="16"/>
      <c r="BN141" s="16"/>
      <c r="BO141" s="27"/>
      <c r="BQ141" s="27"/>
      <c r="BR141" s="16"/>
      <c r="BS141" s="16"/>
      <c r="BT141" s="27"/>
      <c r="BV141" s="27"/>
      <c r="BW141" s="16"/>
      <c r="BX141" s="16"/>
      <c r="BY141" s="27"/>
      <c r="CA141" s="27"/>
      <c r="CB141" s="16"/>
      <c r="CC141" s="16"/>
      <c r="CD141" s="27"/>
      <c r="CF141" s="27"/>
      <c r="CG141" s="16"/>
      <c r="CH141" s="16"/>
      <c r="CI141" s="27"/>
      <c r="CK141" s="27"/>
      <c r="CL141" s="16"/>
      <c r="CM141" s="16"/>
      <c r="CN141" s="27"/>
      <c r="CP141" s="27"/>
      <c r="CQ141" s="16"/>
      <c r="CR141" s="16"/>
      <c r="CS141" s="27"/>
      <c r="CU141" s="27"/>
      <c r="CV141" s="16"/>
      <c r="CW141" s="16"/>
      <c r="CX141" s="27"/>
      <c r="CZ141" s="27"/>
      <c r="DA141" s="16"/>
      <c r="DB141" s="16"/>
      <c r="DC141" s="27"/>
      <c r="DE141" s="27"/>
      <c r="DF141" s="16"/>
      <c r="DG141" s="16"/>
      <c r="DH141" s="27"/>
      <c r="DJ141" s="27"/>
      <c r="DK141" s="16"/>
      <c r="DL141" s="16"/>
      <c r="DM141" s="27"/>
      <c r="DO141" s="27"/>
      <c r="DP141" s="16"/>
      <c r="DQ141" s="16"/>
      <c r="DR141" s="27"/>
      <c r="DT141" s="27"/>
      <c r="DU141" s="16"/>
      <c r="DV141" s="16"/>
      <c r="DW141" s="27"/>
      <c r="DY141" s="27"/>
      <c r="DZ141" s="16"/>
      <c r="EA141" s="16"/>
      <c r="EB141" s="302"/>
    </row>
    <row r="142" spans="1:132" s="14" customFormat="1" ht="21" x14ac:dyDescent="0.4">
      <c r="A142" s="27"/>
      <c r="B142" s="27"/>
      <c r="C142" s="27"/>
      <c r="E142" s="16"/>
      <c r="F142" s="27"/>
      <c r="G142" s="27"/>
      <c r="I142" s="27"/>
      <c r="J142" s="16"/>
      <c r="K142" s="16"/>
      <c r="L142" s="27"/>
      <c r="N142" s="27"/>
      <c r="O142" s="16"/>
      <c r="P142" s="16"/>
      <c r="Q142" s="27"/>
      <c r="S142" s="27"/>
      <c r="T142" s="16"/>
      <c r="U142" s="16"/>
      <c r="V142" s="27"/>
      <c r="X142" s="27"/>
      <c r="Y142" s="16"/>
      <c r="Z142" s="16"/>
      <c r="AA142" s="27"/>
      <c r="AC142" s="27"/>
      <c r="AD142" s="16"/>
      <c r="AE142" s="16"/>
      <c r="AF142" s="27"/>
      <c r="AH142" s="27"/>
      <c r="AI142" s="16"/>
      <c r="AJ142" s="16"/>
      <c r="AK142" s="27"/>
      <c r="AM142" s="27"/>
      <c r="AN142" s="16"/>
      <c r="AO142" s="16"/>
      <c r="AP142" s="27"/>
      <c r="AR142" s="27"/>
      <c r="AS142" s="16"/>
      <c r="AT142" s="16"/>
      <c r="AU142" s="27"/>
      <c r="AW142" s="27"/>
      <c r="AX142" s="16"/>
      <c r="AY142" s="16"/>
      <c r="AZ142" s="27"/>
      <c r="BB142" s="27"/>
      <c r="BC142" s="16"/>
      <c r="BD142" s="16"/>
      <c r="BE142" s="27"/>
      <c r="BG142" s="27"/>
      <c r="BH142" s="16"/>
      <c r="BI142" s="16"/>
      <c r="BJ142" s="27"/>
      <c r="BL142" s="27"/>
      <c r="BM142" s="16"/>
      <c r="BN142" s="16"/>
      <c r="BO142" s="27"/>
      <c r="BQ142" s="27"/>
      <c r="BR142" s="16"/>
      <c r="BS142" s="16"/>
      <c r="BT142" s="27"/>
      <c r="BV142" s="27"/>
      <c r="BW142" s="16"/>
      <c r="BX142" s="16"/>
      <c r="BY142" s="27"/>
      <c r="CA142" s="27"/>
      <c r="CB142" s="16"/>
      <c r="CC142" s="16"/>
      <c r="CD142" s="27"/>
      <c r="CF142" s="27"/>
      <c r="CG142" s="16"/>
      <c r="CH142" s="16"/>
      <c r="CI142" s="27"/>
      <c r="CK142" s="27"/>
      <c r="CL142" s="16"/>
      <c r="CM142" s="16"/>
      <c r="CN142" s="27"/>
      <c r="CP142" s="27"/>
      <c r="CQ142" s="16"/>
      <c r="CR142" s="16"/>
      <c r="CS142" s="27"/>
      <c r="CU142" s="27"/>
      <c r="CV142" s="16"/>
      <c r="CW142" s="16"/>
      <c r="CX142" s="27"/>
      <c r="CZ142" s="27"/>
      <c r="DA142" s="16"/>
      <c r="DB142" s="16"/>
      <c r="DC142" s="27"/>
      <c r="DE142" s="27"/>
      <c r="DF142" s="16"/>
      <c r="DG142" s="16"/>
      <c r="DH142" s="27"/>
      <c r="DJ142" s="27"/>
      <c r="DK142" s="16"/>
      <c r="DL142" s="16"/>
      <c r="DM142" s="27"/>
      <c r="DO142" s="27"/>
      <c r="DP142" s="16"/>
      <c r="DQ142" s="16"/>
      <c r="DR142" s="27"/>
      <c r="DT142" s="27"/>
      <c r="DU142" s="16"/>
      <c r="DV142" s="16"/>
      <c r="DW142" s="27"/>
      <c r="DY142" s="27"/>
      <c r="DZ142" s="16"/>
      <c r="EA142" s="16"/>
      <c r="EB142" s="302"/>
    </row>
    <row r="143" spans="1:132" s="14" customFormat="1" ht="21" x14ac:dyDescent="0.4">
      <c r="A143" s="27"/>
      <c r="B143" s="27"/>
      <c r="C143" s="27"/>
      <c r="E143" s="16"/>
      <c r="F143" s="27"/>
      <c r="G143" s="27"/>
      <c r="I143" s="27"/>
      <c r="J143" s="16"/>
      <c r="K143" s="16"/>
      <c r="L143" s="27"/>
      <c r="N143" s="27"/>
      <c r="O143" s="16"/>
      <c r="P143" s="16"/>
      <c r="Q143" s="27"/>
      <c r="S143" s="27"/>
      <c r="T143" s="16"/>
      <c r="U143" s="16"/>
      <c r="V143" s="27"/>
      <c r="X143" s="27"/>
      <c r="Y143" s="16"/>
      <c r="Z143" s="16"/>
      <c r="AA143" s="27"/>
      <c r="AC143" s="27"/>
      <c r="AD143" s="16"/>
      <c r="AE143" s="16"/>
      <c r="AF143" s="27"/>
      <c r="AH143" s="27"/>
      <c r="AI143" s="16"/>
      <c r="AJ143" s="16"/>
      <c r="AK143" s="27"/>
      <c r="AM143" s="27"/>
      <c r="AN143" s="16"/>
      <c r="AO143" s="16"/>
      <c r="AP143" s="27"/>
      <c r="AR143" s="27"/>
      <c r="AS143" s="16"/>
      <c r="AT143" s="16"/>
      <c r="AU143" s="27"/>
      <c r="AW143" s="27"/>
      <c r="AX143" s="16"/>
      <c r="AY143" s="16"/>
      <c r="AZ143" s="27"/>
      <c r="BB143" s="27"/>
      <c r="BC143" s="16"/>
      <c r="BD143" s="16"/>
      <c r="BE143" s="27"/>
      <c r="BG143" s="27"/>
      <c r="BH143" s="16"/>
      <c r="BI143" s="16"/>
      <c r="BJ143" s="27"/>
      <c r="BL143" s="27"/>
      <c r="BM143" s="16"/>
      <c r="BN143" s="16"/>
      <c r="BO143" s="27"/>
      <c r="BQ143" s="27"/>
      <c r="BR143" s="16"/>
      <c r="BS143" s="16"/>
      <c r="BT143" s="27"/>
      <c r="BV143" s="27"/>
      <c r="BW143" s="16"/>
      <c r="BX143" s="16"/>
      <c r="BY143" s="27"/>
      <c r="CA143" s="27"/>
      <c r="CB143" s="16"/>
      <c r="CC143" s="16"/>
      <c r="CD143" s="27"/>
      <c r="CF143" s="27"/>
      <c r="CG143" s="16"/>
      <c r="CH143" s="16"/>
      <c r="CI143" s="27"/>
      <c r="CK143" s="27"/>
      <c r="CL143" s="16"/>
      <c r="CM143" s="16"/>
      <c r="CN143" s="27"/>
      <c r="CP143" s="27"/>
      <c r="CQ143" s="16"/>
      <c r="CR143" s="16"/>
      <c r="CS143" s="27"/>
      <c r="CU143" s="27"/>
      <c r="CV143" s="16"/>
      <c r="CW143" s="16"/>
      <c r="CX143" s="27"/>
      <c r="CZ143" s="27"/>
      <c r="DA143" s="16"/>
      <c r="DB143" s="16"/>
      <c r="DC143" s="27"/>
      <c r="DE143" s="27"/>
      <c r="DF143" s="16"/>
      <c r="DG143" s="16"/>
      <c r="DH143" s="27"/>
      <c r="DJ143" s="27"/>
      <c r="DK143" s="16"/>
      <c r="DL143" s="16"/>
      <c r="DM143" s="27"/>
      <c r="DO143" s="27"/>
      <c r="DP143" s="16"/>
      <c r="DQ143" s="16"/>
      <c r="DR143" s="27"/>
      <c r="DT143" s="27"/>
      <c r="DU143" s="16"/>
      <c r="DV143" s="16"/>
      <c r="DW143" s="27"/>
      <c r="DY143" s="27"/>
      <c r="DZ143" s="16"/>
      <c r="EA143" s="16"/>
      <c r="EB143" s="302"/>
    </row>
    <row r="144" spans="1:132" s="14" customFormat="1" ht="21" x14ac:dyDescent="0.4">
      <c r="A144" s="27"/>
      <c r="B144" s="27"/>
      <c r="C144" s="27"/>
      <c r="E144" s="16"/>
      <c r="F144" s="27"/>
      <c r="G144" s="27"/>
      <c r="I144" s="27"/>
      <c r="J144" s="16"/>
      <c r="K144" s="16"/>
      <c r="L144" s="27"/>
      <c r="N144" s="27"/>
      <c r="O144" s="16"/>
      <c r="P144" s="16"/>
      <c r="Q144" s="27"/>
      <c r="S144" s="27"/>
      <c r="T144" s="16"/>
      <c r="U144" s="16"/>
      <c r="V144" s="27"/>
      <c r="X144" s="27"/>
      <c r="Y144" s="16"/>
      <c r="Z144" s="16"/>
      <c r="AA144" s="27"/>
      <c r="AC144" s="27"/>
      <c r="AD144" s="16"/>
      <c r="AE144" s="16"/>
      <c r="AF144" s="27"/>
      <c r="AH144" s="27"/>
      <c r="AI144" s="16"/>
      <c r="AJ144" s="16"/>
      <c r="AK144" s="27"/>
      <c r="AM144" s="27"/>
      <c r="AN144" s="16"/>
      <c r="AO144" s="16"/>
      <c r="AP144" s="27"/>
      <c r="AR144" s="27"/>
      <c r="AS144" s="16"/>
      <c r="AT144" s="16"/>
      <c r="AU144" s="27"/>
      <c r="AW144" s="27"/>
      <c r="AX144" s="16"/>
      <c r="AY144" s="16"/>
      <c r="AZ144" s="27"/>
      <c r="BB144" s="27"/>
      <c r="BC144" s="16"/>
      <c r="BD144" s="16"/>
      <c r="BE144" s="27"/>
      <c r="BG144" s="27"/>
      <c r="BH144" s="16"/>
      <c r="BI144" s="16"/>
      <c r="BJ144" s="27"/>
      <c r="BL144" s="27"/>
      <c r="BM144" s="16"/>
      <c r="BN144" s="16"/>
      <c r="BO144" s="27"/>
      <c r="BQ144" s="27"/>
      <c r="BR144" s="16"/>
      <c r="BS144" s="16"/>
      <c r="BT144" s="27"/>
      <c r="BV144" s="27"/>
      <c r="BW144" s="16"/>
      <c r="BX144" s="16"/>
      <c r="BY144" s="27"/>
      <c r="CA144" s="27"/>
      <c r="CB144" s="16"/>
      <c r="CC144" s="16"/>
      <c r="CD144" s="27"/>
      <c r="CF144" s="27"/>
      <c r="CG144" s="16"/>
      <c r="CH144" s="16"/>
      <c r="CI144" s="27"/>
      <c r="CK144" s="27"/>
      <c r="CL144" s="16"/>
      <c r="CM144" s="16"/>
      <c r="CN144" s="27"/>
      <c r="CP144" s="27"/>
      <c r="CQ144" s="16"/>
      <c r="CR144" s="16"/>
      <c r="CS144" s="27"/>
      <c r="CU144" s="27"/>
      <c r="CV144" s="16"/>
      <c r="CW144" s="16"/>
      <c r="CX144" s="27"/>
      <c r="CZ144" s="27"/>
      <c r="DA144" s="16"/>
      <c r="DB144" s="16"/>
      <c r="DC144" s="27"/>
      <c r="DE144" s="27"/>
      <c r="DF144" s="16"/>
      <c r="DG144" s="16"/>
      <c r="DH144" s="27"/>
      <c r="DJ144" s="27"/>
      <c r="DK144" s="16"/>
      <c r="DL144" s="16"/>
      <c r="DM144" s="27"/>
      <c r="DO144" s="27"/>
      <c r="DP144" s="16"/>
      <c r="DQ144" s="16"/>
      <c r="DR144" s="27"/>
      <c r="DT144" s="27"/>
      <c r="DU144" s="16"/>
      <c r="DV144" s="16"/>
      <c r="DW144" s="27"/>
      <c r="DY144" s="27"/>
      <c r="DZ144" s="16"/>
      <c r="EA144" s="16"/>
      <c r="EB144" s="302"/>
    </row>
    <row r="145" spans="1:132" s="14" customFormat="1" ht="21" x14ac:dyDescent="0.4">
      <c r="A145" s="27"/>
      <c r="B145" s="27"/>
      <c r="C145" s="27"/>
      <c r="E145" s="16"/>
      <c r="F145" s="27"/>
      <c r="G145" s="27"/>
      <c r="I145" s="27"/>
      <c r="J145" s="16"/>
      <c r="K145" s="16"/>
      <c r="L145" s="27"/>
      <c r="N145" s="27"/>
      <c r="O145" s="16"/>
      <c r="P145" s="16"/>
      <c r="Q145" s="27"/>
      <c r="S145" s="27"/>
      <c r="T145" s="16"/>
      <c r="U145" s="16"/>
      <c r="V145" s="27"/>
      <c r="X145" s="27"/>
      <c r="Y145" s="16"/>
      <c r="Z145" s="16"/>
      <c r="AA145" s="27"/>
      <c r="AC145" s="27"/>
      <c r="AD145" s="16"/>
      <c r="AE145" s="16"/>
      <c r="AF145" s="27"/>
      <c r="AH145" s="27"/>
      <c r="AI145" s="16"/>
      <c r="AJ145" s="16"/>
      <c r="AK145" s="27"/>
      <c r="AM145" s="27"/>
      <c r="AN145" s="16"/>
      <c r="AO145" s="16"/>
      <c r="AP145" s="27"/>
      <c r="AR145" s="27"/>
      <c r="AS145" s="16"/>
      <c r="AT145" s="16"/>
      <c r="AU145" s="27"/>
      <c r="AW145" s="27"/>
      <c r="AX145" s="16"/>
      <c r="AY145" s="16"/>
      <c r="AZ145" s="27"/>
      <c r="BB145" s="27"/>
      <c r="BC145" s="16"/>
      <c r="BD145" s="16"/>
      <c r="BE145" s="27"/>
      <c r="BG145" s="27"/>
      <c r="BH145" s="16"/>
      <c r="BI145" s="16"/>
      <c r="BJ145" s="27"/>
      <c r="BL145" s="27"/>
      <c r="BM145" s="16"/>
      <c r="BN145" s="16"/>
      <c r="BO145" s="27"/>
      <c r="BQ145" s="27"/>
      <c r="BR145" s="16"/>
      <c r="BS145" s="16"/>
      <c r="BT145" s="27"/>
      <c r="BV145" s="27"/>
      <c r="BW145" s="16"/>
      <c r="BX145" s="16"/>
      <c r="BY145" s="27"/>
      <c r="CA145" s="27"/>
      <c r="CB145" s="16"/>
      <c r="CC145" s="16"/>
      <c r="CD145" s="27"/>
      <c r="CF145" s="27"/>
      <c r="CG145" s="16"/>
      <c r="CH145" s="16"/>
      <c r="CI145" s="27"/>
      <c r="CK145" s="27"/>
      <c r="CL145" s="16"/>
      <c r="CM145" s="16"/>
      <c r="CN145" s="27"/>
      <c r="CP145" s="27"/>
      <c r="CQ145" s="16"/>
      <c r="CR145" s="16"/>
      <c r="CS145" s="27"/>
      <c r="CU145" s="27"/>
      <c r="CV145" s="16"/>
      <c r="CW145" s="16"/>
      <c r="CX145" s="27"/>
      <c r="CZ145" s="27"/>
      <c r="DA145" s="16"/>
      <c r="DB145" s="16"/>
      <c r="DC145" s="27"/>
      <c r="DE145" s="27"/>
      <c r="DF145" s="16"/>
      <c r="DG145" s="16"/>
      <c r="DH145" s="27"/>
      <c r="DJ145" s="27"/>
      <c r="DK145" s="16"/>
      <c r="DL145" s="16"/>
      <c r="DM145" s="27"/>
      <c r="DO145" s="27"/>
      <c r="DP145" s="16"/>
      <c r="DQ145" s="16"/>
      <c r="DR145" s="27"/>
      <c r="DT145" s="27"/>
      <c r="DU145" s="16"/>
      <c r="DV145" s="16"/>
      <c r="DW145" s="27"/>
      <c r="DY145" s="27"/>
      <c r="DZ145" s="16"/>
      <c r="EA145" s="16"/>
      <c r="EB145" s="302"/>
    </row>
    <row r="146" spans="1:132" s="14" customFormat="1" ht="21" x14ac:dyDescent="0.4">
      <c r="A146" s="27"/>
      <c r="B146" s="27"/>
      <c r="C146" s="27"/>
      <c r="E146" s="16"/>
      <c r="F146" s="27"/>
      <c r="G146" s="27"/>
      <c r="I146" s="27"/>
      <c r="J146" s="16"/>
      <c r="K146" s="16"/>
      <c r="L146" s="27"/>
      <c r="N146" s="27"/>
      <c r="O146" s="16"/>
      <c r="P146" s="16"/>
      <c r="Q146" s="27"/>
      <c r="S146" s="27"/>
      <c r="T146" s="16"/>
      <c r="U146" s="16"/>
      <c r="V146" s="27"/>
      <c r="X146" s="27"/>
      <c r="Y146" s="16"/>
      <c r="Z146" s="16"/>
      <c r="AA146" s="27"/>
      <c r="AC146" s="27"/>
      <c r="AD146" s="16"/>
      <c r="AE146" s="16"/>
      <c r="AF146" s="27"/>
      <c r="AH146" s="27"/>
      <c r="AI146" s="16"/>
      <c r="AJ146" s="16"/>
      <c r="AK146" s="27"/>
      <c r="AM146" s="27"/>
      <c r="AN146" s="16"/>
      <c r="AO146" s="16"/>
      <c r="AP146" s="27"/>
      <c r="AR146" s="27"/>
      <c r="AS146" s="16"/>
      <c r="AT146" s="16"/>
      <c r="AU146" s="27"/>
      <c r="AW146" s="27"/>
      <c r="AX146" s="16"/>
      <c r="AY146" s="16"/>
      <c r="AZ146" s="27"/>
      <c r="BB146" s="27"/>
      <c r="BC146" s="16"/>
      <c r="BD146" s="16"/>
      <c r="BE146" s="27"/>
      <c r="BG146" s="27"/>
      <c r="BH146" s="16"/>
      <c r="BI146" s="16"/>
      <c r="BJ146" s="27"/>
      <c r="BL146" s="27"/>
      <c r="BM146" s="16"/>
      <c r="BN146" s="16"/>
      <c r="BO146" s="27"/>
      <c r="BQ146" s="27"/>
      <c r="BR146" s="16"/>
      <c r="BS146" s="16"/>
      <c r="BT146" s="27"/>
      <c r="BV146" s="27"/>
      <c r="BW146" s="16"/>
      <c r="BX146" s="16"/>
      <c r="BY146" s="27"/>
      <c r="CA146" s="27"/>
      <c r="CB146" s="16"/>
      <c r="CC146" s="16"/>
      <c r="CD146" s="27"/>
      <c r="CF146" s="27"/>
      <c r="CG146" s="16"/>
      <c r="CH146" s="16"/>
      <c r="CI146" s="27"/>
      <c r="CK146" s="27"/>
      <c r="CL146" s="16"/>
      <c r="CM146" s="16"/>
      <c r="CN146" s="27"/>
      <c r="CP146" s="27"/>
      <c r="CQ146" s="16"/>
      <c r="CR146" s="16"/>
      <c r="CS146" s="27"/>
      <c r="CU146" s="27"/>
      <c r="CV146" s="16"/>
      <c r="CW146" s="16"/>
      <c r="CX146" s="27"/>
      <c r="CZ146" s="27"/>
      <c r="DA146" s="16"/>
      <c r="DB146" s="16"/>
      <c r="DC146" s="27"/>
      <c r="DE146" s="27"/>
      <c r="DF146" s="16"/>
      <c r="DG146" s="16"/>
      <c r="DH146" s="27"/>
      <c r="DJ146" s="27"/>
      <c r="DK146" s="16"/>
      <c r="DL146" s="16"/>
      <c r="DM146" s="27"/>
      <c r="DO146" s="27"/>
      <c r="DP146" s="16"/>
      <c r="DQ146" s="16"/>
      <c r="DR146" s="27"/>
      <c r="DT146" s="27"/>
      <c r="DU146" s="16"/>
      <c r="DV146" s="16"/>
      <c r="DW146" s="27"/>
      <c r="DY146" s="27"/>
      <c r="DZ146" s="16"/>
      <c r="EA146" s="16"/>
      <c r="EB146" s="302"/>
    </row>
    <row r="147" spans="1:132" s="14" customFormat="1" ht="21" x14ac:dyDescent="0.4">
      <c r="A147" s="27"/>
      <c r="B147" s="27"/>
      <c r="C147" s="27"/>
      <c r="E147" s="16"/>
      <c r="F147" s="27"/>
      <c r="G147" s="27"/>
      <c r="I147" s="27"/>
      <c r="J147" s="16"/>
      <c r="K147" s="16"/>
      <c r="L147" s="27"/>
      <c r="N147" s="27"/>
      <c r="O147" s="16"/>
      <c r="P147" s="16"/>
      <c r="Q147" s="27"/>
      <c r="S147" s="27"/>
      <c r="T147" s="16"/>
      <c r="U147" s="16"/>
      <c r="V147" s="27"/>
      <c r="X147" s="27"/>
      <c r="Y147" s="16"/>
      <c r="Z147" s="16"/>
      <c r="AA147" s="27"/>
      <c r="AC147" s="27"/>
      <c r="AD147" s="16"/>
      <c r="AE147" s="16"/>
      <c r="AF147" s="27"/>
      <c r="AH147" s="27"/>
      <c r="AI147" s="16"/>
      <c r="AJ147" s="16"/>
      <c r="AK147" s="27"/>
      <c r="AM147" s="27"/>
      <c r="AN147" s="16"/>
      <c r="AO147" s="16"/>
      <c r="AP147" s="27"/>
      <c r="AR147" s="27"/>
      <c r="AS147" s="16"/>
      <c r="AT147" s="16"/>
      <c r="AU147" s="27"/>
      <c r="AW147" s="27"/>
      <c r="AX147" s="16"/>
      <c r="AY147" s="16"/>
      <c r="AZ147" s="27"/>
      <c r="BB147" s="27"/>
      <c r="BC147" s="16"/>
      <c r="BD147" s="16"/>
      <c r="BE147" s="27"/>
      <c r="BG147" s="27"/>
      <c r="BH147" s="16"/>
      <c r="BI147" s="16"/>
      <c r="BJ147" s="27"/>
      <c r="BL147" s="27"/>
      <c r="BM147" s="16"/>
      <c r="BN147" s="16"/>
      <c r="BO147" s="27"/>
      <c r="BQ147" s="27"/>
      <c r="BR147" s="16"/>
      <c r="BS147" s="16"/>
      <c r="BT147" s="27"/>
      <c r="BV147" s="27"/>
      <c r="BW147" s="16"/>
      <c r="BX147" s="16"/>
      <c r="BY147" s="27"/>
      <c r="CA147" s="27"/>
      <c r="CB147" s="16"/>
      <c r="CC147" s="16"/>
      <c r="CD147" s="27"/>
      <c r="CF147" s="27"/>
      <c r="CG147" s="16"/>
      <c r="CH147" s="16"/>
      <c r="CI147" s="27"/>
      <c r="CK147" s="27"/>
      <c r="CL147" s="16"/>
      <c r="CM147" s="16"/>
      <c r="CN147" s="27"/>
      <c r="CP147" s="27"/>
      <c r="CQ147" s="16"/>
      <c r="CR147" s="16"/>
      <c r="CS147" s="27"/>
      <c r="CU147" s="27"/>
      <c r="CV147" s="16"/>
      <c r="CW147" s="16"/>
      <c r="CX147" s="27"/>
      <c r="CZ147" s="27"/>
      <c r="DA147" s="16"/>
      <c r="DB147" s="16"/>
      <c r="DC147" s="27"/>
      <c r="DE147" s="27"/>
      <c r="DF147" s="16"/>
      <c r="DG147" s="16"/>
      <c r="DH147" s="27"/>
      <c r="DJ147" s="27"/>
      <c r="DK147" s="16"/>
      <c r="DL147" s="16"/>
      <c r="DM147" s="27"/>
      <c r="DO147" s="27"/>
      <c r="DP147" s="16"/>
      <c r="DQ147" s="16"/>
      <c r="DR147" s="27"/>
      <c r="DT147" s="27"/>
      <c r="DU147" s="16"/>
      <c r="DV147" s="16"/>
      <c r="DW147" s="27"/>
      <c r="DY147" s="27"/>
      <c r="DZ147" s="16"/>
      <c r="EA147" s="16"/>
      <c r="EB147" s="302"/>
    </row>
    <row r="148" spans="1:132" s="14" customFormat="1" ht="21" x14ac:dyDescent="0.4">
      <c r="A148" s="27"/>
      <c r="B148" s="27"/>
      <c r="C148" s="27"/>
      <c r="E148" s="16"/>
      <c r="F148" s="27"/>
      <c r="G148" s="27"/>
      <c r="I148" s="27"/>
      <c r="J148" s="16"/>
      <c r="K148" s="16"/>
      <c r="L148" s="27"/>
      <c r="N148" s="27"/>
      <c r="O148" s="16"/>
      <c r="P148" s="16"/>
      <c r="Q148" s="27"/>
      <c r="S148" s="27"/>
      <c r="T148" s="16"/>
      <c r="U148" s="16"/>
      <c r="V148" s="27"/>
      <c r="X148" s="27"/>
      <c r="Y148" s="16"/>
      <c r="Z148" s="16"/>
      <c r="AA148" s="27"/>
      <c r="AC148" s="27"/>
      <c r="AD148" s="16"/>
      <c r="AE148" s="16"/>
      <c r="AF148" s="27"/>
      <c r="AH148" s="27"/>
      <c r="AI148" s="16"/>
      <c r="AJ148" s="16"/>
      <c r="AK148" s="27"/>
      <c r="AM148" s="27"/>
      <c r="AN148" s="16"/>
      <c r="AO148" s="16"/>
      <c r="AP148" s="27"/>
      <c r="AR148" s="27"/>
      <c r="AS148" s="16"/>
      <c r="AT148" s="16"/>
      <c r="AU148" s="27"/>
      <c r="AW148" s="27"/>
      <c r="AX148" s="16"/>
      <c r="AY148" s="16"/>
      <c r="AZ148" s="27"/>
      <c r="BB148" s="27"/>
      <c r="BC148" s="16"/>
      <c r="BD148" s="16"/>
      <c r="BE148" s="27"/>
      <c r="BG148" s="27"/>
      <c r="BH148" s="16"/>
      <c r="BI148" s="16"/>
      <c r="BJ148" s="27"/>
      <c r="BL148" s="27"/>
      <c r="BM148" s="16"/>
      <c r="BN148" s="16"/>
      <c r="BO148" s="27"/>
      <c r="BQ148" s="27"/>
      <c r="BR148" s="16"/>
      <c r="BS148" s="16"/>
      <c r="BT148" s="27"/>
      <c r="BV148" s="27"/>
      <c r="BW148" s="16"/>
      <c r="BX148" s="16"/>
      <c r="BY148" s="27"/>
      <c r="CA148" s="27"/>
      <c r="CB148" s="16"/>
      <c r="CC148" s="16"/>
      <c r="CD148" s="27"/>
      <c r="CF148" s="27"/>
      <c r="CG148" s="16"/>
      <c r="CH148" s="16"/>
      <c r="CI148" s="27"/>
      <c r="CK148" s="27"/>
      <c r="CL148" s="16"/>
      <c r="CM148" s="16"/>
      <c r="CN148" s="27"/>
      <c r="CP148" s="27"/>
      <c r="CQ148" s="16"/>
      <c r="CR148" s="16"/>
      <c r="CS148" s="27"/>
      <c r="CU148" s="27"/>
      <c r="CV148" s="16"/>
      <c r="CW148" s="16"/>
      <c r="CX148" s="27"/>
      <c r="CZ148" s="27"/>
      <c r="DA148" s="16"/>
      <c r="DB148" s="16"/>
      <c r="DC148" s="27"/>
      <c r="DE148" s="27"/>
      <c r="DF148" s="16"/>
      <c r="DG148" s="16"/>
      <c r="DH148" s="27"/>
      <c r="DJ148" s="27"/>
      <c r="DK148" s="16"/>
      <c r="DL148" s="16"/>
      <c r="DM148" s="27"/>
      <c r="DO148" s="27"/>
      <c r="DP148" s="16"/>
      <c r="DQ148" s="16"/>
      <c r="DR148" s="27"/>
      <c r="DT148" s="27"/>
      <c r="DU148" s="16"/>
      <c r="DV148" s="16"/>
      <c r="DW148" s="27"/>
      <c r="DY148" s="27"/>
      <c r="DZ148" s="16"/>
      <c r="EA148" s="16"/>
      <c r="EB148" s="302"/>
    </row>
    <row r="149" spans="1:132" s="14" customFormat="1" ht="21" x14ac:dyDescent="0.4">
      <c r="A149" s="27"/>
      <c r="B149" s="27"/>
      <c r="C149" s="27"/>
      <c r="E149" s="16"/>
      <c r="F149" s="27"/>
      <c r="G149" s="27"/>
      <c r="I149" s="27"/>
      <c r="J149" s="16"/>
      <c r="K149" s="16"/>
      <c r="L149" s="27"/>
      <c r="N149" s="27"/>
      <c r="O149" s="16"/>
      <c r="P149" s="16"/>
      <c r="Q149" s="27"/>
      <c r="S149" s="27"/>
      <c r="T149" s="16"/>
      <c r="U149" s="16"/>
      <c r="V149" s="27"/>
      <c r="X149" s="27"/>
      <c r="Y149" s="16"/>
      <c r="Z149" s="16"/>
      <c r="AA149" s="27"/>
      <c r="AC149" s="27"/>
      <c r="AD149" s="16"/>
      <c r="AE149" s="16"/>
      <c r="AF149" s="27"/>
      <c r="AH149" s="27"/>
      <c r="AI149" s="16"/>
      <c r="AJ149" s="16"/>
      <c r="AK149" s="27"/>
      <c r="AM149" s="27"/>
      <c r="AN149" s="16"/>
      <c r="AO149" s="16"/>
      <c r="AP149" s="27"/>
      <c r="AR149" s="27"/>
      <c r="AS149" s="16"/>
      <c r="AT149" s="16"/>
      <c r="AU149" s="27"/>
      <c r="AW149" s="27"/>
      <c r="AX149" s="16"/>
      <c r="AY149" s="16"/>
      <c r="AZ149" s="27"/>
      <c r="BB149" s="27"/>
      <c r="BC149" s="16"/>
      <c r="BD149" s="16"/>
      <c r="BE149" s="27"/>
      <c r="BG149" s="27"/>
      <c r="BH149" s="16"/>
      <c r="BI149" s="16"/>
      <c r="BJ149" s="27"/>
      <c r="BL149" s="27"/>
      <c r="BM149" s="16"/>
      <c r="BN149" s="16"/>
      <c r="BO149" s="27"/>
      <c r="BQ149" s="27"/>
      <c r="BR149" s="16"/>
      <c r="BS149" s="16"/>
      <c r="BT149" s="27"/>
      <c r="BV149" s="27"/>
      <c r="BW149" s="16"/>
      <c r="BX149" s="16"/>
      <c r="BY149" s="27"/>
      <c r="CA149" s="27"/>
      <c r="CB149" s="16"/>
      <c r="CC149" s="16"/>
      <c r="CD149" s="27"/>
      <c r="CF149" s="27"/>
      <c r="CG149" s="16"/>
      <c r="CH149" s="16"/>
      <c r="CI149" s="27"/>
      <c r="CK149" s="27"/>
      <c r="CL149" s="16"/>
      <c r="CM149" s="16"/>
      <c r="CN149" s="27"/>
      <c r="CP149" s="27"/>
      <c r="CQ149" s="16"/>
      <c r="CR149" s="16"/>
      <c r="CS149" s="27"/>
      <c r="CU149" s="27"/>
      <c r="CV149" s="16"/>
      <c r="CW149" s="16"/>
      <c r="CX149" s="27"/>
      <c r="CZ149" s="27"/>
      <c r="DA149" s="16"/>
      <c r="DB149" s="16"/>
      <c r="DC149" s="27"/>
      <c r="DE149" s="27"/>
      <c r="DF149" s="16"/>
      <c r="DG149" s="16"/>
      <c r="DH149" s="27"/>
      <c r="DJ149" s="27"/>
      <c r="DK149" s="16"/>
      <c r="DL149" s="16"/>
      <c r="DM149" s="27"/>
      <c r="DO149" s="27"/>
      <c r="DP149" s="16"/>
      <c r="DQ149" s="16"/>
      <c r="DR149" s="27"/>
      <c r="DT149" s="27"/>
      <c r="DU149" s="16"/>
      <c r="DV149" s="16"/>
      <c r="DW149" s="27"/>
      <c r="DY149" s="27"/>
      <c r="DZ149" s="16"/>
      <c r="EA149" s="16"/>
      <c r="EB149" s="302"/>
    </row>
    <row r="150" spans="1:132" s="14" customFormat="1" ht="21" x14ac:dyDescent="0.4">
      <c r="A150" s="27"/>
      <c r="B150" s="27"/>
      <c r="C150" s="27"/>
      <c r="E150" s="16"/>
      <c r="F150" s="27"/>
      <c r="G150" s="27"/>
      <c r="I150" s="27"/>
      <c r="J150" s="16"/>
      <c r="K150" s="16"/>
      <c r="L150" s="27"/>
      <c r="N150" s="27"/>
      <c r="O150" s="16"/>
      <c r="P150" s="16"/>
      <c r="Q150" s="27"/>
      <c r="S150" s="27"/>
      <c r="T150" s="16"/>
      <c r="U150" s="16"/>
      <c r="V150" s="27"/>
      <c r="X150" s="27"/>
      <c r="Y150" s="16"/>
      <c r="Z150" s="16"/>
      <c r="AA150" s="27"/>
      <c r="AC150" s="27"/>
      <c r="AD150" s="16"/>
      <c r="AE150" s="16"/>
      <c r="AF150" s="27"/>
      <c r="AH150" s="27"/>
      <c r="AI150" s="16"/>
      <c r="AJ150" s="16"/>
      <c r="AK150" s="27"/>
      <c r="AM150" s="27"/>
      <c r="AN150" s="16"/>
      <c r="AO150" s="16"/>
      <c r="AP150" s="27"/>
      <c r="AR150" s="27"/>
      <c r="AS150" s="16"/>
      <c r="AT150" s="16"/>
      <c r="AU150" s="27"/>
      <c r="AW150" s="27"/>
      <c r="AX150" s="16"/>
      <c r="AY150" s="16"/>
      <c r="AZ150" s="27"/>
      <c r="BB150" s="27"/>
      <c r="BC150" s="16"/>
      <c r="BD150" s="16"/>
      <c r="BE150" s="27"/>
      <c r="BG150" s="27"/>
      <c r="BH150" s="16"/>
      <c r="BI150" s="16"/>
      <c r="BJ150" s="27"/>
      <c r="BL150" s="27"/>
      <c r="BM150" s="16"/>
      <c r="BN150" s="16"/>
      <c r="BO150" s="27"/>
      <c r="BQ150" s="27"/>
      <c r="BR150" s="16"/>
      <c r="BS150" s="16"/>
      <c r="BT150" s="27"/>
      <c r="BV150" s="27"/>
      <c r="BW150" s="16"/>
      <c r="BX150" s="16"/>
      <c r="BY150" s="27"/>
      <c r="CA150" s="27"/>
      <c r="CB150" s="16"/>
      <c r="CC150" s="16"/>
      <c r="CD150" s="27"/>
      <c r="CF150" s="27"/>
      <c r="CG150" s="16"/>
      <c r="CH150" s="16"/>
      <c r="CI150" s="27"/>
      <c r="CK150" s="27"/>
      <c r="CL150" s="16"/>
      <c r="CM150" s="16"/>
      <c r="CN150" s="27"/>
      <c r="CP150" s="27"/>
      <c r="CQ150" s="16"/>
      <c r="CR150" s="16"/>
      <c r="CS150" s="27"/>
      <c r="CU150" s="27"/>
      <c r="CV150" s="16"/>
      <c r="CW150" s="16"/>
      <c r="CX150" s="27"/>
      <c r="CZ150" s="27"/>
      <c r="DA150" s="16"/>
      <c r="DB150" s="16"/>
      <c r="DC150" s="27"/>
      <c r="DE150" s="27"/>
      <c r="DF150" s="16"/>
      <c r="DG150" s="16"/>
      <c r="DH150" s="27"/>
      <c r="DJ150" s="27"/>
      <c r="DK150" s="16"/>
      <c r="DL150" s="16"/>
      <c r="DM150" s="27"/>
      <c r="DO150" s="27"/>
      <c r="DP150" s="16"/>
      <c r="DQ150" s="16"/>
      <c r="DR150" s="27"/>
      <c r="DT150" s="27"/>
      <c r="DU150" s="16"/>
      <c r="DV150" s="16"/>
      <c r="DW150" s="27"/>
      <c r="DY150" s="27"/>
      <c r="DZ150" s="16"/>
      <c r="EA150" s="16"/>
      <c r="EB150" s="302"/>
    </row>
    <row r="151" spans="1:132" s="14" customFormat="1" ht="21" x14ac:dyDescent="0.4">
      <c r="A151" s="27"/>
      <c r="B151" s="27"/>
      <c r="C151" s="27"/>
      <c r="E151" s="16"/>
      <c r="F151" s="27"/>
      <c r="G151" s="27"/>
      <c r="I151" s="27"/>
      <c r="J151" s="16"/>
      <c r="K151" s="16"/>
      <c r="L151" s="27"/>
      <c r="N151" s="27"/>
      <c r="O151" s="16"/>
      <c r="P151" s="16"/>
      <c r="Q151" s="27"/>
      <c r="S151" s="27"/>
      <c r="T151" s="16"/>
      <c r="U151" s="16"/>
      <c r="V151" s="27"/>
      <c r="X151" s="27"/>
      <c r="Y151" s="16"/>
      <c r="Z151" s="16"/>
      <c r="AA151" s="27"/>
      <c r="AC151" s="27"/>
      <c r="AD151" s="16"/>
      <c r="AE151" s="16"/>
      <c r="AF151" s="27"/>
      <c r="AH151" s="27"/>
      <c r="AI151" s="16"/>
      <c r="AJ151" s="16"/>
      <c r="AK151" s="27"/>
      <c r="AM151" s="27"/>
      <c r="AN151" s="16"/>
      <c r="AO151" s="16"/>
      <c r="AP151" s="27"/>
      <c r="AR151" s="27"/>
      <c r="AS151" s="16"/>
      <c r="AT151" s="16"/>
      <c r="AU151" s="27"/>
      <c r="AW151" s="27"/>
      <c r="AX151" s="16"/>
      <c r="AY151" s="16"/>
      <c r="AZ151" s="27"/>
      <c r="BB151" s="27"/>
      <c r="BC151" s="16"/>
      <c r="BD151" s="16"/>
      <c r="BE151" s="27"/>
      <c r="BG151" s="27"/>
      <c r="BH151" s="16"/>
      <c r="BI151" s="16"/>
      <c r="BJ151" s="27"/>
      <c r="BL151" s="27"/>
      <c r="BM151" s="16"/>
      <c r="BN151" s="16"/>
      <c r="BO151" s="27"/>
      <c r="BQ151" s="27"/>
      <c r="BR151" s="16"/>
      <c r="BS151" s="16"/>
      <c r="BT151" s="27"/>
      <c r="BV151" s="27"/>
      <c r="BW151" s="16"/>
      <c r="BX151" s="16"/>
      <c r="BY151" s="27"/>
      <c r="CA151" s="27"/>
      <c r="CB151" s="16"/>
      <c r="CC151" s="16"/>
      <c r="CD151" s="27"/>
      <c r="CF151" s="27"/>
      <c r="CG151" s="16"/>
      <c r="CH151" s="16"/>
      <c r="CI151" s="27"/>
      <c r="CK151" s="27"/>
      <c r="CL151" s="16"/>
      <c r="CM151" s="16"/>
      <c r="CN151" s="27"/>
      <c r="CP151" s="27"/>
      <c r="CQ151" s="16"/>
      <c r="CR151" s="16"/>
      <c r="CS151" s="27"/>
      <c r="CU151" s="27"/>
      <c r="CV151" s="16"/>
      <c r="CW151" s="16"/>
      <c r="CX151" s="27"/>
      <c r="CZ151" s="27"/>
      <c r="DA151" s="16"/>
      <c r="DB151" s="16"/>
      <c r="DC151" s="27"/>
      <c r="DE151" s="27"/>
      <c r="DF151" s="16"/>
      <c r="DG151" s="16"/>
      <c r="DH151" s="27"/>
      <c r="DJ151" s="27"/>
      <c r="DK151" s="16"/>
      <c r="DL151" s="16"/>
      <c r="DM151" s="27"/>
      <c r="DO151" s="27"/>
      <c r="DP151" s="16"/>
      <c r="DQ151" s="16"/>
      <c r="DR151" s="27"/>
      <c r="DT151" s="27"/>
      <c r="DU151" s="16"/>
      <c r="DV151" s="16"/>
      <c r="DW151" s="27"/>
      <c r="DY151" s="27"/>
      <c r="DZ151" s="16"/>
      <c r="EA151" s="16"/>
      <c r="EB151" s="302"/>
    </row>
    <row r="152" spans="1:132" s="14" customFormat="1" ht="21" x14ac:dyDescent="0.4">
      <c r="A152" s="27"/>
      <c r="B152" s="27"/>
      <c r="C152" s="27"/>
      <c r="E152" s="16"/>
      <c r="F152" s="27"/>
      <c r="G152" s="27"/>
      <c r="I152" s="27"/>
      <c r="J152" s="16"/>
      <c r="K152" s="16"/>
      <c r="L152" s="27"/>
      <c r="N152" s="27"/>
      <c r="O152" s="16"/>
      <c r="P152" s="16"/>
      <c r="Q152" s="27"/>
      <c r="S152" s="27"/>
      <c r="T152" s="16"/>
      <c r="U152" s="16"/>
      <c r="V152" s="27"/>
      <c r="X152" s="27"/>
      <c r="Y152" s="16"/>
      <c r="Z152" s="16"/>
      <c r="AA152" s="27"/>
      <c r="AC152" s="27"/>
      <c r="AD152" s="16"/>
      <c r="AE152" s="16"/>
      <c r="AF152" s="27"/>
      <c r="AH152" s="27"/>
      <c r="AI152" s="16"/>
      <c r="AJ152" s="16"/>
      <c r="AK152" s="27"/>
      <c r="AM152" s="27"/>
      <c r="AN152" s="16"/>
      <c r="AO152" s="16"/>
      <c r="AP152" s="27"/>
      <c r="AR152" s="27"/>
      <c r="AS152" s="16"/>
      <c r="AT152" s="16"/>
      <c r="AU152" s="27"/>
      <c r="AW152" s="27"/>
      <c r="AX152" s="16"/>
      <c r="AY152" s="16"/>
      <c r="AZ152" s="27"/>
      <c r="BB152" s="27"/>
      <c r="BC152" s="16"/>
      <c r="BD152" s="16"/>
      <c r="BE152" s="27"/>
      <c r="BG152" s="27"/>
      <c r="BH152" s="16"/>
      <c r="BI152" s="16"/>
      <c r="BJ152" s="27"/>
      <c r="BL152" s="27"/>
      <c r="BM152" s="16"/>
      <c r="BN152" s="16"/>
      <c r="BO152" s="27"/>
      <c r="BQ152" s="27"/>
      <c r="BR152" s="16"/>
      <c r="BS152" s="16"/>
      <c r="BT152" s="27"/>
      <c r="BV152" s="27"/>
      <c r="BW152" s="16"/>
      <c r="BX152" s="16"/>
      <c r="BY152" s="27"/>
      <c r="CA152" s="27"/>
      <c r="CB152" s="16"/>
      <c r="CC152" s="16"/>
      <c r="CD152" s="27"/>
      <c r="CF152" s="27"/>
      <c r="CG152" s="16"/>
      <c r="CH152" s="16"/>
      <c r="CI152" s="27"/>
      <c r="CK152" s="27"/>
      <c r="CL152" s="16"/>
      <c r="CM152" s="16"/>
      <c r="CN152" s="27"/>
      <c r="CP152" s="27"/>
      <c r="CQ152" s="16"/>
      <c r="CR152" s="16"/>
      <c r="CS152" s="27"/>
      <c r="CU152" s="27"/>
      <c r="CV152" s="16"/>
      <c r="CW152" s="16"/>
      <c r="CX152" s="27"/>
      <c r="CZ152" s="27"/>
      <c r="DA152" s="16"/>
      <c r="DB152" s="16"/>
      <c r="DC152" s="27"/>
      <c r="DE152" s="27"/>
      <c r="DF152" s="16"/>
      <c r="DG152" s="16"/>
      <c r="DH152" s="27"/>
      <c r="DJ152" s="27"/>
      <c r="DK152" s="16"/>
      <c r="DL152" s="16"/>
      <c r="DM152" s="27"/>
      <c r="DO152" s="27"/>
      <c r="DP152" s="16"/>
      <c r="DQ152" s="16"/>
      <c r="DR152" s="27"/>
      <c r="DT152" s="27"/>
      <c r="DU152" s="16"/>
      <c r="DV152" s="16"/>
      <c r="DW152" s="27"/>
      <c r="DY152" s="27"/>
      <c r="DZ152" s="16"/>
      <c r="EA152" s="16"/>
      <c r="EB152" s="302"/>
    </row>
    <row r="153" spans="1:132" s="14" customFormat="1" ht="21" x14ac:dyDescent="0.4">
      <c r="A153" s="27"/>
      <c r="B153" s="27"/>
      <c r="C153" s="27"/>
      <c r="E153" s="16"/>
      <c r="F153" s="27"/>
      <c r="G153" s="27"/>
      <c r="I153" s="27"/>
      <c r="J153" s="16"/>
      <c r="K153" s="16"/>
      <c r="L153" s="27"/>
      <c r="N153" s="27"/>
      <c r="O153" s="16"/>
      <c r="P153" s="16"/>
      <c r="Q153" s="27"/>
      <c r="S153" s="27"/>
      <c r="T153" s="16"/>
      <c r="U153" s="16"/>
      <c r="V153" s="27"/>
      <c r="X153" s="27"/>
      <c r="Y153" s="16"/>
      <c r="Z153" s="16"/>
      <c r="AA153" s="27"/>
      <c r="AC153" s="27"/>
      <c r="AD153" s="16"/>
      <c r="AE153" s="16"/>
      <c r="AF153" s="27"/>
      <c r="AH153" s="27"/>
      <c r="AI153" s="16"/>
      <c r="AJ153" s="16"/>
      <c r="AK153" s="27"/>
      <c r="AM153" s="27"/>
      <c r="AN153" s="16"/>
      <c r="AO153" s="16"/>
      <c r="AP153" s="27"/>
      <c r="AR153" s="27"/>
      <c r="AS153" s="16"/>
      <c r="AT153" s="16"/>
      <c r="AU153" s="27"/>
      <c r="AW153" s="27"/>
      <c r="AX153" s="16"/>
      <c r="AY153" s="16"/>
      <c r="AZ153" s="27"/>
      <c r="BB153" s="27"/>
      <c r="BC153" s="16"/>
      <c r="BD153" s="16"/>
      <c r="BE153" s="27"/>
      <c r="BG153" s="27"/>
      <c r="BH153" s="16"/>
      <c r="BI153" s="16"/>
      <c r="BJ153" s="27"/>
      <c r="BL153" s="27"/>
      <c r="BM153" s="16"/>
      <c r="BN153" s="16"/>
      <c r="BO153" s="27"/>
      <c r="BQ153" s="27"/>
      <c r="BR153" s="16"/>
      <c r="BS153" s="16"/>
      <c r="BT153" s="27"/>
      <c r="BV153" s="27"/>
      <c r="BW153" s="16"/>
      <c r="BX153" s="16"/>
      <c r="BY153" s="27"/>
      <c r="CA153" s="27"/>
      <c r="CB153" s="16"/>
      <c r="CC153" s="16"/>
      <c r="CD153" s="27"/>
      <c r="CF153" s="27"/>
      <c r="CG153" s="16"/>
      <c r="CH153" s="16"/>
      <c r="CI153" s="27"/>
      <c r="CK153" s="27"/>
      <c r="CL153" s="16"/>
      <c r="CM153" s="16"/>
      <c r="CN153" s="27"/>
      <c r="CP153" s="27"/>
      <c r="CQ153" s="16"/>
      <c r="CR153" s="16"/>
      <c r="CS153" s="27"/>
      <c r="CU153" s="27"/>
      <c r="CV153" s="16"/>
      <c r="CW153" s="16"/>
      <c r="CX153" s="27"/>
      <c r="CZ153" s="27"/>
      <c r="DA153" s="16"/>
      <c r="DB153" s="16"/>
      <c r="DC153" s="27"/>
      <c r="DE153" s="27"/>
      <c r="DF153" s="16"/>
      <c r="DG153" s="16"/>
      <c r="DH153" s="27"/>
      <c r="DJ153" s="27"/>
      <c r="DK153" s="16"/>
      <c r="DL153" s="16"/>
      <c r="DM153" s="27"/>
      <c r="DO153" s="27"/>
      <c r="DP153" s="16"/>
      <c r="DQ153" s="16"/>
      <c r="DR153" s="27"/>
      <c r="DT153" s="27"/>
      <c r="DU153" s="16"/>
      <c r="DV153" s="16"/>
      <c r="DW153" s="27"/>
      <c r="DY153" s="27"/>
      <c r="DZ153" s="16"/>
      <c r="EA153" s="16"/>
      <c r="EB153" s="302"/>
    </row>
    <row r="154" spans="1:132" s="14" customFormat="1" ht="21" x14ac:dyDescent="0.4">
      <c r="A154" s="27"/>
      <c r="B154" s="27"/>
      <c r="C154" s="27"/>
      <c r="E154" s="16"/>
      <c r="F154" s="27"/>
      <c r="G154" s="27"/>
      <c r="I154" s="27"/>
      <c r="J154" s="16"/>
      <c r="K154" s="16"/>
      <c r="L154" s="27"/>
      <c r="N154" s="27"/>
      <c r="O154" s="16"/>
      <c r="P154" s="16"/>
      <c r="Q154" s="27"/>
      <c r="S154" s="27"/>
      <c r="T154" s="16"/>
      <c r="U154" s="16"/>
      <c r="V154" s="27"/>
      <c r="X154" s="27"/>
      <c r="Y154" s="16"/>
      <c r="Z154" s="16"/>
      <c r="AA154" s="27"/>
      <c r="AC154" s="27"/>
      <c r="AD154" s="16"/>
      <c r="AE154" s="16"/>
      <c r="AF154" s="27"/>
      <c r="AH154" s="27"/>
      <c r="AI154" s="16"/>
      <c r="AJ154" s="16"/>
      <c r="AK154" s="27"/>
      <c r="AM154" s="27"/>
      <c r="AN154" s="16"/>
      <c r="AO154" s="16"/>
      <c r="AP154" s="27"/>
      <c r="AR154" s="27"/>
      <c r="AS154" s="16"/>
      <c r="AT154" s="16"/>
      <c r="AU154" s="27"/>
      <c r="AW154" s="27"/>
      <c r="AX154" s="16"/>
      <c r="AY154" s="16"/>
      <c r="AZ154" s="27"/>
      <c r="BB154" s="27"/>
      <c r="BC154" s="16"/>
      <c r="BD154" s="16"/>
      <c r="BE154" s="27"/>
      <c r="BG154" s="27"/>
      <c r="BH154" s="16"/>
      <c r="BI154" s="16"/>
      <c r="BJ154" s="27"/>
      <c r="BL154" s="27"/>
      <c r="BM154" s="16"/>
      <c r="BN154" s="16"/>
      <c r="BO154" s="27"/>
      <c r="BQ154" s="27"/>
      <c r="BR154" s="16"/>
      <c r="BS154" s="16"/>
      <c r="BT154" s="27"/>
      <c r="BV154" s="27"/>
      <c r="BW154" s="16"/>
      <c r="BX154" s="16"/>
      <c r="BY154" s="27"/>
      <c r="CA154" s="27"/>
      <c r="CB154" s="16"/>
      <c r="CC154" s="16"/>
      <c r="CD154" s="27"/>
      <c r="CF154" s="27"/>
      <c r="CG154" s="16"/>
      <c r="CH154" s="16"/>
      <c r="CI154" s="27"/>
      <c r="CK154" s="27"/>
      <c r="CL154" s="16"/>
      <c r="CM154" s="16"/>
      <c r="CN154" s="27"/>
      <c r="CP154" s="27"/>
      <c r="CQ154" s="16"/>
      <c r="CR154" s="16"/>
      <c r="CS154" s="27"/>
      <c r="CU154" s="27"/>
      <c r="CV154" s="16"/>
      <c r="CW154" s="16"/>
      <c r="CX154" s="27"/>
      <c r="CZ154" s="27"/>
      <c r="DA154" s="16"/>
      <c r="DB154" s="16"/>
      <c r="DC154" s="27"/>
      <c r="DE154" s="27"/>
      <c r="DF154" s="16"/>
      <c r="DG154" s="16"/>
      <c r="DH154" s="27"/>
      <c r="DJ154" s="27"/>
      <c r="DK154" s="16"/>
      <c r="DL154" s="16"/>
      <c r="DM154" s="27"/>
      <c r="DO154" s="27"/>
      <c r="DP154" s="16"/>
      <c r="DQ154" s="16"/>
      <c r="DR154" s="27"/>
      <c r="DT154" s="27"/>
      <c r="DU154" s="16"/>
      <c r="DV154" s="16"/>
      <c r="DW154" s="27"/>
      <c r="DY154" s="27"/>
      <c r="DZ154" s="16"/>
      <c r="EA154" s="16"/>
      <c r="EB154" s="302"/>
    </row>
    <row r="155" spans="1:132" s="14" customFormat="1" ht="21" x14ac:dyDescent="0.4">
      <c r="A155" s="27"/>
      <c r="B155" s="27"/>
      <c r="C155" s="27"/>
      <c r="E155" s="16"/>
      <c r="F155" s="27"/>
      <c r="G155" s="27"/>
      <c r="I155" s="27"/>
      <c r="J155" s="16"/>
      <c r="K155" s="16"/>
      <c r="L155" s="27"/>
      <c r="N155" s="27"/>
      <c r="O155" s="16"/>
      <c r="P155" s="16"/>
      <c r="Q155" s="27"/>
      <c r="S155" s="27"/>
      <c r="T155" s="16"/>
      <c r="U155" s="16"/>
      <c r="V155" s="27"/>
      <c r="X155" s="27"/>
      <c r="Y155" s="16"/>
      <c r="Z155" s="16"/>
      <c r="AA155" s="27"/>
      <c r="AC155" s="27"/>
      <c r="AD155" s="16"/>
      <c r="AE155" s="16"/>
      <c r="AF155" s="27"/>
      <c r="AH155" s="27"/>
      <c r="AI155" s="16"/>
      <c r="AJ155" s="16"/>
      <c r="AK155" s="27"/>
      <c r="AM155" s="27"/>
      <c r="AN155" s="16"/>
      <c r="AO155" s="16"/>
      <c r="AP155" s="27"/>
      <c r="AR155" s="27"/>
      <c r="AS155" s="16"/>
      <c r="AT155" s="16"/>
      <c r="AU155" s="27"/>
      <c r="AW155" s="27"/>
      <c r="AX155" s="16"/>
      <c r="AY155" s="16"/>
      <c r="AZ155" s="27"/>
      <c r="BB155" s="27"/>
      <c r="BC155" s="16"/>
      <c r="BD155" s="16"/>
      <c r="BE155" s="27"/>
      <c r="BG155" s="27"/>
      <c r="BH155" s="16"/>
      <c r="BI155" s="16"/>
      <c r="BJ155" s="27"/>
      <c r="BL155" s="27"/>
      <c r="BM155" s="16"/>
      <c r="BN155" s="16"/>
      <c r="BO155" s="27"/>
      <c r="BQ155" s="27"/>
      <c r="BR155" s="16"/>
      <c r="BS155" s="16"/>
      <c r="BT155" s="27"/>
      <c r="BV155" s="27"/>
      <c r="BW155" s="16"/>
      <c r="BX155" s="16"/>
      <c r="BY155" s="27"/>
      <c r="CA155" s="27"/>
      <c r="CB155" s="16"/>
      <c r="CC155" s="16"/>
      <c r="CD155" s="27"/>
      <c r="CF155" s="27"/>
      <c r="CG155" s="16"/>
      <c r="CH155" s="16"/>
      <c r="CI155" s="27"/>
      <c r="CK155" s="27"/>
      <c r="CL155" s="16"/>
      <c r="CM155" s="16"/>
      <c r="CN155" s="27"/>
      <c r="CP155" s="27"/>
      <c r="CQ155" s="16"/>
      <c r="CR155" s="16"/>
      <c r="CS155" s="27"/>
      <c r="CU155" s="27"/>
      <c r="CV155" s="16"/>
      <c r="CW155" s="16"/>
      <c r="CX155" s="27"/>
      <c r="CZ155" s="27"/>
      <c r="DA155" s="16"/>
      <c r="DB155" s="16"/>
      <c r="DC155" s="27"/>
      <c r="DE155" s="27"/>
      <c r="DF155" s="16"/>
      <c r="DG155" s="16"/>
      <c r="DH155" s="27"/>
      <c r="DJ155" s="27"/>
      <c r="DK155" s="16"/>
      <c r="DL155" s="16"/>
      <c r="DM155" s="27"/>
      <c r="DO155" s="27"/>
      <c r="DP155" s="16"/>
      <c r="DQ155" s="16"/>
      <c r="DR155" s="27"/>
      <c r="DT155" s="27"/>
      <c r="DU155" s="16"/>
      <c r="DV155" s="16"/>
      <c r="DW155" s="27"/>
      <c r="DY155" s="27"/>
      <c r="DZ155" s="16"/>
      <c r="EA155" s="16"/>
      <c r="EB155" s="302"/>
    </row>
    <row r="156" spans="1:132" s="14" customFormat="1" ht="21" x14ac:dyDescent="0.4">
      <c r="A156" s="27"/>
      <c r="B156" s="27"/>
      <c r="C156" s="27"/>
      <c r="E156" s="16"/>
      <c r="F156" s="27"/>
      <c r="G156" s="27"/>
      <c r="I156" s="27"/>
      <c r="J156" s="16"/>
      <c r="K156" s="16"/>
      <c r="L156" s="27"/>
      <c r="N156" s="27"/>
      <c r="O156" s="16"/>
      <c r="P156" s="16"/>
      <c r="Q156" s="27"/>
      <c r="S156" s="27"/>
      <c r="T156" s="16"/>
      <c r="U156" s="16"/>
      <c r="V156" s="27"/>
      <c r="X156" s="27"/>
      <c r="Y156" s="16"/>
      <c r="Z156" s="16"/>
      <c r="AA156" s="27"/>
      <c r="AC156" s="27"/>
      <c r="AD156" s="16"/>
      <c r="AE156" s="16"/>
      <c r="AF156" s="27"/>
      <c r="AH156" s="27"/>
      <c r="AI156" s="16"/>
      <c r="AJ156" s="16"/>
      <c r="AK156" s="27"/>
      <c r="AM156" s="27"/>
      <c r="AN156" s="16"/>
      <c r="AO156" s="16"/>
      <c r="AP156" s="27"/>
      <c r="AR156" s="27"/>
      <c r="AS156" s="16"/>
      <c r="AT156" s="16"/>
      <c r="AU156" s="27"/>
      <c r="AW156" s="27"/>
      <c r="AX156" s="16"/>
      <c r="AY156" s="16"/>
      <c r="AZ156" s="27"/>
      <c r="BB156" s="27"/>
      <c r="BC156" s="16"/>
      <c r="BD156" s="16"/>
      <c r="BE156" s="27"/>
      <c r="BG156" s="27"/>
      <c r="BH156" s="16"/>
      <c r="BI156" s="16"/>
      <c r="BJ156" s="27"/>
      <c r="BL156" s="27"/>
      <c r="BM156" s="16"/>
      <c r="BN156" s="16"/>
      <c r="BO156" s="27"/>
      <c r="BQ156" s="27"/>
      <c r="BR156" s="16"/>
      <c r="BS156" s="16"/>
      <c r="BT156" s="27"/>
      <c r="BV156" s="27"/>
      <c r="BW156" s="16"/>
      <c r="BX156" s="16"/>
      <c r="BY156" s="27"/>
      <c r="CA156" s="27"/>
      <c r="CB156" s="16"/>
      <c r="CC156" s="16"/>
      <c r="CD156" s="27"/>
      <c r="CF156" s="27"/>
      <c r="CG156" s="16"/>
      <c r="CH156" s="16"/>
      <c r="CI156" s="27"/>
      <c r="CK156" s="27"/>
      <c r="CL156" s="16"/>
      <c r="CM156" s="16"/>
      <c r="CN156" s="27"/>
      <c r="CP156" s="27"/>
      <c r="CQ156" s="16"/>
      <c r="CR156" s="16"/>
      <c r="CS156" s="27"/>
      <c r="CU156" s="27"/>
      <c r="CV156" s="16"/>
      <c r="CW156" s="16"/>
      <c r="CX156" s="27"/>
      <c r="CZ156" s="27"/>
      <c r="DA156" s="16"/>
      <c r="DB156" s="16"/>
      <c r="DC156" s="27"/>
      <c r="DE156" s="27"/>
      <c r="DF156" s="16"/>
      <c r="DG156" s="16"/>
      <c r="DH156" s="27"/>
      <c r="DJ156" s="27"/>
      <c r="DK156" s="16"/>
      <c r="DL156" s="16"/>
      <c r="DM156" s="27"/>
      <c r="DO156" s="27"/>
      <c r="DP156" s="16"/>
      <c r="DQ156" s="16"/>
      <c r="DR156" s="27"/>
      <c r="DT156" s="27"/>
      <c r="DU156" s="16"/>
      <c r="DV156" s="16"/>
      <c r="DW156" s="27"/>
      <c r="DY156" s="27"/>
      <c r="DZ156" s="16"/>
      <c r="EA156" s="16"/>
      <c r="EB156" s="302"/>
    </row>
    <row r="157" spans="1:132" s="14" customFormat="1" ht="21" x14ac:dyDescent="0.4">
      <c r="A157" s="27"/>
      <c r="B157" s="27"/>
      <c r="C157" s="27"/>
      <c r="E157" s="16"/>
      <c r="F157" s="27"/>
      <c r="G157" s="27"/>
      <c r="I157" s="27"/>
      <c r="J157" s="16"/>
      <c r="K157" s="16"/>
      <c r="L157" s="27"/>
      <c r="N157" s="27"/>
      <c r="O157" s="16"/>
      <c r="P157" s="16"/>
      <c r="Q157" s="27"/>
      <c r="S157" s="27"/>
      <c r="T157" s="16"/>
      <c r="U157" s="16"/>
      <c r="V157" s="27"/>
      <c r="X157" s="27"/>
      <c r="Y157" s="16"/>
      <c r="Z157" s="16"/>
      <c r="AA157" s="27"/>
      <c r="AC157" s="27"/>
      <c r="AD157" s="16"/>
      <c r="AE157" s="16"/>
      <c r="AF157" s="27"/>
      <c r="AH157" s="27"/>
      <c r="AI157" s="16"/>
      <c r="AJ157" s="16"/>
      <c r="AK157" s="27"/>
      <c r="AM157" s="27"/>
      <c r="AN157" s="16"/>
      <c r="AO157" s="16"/>
      <c r="AP157" s="27"/>
      <c r="AR157" s="27"/>
      <c r="AS157" s="16"/>
      <c r="AT157" s="16"/>
      <c r="AU157" s="27"/>
      <c r="AW157" s="27"/>
      <c r="AX157" s="16"/>
      <c r="AY157" s="16"/>
      <c r="AZ157" s="27"/>
      <c r="BB157" s="27"/>
      <c r="BC157" s="16"/>
      <c r="BD157" s="16"/>
      <c r="BE157" s="27"/>
      <c r="BG157" s="27"/>
      <c r="BH157" s="16"/>
      <c r="BI157" s="16"/>
      <c r="BJ157" s="27"/>
      <c r="BL157" s="27"/>
      <c r="BM157" s="16"/>
      <c r="BN157" s="16"/>
      <c r="BO157" s="27"/>
      <c r="BQ157" s="27"/>
      <c r="BR157" s="16"/>
      <c r="BS157" s="16"/>
      <c r="BT157" s="27"/>
      <c r="BV157" s="27"/>
      <c r="BW157" s="16"/>
      <c r="BX157" s="16"/>
      <c r="BY157" s="27"/>
      <c r="CA157" s="27"/>
      <c r="CB157" s="16"/>
      <c r="CC157" s="16"/>
      <c r="CD157" s="27"/>
      <c r="CF157" s="27"/>
      <c r="CG157" s="16"/>
      <c r="CH157" s="16"/>
      <c r="CI157" s="27"/>
      <c r="CK157" s="27"/>
      <c r="CL157" s="16"/>
      <c r="CM157" s="16"/>
      <c r="CN157" s="27"/>
      <c r="CP157" s="27"/>
      <c r="CQ157" s="16"/>
      <c r="CR157" s="16"/>
      <c r="CS157" s="27"/>
      <c r="CU157" s="27"/>
      <c r="CV157" s="16"/>
      <c r="CW157" s="16"/>
      <c r="CX157" s="27"/>
      <c r="CZ157" s="27"/>
      <c r="DA157" s="16"/>
      <c r="DB157" s="16"/>
      <c r="DC157" s="27"/>
      <c r="DE157" s="27"/>
      <c r="DF157" s="16"/>
      <c r="DG157" s="16"/>
      <c r="DH157" s="27"/>
      <c r="DJ157" s="27"/>
      <c r="DK157" s="16"/>
      <c r="DL157" s="16"/>
      <c r="DM157" s="27"/>
      <c r="DO157" s="27"/>
      <c r="DP157" s="16"/>
      <c r="DQ157" s="16"/>
      <c r="DR157" s="27"/>
      <c r="DT157" s="27"/>
      <c r="DU157" s="16"/>
      <c r="DV157" s="16"/>
      <c r="DW157" s="27"/>
      <c r="DY157" s="27"/>
      <c r="DZ157" s="16"/>
      <c r="EA157" s="16"/>
      <c r="EB157" s="302"/>
    </row>
    <row r="158" spans="1:132" s="14" customFormat="1" ht="21" x14ac:dyDescent="0.4">
      <c r="A158" s="27"/>
      <c r="B158" s="27"/>
      <c r="C158" s="27"/>
      <c r="E158" s="16"/>
      <c r="F158" s="27"/>
      <c r="G158" s="27"/>
      <c r="I158" s="27"/>
      <c r="J158" s="16"/>
      <c r="K158" s="16"/>
      <c r="L158" s="27"/>
      <c r="N158" s="27"/>
      <c r="O158" s="16"/>
      <c r="P158" s="16"/>
      <c r="Q158" s="27"/>
      <c r="S158" s="27"/>
      <c r="T158" s="16"/>
      <c r="U158" s="16"/>
      <c r="V158" s="27"/>
      <c r="X158" s="27"/>
      <c r="Y158" s="16"/>
      <c r="Z158" s="16"/>
      <c r="AA158" s="27"/>
      <c r="AC158" s="27"/>
      <c r="AD158" s="16"/>
      <c r="AE158" s="16"/>
      <c r="AF158" s="27"/>
      <c r="AH158" s="27"/>
      <c r="AI158" s="16"/>
      <c r="AJ158" s="16"/>
      <c r="AK158" s="27"/>
      <c r="AM158" s="27"/>
      <c r="AN158" s="16"/>
      <c r="AO158" s="16"/>
      <c r="AP158" s="27"/>
      <c r="AR158" s="27"/>
      <c r="AS158" s="16"/>
      <c r="AT158" s="16"/>
      <c r="AU158" s="27"/>
      <c r="AW158" s="27"/>
      <c r="AX158" s="16"/>
      <c r="AY158" s="16"/>
      <c r="AZ158" s="27"/>
      <c r="BB158" s="27"/>
      <c r="BC158" s="16"/>
      <c r="BD158" s="16"/>
      <c r="BE158" s="27"/>
      <c r="BG158" s="27"/>
      <c r="BH158" s="16"/>
      <c r="BI158" s="16"/>
      <c r="BJ158" s="27"/>
      <c r="BL158" s="27"/>
      <c r="BM158" s="16"/>
      <c r="BN158" s="16"/>
      <c r="BO158" s="27"/>
      <c r="BQ158" s="27"/>
      <c r="BR158" s="16"/>
      <c r="BS158" s="16"/>
      <c r="BT158" s="27"/>
      <c r="BV158" s="27"/>
      <c r="BW158" s="16"/>
      <c r="BX158" s="16"/>
      <c r="BY158" s="27"/>
      <c r="CA158" s="27"/>
      <c r="CB158" s="16"/>
      <c r="CC158" s="16"/>
      <c r="CD158" s="27"/>
      <c r="CF158" s="27"/>
      <c r="CG158" s="16"/>
      <c r="CH158" s="16"/>
      <c r="CI158" s="27"/>
      <c r="CK158" s="27"/>
      <c r="CL158" s="16"/>
      <c r="CM158" s="16"/>
      <c r="CN158" s="27"/>
      <c r="CP158" s="27"/>
      <c r="CQ158" s="16"/>
      <c r="CR158" s="16"/>
      <c r="CS158" s="27"/>
      <c r="CU158" s="27"/>
      <c r="CV158" s="16"/>
      <c r="CW158" s="16"/>
      <c r="CX158" s="27"/>
      <c r="CZ158" s="27"/>
      <c r="DA158" s="16"/>
      <c r="DB158" s="16"/>
      <c r="DC158" s="27"/>
      <c r="DE158" s="27"/>
      <c r="DF158" s="16"/>
      <c r="DG158" s="16"/>
      <c r="DH158" s="27"/>
      <c r="DJ158" s="27"/>
      <c r="DK158" s="16"/>
      <c r="DL158" s="16"/>
      <c r="DM158" s="27"/>
      <c r="DO158" s="27"/>
      <c r="DP158" s="16"/>
      <c r="DQ158" s="16"/>
      <c r="DR158" s="27"/>
      <c r="DT158" s="27"/>
      <c r="DU158" s="16"/>
      <c r="DV158" s="16"/>
      <c r="DW158" s="27"/>
      <c r="DY158" s="27"/>
      <c r="DZ158" s="16"/>
      <c r="EA158" s="16"/>
      <c r="EB158" s="302"/>
    </row>
    <row r="159" spans="1:132" s="14" customFormat="1" ht="21" x14ac:dyDescent="0.4">
      <c r="A159" s="27"/>
      <c r="B159" s="27"/>
      <c r="C159" s="27"/>
      <c r="E159" s="16"/>
      <c r="F159" s="27"/>
      <c r="G159" s="27"/>
      <c r="I159" s="27"/>
      <c r="J159" s="16"/>
      <c r="K159" s="16"/>
      <c r="L159" s="27"/>
      <c r="N159" s="27"/>
      <c r="O159" s="16"/>
      <c r="P159" s="16"/>
      <c r="Q159" s="27"/>
      <c r="S159" s="27"/>
      <c r="T159" s="16"/>
      <c r="U159" s="16"/>
      <c r="V159" s="27"/>
      <c r="X159" s="27"/>
      <c r="Y159" s="16"/>
      <c r="Z159" s="16"/>
      <c r="AA159" s="27"/>
      <c r="AC159" s="27"/>
      <c r="AD159" s="16"/>
      <c r="AE159" s="16"/>
      <c r="AF159" s="27"/>
      <c r="AH159" s="27"/>
      <c r="AI159" s="16"/>
      <c r="AJ159" s="16"/>
      <c r="AK159" s="27"/>
      <c r="AM159" s="27"/>
      <c r="AN159" s="16"/>
      <c r="AO159" s="16"/>
      <c r="AP159" s="27"/>
      <c r="AR159" s="27"/>
      <c r="AS159" s="16"/>
      <c r="AT159" s="16"/>
      <c r="AU159" s="27"/>
      <c r="AW159" s="27"/>
      <c r="AX159" s="16"/>
      <c r="AY159" s="16"/>
      <c r="AZ159" s="27"/>
      <c r="BB159" s="27"/>
      <c r="BC159" s="16"/>
      <c r="BD159" s="16"/>
      <c r="BE159" s="27"/>
      <c r="BG159" s="27"/>
      <c r="BH159" s="16"/>
      <c r="BI159" s="16"/>
      <c r="BJ159" s="27"/>
      <c r="BL159" s="27"/>
      <c r="BM159" s="16"/>
      <c r="BN159" s="16"/>
      <c r="BO159" s="27"/>
      <c r="BQ159" s="27"/>
      <c r="BR159" s="16"/>
      <c r="BS159" s="16"/>
      <c r="BT159" s="27"/>
      <c r="BV159" s="27"/>
      <c r="BW159" s="16"/>
      <c r="BX159" s="16"/>
      <c r="BY159" s="27"/>
      <c r="CA159" s="27"/>
      <c r="CB159" s="16"/>
      <c r="CC159" s="16"/>
      <c r="CD159" s="27"/>
      <c r="CF159" s="27"/>
      <c r="CG159" s="16"/>
      <c r="CH159" s="16"/>
      <c r="CI159" s="27"/>
      <c r="CK159" s="27"/>
      <c r="CL159" s="16"/>
      <c r="CM159" s="16"/>
      <c r="CN159" s="27"/>
      <c r="CP159" s="27"/>
      <c r="CQ159" s="16"/>
      <c r="CR159" s="16"/>
      <c r="CS159" s="27"/>
      <c r="CU159" s="27"/>
      <c r="CV159" s="16"/>
      <c r="CW159" s="16"/>
      <c r="CX159" s="27"/>
      <c r="CZ159" s="27"/>
      <c r="DA159" s="16"/>
      <c r="DB159" s="16"/>
      <c r="DC159" s="27"/>
      <c r="DE159" s="27"/>
      <c r="DF159" s="16"/>
      <c r="DG159" s="16"/>
      <c r="DH159" s="27"/>
      <c r="DJ159" s="27"/>
      <c r="DK159" s="16"/>
      <c r="DL159" s="16"/>
      <c r="DM159" s="27"/>
      <c r="DO159" s="27"/>
      <c r="DP159" s="16"/>
      <c r="DQ159" s="16"/>
      <c r="DR159" s="27"/>
      <c r="DT159" s="27"/>
      <c r="DU159" s="16"/>
      <c r="DV159" s="16"/>
      <c r="DW159" s="27"/>
      <c r="DY159" s="27"/>
      <c r="DZ159" s="16"/>
      <c r="EA159" s="16"/>
      <c r="EB159" s="302"/>
    </row>
    <row r="160" spans="1:132" s="14" customFormat="1" ht="21" x14ac:dyDescent="0.4">
      <c r="A160" s="27"/>
      <c r="B160" s="27"/>
      <c r="C160" s="27"/>
      <c r="E160" s="16"/>
      <c r="F160" s="27"/>
      <c r="G160" s="27"/>
      <c r="I160" s="27"/>
      <c r="J160" s="16"/>
      <c r="K160" s="16"/>
      <c r="L160" s="27"/>
      <c r="N160" s="27"/>
      <c r="O160" s="16"/>
      <c r="P160" s="16"/>
      <c r="Q160" s="27"/>
      <c r="S160" s="27"/>
      <c r="T160" s="16"/>
      <c r="U160" s="16"/>
      <c r="V160" s="27"/>
      <c r="X160" s="27"/>
      <c r="Y160" s="16"/>
      <c r="Z160" s="16"/>
      <c r="AA160" s="27"/>
      <c r="AC160" s="27"/>
      <c r="AD160" s="16"/>
      <c r="AE160" s="16"/>
      <c r="AF160" s="27"/>
      <c r="AH160" s="27"/>
      <c r="AI160" s="16"/>
      <c r="AJ160" s="16"/>
      <c r="AK160" s="27"/>
      <c r="AM160" s="27"/>
      <c r="AN160" s="16"/>
      <c r="AO160" s="16"/>
      <c r="AP160" s="27"/>
      <c r="AR160" s="27"/>
      <c r="AS160" s="16"/>
      <c r="AT160" s="16"/>
      <c r="AU160" s="27"/>
      <c r="AW160" s="27"/>
      <c r="AX160" s="16"/>
      <c r="AY160" s="16"/>
      <c r="AZ160" s="27"/>
      <c r="BB160" s="27"/>
      <c r="BC160" s="16"/>
      <c r="BD160" s="16"/>
      <c r="BE160" s="27"/>
      <c r="BG160" s="27"/>
      <c r="BH160" s="16"/>
      <c r="BI160" s="16"/>
      <c r="BJ160" s="27"/>
      <c r="BL160" s="27"/>
      <c r="BM160" s="16"/>
      <c r="BN160" s="16"/>
      <c r="BO160" s="27"/>
      <c r="BQ160" s="27"/>
      <c r="BR160" s="16"/>
      <c r="BS160" s="16"/>
      <c r="BT160" s="27"/>
      <c r="BV160" s="27"/>
      <c r="BW160" s="16"/>
      <c r="BX160" s="16"/>
      <c r="BY160" s="27"/>
      <c r="CA160" s="27"/>
      <c r="CB160" s="16"/>
      <c r="CC160" s="16"/>
      <c r="CD160" s="27"/>
      <c r="CF160" s="27"/>
      <c r="CG160" s="16"/>
      <c r="CH160" s="16"/>
      <c r="CI160" s="27"/>
      <c r="CK160" s="27"/>
      <c r="CL160" s="16"/>
      <c r="CM160" s="16"/>
      <c r="CN160" s="27"/>
      <c r="CP160" s="27"/>
      <c r="CQ160" s="16"/>
      <c r="CR160" s="16"/>
      <c r="CS160" s="27"/>
      <c r="CU160" s="27"/>
      <c r="CV160" s="16"/>
      <c r="CW160" s="16"/>
      <c r="CX160" s="27"/>
      <c r="CZ160" s="27"/>
      <c r="DA160" s="16"/>
      <c r="DB160" s="16"/>
      <c r="DC160" s="27"/>
      <c r="DE160" s="27"/>
      <c r="DF160" s="16"/>
      <c r="DG160" s="16"/>
      <c r="DH160" s="27"/>
      <c r="DJ160" s="27"/>
      <c r="DK160" s="16"/>
      <c r="DL160" s="16"/>
      <c r="DM160" s="27"/>
      <c r="DO160" s="27"/>
      <c r="DP160" s="16"/>
      <c r="DQ160" s="16"/>
      <c r="DR160" s="27"/>
      <c r="DT160" s="27"/>
      <c r="DU160" s="16"/>
      <c r="DV160" s="16"/>
      <c r="DW160" s="27"/>
      <c r="DY160" s="27"/>
      <c r="DZ160" s="16"/>
      <c r="EA160" s="16"/>
      <c r="EB160" s="302"/>
    </row>
    <row r="161" spans="1:132" s="14" customFormat="1" ht="21" x14ac:dyDescent="0.4">
      <c r="A161" s="27"/>
      <c r="B161" s="27"/>
      <c r="C161" s="27"/>
      <c r="E161" s="16"/>
      <c r="F161" s="27"/>
      <c r="G161" s="27"/>
      <c r="I161" s="27"/>
      <c r="J161" s="16"/>
      <c r="K161" s="16"/>
      <c r="L161" s="27"/>
      <c r="N161" s="27"/>
      <c r="O161" s="16"/>
      <c r="P161" s="16"/>
      <c r="Q161" s="27"/>
      <c r="S161" s="27"/>
      <c r="T161" s="16"/>
      <c r="U161" s="16"/>
      <c r="V161" s="27"/>
      <c r="X161" s="27"/>
      <c r="Y161" s="16"/>
      <c r="Z161" s="16"/>
      <c r="AA161" s="27"/>
      <c r="AC161" s="27"/>
      <c r="AD161" s="16"/>
      <c r="AE161" s="16"/>
      <c r="AF161" s="27"/>
      <c r="AH161" s="27"/>
      <c r="AI161" s="16"/>
      <c r="AJ161" s="16"/>
      <c r="AK161" s="27"/>
      <c r="AM161" s="27"/>
      <c r="AN161" s="16"/>
      <c r="AO161" s="16"/>
      <c r="AP161" s="27"/>
      <c r="AR161" s="27"/>
      <c r="AS161" s="16"/>
      <c r="AT161" s="16"/>
      <c r="AU161" s="27"/>
      <c r="AW161" s="27"/>
      <c r="AX161" s="16"/>
      <c r="AY161" s="16"/>
      <c r="AZ161" s="27"/>
      <c r="BB161" s="27"/>
      <c r="BC161" s="16"/>
      <c r="BD161" s="16"/>
      <c r="BE161" s="27"/>
      <c r="BG161" s="27"/>
      <c r="BH161" s="16"/>
      <c r="BI161" s="16"/>
      <c r="BJ161" s="27"/>
      <c r="BL161" s="27"/>
      <c r="BM161" s="16"/>
      <c r="BN161" s="16"/>
      <c r="BO161" s="27"/>
      <c r="BQ161" s="27"/>
      <c r="BR161" s="16"/>
      <c r="BS161" s="16"/>
      <c r="BT161" s="27"/>
      <c r="BV161" s="27"/>
      <c r="BW161" s="16"/>
      <c r="BX161" s="16"/>
      <c r="BY161" s="27"/>
      <c r="CA161" s="27"/>
      <c r="CB161" s="16"/>
      <c r="CC161" s="16"/>
      <c r="CD161" s="27"/>
      <c r="CF161" s="27"/>
      <c r="CG161" s="16"/>
      <c r="CH161" s="16"/>
      <c r="CI161" s="27"/>
      <c r="CK161" s="27"/>
      <c r="CL161" s="16"/>
      <c r="CM161" s="16"/>
      <c r="CN161" s="27"/>
      <c r="CP161" s="27"/>
      <c r="CQ161" s="16"/>
      <c r="CR161" s="16"/>
      <c r="CS161" s="27"/>
      <c r="CU161" s="27"/>
      <c r="CV161" s="16"/>
      <c r="CW161" s="16"/>
      <c r="CX161" s="27"/>
      <c r="CZ161" s="27"/>
      <c r="DA161" s="16"/>
      <c r="DB161" s="16"/>
      <c r="DC161" s="27"/>
      <c r="DE161" s="27"/>
      <c r="DF161" s="16"/>
      <c r="DG161" s="16"/>
      <c r="DH161" s="27"/>
      <c r="DJ161" s="27"/>
      <c r="DK161" s="16"/>
      <c r="DL161" s="16"/>
      <c r="DM161" s="27"/>
      <c r="DO161" s="27"/>
      <c r="DP161" s="16"/>
      <c r="DQ161" s="16"/>
      <c r="DR161" s="27"/>
      <c r="DT161" s="27"/>
      <c r="DU161" s="16"/>
      <c r="DV161" s="16"/>
      <c r="DW161" s="27"/>
      <c r="DY161" s="27"/>
      <c r="DZ161" s="16"/>
      <c r="EA161" s="16"/>
      <c r="EB161" s="302"/>
    </row>
    <row r="162" spans="1:132" s="14" customFormat="1" ht="21" x14ac:dyDescent="0.4">
      <c r="A162" s="27"/>
      <c r="B162" s="27"/>
      <c r="C162" s="27"/>
      <c r="E162" s="16"/>
      <c r="F162" s="27"/>
      <c r="G162" s="27"/>
      <c r="I162" s="27"/>
      <c r="J162" s="16"/>
      <c r="K162" s="16"/>
      <c r="L162" s="27"/>
      <c r="N162" s="27"/>
      <c r="O162" s="16"/>
      <c r="P162" s="16"/>
      <c r="Q162" s="27"/>
      <c r="S162" s="27"/>
      <c r="T162" s="16"/>
      <c r="U162" s="16"/>
      <c r="V162" s="27"/>
      <c r="X162" s="27"/>
      <c r="Y162" s="16"/>
      <c r="Z162" s="16"/>
      <c r="AA162" s="27"/>
      <c r="AC162" s="27"/>
      <c r="AD162" s="16"/>
      <c r="AE162" s="16"/>
      <c r="AF162" s="27"/>
      <c r="AH162" s="27"/>
      <c r="AI162" s="16"/>
      <c r="AJ162" s="16"/>
      <c r="AK162" s="27"/>
      <c r="AM162" s="27"/>
      <c r="AN162" s="16"/>
      <c r="AO162" s="16"/>
      <c r="AP162" s="27"/>
      <c r="AR162" s="27"/>
      <c r="AS162" s="16"/>
      <c r="AT162" s="16"/>
      <c r="AU162" s="27"/>
      <c r="AW162" s="27"/>
      <c r="AX162" s="16"/>
      <c r="AY162" s="16"/>
      <c r="AZ162" s="27"/>
      <c r="BB162" s="27"/>
      <c r="BC162" s="16"/>
      <c r="BD162" s="16"/>
      <c r="BE162" s="27"/>
      <c r="BG162" s="27"/>
      <c r="BH162" s="16"/>
      <c r="BI162" s="16"/>
      <c r="BJ162" s="27"/>
      <c r="BL162" s="27"/>
      <c r="BM162" s="16"/>
      <c r="BN162" s="16"/>
      <c r="BO162" s="27"/>
      <c r="BQ162" s="27"/>
      <c r="BR162" s="16"/>
      <c r="BS162" s="16"/>
      <c r="BT162" s="27"/>
      <c r="BV162" s="27"/>
      <c r="BW162" s="16"/>
      <c r="BX162" s="16"/>
      <c r="BY162" s="27"/>
      <c r="CA162" s="27"/>
      <c r="CB162" s="16"/>
      <c r="CC162" s="16"/>
      <c r="CD162" s="27"/>
      <c r="CF162" s="27"/>
      <c r="CG162" s="16"/>
      <c r="CH162" s="16"/>
      <c r="CI162" s="27"/>
      <c r="CK162" s="27"/>
      <c r="CL162" s="16"/>
      <c r="CM162" s="16"/>
      <c r="CN162" s="27"/>
      <c r="CP162" s="27"/>
      <c r="CQ162" s="16"/>
      <c r="CR162" s="16"/>
      <c r="CS162" s="27"/>
      <c r="CU162" s="27"/>
      <c r="CV162" s="16"/>
      <c r="CW162" s="16"/>
      <c r="CX162" s="27"/>
      <c r="CZ162" s="27"/>
      <c r="DA162" s="16"/>
      <c r="DB162" s="16"/>
      <c r="DC162" s="27"/>
      <c r="DE162" s="27"/>
      <c r="DF162" s="16"/>
      <c r="DG162" s="16"/>
      <c r="DH162" s="27"/>
      <c r="DJ162" s="27"/>
      <c r="DK162" s="16"/>
      <c r="DL162" s="16"/>
      <c r="DM162" s="27"/>
      <c r="DO162" s="27"/>
      <c r="DP162" s="16"/>
      <c r="DQ162" s="16"/>
      <c r="DR162" s="27"/>
      <c r="DT162" s="27"/>
      <c r="DU162" s="16"/>
      <c r="DV162" s="16"/>
      <c r="DW162" s="27"/>
      <c r="DY162" s="27"/>
      <c r="DZ162" s="16"/>
      <c r="EA162" s="16"/>
      <c r="EB162" s="302"/>
    </row>
    <row r="163" spans="1:132" s="14" customFormat="1" ht="21" x14ac:dyDescent="0.4">
      <c r="A163" s="27"/>
      <c r="B163" s="27"/>
      <c r="C163" s="27"/>
      <c r="E163" s="16"/>
      <c r="F163" s="27"/>
      <c r="G163" s="27"/>
      <c r="I163" s="27"/>
      <c r="J163" s="16"/>
      <c r="K163" s="16"/>
      <c r="L163" s="27"/>
      <c r="N163" s="27"/>
      <c r="O163" s="16"/>
      <c r="P163" s="16"/>
      <c r="Q163" s="27"/>
      <c r="S163" s="27"/>
      <c r="T163" s="16"/>
      <c r="U163" s="16"/>
      <c r="V163" s="27"/>
      <c r="X163" s="27"/>
      <c r="Y163" s="16"/>
      <c r="Z163" s="16"/>
      <c r="AA163" s="27"/>
      <c r="AC163" s="27"/>
      <c r="AD163" s="16"/>
      <c r="AE163" s="16"/>
      <c r="AF163" s="27"/>
      <c r="AH163" s="27"/>
      <c r="AI163" s="16"/>
      <c r="AJ163" s="16"/>
      <c r="AK163" s="27"/>
      <c r="AM163" s="27"/>
      <c r="AN163" s="16"/>
      <c r="AO163" s="16"/>
      <c r="AP163" s="27"/>
      <c r="AR163" s="27"/>
      <c r="AS163" s="16"/>
      <c r="AT163" s="16"/>
      <c r="AU163" s="27"/>
      <c r="AW163" s="27"/>
      <c r="AX163" s="16"/>
      <c r="AY163" s="16"/>
      <c r="AZ163" s="27"/>
      <c r="BB163" s="27"/>
      <c r="BC163" s="16"/>
      <c r="BD163" s="16"/>
      <c r="BE163" s="27"/>
      <c r="BG163" s="27"/>
      <c r="BH163" s="16"/>
      <c r="BI163" s="16"/>
      <c r="BJ163" s="27"/>
      <c r="BL163" s="27"/>
      <c r="BM163" s="16"/>
      <c r="BN163" s="16"/>
      <c r="BO163" s="27"/>
      <c r="BQ163" s="27"/>
      <c r="BR163" s="16"/>
      <c r="BS163" s="16"/>
      <c r="BT163" s="27"/>
      <c r="BV163" s="27"/>
      <c r="BW163" s="16"/>
      <c r="BX163" s="16"/>
      <c r="BY163" s="27"/>
      <c r="CA163" s="27"/>
      <c r="CB163" s="16"/>
      <c r="CC163" s="16"/>
      <c r="CD163" s="27"/>
      <c r="CF163" s="27"/>
      <c r="CG163" s="16"/>
      <c r="CH163" s="16"/>
      <c r="CI163" s="27"/>
      <c r="CK163" s="27"/>
      <c r="CL163" s="16"/>
      <c r="CM163" s="16"/>
      <c r="CN163" s="27"/>
      <c r="CP163" s="27"/>
      <c r="CQ163" s="16"/>
      <c r="CR163" s="16"/>
      <c r="CS163" s="27"/>
      <c r="CU163" s="27"/>
      <c r="CV163" s="16"/>
      <c r="CW163" s="16"/>
      <c r="CX163" s="27"/>
      <c r="CZ163" s="27"/>
      <c r="DA163" s="16"/>
      <c r="DB163" s="16"/>
      <c r="DC163" s="27"/>
      <c r="DE163" s="27"/>
      <c r="DF163" s="16"/>
      <c r="DG163" s="16"/>
      <c r="DH163" s="27"/>
      <c r="DJ163" s="27"/>
      <c r="DK163" s="16"/>
      <c r="DL163" s="16"/>
      <c r="DM163" s="27"/>
      <c r="DO163" s="27"/>
      <c r="DP163" s="16"/>
      <c r="DQ163" s="16"/>
      <c r="DR163" s="27"/>
      <c r="DT163" s="27"/>
      <c r="DU163" s="16"/>
      <c r="DV163" s="16"/>
      <c r="DW163" s="27"/>
      <c r="DY163" s="27"/>
      <c r="DZ163" s="16"/>
      <c r="EA163" s="16"/>
      <c r="EB163" s="302"/>
    </row>
    <row r="164" spans="1:132" s="14" customFormat="1" ht="21" x14ac:dyDescent="0.4">
      <c r="A164" s="27"/>
      <c r="B164" s="27"/>
      <c r="C164" s="27"/>
      <c r="E164" s="16"/>
      <c r="F164" s="27"/>
      <c r="G164" s="27"/>
      <c r="I164" s="27"/>
      <c r="J164" s="16"/>
      <c r="K164" s="16"/>
      <c r="L164" s="27"/>
      <c r="N164" s="27"/>
      <c r="O164" s="16"/>
      <c r="P164" s="16"/>
      <c r="Q164" s="27"/>
      <c r="S164" s="27"/>
      <c r="T164" s="16"/>
      <c r="U164" s="16"/>
      <c r="V164" s="27"/>
      <c r="X164" s="27"/>
      <c r="Y164" s="16"/>
      <c r="Z164" s="16"/>
      <c r="AA164" s="27"/>
      <c r="AC164" s="27"/>
      <c r="AD164" s="16"/>
      <c r="AE164" s="16"/>
      <c r="AF164" s="27"/>
      <c r="AH164" s="27"/>
      <c r="AI164" s="16"/>
      <c r="AJ164" s="16"/>
      <c r="AK164" s="27"/>
      <c r="AM164" s="27"/>
      <c r="AN164" s="16"/>
      <c r="AO164" s="16"/>
      <c r="AP164" s="27"/>
      <c r="AR164" s="27"/>
      <c r="AS164" s="16"/>
      <c r="AT164" s="16"/>
      <c r="AU164" s="27"/>
      <c r="AW164" s="27"/>
      <c r="AX164" s="16"/>
      <c r="AY164" s="16"/>
      <c r="AZ164" s="27"/>
      <c r="BB164" s="27"/>
      <c r="BC164" s="16"/>
      <c r="BD164" s="16"/>
      <c r="BE164" s="27"/>
      <c r="BG164" s="27"/>
      <c r="BH164" s="16"/>
      <c r="BI164" s="16"/>
      <c r="BJ164" s="27"/>
      <c r="BL164" s="27"/>
      <c r="BM164" s="16"/>
      <c r="BN164" s="16"/>
      <c r="BO164" s="27"/>
      <c r="BQ164" s="27"/>
      <c r="BR164" s="16"/>
      <c r="BS164" s="16"/>
      <c r="BT164" s="27"/>
      <c r="BV164" s="27"/>
      <c r="BW164" s="16"/>
      <c r="BX164" s="16"/>
      <c r="BY164" s="27"/>
      <c r="CA164" s="27"/>
      <c r="CB164" s="16"/>
      <c r="CC164" s="16"/>
      <c r="CD164" s="27"/>
      <c r="CF164" s="27"/>
      <c r="CG164" s="16"/>
      <c r="CH164" s="16"/>
      <c r="CI164" s="27"/>
      <c r="CK164" s="27"/>
      <c r="CL164" s="16"/>
      <c r="CM164" s="16"/>
      <c r="CN164" s="27"/>
      <c r="CP164" s="27"/>
      <c r="CQ164" s="16"/>
      <c r="CR164" s="16"/>
      <c r="CS164" s="27"/>
      <c r="CU164" s="27"/>
      <c r="CV164" s="16"/>
      <c r="CW164" s="16"/>
      <c r="CX164" s="27"/>
      <c r="CZ164" s="27"/>
      <c r="DA164" s="16"/>
      <c r="DB164" s="16"/>
      <c r="DC164" s="27"/>
      <c r="DE164" s="27"/>
      <c r="DF164" s="16"/>
      <c r="DG164" s="16"/>
      <c r="DH164" s="27"/>
      <c r="DJ164" s="27"/>
      <c r="DK164" s="16"/>
      <c r="DL164" s="16"/>
      <c r="DM164" s="27"/>
      <c r="DO164" s="27"/>
      <c r="DP164" s="16"/>
      <c r="DQ164" s="16"/>
      <c r="DR164" s="27"/>
      <c r="DT164" s="27"/>
      <c r="DU164" s="16"/>
      <c r="DV164" s="16"/>
      <c r="DW164" s="27"/>
      <c r="DY164" s="27"/>
      <c r="DZ164" s="16"/>
      <c r="EA164" s="16"/>
      <c r="EB164" s="302"/>
    </row>
    <row r="165" spans="1:132" s="14" customFormat="1" ht="21" x14ac:dyDescent="0.4">
      <c r="A165" s="27"/>
      <c r="B165" s="27"/>
      <c r="C165" s="27"/>
      <c r="E165" s="16"/>
      <c r="F165" s="27"/>
      <c r="G165" s="27"/>
      <c r="I165" s="27"/>
      <c r="J165" s="16"/>
      <c r="K165" s="16"/>
      <c r="L165" s="27"/>
      <c r="N165" s="27"/>
      <c r="O165" s="16"/>
      <c r="P165" s="16"/>
      <c r="Q165" s="27"/>
      <c r="S165" s="27"/>
      <c r="T165" s="16"/>
      <c r="U165" s="16"/>
      <c r="V165" s="27"/>
      <c r="X165" s="27"/>
      <c r="Y165" s="16"/>
      <c r="Z165" s="16"/>
      <c r="AA165" s="27"/>
      <c r="AC165" s="27"/>
      <c r="AD165" s="16"/>
      <c r="AE165" s="16"/>
      <c r="AF165" s="27"/>
      <c r="AH165" s="27"/>
      <c r="AI165" s="16"/>
      <c r="AJ165" s="16"/>
      <c r="AK165" s="27"/>
      <c r="AM165" s="27"/>
      <c r="AN165" s="16"/>
      <c r="AO165" s="16"/>
      <c r="AP165" s="27"/>
      <c r="AR165" s="27"/>
      <c r="AS165" s="16"/>
      <c r="AT165" s="16"/>
      <c r="AU165" s="27"/>
      <c r="AW165" s="27"/>
      <c r="AX165" s="16"/>
      <c r="AY165" s="16"/>
      <c r="AZ165" s="27"/>
      <c r="BB165" s="27"/>
      <c r="BC165" s="16"/>
      <c r="BD165" s="16"/>
      <c r="BE165" s="27"/>
      <c r="BG165" s="27"/>
      <c r="BH165" s="16"/>
      <c r="BI165" s="16"/>
      <c r="BJ165" s="27"/>
      <c r="BL165" s="27"/>
      <c r="BM165" s="16"/>
      <c r="BN165" s="16"/>
      <c r="BO165" s="27"/>
      <c r="BQ165" s="27"/>
      <c r="BR165" s="16"/>
      <c r="BS165" s="16"/>
      <c r="BT165" s="27"/>
      <c r="BV165" s="27"/>
      <c r="BW165" s="16"/>
      <c r="BX165" s="16"/>
      <c r="BY165" s="27"/>
      <c r="CA165" s="27"/>
      <c r="CB165" s="16"/>
      <c r="CC165" s="16"/>
      <c r="CD165" s="27"/>
      <c r="CF165" s="27"/>
      <c r="CG165" s="16"/>
      <c r="CH165" s="16"/>
      <c r="CI165" s="27"/>
      <c r="CK165" s="27"/>
      <c r="CL165" s="16"/>
      <c r="CM165" s="16"/>
      <c r="CN165" s="27"/>
      <c r="CP165" s="27"/>
      <c r="CQ165" s="16"/>
      <c r="CR165" s="16"/>
      <c r="CS165" s="27"/>
      <c r="CU165" s="27"/>
      <c r="CV165" s="16"/>
      <c r="CW165" s="16"/>
      <c r="CX165" s="27"/>
      <c r="CZ165" s="27"/>
      <c r="DA165" s="16"/>
      <c r="DB165" s="16"/>
      <c r="DC165" s="27"/>
      <c r="DE165" s="27"/>
      <c r="DF165" s="16"/>
      <c r="DG165" s="16"/>
      <c r="DH165" s="27"/>
      <c r="DJ165" s="27"/>
      <c r="DK165" s="16"/>
      <c r="DL165" s="16"/>
      <c r="DM165" s="27"/>
      <c r="DO165" s="27"/>
      <c r="DP165" s="16"/>
      <c r="DQ165" s="16"/>
      <c r="DR165" s="27"/>
      <c r="DT165" s="27"/>
      <c r="DU165" s="16"/>
      <c r="DV165" s="16"/>
      <c r="DW165" s="27"/>
      <c r="DY165" s="27"/>
      <c r="DZ165" s="16"/>
      <c r="EA165" s="16"/>
      <c r="EB165" s="302"/>
    </row>
    <row r="166" spans="1:132" s="14" customFormat="1" ht="21" x14ac:dyDescent="0.4">
      <c r="A166" s="27"/>
      <c r="B166" s="27"/>
      <c r="C166" s="27"/>
      <c r="E166" s="16"/>
      <c r="F166" s="27"/>
      <c r="G166" s="27"/>
      <c r="I166" s="27"/>
      <c r="J166" s="16"/>
      <c r="K166" s="16"/>
      <c r="L166" s="27"/>
      <c r="N166" s="27"/>
      <c r="O166" s="16"/>
      <c r="P166" s="16"/>
      <c r="Q166" s="27"/>
      <c r="S166" s="27"/>
      <c r="T166" s="16"/>
      <c r="U166" s="16"/>
      <c r="V166" s="27"/>
      <c r="X166" s="27"/>
      <c r="Y166" s="16"/>
      <c r="Z166" s="16"/>
      <c r="AA166" s="27"/>
      <c r="AC166" s="27"/>
      <c r="AD166" s="16"/>
      <c r="AE166" s="16"/>
      <c r="AF166" s="27"/>
      <c r="AH166" s="27"/>
      <c r="AI166" s="16"/>
      <c r="AJ166" s="16"/>
      <c r="AK166" s="27"/>
      <c r="AM166" s="27"/>
      <c r="AN166" s="16"/>
      <c r="AO166" s="16"/>
      <c r="AP166" s="27"/>
      <c r="AR166" s="27"/>
      <c r="AS166" s="16"/>
      <c r="AT166" s="16"/>
      <c r="AU166" s="27"/>
      <c r="AW166" s="27"/>
      <c r="AX166" s="16"/>
      <c r="AY166" s="16"/>
      <c r="AZ166" s="27"/>
      <c r="BB166" s="27"/>
      <c r="BC166" s="16"/>
      <c r="BD166" s="16"/>
      <c r="BE166" s="27"/>
      <c r="BG166" s="27"/>
      <c r="BH166" s="16"/>
      <c r="BI166" s="16"/>
      <c r="BJ166" s="27"/>
      <c r="BL166" s="27"/>
      <c r="BM166" s="16"/>
      <c r="BN166" s="16"/>
      <c r="BO166" s="27"/>
      <c r="BQ166" s="27"/>
      <c r="BR166" s="16"/>
      <c r="BS166" s="16"/>
      <c r="BT166" s="27"/>
      <c r="BV166" s="27"/>
      <c r="BW166" s="16"/>
      <c r="BX166" s="16"/>
      <c r="BY166" s="27"/>
      <c r="CA166" s="27"/>
      <c r="CB166" s="16"/>
      <c r="CC166" s="16"/>
      <c r="CD166" s="27"/>
      <c r="CF166" s="27"/>
      <c r="CG166" s="16"/>
      <c r="CH166" s="16"/>
      <c r="CI166" s="27"/>
      <c r="CK166" s="27"/>
      <c r="CL166" s="16"/>
      <c r="CM166" s="16"/>
      <c r="CN166" s="27"/>
      <c r="CP166" s="27"/>
      <c r="CQ166" s="16"/>
      <c r="CR166" s="16"/>
      <c r="CS166" s="27"/>
      <c r="CU166" s="27"/>
      <c r="CV166" s="16"/>
      <c r="CW166" s="16"/>
      <c r="CX166" s="27"/>
      <c r="CZ166" s="27"/>
      <c r="DA166" s="16"/>
      <c r="DB166" s="16"/>
      <c r="DC166" s="27"/>
      <c r="DE166" s="27"/>
      <c r="DF166" s="16"/>
      <c r="DG166" s="16"/>
      <c r="DH166" s="27"/>
      <c r="DJ166" s="27"/>
      <c r="DK166" s="16"/>
      <c r="DL166" s="16"/>
      <c r="DM166" s="27"/>
      <c r="DO166" s="27"/>
      <c r="DP166" s="16"/>
      <c r="DQ166" s="16"/>
      <c r="DR166" s="27"/>
      <c r="DT166" s="27"/>
      <c r="DU166" s="16"/>
      <c r="DV166" s="16"/>
      <c r="DW166" s="27"/>
      <c r="DY166" s="27"/>
      <c r="DZ166" s="16"/>
      <c r="EA166" s="16"/>
      <c r="EB166" s="302"/>
    </row>
    <row r="167" spans="1:132" s="14" customFormat="1" ht="21" x14ac:dyDescent="0.4">
      <c r="A167" s="27"/>
      <c r="B167" s="27"/>
      <c r="C167" s="27"/>
      <c r="E167" s="16"/>
      <c r="F167" s="27"/>
      <c r="G167" s="27"/>
      <c r="I167" s="27"/>
      <c r="J167" s="16"/>
      <c r="K167" s="16"/>
      <c r="L167" s="27"/>
      <c r="N167" s="27"/>
      <c r="O167" s="16"/>
      <c r="P167" s="16"/>
      <c r="Q167" s="27"/>
      <c r="S167" s="27"/>
      <c r="T167" s="16"/>
      <c r="U167" s="16"/>
      <c r="V167" s="27"/>
      <c r="X167" s="27"/>
      <c r="Y167" s="16"/>
      <c r="Z167" s="16"/>
      <c r="AA167" s="27"/>
      <c r="AC167" s="27"/>
      <c r="AD167" s="16"/>
      <c r="AE167" s="16"/>
      <c r="AF167" s="27"/>
      <c r="AH167" s="27"/>
      <c r="AI167" s="16"/>
      <c r="AJ167" s="16"/>
      <c r="AK167" s="27"/>
      <c r="AM167" s="27"/>
      <c r="AN167" s="16"/>
      <c r="AO167" s="16"/>
      <c r="AP167" s="27"/>
      <c r="AR167" s="27"/>
      <c r="AS167" s="16"/>
      <c r="AT167" s="16"/>
      <c r="AU167" s="27"/>
      <c r="AW167" s="27"/>
      <c r="AX167" s="16"/>
      <c r="AY167" s="16"/>
      <c r="AZ167" s="27"/>
      <c r="BB167" s="27"/>
      <c r="BC167" s="16"/>
      <c r="BD167" s="16"/>
      <c r="BE167" s="27"/>
      <c r="BG167" s="27"/>
      <c r="BH167" s="16"/>
      <c r="BI167" s="16"/>
      <c r="BJ167" s="27"/>
      <c r="BL167" s="27"/>
      <c r="BM167" s="16"/>
      <c r="BN167" s="16"/>
      <c r="BO167" s="27"/>
      <c r="BQ167" s="27"/>
      <c r="BR167" s="16"/>
      <c r="BS167" s="16"/>
      <c r="BT167" s="27"/>
      <c r="BV167" s="27"/>
      <c r="BW167" s="16"/>
      <c r="BX167" s="16"/>
      <c r="BY167" s="27"/>
      <c r="CA167" s="27"/>
      <c r="CB167" s="16"/>
      <c r="CC167" s="16"/>
      <c r="CD167" s="27"/>
      <c r="CF167" s="27"/>
      <c r="CG167" s="16"/>
      <c r="CH167" s="16"/>
      <c r="CI167" s="27"/>
      <c r="CK167" s="27"/>
      <c r="CL167" s="16"/>
      <c r="CM167" s="16"/>
      <c r="CN167" s="27"/>
      <c r="CP167" s="27"/>
      <c r="CQ167" s="16"/>
      <c r="CR167" s="16"/>
      <c r="CS167" s="27"/>
      <c r="CU167" s="27"/>
      <c r="CV167" s="16"/>
      <c r="CW167" s="16"/>
      <c r="CX167" s="27"/>
      <c r="CZ167" s="27"/>
      <c r="DA167" s="16"/>
      <c r="DB167" s="16"/>
      <c r="DC167" s="27"/>
      <c r="DE167" s="27"/>
      <c r="DF167" s="16"/>
      <c r="DG167" s="16"/>
      <c r="DH167" s="27"/>
      <c r="DJ167" s="27"/>
      <c r="DK167" s="16"/>
      <c r="DL167" s="16"/>
      <c r="DM167" s="27"/>
      <c r="DO167" s="27"/>
      <c r="DP167" s="16"/>
      <c r="DQ167" s="16"/>
      <c r="DR167" s="27"/>
      <c r="DT167" s="27"/>
      <c r="DU167" s="16"/>
      <c r="DV167" s="16"/>
      <c r="DW167" s="27"/>
      <c r="DY167" s="27"/>
      <c r="DZ167" s="16"/>
      <c r="EA167" s="16"/>
      <c r="EB167" s="302"/>
    </row>
    <row r="168" spans="1:132" s="14" customFormat="1" ht="21" x14ac:dyDescent="0.4">
      <c r="A168" s="27"/>
      <c r="B168" s="27"/>
      <c r="C168" s="27"/>
      <c r="E168" s="16"/>
      <c r="F168" s="27"/>
      <c r="G168" s="27"/>
      <c r="I168" s="27"/>
      <c r="J168" s="16"/>
      <c r="K168" s="16"/>
      <c r="L168" s="27"/>
      <c r="N168" s="27"/>
      <c r="O168" s="16"/>
      <c r="P168" s="16"/>
      <c r="Q168" s="27"/>
      <c r="S168" s="27"/>
      <c r="T168" s="16"/>
      <c r="U168" s="16"/>
      <c r="V168" s="27"/>
      <c r="X168" s="27"/>
      <c r="Y168" s="16"/>
      <c r="Z168" s="16"/>
      <c r="AA168" s="27"/>
      <c r="AC168" s="27"/>
      <c r="AD168" s="16"/>
      <c r="AE168" s="16"/>
      <c r="AF168" s="27"/>
      <c r="AH168" s="27"/>
      <c r="AI168" s="16"/>
      <c r="AJ168" s="16"/>
      <c r="AK168" s="27"/>
      <c r="AM168" s="27"/>
      <c r="AN168" s="16"/>
      <c r="AO168" s="16"/>
      <c r="AP168" s="27"/>
      <c r="AR168" s="27"/>
      <c r="AS168" s="16"/>
      <c r="AT168" s="16"/>
      <c r="AU168" s="27"/>
      <c r="AW168" s="27"/>
      <c r="AX168" s="16"/>
      <c r="AY168" s="16"/>
      <c r="AZ168" s="27"/>
      <c r="BB168" s="27"/>
      <c r="BC168" s="16"/>
      <c r="BD168" s="16"/>
      <c r="BE168" s="27"/>
      <c r="BG168" s="27"/>
      <c r="BH168" s="16"/>
      <c r="BI168" s="16"/>
      <c r="BJ168" s="27"/>
      <c r="BL168" s="27"/>
      <c r="BM168" s="16"/>
      <c r="BN168" s="16"/>
      <c r="BO168" s="27"/>
      <c r="BQ168" s="27"/>
      <c r="BR168" s="16"/>
      <c r="BS168" s="16"/>
      <c r="BT168" s="27"/>
      <c r="BV168" s="27"/>
      <c r="BW168" s="16"/>
      <c r="BX168" s="16"/>
      <c r="BY168" s="27"/>
      <c r="CA168" s="27"/>
      <c r="CB168" s="16"/>
      <c r="CC168" s="16"/>
      <c r="CD168" s="27"/>
      <c r="CF168" s="27"/>
      <c r="CG168" s="16"/>
      <c r="CH168" s="16"/>
      <c r="CI168" s="27"/>
      <c r="CK168" s="27"/>
      <c r="CL168" s="16"/>
      <c r="CM168" s="16"/>
      <c r="CN168" s="27"/>
      <c r="CP168" s="27"/>
      <c r="CQ168" s="16"/>
      <c r="CR168" s="16"/>
      <c r="CS168" s="27"/>
      <c r="CU168" s="27"/>
      <c r="CV168" s="16"/>
      <c r="CW168" s="16"/>
      <c r="CX168" s="27"/>
      <c r="CZ168" s="27"/>
      <c r="DA168" s="16"/>
      <c r="DB168" s="16"/>
      <c r="DC168" s="27"/>
      <c r="DE168" s="27"/>
      <c r="DF168" s="16"/>
      <c r="DG168" s="16"/>
      <c r="DH168" s="27"/>
      <c r="DJ168" s="27"/>
      <c r="DK168" s="16"/>
      <c r="DL168" s="16"/>
      <c r="DM168" s="27"/>
      <c r="DO168" s="27"/>
      <c r="DP168" s="16"/>
      <c r="DQ168" s="16"/>
      <c r="DR168" s="27"/>
      <c r="DT168" s="27"/>
      <c r="DU168" s="16"/>
      <c r="DV168" s="16"/>
      <c r="DW168" s="27"/>
      <c r="DY168" s="27"/>
      <c r="DZ168" s="16"/>
      <c r="EA168" s="16"/>
      <c r="EB168" s="302"/>
    </row>
    <row r="169" spans="1:132" s="14" customFormat="1" ht="21" x14ac:dyDescent="0.4">
      <c r="A169" s="27"/>
      <c r="B169" s="27"/>
      <c r="C169" s="27"/>
      <c r="E169" s="16"/>
      <c r="F169" s="27"/>
      <c r="G169" s="27"/>
      <c r="I169" s="27"/>
      <c r="J169" s="16"/>
      <c r="K169" s="16"/>
      <c r="L169" s="27"/>
      <c r="N169" s="27"/>
      <c r="O169" s="16"/>
      <c r="P169" s="16"/>
      <c r="Q169" s="27"/>
      <c r="S169" s="27"/>
      <c r="T169" s="16"/>
      <c r="U169" s="16"/>
      <c r="V169" s="27"/>
      <c r="X169" s="27"/>
      <c r="Y169" s="16"/>
      <c r="Z169" s="16"/>
      <c r="AA169" s="27"/>
      <c r="AC169" s="27"/>
      <c r="AD169" s="16"/>
      <c r="AE169" s="16"/>
      <c r="AF169" s="27"/>
      <c r="AH169" s="27"/>
      <c r="AI169" s="16"/>
      <c r="AJ169" s="16"/>
      <c r="AK169" s="27"/>
      <c r="AM169" s="27"/>
      <c r="AN169" s="16"/>
      <c r="AO169" s="16"/>
      <c r="AP169" s="27"/>
      <c r="AR169" s="27"/>
      <c r="AS169" s="16"/>
      <c r="AT169" s="16"/>
      <c r="AU169" s="27"/>
      <c r="AW169" s="27"/>
      <c r="AX169" s="16"/>
      <c r="AY169" s="16"/>
      <c r="AZ169" s="27"/>
      <c r="BB169" s="27"/>
      <c r="BC169" s="16"/>
      <c r="BD169" s="16"/>
      <c r="BE169" s="27"/>
      <c r="BG169" s="27"/>
      <c r="BH169" s="16"/>
      <c r="BI169" s="16"/>
      <c r="BJ169" s="27"/>
      <c r="BL169" s="27"/>
      <c r="BM169" s="16"/>
      <c r="BN169" s="16"/>
      <c r="BO169" s="27"/>
      <c r="BQ169" s="27"/>
      <c r="BR169" s="16"/>
      <c r="BS169" s="16"/>
      <c r="BT169" s="27"/>
      <c r="BV169" s="27"/>
      <c r="BW169" s="16"/>
      <c r="BX169" s="16"/>
      <c r="BY169" s="27"/>
      <c r="CA169" s="27"/>
      <c r="CB169" s="16"/>
      <c r="CC169" s="16"/>
      <c r="CD169" s="27"/>
      <c r="CF169" s="27"/>
      <c r="CG169" s="16"/>
      <c r="CH169" s="16"/>
      <c r="CI169" s="27"/>
      <c r="CK169" s="27"/>
      <c r="CL169" s="16"/>
      <c r="CM169" s="16"/>
      <c r="CN169" s="27"/>
      <c r="CP169" s="27"/>
      <c r="CQ169" s="16"/>
      <c r="CR169" s="16"/>
      <c r="CS169" s="27"/>
      <c r="CU169" s="27"/>
      <c r="CV169" s="16"/>
      <c r="CW169" s="16"/>
      <c r="CX169" s="27"/>
      <c r="CZ169" s="27"/>
      <c r="DA169" s="16"/>
      <c r="DB169" s="16"/>
      <c r="DC169" s="27"/>
      <c r="DE169" s="27"/>
      <c r="DF169" s="16"/>
      <c r="DG169" s="16"/>
      <c r="DH169" s="27"/>
      <c r="DJ169" s="27"/>
      <c r="DK169" s="16"/>
      <c r="DL169" s="16"/>
      <c r="DM169" s="27"/>
      <c r="DO169" s="27"/>
      <c r="DP169" s="16"/>
      <c r="DQ169" s="16"/>
      <c r="DR169" s="27"/>
      <c r="DT169" s="27"/>
      <c r="DU169" s="16"/>
      <c r="DV169" s="16"/>
      <c r="DW169" s="27"/>
      <c r="DY169" s="27"/>
      <c r="DZ169" s="16"/>
      <c r="EA169" s="16"/>
      <c r="EB169" s="302"/>
    </row>
    <row r="170" spans="1:132" s="14" customFormat="1" ht="21" x14ac:dyDescent="0.4">
      <c r="A170" s="27"/>
      <c r="B170" s="27"/>
      <c r="C170" s="27"/>
      <c r="E170" s="16"/>
      <c r="F170" s="27"/>
      <c r="G170" s="27"/>
      <c r="I170" s="27"/>
      <c r="J170" s="16"/>
      <c r="K170" s="16"/>
      <c r="L170" s="27"/>
      <c r="N170" s="27"/>
      <c r="O170" s="16"/>
      <c r="P170" s="16"/>
      <c r="Q170" s="27"/>
      <c r="S170" s="27"/>
      <c r="T170" s="16"/>
      <c r="U170" s="16"/>
      <c r="V170" s="27"/>
      <c r="X170" s="27"/>
      <c r="Y170" s="16"/>
      <c r="Z170" s="16"/>
      <c r="AA170" s="27"/>
      <c r="AC170" s="27"/>
      <c r="AD170" s="16"/>
      <c r="AE170" s="16"/>
      <c r="AF170" s="27"/>
      <c r="AH170" s="27"/>
      <c r="AI170" s="16"/>
      <c r="AJ170" s="16"/>
      <c r="AK170" s="27"/>
      <c r="AM170" s="27"/>
      <c r="AN170" s="16"/>
      <c r="AO170" s="16"/>
      <c r="AP170" s="27"/>
      <c r="AR170" s="27"/>
      <c r="AS170" s="16"/>
      <c r="AT170" s="16"/>
      <c r="AU170" s="27"/>
      <c r="AW170" s="27"/>
      <c r="AX170" s="16"/>
      <c r="AY170" s="16"/>
      <c r="AZ170" s="27"/>
      <c r="BB170" s="27"/>
      <c r="BC170" s="16"/>
      <c r="BD170" s="16"/>
      <c r="BE170" s="27"/>
      <c r="BG170" s="27"/>
      <c r="BH170" s="16"/>
      <c r="BI170" s="16"/>
      <c r="BJ170" s="27"/>
      <c r="BL170" s="27"/>
      <c r="BM170" s="16"/>
      <c r="BN170" s="16"/>
      <c r="BO170" s="27"/>
      <c r="BQ170" s="27"/>
      <c r="BR170" s="16"/>
      <c r="BS170" s="16"/>
      <c r="BT170" s="27"/>
      <c r="BV170" s="27"/>
      <c r="BW170" s="16"/>
      <c r="BX170" s="16"/>
      <c r="BY170" s="27"/>
      <c r="CA170" s="27"/>
      <c r="CB170" s="16"/>
      <c r="CC170" s="16"/>
      <c r="CD170" s="27"/>
      <c r="CF170" s="27"/>
      <c r="CG170" s="16"/>
      <c r="CH170" s="16"/>
      <c r="CI170" s="27"/>
      <c r="CK170" s="27"/>
      <c r="CL170" s="16"/>
      <c r="CM170" s="16"/>
      <c r="CN170" s="27"/>
      <c r="CP170" s="27"/>
      <c r="CQ170" s="16"/>
      <c r="CR170" s="16"/>
      <c r="CS170" s="27"/>
      <c r="CU170" s="27"/>
      <c r="CV170" s="16"/>
      <c r="CW170" s="16"/>
      <c r="CX170" s="27"/>
      <c r="CZ170" s="27"/>
      <c r="DA170" s="16"/>
      <c r="DB170" s="16"/>
      <c r="DC170" s="27"/>
      <c r="DE170" s="27"/>
      <c r="DF170" s="16"/>
      <c r="DG170" s="16"/>
      <c r="DH170" s="27"/>
      <c r="DJ170" s="27"/>
      <c r="DK170" s="16"/>
      <c r="DL170" s="16"/>
      <c r="DM170" s="27"/>
      <c r="DO170" s="27"/>
      <c r="DP170" s="16"/>
      <c r="DQ170" s="16"/>
      <c r="DR170" s="27"/>
      <c r="DT170" s="27"/>
      <c r="DU170" s="16"/>
      <c r="DV170" s="16"/>
      <c r="DW170" s="27"/>
      <c r="DY170" s="27"/>
      <c r="DZ170" s="16"/>
      <c r="EA170" s="16"/>
      <c r="EB170" s="302"/>
    </row>
    <row r="171" spans="1:132" s="14" customFormat="1" ht="21" x14ac:dyDescent="0.4">
      <c r="A171" s="27"/>
      <c r="B171" s="27"/>
      <c r="C171" s="27"/>
      <c r="E171" s="16"/>
      <c r="F171" s="27"/>
      <c r="G171" s="27"/>
      <c r="I171" s="27"/>
      <c r="J171" s="16"/>
      <c r="K171" s="16"/>
      <c r="L171" s="27"/>
      <c r="N171" s="27"/>
      <c r="O171" s="16"/>
      <c r="P171" s="16"/>
      <c r="Q171" s="27"/>
      <c r="S171" s="27"/>
      <c r="T171" s="16"/>
      <c r="U171" s="16"/>
      <c r="V171" s="27"/>
      <c r="X171" s="27"/>
      <c r="Y171" s="16"/>
      <c r="Z171" s="16"/>
      <c r="AA171" s="27"/>
      <c r="AC171" s="27"/>
      <c r="AD171" s="16"/>
      <c r="AE171" s="16"/>
      <c r="AF171" s="27"/>
      <c r="AH171" s="27"/>
      <c r="AI171" s="16"/>
      <c r="AJ171" s="16"/>
      <c r="AK171" s="27"/>
      <c r="AM171" s="27"/>
      <c r="AN171" s="16"/>
      <c r="AO171" s="16"/>
      <c r="AP171" s="27"/>
      <c r="AR171" s="27"/>
      <c r="AS171" s="16"/>
      <c r="AT171" s="16"/>
      <c r="AU171" s="27"/>
      <c r="AW171" s="27"/>
      <c r="AX171" s="16"/>
      <c r="AY171" s="16"/>
      <c r="AZ171" s="27"/>
      <c r="BB171" s="27"/>
      <c r="BC171" s="16"/>
      <c r="BD171" s="16"/>
      <c r="BE171" s="27"/>
      <c r="BG171" s="27"/>
      <c r="BH171" s="16"/>
      <c r="BI171" s="16"/>
      <c r="BJ171" s="27"/>
      <c r="BL171" s="27"/>
      <c r="BM171" s="16"/>
      <c r="BN171" s="16"/>
      <c r="BO171" s="27"/>
      <c r="BQ171" s="27"/>
      <c r="BR171" s="16"/>
      <c r="BS171" s="16"/>
      <c r="BT171" s="27"/>
      <c r="BV171" s="27"/>
      <c r="BW171" s="16"/>
      <c r="BX171" s="16"/>
      <c r="BY171" s="27"/>
      <c r="CA171" s="27"/>
      <c r="CB171" s="16"/>
      <c r="CC171" s="16"/>
      <c r="CD171" s="27"/>
      <c r="CF171" s="27"/>
      <c r="CG171" s="16"/>
      <c r="CH171" s="16"/>
      <c r="CI171" s="27"/>
      <c r="CK171" s="27"/>
      <c r="CL171" s="16"/>
      <c r="CM171" s="16"/>
      <c r="CN171" s="27"/>
      <c r="CP171" s="27"/>
      <c r="CQ171" s="16"/>
      <c r="CR171" s="16"/>
      <c r="CS171" s="27"/>
      <c r="CU171" s="27"/>
      <c r="CV171" s="16"/>
      <c r="CW171" s="16"/>
      <c r="CX171" s="27"/>
      <c r="CZ171" s="27"/>
      <c r="DA171" s="16"/>
      <c r="DB171" s="16"/>
      <c r="DC171" s="27"/>
      <c r="DE171" s="27"/>
      <c r="DF171" s="16"/>
      <c r="DG171" s="16"/>
      <c r="DH171" s="27"/>
      <c r="DJ171" s="27"/>
      <c r="DK171" s="16"/>
      <c r="DL171" s="16"/>
      <c r="DM171" s="27"/>
      <c r="DO171" s="27"/>
      <c r="DP171" s="16"/>
      <c r="DQ171" s="16"/>
      <c r="DR171" s="27"/>
      <c r="DT171" s="27"/>
      <c r="DU171" s="16"/>
      <c r="DV171" s="16"/>
      <c r="DW171" s="27"/>
      <c r="DY171" s="27"/>
      <c r="DZ171" s="16"/>
      <c r="EA171" s="16"/>
      <c r="EB171" s="302"/>
    </row>
    <row r="172" spans="1:132" s="14" customFormat="1" ht="21" x14ac:dyDescent="0.4">
      <c r="A172" s="27"/>
      <c r="B172" s="27"/>
      <c r="C172" s="27"/>
      <c r="E172" s="16"/>
      <c r="F172" s="27"/>
      <c r="G172" s="27"/>
      <c r="I172" s="27"/>
      <c r="J172" s="16"/>
      <c r="K172" s="16"/>
      <c r="L172" s="27"/>
      <c r="N172" s="27"/>
      <c r="O172" s="16"/>
      <c r="P172" s="16"/>
      <c r="Q172" s="27"/>
      <c r="S172" s="27"/>
      <c r="T172" s="16"/>
      <c r="U172" s="16"/>
      <c r="V172" s="27"/>
      <c r="X172" s="27"/>
      <c r="Y172" s="16"/>
      <c r="Z172" s="16"/>
      <c r="AA172" s="27"/>
      <c r="AC172" s="27"/>
      <c r="AD172" s="16"/>
      <c r="AE172" s="16"/>
      <c r="AF172" s="27"/>
      <c r="AH172" s="27"/>
      <c r="AI172" s="16"/>
      <c r="AJ172" s="16"/>
      <c r="AK172" s="27"/>
      <c r="AM172" s="27"/>
      <c r="AN172" s="16"/>
      <c r="AO172" s="16"/>
      <c r="AP172" s="27"/>
      <c r="AR172" s="27"/>
      <c r="AS172" s="16"/>
      <c r="AT172" s="16"/>
      <c r="AU172" s="27"/>
      <c r="AW172" s="27"/>
      <c r="AX172" s="16"/>
      <c r="AY172" s="16"/>
      <c r="AZ172" s="27"/>
      <c r="BB172" s="27"/>
      <c r="BC172" s="16"/>
      <c r="BD172" s="16"/>
      <c r="BE172" s="27"/>
      <c r="BG172" s="27"/>
      <c r="BH172" s="16"/>
      <c r="BI172" s="16"/>
      <c r="BJ172" s="27"/>
      <c r="BL172" s="27"/>
      <c r="BM172" s="16"/>
      <c r="BN172" s="16"/>
      <c r="BO172" s="27"/>
      <c r="BQ172" s="27"/>
      <c r="BR172" s="16"/>
      <c r="BS172" s="16"/>
      <c r="BT172" s="27"/>
      <c r="BV172" s="27"/>
      <c r="BW172" s="16"/>
      <c r="BX172" s="16"/>
      <c r="BY172" s="27"/>
      <c r="CA172" s="27"/>
      <c r="CB172" s="16"/>
      <c r="CC172" s="16"/>
      <c r="CD172" s="27"/>
      <c r="CF172" s="27"/>
      <c r="CG172" s="16"/>
      <c r="CH172" s="16"/>
      <c r="CI172" s="27"/>
      <c r="CK172" s="27"/>
      <c r="CL172" s="16"/>
      <c r="CM172" s="16"/>
      <c r="CN172" s="27"/>
      <c r="CP172" s="27"/>
      <c r="CQ172" s="16"/>
      <c r="CR172" s="16"/>
      <c r="CS172" s="27"/>
      <c r="CU172" s="27"/>
      <c r="CV172" s="16"/>
      <c r="CW172" s="16"/>
      <c r="CX172" s="27"/>
      <c r="CZ172" s="27"/>
      <c r="DA172" s="16"/>
      <c r="DB172" s="16"/>
      <c r="DC172" s="27"/>
      <c r="DE172" s="27"/>
      <c r="DF172" s="16"/>
      <c r="DG172" s="16"/>
      <c r="DH172" s="27"/>
      <c r="DJ172" s="27"/>
      <c r="DK172" s="16"/>
      <c r="DL172" s="16"/>
      <c r="DM172" s="27"/>
      <c r="DO172" s="27"/>
      <c r="DP172" s="16"/>
      <c r="DQ172" s="16"/>
      <c r="DR172" s="27"/>
      <c r="DT172" s="27"/>
      <c r="DU172" s="16"/>
      <c r="DV172" s="16"/>
      <c r="DW172" s="27"/>
      <c r="DY172" s="27"/>
      <c r="DZ172" s="16"/>
      <c r="EA172" s="16"/>
      <c r="EB172" s="302"/>
    </row>
    <row r="173" spans="1:132" s="14" customFormat="1" ht="21" x14ac:dyDescent="0.4">
      <c r="A173" s="27"/>
      <c r="B173" s="27"/>
      <c r="C173" s="27"/>
      <c r="E173" s="16"/>
      <c r="F173" s="27"/>
      <c r="G173" s="27"/>
      <c r="I173" s="27"/>
      <c r="J173" s="16"/>
      <c r="K173" s="16"/>
      <c r="L173" s="27"/>
      <c r="N173" s="27"/>
      <c r="O173" s="16"/>
      <c r="P173" s="16"/>
      <c r="Q173" s="27"/>
      <c r="S173" s="27"/>
      <c r="T173" s="16"/>
      <c r="U173" s="16"/>
      <c r="V173" s="27"/>
      <c r="X173" s="27"/>
      <c r="Y173" s="16"/>
      <c r="Z173" s="16"/>
      <c r="AA173" s="27"/>
      <c r="AC173" s="27"/>
      <c r="AD173" s="16"/>
      <c r="AE173" s="16"/>
      <c r="AF173" s="27"/>
      <c r="AH173" s="27"/>
      <c r="AI173" s="16"/>
      <c r="AJ173" s="16"/>
      <c r="AK173" s="27"/>
      <c r="AM173" s="27"/>
      <c r="AN173" s="16"/>
      <c r="AO173" s="16"/>
      <c r="AP173" s="27"/>
      <c r="AR173" s="27"/>
      <c r="AS173" s="16"/>
      <c r="AT173" s="16"/>
      <c r="AU173" s="27"/>
      <c r="AW173" s="27"/>
      <c r="AX173" s="16"/>
      <c r="AY173" s="16"/>
      <c r="AZ173" s="27"/>
      <c r="BB173" s="27"/>
      <c r="BC173" s="16"/>
      <c r="BD173" s="16"/>
      <c r="BE173" s="27"/>
      <c r="BG173" s="27"/>
      <c r="BH173" s="16"/>
      <c r="BI173" s="16"/>
      <c r="BJ173" s="27"/>
      <c r="BL173" s="27"/>
      <c r="BM173" s="16"/>
      <c r="BN173" s="16"/>
      <c r="BO173" s="27"/>
      <c r="BQ173" s="27"/>
      <c r="BR173" s="16"/>
      <c r="BS173" s="16"/>
      <c r="BT173" s="27"/>
      <c r="BV173" s="27"/>
      <c r="BW173" s="16"/>
      <c r="BX173" s="16"/>
      <c r="BY173" s="27"/>
      <c r="CA173" s="27"/>
      <c r="CB173" s="16"/>
      <c r="CC173" s="16"/>
      <c r="CD173" s="27"/>
      <c r="CF173" s="27"/>
      <c r="CG173" s="16"/>
      <c r="CH173" s="16"/>
      <c r="CI173" s="27"/>
      <c r="CK173" s="27"/>
      <c r="CL173" s="16"/>
      <c r="CM173" s="16"/>
      <c r="CN173" s="27"/>
      <c r="CP173" s="27"/>
      <c r="CQ173" s="16"/>
      <c r="CR173" s="16"/>
      <c r="CS173" s="27"/>
      <c r="CU173" s="27"/>
      <c r="CV173" s="16"/>
      <c r="CW173" s="16"/>
      <c r="CX173" s="27"/>
      <c r="CZ173" s="27"/>
      <c r="DA173" s="16"/>
      <c r="DB173" s="16"/>
      <c r="DC173" s="27"/>
      <c r="DE173" s="27"/>
      <c r="DF173" s="16"/>
      <c r="DG173" s="16"/>
      <c r="DH173" s="27"/>
      <c r="DJ173" s="27"/>
      <c r="DK173" s="16"/>
      <c r="DL173" s="16"/>
      <c r="DM173" s="27"/>
      <c r="DO173" s="27"/>
      <c r="DP173" s="16"/>
      <c r="DQ173" s="16"/>
      <c r="DR173" s="27"/>
      <c r="DT173" s="27"/>
      <c r="DU173" s="16"/>
      <c r="DV173" s="16"/>
      <c r="DW173" s="27"/>
      <c r="DY173" s="27"/>
      <c r="DZ173" s="16"/>
      <c r="EA173" s="16"/>
      <c r="EB173" s="302"/>
    </row>
    <row r="174" spans="1:132" s="14" customFormat="1" ht="21" x14ac:dyDescent="0.4">
      <c r="A174" s="27"/>
      <c r="B174" s="27"/>
      <c r="C174" s="27"/>
      <c r="E174" s="16"/>
      <c r="F174" s="27"/>
      <c r="G174" s="27"/>
      <c r="I174" s="27"/>
      <c r="J174" s="16"/>
      <c r="K174" s="16"/>
      <c r="L174" s="27"/>
      <c r="N174" s="27"/>
      <c r="O174" s="16"/>
      <c r="P174" s="16"/>
      <c r="Q174" s="27"/>
      <c r="S174" s="27"/>
      <c r="T174" s="16"/>
      <c r="U174" s="16"/>
      <c r="V174" s="27"/>
      <c r="X174" s="27"/>
      <c r="Y174" s="16"/>
      <c r="Z174" s="16"/>
      <c r="AA174" s="27"/>
      <c r="AC174" s="27"/>
      <c r="AD174" s="16"/>
      <c r="AE174" s="16"/>
      <c r="AF174" s="27"/>
      <c r="AH174" s="27"/>
      <c r="AI174" s="16"/>
      <c r="AJ174" s="16"/>
      <c r="AK174" s="27"/>
      <c r="AM174" s="27"/>
      <c r="AN174" s="16"/>
      <c r="AO174" s="16"/>
      <c r="AP174" s="27"/>
      <c r="AR174" s="27"/>
      <c r="AS174" s="16"/>
      <c r="AT174" s="16"/>
      <c r="AU174" s="27"/>
      <c r="AW174" s="27"/>
      <c r="AX174" s="16"/>
      <c r="AY174" s="16"/>
      <c r="AZ174" s="27"/>
      <c r="BB174" s="27"/>
      <c r="BC174" s="16"/>
      <c r="BD174" s="16"/>
      <c r="BE174" s="27"/>
      <c r="BG174" s="27"/>
      <c r="BH174" s="16"/>
      <c r="BI174" s="16"/>
      <c r="BJ174" s="27"/>
      <c r="BL174" s="27"/>
      <c r="BM174" s="16"/>
      <c r="BN174" s="16"/>
      <c r="BO174" s="27"/>
      <c r="BQ174" s="27"/>
      <c r="BR174" s="16"/>
      <c r="BS174" s="16"/>
      <c r="BT174" s="27"/>
      <c r="BV174" s="27"/>
      <c r="BW174" s="16"/>
      <c r="BX174" s="16"/>
      <c r="BY174" s="27"/>
      <c r="CA174" s="27"/>
      <c r="CB174" s="16"/>
      <c r="CC174" s="16"/>
      <c r="CD174" s="27"/>
      <c r="CF174" s="27"/>
      <c r="CG174" s="16"/>
      <c r="CH174" s="16"/>
      <c r="CI174" s="27"/>
      <c r="CK174" s="27"/>
      <c r="CL174" s="16"/>
      <c r="CM174" s="16"/>
      <c r="CN174" s="27"/>
      <c r="CP174" s="27"/>
      <c r="CQ174" s="16"/>
      <c r="CR174" s="16"/>
      <c r="CS174" s="27"/>
      <c r="CU174" s="27"/>
      <c r="CV174" s="16"/>
      <c r="CW174" s="16"/>
      <c r="CX174" s="27"/>
      <c r="CZ174" s="27"/>
      <c r="DA174" s="16"/>
      <c r="DB174" s="16"/>
      <c r="DC174" s="27"/>
      <c r="DE174" s="27"/>
      <c r="DF174" s="16"/>
      <c r="DG174" s="16"/>
      <c r="DH174" s="27"/>
      <c r="DJ174" s="27"/>
      <c r="DK174" s="16"/>
      <c r="DL174" s="16"/>
      <c r="DM174" s="27"/>
      <c r="DO174" s="27"/>
      <c r="DP174" s="16"/>
      <c r="DQ174" s="16"/>
      <c r="DR174" s="27"/>
      <c r="DT174" s="27"/>
      <c r="DU174" s="16"/>
      <c r="DV174" s="16"/>
      <c r="DW174" s="27"/>
      <c r="DY174" s="27"/>
      <c r="DZ174" s="16"/>
      <c r="EA174" s="16"/>
      <c r="EB174" s="302"/>
    </row>
    <row r="175" spans="1:132" s="14" customFormat="1" ht="21" x14ac:dyDescent="0.4">
      <c r="A175" s="27"/>
      <c r="B175" s="27"/>
      <c r="C175" s="27"/>
      <c r="E175" s="16"/>
      <c r="F175" s="27"/>
      <c r="G175" s="27"/>
      <c r="I175" s="27"/>
      <c r="J175" s="16"/>
      <c r="K175" s="16"/>
      <c r="L175" s="27"/>
      <c r="N175" s="27"/>
      <c r="O175" s="16"/>
      <c r="P175" s="16"/>
      <c r="Q175" s="27"/>
      <c r="S175" s="27"/>
      <c r="T175" s="16"/>
      <c r="U175" s="16"/>
      <c r="V175" s="27"/>
      <c r="X175" s="27"/>
      <c r="Y175" s="16"/>
      <c r="Z175" s="16"/>
      <c r="AA175" s="27"/>
      <c r="AC175" s="27"/>
      <c r="AD175" s="16"/>
      <c r="AE175" s="16"/>
      <c r="AF175" s="27"/>
      <c r="AH175" s="27"/>
      <c r="AI175" s="16"/>
      <c r="AJ175" s="16"/>
      <c r="AK175" s="27"/>
      <c r="AM175" s="27"/>
      <c r="AN175" s="16"/>
      <c r="AO175" s="16"/>
      <c r="AP175" s="27"/>
      <c r="AR175" s="27"/>
      <c r="AS175" s="16"/>
      <c r="AT175" s="16"/>
      <c r="AU175" s="27"/>
      <c r="AW175" s="27"/>
      <c r="AX175" s="16"/>
      <c r="AY175" s="16"/>
      <c r="AZ175" s="27"/>
      <c r="BB175" s="27"/>
      <c r="BC175" s="16"/>
      <c r="BD175" s="16"/>
      <c r="BE175" s="27"/>
      <c r="BG175" s="27"/>
      <c r="BH175" s="16"/>
      <c r="BI175" s="16"/>
      <c r="BJ175" s="27"/>
      <c r="BL175" s="27"/>
      <c r="BM175" s="16"/>
      <c r="BN175" s="16"/>
      <c r="BO175" s="27"/>
      <c r="BQ175" s="27"/>
      <c r="BR175" s="16"/>
      <c r="BS175" s="16"/>
      <c r="BT175" s="27"/>
      <c r="BV175" s="27"/>
      <c r="BW175" s="16"/>
      <c r="BX175" s="16"/>
      <c r="BY175" s="27"/>
      <c r="CA175" s="27"/>
      <c r="CB175" s="16"/>
      <c r="CC175" s="16"/>
      <c r="CD175" s="27"/>
      <c r="CF175" s="27"/>
      <c r="CG175" s="16"/>
      <c r="CH175" s="16"/>
      <c r="CI175" s="27"/>
      <c r="CK175" s="27"/>
      <c r="CL175" s="16"/>
      <c r="CM175" s="16"/>
      <c r="CN175" s="27"/>
      <c r="CP175" s="27"/>
      <c r="CQ175" s="16"/>
      <c r="CR175" s="16"/>
      <c r="CS175" s="27"/>
      <c r="CU175" s="27"/>
      <c r="CV175" s="16"/>
      <c r="CW175" s="16"/>
      <c r="CX175" s="27"/>
      <c r="CZ175" s="27"/>
      <c r="DA175" s="16"/>
      <c r="DB175" s="16"/>
      <c r="DC175" s="27"/>
      <c r="DE175" s="27"/>
      <c r="DF175" s="16"/>
      <c r="DG175" s="16"/>
      <c r="DH175" s="27"/>
      <c r="DJ175" s="27"/>
      <c r="DK175" s="16"/>
      <c r="DL175" s="16"/>
      <c r="DM175" s="27"/>
      <c r="DO175" s="27"/>
      <c r="DP175" s="16"/>
      <c r="DQ175" s="16"/>
      <c r="DR175" s="27"/>
      <c r="DT175" s="27"/>
      <c r="DU175" s="16"/>
      <c r="DV175" s="16"/>
      <c r="DW175" s="27"/>
      <c r="DY175" s="27"/>
      <c r="DZ175" s="16"/>
      <c r="EA175" s="16"/>
      <c r="EB175" s="302"/>
    </row>
    <row r="176" spans="1:132" s="14" customFormat="1" ht="21" x14ac:dyDescent="0.4">
      <c r="A176" s="27"/>
      <c r="B176" s="27"/>
      <c r="C176" s="27"/>
      <c r="E176" s="16"/>
      <c r="F176" s="27"/>
      <c r="G176" s="27"/>
      <c r="I176" s="27"/>
      <c r="J176" s="16"/>
      <c r="K176" s="16"/>
      <c r="L176" s="27"/>
      <c r="N176" s="27"/>
      <c r="O176" s="16"/>
      <c r="P176" s="16"/>
      <c r="Q176" s="27"/>
      <c r="S176" s="27"/>
      <c r="T176" s="16"/>
      <c r="U176" s="16"/>
      <c r="V176" s="27"/>
      <c r="X176" s="27"/>
      <c r="Y176" s="16"/>
      <c r="Z176" s="16"/>
      <c r="AA176" s="27"/>
      <c r="AC176" s="27"/>
      <c r="AD176" s="16"/>
      <c r="AE176" s="16"/>
      <c r="AF176" s="27"/>
      <c r="AH176" s="27"/>
      <c r="AI176" s="16"/>
      <c r="AJ176" s="16"/>
      <c r="AK176" s="27"/>
      <c r="AM176" s="27"/>
      <c r="AN176" s="16"/>
      <c r="AO176" s="16"/>
      <c r="AP176" s="27"/>
      <c r="AR176" s="27"/>
      <c r="AS176" s="16"/>
      <c r="AT176" s="16"/>
      <c r="AU176" s="27"/>
      <c r="AW176" s="27"/>
      <c r="AX176" s="16"/>
      <c r="AY176" s="16"/>
      <c r="AZ176" s="27"/>
      <c r="BB176" s="27"/>
      <c r="BC176" s="16"/>
      <c r="BD176" s="16"/>
      <c r="BE176" s="27"/>
      <c r="BG176" s="27"/>
      <c r="BH176" s="16"/>
      <c r="BI176" s="16"/>
      <c r="BJ176" s="27"/>
      <c r="BL176" s="27"/>
      <c r="BM176" s="16"/>
      <c r="BN176" s="16"/>
      <c r="BO176" s="27"/>
      <c r="BQ176" s="27"/>
      <c r="BR176" s="16"/>
      <c r="BS176" s="16"/>
      <c r="BT176" s="27"/>
      <c r="BV176" s="27"/>
      <c r="BW176" s="16"/>
      <c r="BX176" s="16"/>
      <c r="BY176" s="27"/>
      <c r="CA176" s="27"/>
      <c r="CB176" s="16"/>
      <c r="CC176" s="16"/>
      <c r="CD176" s="27"/>
      <c r="CF176" s="27"/>
      <c r="CG176" s="16"/>
      <c r="CH176" s="16"/>
      <c r="CI176" s="27"/>
      <c r="CK176" s="27"/>
      <c r="CL176" s="16"/>
      <c r="CM176" s="16"/>
      <c r="CN176" s="27"/>
      <c r="CP176" s="27"/>
      <c r="CQ176" s="16"/>
      <c r="CR176" s="16"/>
      <c r="CS176" s="27"/>
      <c r="CU176" s="27"/>
      <c r="CV176" s="16"/>
      <c r="CW176" s="16"/>
      <c r="CX176" s="27"/>
      <c r="CZ176" s="27"/>
      <c r="DA176" s="16"/>
      <c r="DB176" s="16"/>
      <c r="DC176" s="27"/>
      <c r="DE176" s="27"/>
      <c r="DF176" s="16"/>
      <c r="DG176" s="16"/>
      <c r="DH176" s="27"/>
      <c r="DJ176" s="27"/>
      <c r="DK176" s="16"/>
      <c r="DL176" s="16"/>
      <c r="DM176" s="27"/>
      <c r="DO176" s="27"/>
      <c r="DP176" s="16"/>
      <c r="DQ176" s="16"/>
      <c r="DR176" s="27"/>
      <c r="DT176" s="27"/>
      <c r="DU176" s="16"/>
      <c r="DV176" s="16"/>
      <c r="DW176" s="27"/>
      <c r="DY176" s="27"/>
      <c r="DZ176" s="16"/>
      <c r="EA176" s="16"/>
      <c r="EB176" s="302"/>
    </row>
    <row r="177" spans="1:132" s="14" customFormat="1" ht="21" x14ac:dyDescent="0.4">
      <c r="A177" s="27"/>
      <c r="B177" s="27"/>
      <c r="C177" s="27"/>
      <c r="E177" s="16"/>
      <c r="F177" s="27"/>
      <c r="G177" s="27"/>
      <c r="I177" s="27"/>
      <c r="J177" s="16"/>
      <c r="K177" s="16"/>
      <c r="L177" s="27"/>
      <c r="N177" s="27"/>
      <c r="O177" s="16"/>
      <c r="P177" s="16"/>
      <c r="Q177" s="27"/>
      <c r="S177" s="27"/>
      <c r="T177" s="16"/>
      <c r="U177" s="16"/>
      <c r="V177" s="27"/>
      <c r="X177" s="27"/>
      <c r="Y177" s="16"/>
      <c r="Z177" s="16"/>
      <c r="AA177" s="27"/>
      <c r="AC177" s="27"/>
      <c r="AD177" s="16"/>
      <c r="AE177" s="16"/>
      <c r="AF177" s="27"/>
      <c r="AH177" s="27"/>
      <c r="AI177" s="16"/>
      <c r="AJ177" s="16"/>
      <c r="AK177" s="27"/>
      <c r="AM177" s="27"/>
      <c r="AN177" s="16"/>
      <c r="AO177" s="16"/>
      <c r="AP177" s="27"/>
      <c r="AR177" s="27"/>
      <c r="AS177" s="16"/>
      <c r="AT177" s="16"/>
      <c r="AU177" s="27"/>
      <c r="AW177" s="27"/>
      <c r="AX177" s="16"/>
      <c r="AY177" s="16"/>
      <c r="AZ177" s="27"/>
      <c r="BB177" s="27"/>
      <c r="BC177" s="16"/>
      <c r="BD177" s="16"/>
      <c r="BE177" s="27"/>
      <c r="BG177" s="27"/>
      <c r="BH177" s="16"/>
      <c r="BI177" s="16"/>
      <c r="BJ177" s="27"/>
      <c r="BL177" s="27"/>
      <c r="BM177" s="16"/>
      <c r="BN177" s="16"/>
      <c r="BO177" s="27"/>
      <c r="BQ177" s="27"/>
      <c r="BR177" s="16"/>
      <c r="BS177" s="16"/>
      <c r="BT177" s="27"/>
      <c r="BV177" s="27"/>
      <c r="BW177" s="16"/>
      <c r="BX177" s="16"/>
      <c r="BY177" s="27"/>
      <c r="CA177" s="27"/>
      <c r="CB177" s="16"/>
      <c r="CC177" s="16"/>
      <c r="CD177" s="27"/>
      <c r="CF177" s="27"/>
      <c r="CG177" s="16"/>
      <c r="CH177" s="16"/>
      <c r="CI177" s="27"/>
      <c r="CK177" s="27"/>
      <c r="CL177" s="16"/>
      <c r="CM177" s="16"/>
      <c r="CN177" s="27"/>
      <c r="CP177" s="27"/>
      <c r="CQ177" s="16"/>
      <c r="CR177" s="16"/>
      <c r="CS177" s="27"/>
      <c r="CU177" s="27"/>
      <c r="CV177" s="16"/>
      <c r="CW177" s="16"/>
      <c r="CX177" s="27"/>
      <c r="CZ177" s="27"/>
      <c r="DA177" s="16"/>
      <c r="DB177" s="16"/>
      <c r="DC177" s="27"/>
      <c r="DE177" s="27"/>
      <c r="DF177" s="16"/>
      <c r="DG177" s="16"/>
      <c r="DH177" s="27"/>
      <c r="DJ177" s="27"/>
      <c r="DK177" s="16"/>
      <c r="DL177" s="16"/>
      <c r="DM177" s="27"/>
      <c r="DO177" s="27"/>
      <c r="DP177" s="16"/>
      <c r="DQ177" s="16"/>
      <c r="DR177" s="27"/>
      <c r="DT177" s="27"/>
      <c r="DU177" s="16"/>
      <c r="DV177" s="16"/>
      <c r="DW177" s="27"/>
      <c r="DY177" s="27"/>
      <c r="DZ177" s="16"/>
      <c r="EA177" s="16"/>
      <c r="EB177" s="302"/>
    </row>
    <row r="178" spans="1:132" s="14" customFormat="1" ht="21" x14ac:dyDescent="0.4">
      <c r="A178" s="27"/>
      <c r="B178" s="27"/>
      <c r="C178" s="27"/>
      <c r="E178" s="16"/>
      <c r="F178" s="27"/>
      <c r="G178" s="27"/>
      <c r="I178" s="27"/>
      <c r="J178" s="16"/>
      <c r="K178" s="16"/>
      <c r="L178" s="27"/>
      <c r="N178" s="27"/>
      <c r="O178" s="16"/>
      <c r="P178" s="16"/>
      <c r="Q178" s="27"/>
      <c r="S178" s="27"/>
      <c r="T178" s="16"/>
      <c r="U178" s="16"/>
      <c r="V178" s="27"/>
      <c r="X178" s="27"/>
      <c r="Y178" s="16"/>
      <c r="Z178" s="16"/>
      <c r="AA178" s="27"/>
      <c r="AC178" s="27"/>
      <c r="AD178" s="16"/>
      <c r="AE178" s="16"/>
      <c r="AF178" s="27"/>
      <c r="AH178" s="27"/>
      <c r="AI178" s="16"/>
      <c r="AJ178" s="16"/>
      <c r="AK178" s="27"/>
      <c r="AM178" s="27"/>
      <c r="AN178" s="16"/>
      <c r="AO178" s="16"/>
      <c r="AP178" s="27"/>
      <c r="AR178" s="27"/>
      <c r="AS178" s="16"/>
      <c r="AT178" s="16"/>
      <c r="AU178" s="27"/>
      <c r="AW178" s="27"/>
      <c r="AX178" s="16"/>
      <c r="AY178" s="16"/>
      <c r="AZ178" s="27"/>
      <c r="BB178" s="27"/>
      <c r="BC178" s="16"/>
      <c r="BD178" s="16"/>
      <c r="BE178" s="27"/>
      <c r="BG178" s="27"/>
      <c r="BH178" s="16"/>
      <c r="BI178" s="16"/>
      <c r="BJ178" s="27"/>
      <c r="BL178" s="27"/>
      <c r="BM178" s="16"/>
      <c r="BN178" s="16"/>
      <c r="BO178" s="27"/>
      <c r="BQ178" s="27"/>
      <c r="BR178" s="16"/>
      <c r="BS178" s="16"/>
      <c r="BT178" s="27"/>
      <c r="BV178" s="27"/>
      <c r="BW178" s="16"/>
      <c r="BX178" s="16"/>
      <c r="BY178" s="27"/>
      <c r="CA178" s="27"/>
      <c r="CB178" s="16"/>
      <c r="CC178" s="16"/>
      <c r="CD178" s="27"/>
      <c r="CF178" s="27"/>
      <c r="CG178" s="16"/>
      <c r="CH178" s="16"/>
      <c r="CI178" s="27"/>
      <c r="CK178" s="27"/>
      <c r="CL178" s="16"/>
      <c r="CM178" s="16"/>
      <c r="CN178" s="27"/>
      <c r="CP178" s="27"/>
      <c r="CQ178" s="16"/>
      <c r="CR178" s="16"/>
      <c r="CS178" s="27"/>
      <c r="CU178" s="27"/>
      <c r="CV178" s="16"/>
      <c r="CW178" s="16"/>
      <c r="CX178" s="27"/>
      <c r="CZ178" s="27"/>
      <c r="DA178" s="16"/>
      <c r="DB178" s="16"/>
      <c r="DC178" s="27"/>
      <c r="DE178" s="27"/>
      <c r="DF178" s="16"/>
      <c r="DG178" s="16"/>
      <c r="DH178" s="27"/>
      <c r="DJ178" s="27"/>
      <c r="DK178" s="16"/>
      <c r="DL178" s="16"/>
      <c r="DM178" s="27"/>
      <c r="DO178" s="27"/>
      <c r="DP178" s="16"/>
      <c r="DQ178" s="16"/>
      <c r="DR178" s="27"/>
      <c r="DT178" s="27"/>
      <c r="DU178" s="16"/>
      <c r="DV178" s="16"/>
      <c r="DW178" s="27"/>
      <c r="DY178" s="27"/>
      <c r="DZ178" s="16"/>
      <c r="EA178" s="16"/>
      <c r="EB178" s="302"/>
    </row>
    <row r="179" spans="1:132" s="14" customFormat="1" ht="21" x14ac:dyDescent="0.4">
      <c r="A179" s="27"/>
      <c r="B179" s="27"/>
      <c r="C179" s="27"/>
      <c r="E179" s="16"/>
      <c r="F179" s="27"/>
      <c r="G179" s="27"/>
      <c r="I179" s="27"/>
      <c r="J179" s="16"/>
      <c r="K179" s="16"/>
      <c r="L179" s="27"/>
      <c r="N179" s="27"/>
      <c r="O179" s="16"/>
      <c r="P179" s="16"/>
      <c r="Q179" s="27"/>
      <c r="S179" s="27"/>
      <c r="T179" s="16"/>
      <c r="U179" s="16"/>
      <c r="V179" s="27"/>
      <c r="X179" s="27"/>
      <c r="Y179" s="16"/>
      <c r="Z179" s="16"/>
      <c r="AA179" s="27"/>
      <c r="AC179" s="27"/>
      <c r="AD179" s="16"/>
      <c r="AE179" s="16"/>
      <c r="AF179" s="27"/>
      <c r="AH179" s="27"/>
      <c r="AI179" s="16"/>
      <c r="AJ179" s="16"/>
      <c r="AK179" s="27"/>
      <c r="AM179" s="27"/>
      <c r="AN179" s="16"/>
      <c r="AO179" s="16"/>
      <c r="AP179" s="27"/>
      <c r="AR179" s="27"/>
      <c r="AS179" s="16"/>
      <c r="AT179" s="16"/>
      <c r="AU179" s="27"/>
      <c r="AW179" s="27"/>
      <c r="AX179" s="16"/>
      <c r="AY179" s="16"/>
      <c r="AZ179" s="27"/>
      <c r="BB179" s="27"/>
      <c r="BC179" s="16"/>
      <c r="BD179" s="16"/>
      <c r="BE179" s="27"/>
      <c r="BG179" s="27"/>
      <c r="BH179" s="16"/>
      <c r="BI179" s="16"/>
      <c r="BJ179" s="27"/>
      <c r="BL179" s="27"/>
      <c r="BM179" s="16"/>
      <c r="BN179" s="16"/>
      <c r="BO179" s="27"/>
      <c r="BQ179" s="27"/>
      <c r="BR179" s="16"/>
      <c r="BS179" s="16"/>
      <c r="BT179" s="27"/>
      <c r="BV179" s="27"/>
      <c r="BW179" s="16"/>
      <c r="BX179" s="16"/>
      <c r="BY179" s="27"/>
      <c r="CA179" s="27"/>
      <c r="CB179" s="16"/>
      <c r="CC179" s="16"/>
      <c r="CD179" s="27"/>
      <c r="CF179" s="27"/>
      <c r="CG179" s="16"/>
      <c r="CH179" s="16"/>
      <c r="CI179" s="27"/>
      <c r="CK179" s="27"/>
      <c r="CL179" s="16"/>
      <c r="CM179" s="16"/>
      <c r="CN179" s="27"/>
      <c r="CP179" s="27"/>
      <c r="CQ179" s="16"/>
      <c r="CR179" s="16"/>
      <c r="CS179" s="27"/>
      <c r="CU179" s="27"/>
      <c r="CV179" s="16"/>
      <c r="CW179" s="16"/>
      <c r="CX179" s="27"/>
      <c r="CZ179" s="27"/>
      <c r="DA179" s="16"/>
      <c r="DB179" s="16"/>
      <c r="DC179" s="27"/>
      <c r="DE179" s="27"/>
      <c r="DF179" s="16"/>
      <c r="DG179" s="16"/>
      <c r="DH179" s="27"/>
      <c r="DJ179" s="27"/>
      <c r="DK179" s="16"/>
      <c r="DL179" s="16"/>
      <c r="DM179" s="27"/>
      <c r="DO179" s="27"/>
      <c r="DP179" s="16"/>
      <c r="DQ179" s="16"/>
      <c r="DR179" s="27"/>
      <c r="DT179" s="27"/>
      <c r="DU179" s="16"/>
      <c r="DV179" s="16"/>
      <c r="DW179" s="27"/>
      <c r="DY179" s="27"/>
      <c r="DZ179" s="16"/>
      <c r="EA179" s="16"/>
      <c r="EB179" s="302"/>
    </row>
    <row r="180" spans="1:132" s="14" customFormat="1" ht="21" x14ac:dyDescent="0.4">
      <c r="A180" s="27"/>
      <c r="B180" s="27"/>
      <c r="C180" s="27"/>
      <c r="E180" s="16"/>
      <c r="F180" s="27"/>
      <c r="G180" s="27"/>
      <c r="I180" s="27"/>
      <c r="J180" s="16"/>
      <c r="K180" s="16"/>
      <c r="L180" s="27"/>
      <c r="N180" s="27"/>
      <c r="O180" s="16"/>
      <c r="P180" s="16"/>
      <c r="Q180" s="27"/>
      <c r="S180" s="27"/>
      <c r="T180" s="16"/>
      <c r="U180" s="16"/>
      <c r="V180" s="27"/>
      <c r="X180" s="27"/>
      <c r="Y180" s="16"/>
      <c r="Z180" s="16"/>
      <c r="AA180" s="27"/>
      <c r="AC180" s="27"/>
      <c r="AD180" s="16"/>
      <c r="AE180" s="16"/>
      <c r="AF180" s="27"/>
      <c r="AH180" s="27"/>
      <c r="AI180" s="16"/>
      <c r="AJ180" s="16"/>
      <c r="AK180" s="27"/>
      <c r="AM180" s="27"/>
      <c r="AN180" s="16"/>
      <c r="AO180" s="16"/>
      <c r="AP180" s="27"/>
      <c r="AR180" s="27"/>
      <c r="AS180" s="16"/>
      <c r="AT180" s="16"/>
      <c r="AU180" s="27"/>
      <c r="AW180" s="27"/>
      <c r="AX180" s="16"/>
      <c r="AY180" s="16"/>
      <c r="AZ180" s="27"/>
      <c r="BB180" s="27"/>
      <c r="BC180" s="16"/>
      <c r="BD180" s="16"/>
      <c r="BE180" s="27"/>
      <c r="BG180" s="27"/>
      <c r="BH180" s="16"/>
      <c r="BI180" s="16"/>
      <c r="BJ180" s="27"/>
      <c r="BL180" s="27"/>
      <c r="BM180" s="16"/>
      <c r="BN180" s="16"/>
      <c r="BO180" s="27"/>
      <c r="BQ180" s="27"/>
      <c r="BR180" s="16"/>
      <c r="BS180" s="16"/>
      <c r="BT180" s="27"/>
      <c r="BV180" s="27"/>
      <c r="BW180" s="16"/>
      <c r="BX180" s="16"/>
      <c r="BY180" s="27"/>
      <c r="CA180" s="27"/>
      <c r="CB180" s="16"/>
      <c r="CC180" s="16"/>
      <c r="CD180" s="27"/>
      <c r="CF180" s="27"/>
      <c r="CG180" s="16"/>
      <c r="CH180" s="16"/>
      <c r="CI180" s="27"/>
      <c r="CK180" s="27"/>
      <c r="CL180" s="16"/>
      <c r="CM180" s="16"/>
      <c r="CN180" s="27"/>
      <c r="CP180" s="27"/>
      <c r="CQ180" s="16"/>
      <c r="CR180" s="16"/>
      <c r="CS180" s="27"/>
      <c r="CU180" s="27"/>
      <c r="CV180" s="16"/>
      <c r="CW180" s="16"/>
      <c r="CX180" s="27"/>
      <c r="CZ180" s="27"/>
      <c r="DA180" s="16"/>
      <c r="DB180" s="16"/>
      <c r="DC180" s="27"/>
      <c r="DE180" s="27"/>
      <c r="DF180" s="16"/>
      <c r="DG180" s="16"/>
      <c r="DH180" s="27"/>
      <c r="DJ180" s="27"/>
      <c r="DK180" s="16"/>
      <c r="DL180" s="16"/>
      <c r="DM180" s="27"/>
      <c r="DO180" s="27"/>
      <c r="DP180" s="16"/>
      <c r="DQ180" s="16"/>
      <c r="DR180" s="27"/>
      <c r="DT180" s="27"/>
      <c r="DU180" s="16"/>
      <c r="DV180" s="16"/>
      <c r="DW180" s="27"/>
      <c r="DY180" s="27"/>
      <c r="DZ180" s="16"/>
      <c r="EA180" s="16"/>
      <c r="EB180" s="302"/>
    </row>
    <row r="181" spans="1:132" s="14" customFormat="1" ht="21" x14ac:dyDescent="0.4">
      <c r="A181" s="27"/>
      <c r="B181" s="27"/>
      <c r="C181" s="27"/>
      <c r="E181" s="16"/>
      <c r="F181" s="27"/>
      <c r="G181" s="27"/>
      <c r="I181" s="27"/>
      <c r="J181" s="16"/>
      <c r="K181" s="16"/>
      <c r="L181" s="27"/>
      <c r="N181" s="27"/>
      <c r="O181" s="16"/>
      <c r="P181" s="16"/>
      <c r="Q181" s="27"/>
      <c r="S181" s="27"/>
      <c r="T181" s="16"/>
      <c r="U181" s="16"/>
      <c r="V181" s="27"/>
      <c r="X181" s="27"/>
      <c r="Y181" s="16"/>
      <c r="Z181" s="16"/>
      <c r="AA181" s="27"/>
      <c r="AC181" s="27"/>
      <c r="AD181" s="16"/>
      <c r="AE181" s="16"/>
      <c r="AF181" s="27"/>
      <c r="AH181" s="27"/>
      <c r="AI181" s="16"/>
      <c r="AJ181" s="16"/>
      <c r="AK181" s="27"/>
      <c r="AM181" s="27"/>
      <c r="AN181" s="16"/>
      <c r="AO181" s="16"/>
      <c r="AP181" s="27"/>
      <c r="AR181" s="27"/>
      <c r="AS181" s="16"/>
      <c r="AT181" s="16"/>
      <c r="AU181" s="27"/>
      <c r="AW181" s="27"/>
      <c r="AX181" s="16"/>
      <c r="AY181" s="16"/>
      <c r="AZ181" s="27"/>
      <c r="BB181" s="27"/>
      <c r="BC181" s="16"/>
      <c r="BD181" s="16"/>
      <c r="BE181" s="27"/>
      <c r="BG181" s="27"/>
      <c r="BH181" s="16"/>
      <c r="BI181" s="16"/>
      <c r="BJ181" s="27"/>
      <c r="BL181" s="27"/>
      <c r="BM181" s="16"/>
      <c r="BN181" s="16"/>
      <c r="BO181" s="27"/>
      <c r="BQ181" s="27"/>
      <c r="BR181" s="16"/>
      <c r="BS181" s="16"/>
      <c r="BT181" s="27"/>
      <c r="BV181" s="27"/>
      <c r="BW181" s="16"/>
      <c r="BX181" s="16"/>
      <c r="BY181" s="27"/>
      <c r="CA181" s="27"/>
      <c r="CB181" s="16"/>
      <c r="CC181" s="16"/>
      <c r="CD181" s="27"/>
      <c r="CF181" s="27"/>
      <c r="CG181" s="16"/>
      <c r="CH181" s="16"/>
      <c r="CI181" s="27"/>
      <c r="CK181" s="27"/>
      <c r="CL181" s="16"/>
      <c r="CM181" s="16"/>
      <c r="CN181" s="27"/>
      <c r="CP181" s="27"/>
      <c r="CQ181" s="16"/>
      <c r="CR181" s="16"/>
      <c r="CS181" s="27"/>
      <c r="CU181" s="27"/>
      <c r="CV181" s="16"/>
      <c r="CW181" s="16"/>
      <c r="CX181" s="27"/>
      <c r="CZ181" s="27"/>
      <c r="DA181" s="16"/>
      <c r="DB181" s="16"/>
      <c r="DC181" s="27"/>
      <c r="DE181" s="27"/>
      <c r="DF181" s="16"/>
      <c r="DG181" s="16"/>
      <c r="DH181" s="27"/>
      <c r="DJ181" s="27"/>
      <c r="DK181" s="16"/>
      <c r="DL181" s="16"/>
      <c r="DM181" s="27"/>
      <c r="DO181" s="27"/>
      <c r="DP181" s="16"/>
      <c r="DQ181" s="16"/>
      <c r="DR181" s="27"/>
      <c r="DT181" s="27"/>
      <c r="DU181" s="16"/>
      <c r="DV181" s="16"/>
      <c r="DW181" s="27"/>
      <c r="DY181" s="27"/>
      <c r="DZ181" s="16"/>
      <c r="EA181" s="16"/>
      <c r="EB181" s="302"/>
    </row>
    <row r="182" spans="1:132" s="14" customFormat="1" ht="21" x14ac:dyDescent="0.4">
      <c r="A182" s="27"/>
      <c r="B182" s="27"/>
      <c r="C182" s="27"/>
      <c r="E182" s="16"/>
      <c r="F182" s="27"/>
      <c r="G182" s="27"/>
      <c r="I182" s="27"/>
      <c r="J182" s="16"/>
      <c r="K182" s="16"/>
      <c r="L182" s="27"/>
      <c r="N182" s="27"/>
      <c r="O182" s="16"/>
      <c r="P182" s="16"/>
      <c r="Q182" s="27"/>
      <c r="S182" s="27"/>
      <c r="T182" s="16"/>
      <c r="U182" s="16"/>
      <c r="V182" s="27"/>
      <c r="X182" s="27"/>
      <c r="Y182" s="16"/>
      <c r="Z182" s="16"/>
      <c r="AA182" s="27"/>
      <c r="AC182" s="27"/>
      <c r="AD182" s="16"/>
      <c r="AE182" s="16"/>
      <c r="AF182" s="27"/>
      <c r="AH182" s="27"/>
      <c r="AI182" s="16"/>
      <c r="AJ182" s="16"/>
      <c r="AK182" s="27"/>
      <c r="AM182" s="27"/>
      <c r="AN182" s="16"/>
      <c r="AO182" s="16"/>
      <c r="AP182" s="27"/>
      <c r="AR182" s="27"/>
      <c r="AS182" s="16"/>
      <c r="AT182" s="16"/>
      <c r="AU182" s="27"/>
      <c r="AW182" s="27"/>
      <c r="AX182" s="16"/>
      <c r="AY182" s="16"/>
      <c r="AZ182" s="27"/>
      <c r="BB182" s="27"/>
      <c r="BC182" s="16"/>
      <c r="BD182" s="16"/>
      <c r="BE182" s="27"/>
      <c r="BG182" s="27"/>
      <c r="BH182" s="16"/>
      <c r="BI182" s="16"/>
      <c r="BJ182" s="27"/>
      <c r="BL182" s="27"/>
      <c r="BM182" s="16"/>
      <c r="BN182" s="16"/>
      <c r="BO182" s="27"/>
      <c r="BQ182" s="27"/>
      <c r="BR182" s="16"/>
      <c r="BS182" s="16"/>
      <c r="BT182" s="27"/>
      <c r="BV182" s="27"/>
      <c r="BW182" s="16"/>
      <c r="BX182" s="16"/>
      <c r="BY182" s="27"/>
      <c r="CA182" s="27"/>
      <c r="CB182" s="16"/>
      <c r="CC182" s="16"/>
      <c r="CD182" s="27"/>
      <c r="CF182" s="27"/>
      <c r="CG182" s="16"/>
      <c r="CH182" s="16"/>
      <c r="CI182" s="27"/>
      <c r="CK182" s="27"/>
      <c r="CL182" s="16"/>
      <c r="CM182" s="16"/>
      <c r="CN182" s="27"/>
      <c r="CP182" s="27"/>
      <c r="CQ182" s="16"/>
      <c r="CR182" s="16"/>
      <c r="CS182" s="27"/>
      <c r="CU182" s="27"/>
      <c r="CV182" s="16"/>
      <c r="CW182" s="16"/>
      <c r="CX182" s="27"/>
      <c r="CZ182" s="27"/>
      <c r="DA182" s="16"/>
      <c r="DB182" s="16"/>
      <c r="DC182" s="27"/>
      <c r="DE182" s="27"/>
      <c r="DF182" s="16"/>
      <c r="DG182" s="16"/>
      <c r="DH182" s="27"/>
      <c r="DJ182" s="27"/>
      <c r="DK182" s="16"/>
      <c r="DL182" s="16"/>
      <c r="DM182" s="27"/>
      <c r="DO182" s="27"/>
      <c r="DP182" s="16"/>
      <c r="DQ182" s="16"/>
      <c r="DR182" s="27"/>
      <c r="DT182" s="27"/>
      <c r="DU182" s="16"/>
      <c r="DV182" s="16"/>
      <c r="DW182" s="27"/>
      <c r="DY182" s="27"/>
      <c r="DZ182" s="16"/>
      <c r="EA182" s="16"/>
      <c r="EB182" s="302"/>
    </row>
    <row r="183" spans="1:132" s="14" customFormat="1" ht="21" x14ac:dyDescent="0.4">
      <c r="A183" s="27"/>
      <c r="B183" s="27"/>
      <c r="C183" s="27"/>
      <c r="E183" s="16"/>
      <c r="F183" s="27"/>
      <c r="G183" s="27"/>
      <c r="I183" s="27"/>
      <c r="J183" s="16"/>
      <c r="K183" s="16"/>
      <c r="L183" s="27"/>
      <c r="N183" s="27"/>
      <c r="O183" s="16"/>
      <c r="P183" s="16"/>
      <c r="Q183" s="27"/>
      <c r="S183" s="27"/>
      <c r="T183" s="16"/>
      <c r="U183" s="16"/>
      <c r="V183" s="27"/>
      <c r="X183" s="27"/>
      <c r="Y183" s="16"/>
      <c r="Z183" s="16"/>
      <c r="AA183" s="27"/>
      <c r="AC183" s="27"/>
      <c r="AD183" s="16"/>
      <c r="AE183" s="16"/>
      <c r="AF183" s="27"/>
      <c r="AH183" s="27"/>
      <c r="AI183" s="16"/>
      <c r="AJ183" s="16"/>
      <c r="AK183" s="27"/>
      <c r="AM183" s="27"/>
      <c r="AN183" s="16"/>
      <c r="AO183" s="16"/>
      <c r="AP183" s="27"/>
      <c r="AR183" s="27"/>
      <c r="AS183" s="16"/>
      <c r="AT183" s="16"/>
      <c r="AU183" s="27"/>
      <c r="AW183" s="27"/>
      <c r="AX183" s="16"/>
      <c r="AY183" s="16"/>
      <c r="AZ183" s="27"/>
      <c r="BB183" s="27"/>
      <c r="BC183" s="16"/>
      <c r="BD183" s="16"/>
      <c r="BE183" s="27"/>
      <c r="BG183" s="27"/>
      <c r="BH183" s="16"/>
      <c r="BI183" s="16"/>
      <c r="BJ183" s="27"/>
      <c r="BL183" s="27"/>
      <c r="BM183" s="16"/>
      <c r="BN183" s="16"/>
      <c r="BO183" s="27"/>
      <c r="BQ183" s="27"/>
      <c r="BR183" s="16"/>
      <c r="BS183" s="16"/>
      <c r="BT183" s="27"/>
      <c r="BV183" s="27"/>
      <c r="BW183" s="16"/>
      <c r="BX183" s="16"/>
      <c r="BY183" s="27"/>
      <c r="CA183" s="27"/>
      <c r="CB183" s="16"/>
      <c r="CC183" s="16"/>
      <c r="CD183" s="27"/>
      <c r="CF183" s="27"/>
      <c r="CG183" s="16"/>
      <c r="CH183" s="16"/>
      <c r="CI183" s="27"/>
      <c r="CK183" s="27"/>
      <c r="CL183" s="16"/>
      <c r="CM183" s="16"/>
      <c r="CN183" s="27"/>
      <c r="CP183" s="27"/>
      <c r="CQ183" s="16"/>
      <c r="CR183" s="16"/>
      <c r="CS183" s="27"/>
      <c r="CU183" s="27"/>
      <c r="CV183" s="16"/>
      <c r="CW183" s="16"/>
      <c r="CX183" s="27"/>
      <c r="CZ183" s="27"/>
      <c r="DA183" s="16"/>
      <c r="DB183" s="16"/>
      <c r="DC183" s="27"/>
      <c r="DE183" s="27"/>
      <c r="DF183" s="16"/>
      <c r="DG183" s="16"/>
      <c r="DH183" s="27"/>
      <c r="DJ183" s="27"/>
      <c r="DK183" s="16"/>
      <c r="DL183" s="16"/>
      <c r="DM183" s="27"/>
      <c r="DO183" s="27"/>
      <c r="DP183" s="16"/>
      <c r="DQ183" s="16"/>
      <c r="DR183" s="27"/>
      <c r="DT183" s="27"/>
      <c r="DU183" s="16"/>
      <c r="DV183" s="16"/>
      <c r="DW183" s="27"/>
      <c r="DY183" s="27"/>
      <c r="DZ183" s="16"/>
      <c r="EA183" s="16"/>
      <c r="EB183" s="302"/>
    </row>
    <row r="184" spans="1:132" s="14" customFormat="1" ht="21" x14ac:dyDescent="0.4">
      <c r="A184" s="27"/>
      <c r="B184" s="27"/>
      <c r="C184" s="27"/>
      <c r="E184" s="16"/>
      <c r="F184" s="27"/>
      <c r="G184" s="27"/>
      <c r="I184" s="27"/>
      <c r="J184" s="16"/>
      <c r="K184" s="16"/>
      <c r="L184" s="27"/>
      <c r="N184" s="27"/>
      <c r="O184" s="16"/>
      <c r="P184" s="16"/>
      <c r="Q184" s="27"/>
      <c r="S184" s="27"/>
      <c r="T184" s="16"/>
      <c r="U184" s="16"/>
      <c r="V184" s="27"/>
      <c r="X184" s="27"/>
      <c r="Y184" s="16"/>
      <c r="Z184" s="16"/>
      <c r="AA184" s="27"/>
      <c r="AC184" s="27"/>
      <c r="AD184" s="16"/>
      <c r="AE184" s="16"/>
      <c r="AF184" s="27"/>
      <c r="AH184" s="27"/>
      <c r="AI184" s="16"/>
      <c r="AJ184" s="16"/>
      <c r="AK184" s="27"/>
      <c r="AM184" s="27"/>
      <c r="AN184" s="16"/>
      <c r="AO184" s="16"/>
      <c r="AP184" s="27"/>
      <c r="AR184" s="27"/>
      <c r="AS184" s="16"/>
      <c r="AT184" s="16"/>
      <c r="AU184" s="27"/>
      <c r="AW184" s="27"/>
      <c r="AX184" s="16"/>
      <c r="AY184" s="16"/>
      <c r="AZ184" s="27"/>
      <c r="BB184" s="27"/>
      <c r="BC184" s="16"/>
      <c r="BD184" s="16"/>
      <c r="BE184" s="27"/>
      <c r="BG184" s="27"/>
      <c r="BH184" s="16"/>
      <c r="BI184" s="16"/>
      <c r="BJ184" s="27"/>
      <c r="BL184" s="27"/>
      <c r="BM184" s="16"/>
      <c r="BN184" s="16"/>
      <c r="BO184" s="27"/>
      <c r="BQ184" s="27"/>
      <c r="BR184" s="16"/>
      <c r="BS184" s="16"/>
      <c r="BT184" s="27"/>
      <c r="BV184" s="27"/>
      <c r="BW184" s="16"/>
      <c r="BX184" s="16"/>
      <c r="BY184" s="27"/>
      <c r="CA184" s="27"/>
      <c r="CB184" s="16"/>
      <c r="CC184" s="16"/>
      <c r="CD184" s="27"/>
      <c r="CF184" s="27"/>
      <c r="CG184" s="16"/>
      <c r="CH184" s="16"/>
      <c r="CI184" s="27"/>
      <c r="CK184" s="27"/>
      <c r="CL184" s="16"/>
      <c r="CM184" s="16"/>
      <c r="CN184" s="27"/>
      <c r="CP184" s="27"/>
      <c r="CQ184" s="16"/>
      <c r="CR184" s="16"/>
      <c r="CS184" s="27"/>
      <c r="CU184" s="27"/>
      <c r="CV184" s="16"/>
      <c r="CW184" s="16"/>
      <c r="CX184" s="27"/>
      <c r="CZ184" s="27"/>
      <c r="DA184" s="16"/>
      <c r="DB184" s="16"/>
      <c r="DC184" s="27"/>
      <c r="DE184" s="27"/>
      <c r="DF184" s="16"/>
      <c r="DG184" s="16"/>
      <c r="DH184" s="27"/>
      <c r="DJ184" s="27"/>
      <c r="DK184" s="16"/>
      <c r="DL184" s="16"/>
      <c r="DM184" s="27"/>
      <c r="DO184" s="27"/>
      <c r="DP184" s="16"/>
      <c r="DQ184" s="16"/>
      <c r="DR184" s="27"/>
      <c r="DT184" s="27"/>
      <c r="DU184" s="16"/>
      <c r="DV184" s="16"/>
      <c r="DW184" s="27"/>
      <c r="DY184" s="27"/>
      <c r="DZ184" s="16"/>
      <c r="EA184" s="16"/>
      <c r="EB184" s="302"/>
    </row>
    <row r="185" spans="1:132" s="14" customFormat="1" ht="21" x14ac:dyDescent="0.4">
      <c r="A185" s="27"/>
      <c r="B185" s="27"/>
      <c r="C185" s="27"/>
      <c r="E185" s="16"/>
      <c r="F185" s="27"/>
      <c r="G185" s="27"/>
      <c r="I185" s="27"/>
      <c r="J185" s="16"/>
      <c r="K185" s="16"/>
      <c r="L185" s="27"/>
      <c r="N185" s="27"/>
      <c r="O185" s="16"/>
      <c r="P185" s="16"/>
      <c r="Q185" s="27"/>
      <c r="S185" s="27"/>
      <c r="T185" s="16"/>
      <c r="U185" s="16"/>
      <c r="V185" s="27"/>
      <c r="X185" s="27"/>
      <c r="Y185" s="16"/>
      <c r="Z185" s="16"/>
      <c r="AA185" s="27"/>
      <c r="AC185" s="27"/>
      <c r="AD185" s="16"/>
      <c r="AE185" s="16"/>
      <c r="AF185" s="27"/>
      <c r="AH185" s="27"/>
      <c r="AI185" s="16"/>
      <c r="AJ185" s="16"/>
      <c r="AK185" s="27"/>
      <c r="AM185" s="27"/>
      <c r="AN185" s="16"/>
      <c r="AO185" s="16"/>
      <c r="AP185" s="27"/>
      <c r="AR185" s="27"/>
      <c r="AS185" s="16"/>
      <c r="AT185" s="16"/>
      <c r="AU185" s="27"/>
      <c r="AW185" s="27"/>
      <c r="AX185" s="16"/>
      <c r="AY185" s="16"/>
      <c r="AZ185" s="27"/>
      <c r="BB185" s="27"/>
      <c r="BC185" s="16"/>
      <c r="BD185" s="16"/>
      <c r="BE185" s="27"/>
      <c r="BG185" s="27"/>
      <c r="BH185" s="16"/>
      <c r="BI185" s="16"/>
      <c r="BJ185" s="27"/>
      <c r="BL185" s="27"/>
      <c r="BM185" s="16"/>
      <c r="BN185" s="16"/>
      <c r="BO185" s="27"/>
      <c r="BQ185" s="27"/>
      <c r="BR185" s="16"/>
      <c r="BS185" s="16"/>
      <c r="BT185" s="27"/>
      <c r="BV185" s="27"/>
      <c r="BW185" s="16"/>
      <c r="BX185" s="16"/>
      <c r="BY185" s="27"/>
      <c r="CA185" s="27"/>
      <c r="CB185" s="16"/>
      <c r="CC185" s="16"/>
      <c r="CD185" s="27"/>
      <c r="CF185" s="27"/>
      <c r="CG185" s="16"/>
      <c r="CH185" s="16"/>
      <c r="CI185" s="27"/>
      <c r="CK185" s="27"/>
      <c r="CL185" s="16"/>
      <c r="CM185" s="16"/>
      <c r="CN185" s="27"/>
      <c r="CP185" s="27"/>
      <c r="CQ185" s="16"/>
      <c r="CR185" s="16"/>
      <c r="CS185" s="27"/>
      <c r="CU185" s="27"/>
      <c r="CV185" s="16"/>
      <c r="CW185" s="16"/>
      <c r="CX185" s="27"/>
      <c r="CZ185" s="27"/>
      <c r="DA185" s="16"/>
      <c r="DB185" s="16"/>
      <c r="DC185" s="27"/>
      <c r="DE185" s="27"/>
      <c r="DF185" s="16"/>
      <c r="DG185" s="16"/>
      <c r="DH185" s="27"/>
      <c r="DJ185" s="27"/>
      <c r="DK185" s="16"/>
      <c r="DL185" s="16"/>
      <c r="DM185" s="27"/>
      <c r="DO185" s="27"/>
      <c r="DP185" s="16"/>
      <c r="DQ185" s="16"/>
      <c r="DR185" s="27"/>
      <c r="DT185" s="27"/>
      <c r="DU185" s="16"/>
      <c r="DV185" s="16"/>
      <c r="DW185" s="27"/>
      <c r="DY185" s="27"/>
      <c r="DZ185" s="16"/>
      <c r="EA185" s="16"/>
      <c r="EB185" s="302"/>
    </row>
    <row r="186" spans="1:132" s="14" customFormat="1" ht="21" x14ac:dyDescent="0.4">
      <c r="A186" s="27"/>
      <c r="B186" s="27"/>
      <c r="C186" s="27"/>
      <c r="E186" s="16"/>
      <c r="F186" s="27"/>
      <c r="G186" s="27"/>
      <c r="I186" s="27"/>
      <c r="J186" s="16"/>
      <c r="K186" s="16"/>
      <c r="L186" s="27"/>
      <c r="N186" s="27"/>
      <c r="O186" s="16"/>
      <c r="P186" s="16"/>
      <c r="Q186" s="27"/>
      <c r="S186" s="27"/>
      <c r="T186" s="16"/>
      <c r="U186" s="16"/>
      <c r="V186" s="27"/>
      <c r="X186" s="27"/>
      <c r="Y186" s="16"/>
      <c r="Z186" s="16"/>
      <c r="AA186" s="27"/>
      <c r="AC186" s="27"/>
      <c r="AD186" s="16"/>
      <c r="AE186" s="16"/>
      <c r="AF186" s="27"/>
      <c r="AH186" s="27"/>
      <c r="AI186" s="16"/>
      <c r="AJ186" s="16"/>
      <c r="AK186" s="27"/>
      <c r="AM186" s="27"/>
      <c r="AN186" s="16"/>
      <c r="AO186" s="16"/>
      <c r="AP186" s="27"/>
      <c r="AR186" s="27"/>
      <c r="AS186" s="16"/>
      <c r="AT186" s="16"/>
      <c r="AU186" s="27"/>
      <c r="AW186" s="27"/>
      <c r="AX186" s="16"/>
      <c r="AY186" s="16"/>
      <c r="AZ186" s="27"/>
      <c r="BB186" s="27"/>
      <c r="BC186" s="16"/>
      <c r="BD186" s="16"/>
      <c r="BE186" s="27"/>
      <c r="BG186" s="27"/>
      <c r="BH186" s="16"/>
      <c r="BI186" s="16"/>
      <c r="BJ186" s="27"/>
      <c r="BL186" s="27"/>
      <c r="BM186" s="16"/>
      <c r="BN186" s="16"/>
      <c r="BO186" s="27"/>
      <c r="BQ186" s="27"/>
      <c r="BR186" s="16"/>
      <c r="BS186" s="16"/>
      <c r="BT186" s="27"/>
      <c r="BV186" s="27"/>
      <c r="BW186" s="16"/>
      <c r="BX186" s="16"/>
      <c r="BY186" s="27"/>
      <c r="CA186" s="27"/>
      <c r="CB186" s="16"/>
      <c r="CC186" s="16"/>
      <c r="CD186" s="27"/>
      <c r="CF186" s="27"/>
      <c r="CG186" s="16"/>
      <c r="CH186" s="16"/>
      <c r="CI186" s="27"/>
      <c r="CK186" s="27"/>
      <c r="CL186" s="16"/>
      <c r="CM186" s="16"/>
      <c r="CN186" s="27"/>
      <c r="CP186" s="27"/>
      <c r="CQ186" s="16"/>
      <c r="CR186" s="16"/>
      <c r="CS186" s="27"/>
      <c r="CU186" s="27"/>
      <c r="CV186" s="16"/>
      <c r="CW186" s="16"/>
      <c r="CX186" s="27"/>
      <c r="CZ186" s="27"/>
      <c r="DA186" s="16"/>
      <c r="DB186" s="16"/>
      <c r="DC186" s="27"/>
      <c r="DE186" s="27"/>
      <c r="DF186" s="16"/>
      <c r="DG186" s="16"/>
      <c r="DH186" s="27"/>
      <c r="DJ186" s="27"/>
      <c r="DK186" s="16"/>
      <c r="DL186" s="16"/>
      <c r="DM186" s="27"/>
      <c r="DO186" s="27"/>
      <c r="DP186" s="16"/>
      <c r="DQ186" s="16"/>
      <c r="DR186" s="27"/>
      <c r="DT186" s="27"/>
      <c r="DU186" s="16"/>
      <c r="DV186" s="16"/>
      <c r="DW186" s="27"/>
      <c r="DY186" s="27"/>
      <c r="DZ186" s="16"/>
      <c r="EA186" s="16"/>
      <c r="EB186" s="302"/>
    </row>
    <row r="187" spans="1:132" s="14" customFormat="1" ht="21" x14ac:dyDescent="0.4">
      <c r="A187" s="27"/>
      <c r="B187" s="27"/>
      <c r="C187" s="27"/>
      <c r="E187" s="16"/>
      <c r="F187" s="27"/>
      <c r="G187" s="27"/>
      <c r="I187" s="27"/>
      <c r="J187" s="16"/>
      <c r="K187" s="16"/>
      <c r="L187" s="27"/>
      <c r="N187" s="27"/>
      <c r="O187" s="16"/>
      <c r="P187" s="16"/>
      <c r="Q187" s="27"/>
      <c r="S187" s="27"/>
      <c r="T187" s="16"/>
      <c r="U187" s="16"/>
      <c r="V187" s="27"/>
      <c r="X187" s="27"/>
      <c r="Y187" s="16"/>
      <c r="Z187" s="16"/>
      <c r="AA187" s="27"/>
      <c r="AC187" s="27"/>
      <c r="AD187" s="16"/>
      <c r="AE187" s="16"/>
      <c r="AF187" s="27"/>
      <c r="AH187" s="27"/>
      <c r="AI187" s="16"/>
      <c r="AJ187" s="16"/>
      <c r="AK187" s="27"/>
      <c r="AM187" s="27"/>
      <c r="AN187" s="16"/>
      <c r="AO187" s="16"/>
      <c r="AP187" s="27"/>
      <c r="AR187" s="27"/>
      <c r="AS187" s="16"/>
      <c r="AT187" s="16"/>
      <c r="AU187" s="27"/>
      <c r="AW187" s="27"/>
      <c r="AX187" s="16"/>
      <c r="AY187" s="16"/>
      <c r="AZ187" s="27"/>
      <c r="BB187" s="27"/>
      <c r="BC187" s="16"/>
      <c r="BD187" s="16"/>
      <c r="BE187" s="27"/>
      <c r="BG187" s="27"/>
      <c r="BH187" s="16"/>
      <c r="BI187" s="16"/>
      <c r="BJ187" s="27"/>
      <c r="BL187" s="27"/>
      <c r="BM187" s="16"/>
      <c r="BN187" s="16"/>
      <c r="BO187" s="27"/>
      <c r="BQ187" s="27"/>
      <c r="BR187" s="16"/>
      <c r="BS187" s="16"/>
      <c r="BT187" s="27"/>
      <c r="BV187" s="27"/>
      <c r="BW187" s="16"/>
      <c r="BX187" s="16"/>
      <c r="BY187" s="27"/>
      <c r="CA187" s="27"/>
      <c r="CB187" s="16"/>
      <c r="CC187" s="16"/>
      <c r="CD187" s="27"/>
      <c r="CF187" s="27"/>
      <c r="CG187" s="16"/>
      <c r="CH187" s="16"/>
      <c r="CI187" s="27"/>
      <c r="CK187" s="27"/>
      <c r="CL187" s="16"/>
      <c r="CM187" s="16"/>
      <c r="CN187" s="27"/>
      <c r="CP187" s="27"/>
      <c r="CQ187" s="16"/>
      <c r="CR187" s="16"/>
      <c r="CS187" s="27"/>
      <c r="CU187" s="27"/>
      <c r="CV187" s="16"/>
      <c r="CW187" s="16"/>
      <c r="CX187" s="27"/>
      <c r="CZ187" s="27"/>
      <c r="DA187" s="16"/>
      <c r="DB187" s="16"/>
      <c r="DC187" s="27"/>
      <c r="DE187" s="27"/>
      <c r="DF187" s="16"/>
      <c r="DG187" s="16"/>
      <c r="DH187" s="27"/>
      <c r="DJ187" s="27"/>
      <c r="DK187" s="16"/>
      <c r="DL187" s="16"/>
      <c r="DM187" s="27"/>
      <c r="DO187" s="27"/>
      <c r="DP187" s="16"/>
      <c r="DQ187" s="16"/>
      <c r="DR187" s="27"/>
      <c r="DT187" s="27"/>
      <c r="DU187" s="16"/>
      <c r="DV187" s="16"/>
      <c r="DW187" s="27"/>
      <c r="DY187" s="27"/>
      <c r="DZ187" s="16"/>
      <c r="EA187" s="16"/>
      <c r="EB187" s="302"/>
    </row>
    <row r="188" spans="1:132" s="14" customFormat="1" ht="21" x14ac:dyDescent="0.4">
      <c r="A188" s="27"/>
      <c r="B188" s="27"/>
      <c r="C188" s="27"/>
      <c r="E188" s="16"/>
      <c r="F188" s="27"/>
      <c r="G188" s="27"/>
      <c r="I188" s="27"/>
      <c r="J188" s="16"/>
      <c r="K188" s="16"/>
      <c r="L188" s="27"/>
      <c r="N188" s="27"/>
      <c r="O188" s="16"/>
      <c r="P188" s="16"/>
      <c r="Q188" s="27"/>
      <c r="S188" s="27"/>
      <c r="T188" s="16"/>
      <c r="U188" s="16"/>
      <c r="V188" s="27"/>
      <c r="X188" s="27"/>
      <c r="Y188" s="16"/>
      <c r="Z188" s="16"/>
      <c r="AA188" s="27"/>
      <c r="AC188" s="27"/>
      <c r="AD188" s="16"/>
      <c r="AE188" s="16"/>
      <c r="AF188" s="27"/>
      <c r="AH188" s="27"/>
      <c r="AI188" s="16"/>
      <c r="AJ188" s="16"/>
      <c r="AK188" s="27"/>
      <c r="AM188" s="27"/>
      <c r="AN188" s="16"/>
      <c r="AO188" s="16"/>
      <c r="AP188" s="27"/>
      <c r="AR188" s="27"/>
      <c r="AS188" s="16"/>
      <c r="AT188" s="16"/>
      <c r="AU188" s="27"/>
      <c r="AW188" s="27"/>
      <c r="AX188" s="16"/>
      <c r="AY188" s="16"/>
      <c r="AZ188" s="27"/>
      <c r="BB188" s="27"/>
      <c r="BC188" s="16"/>
      <c r="BD188" s="16"/>
      <c r="BE188" s="27"/>
      <c r="BG188" s="27"/>
      <c r="BH188" s="16"/>
      <c r="BI188" s="16"/>
      <c r="BJ188" s="27"/>
      <c r="BL188" s="27"/>
      <c r="BM188" s="16"/>
      <c r="BN188" s="16"/>
      <c r="BO188" s="27"/>
      <c r="BQ188" s="27"/>
      <c r="BR188" s="16"/>
      <c r="BS188" s="16"/>
      <c r="BT188" s="27"/>
      <c r="BV188" s="27"/>
      <c r="BW188" s="16"/>
      <c r="BX188" s="16"/>
      <c r="BY188" s="27"/>
      <c r="CA188" s="27"/>
      <c r="CB188" s="16"/>
      <c r="CC188" s="16"/>
      <c r="CD188" s="27"/>
      <c r="CF188" s="27"/>
      <c r="CG188" s="16"/>
      <c r="CH188" s="16"/>
      <c r="CI188" s="27"/>
      <c r="CK188" s="27"/>
      <c r="CL188" s="16"/>
      <c r="CM188" s="16"/>
      <c r="CN188" s="27"/>
      <c r="CP188" s="27"/>
      <c r="CQ188" s="16"/>
      <c r="CR188" s="16"/>
      <c r="CS188" s="27"/>
      <c r="CU188" s="27"/>
      <c r="CV188" s="16"/>
      <c r="CW188" s="16"/>
      <c r="CX188" s="27"/>
      <c r="CZ188" s="27"/>
      <c r="DA188" s="16"/>
      <c r="DB188" s="16"/>
      <c r="DC188" s="27"/>
      <c r="DE188" s="27"/>
      <c r="DF188" s="16"/>
      <c r="DG188" s="16"/>
      <c r="DH188" s="27"/>
      <c r="DJ188" s="27"/>
      <c r="DK188" s="16"/>
      <c r="DL188" s="16"/>
      <c r="DM188" s="27"/>
      <c r="DO188" s="27"/>
      <c r="DP188" s="16"/>
      <c r="DQ188" s="16"/>
      <c r="DR188" s="27"/>
      <c r="DT188" s="27"/>
      <c r="DU188" s="16"/>
      <c r="DV188" s="16"/>
      <c r="DW188" s="27"/>
      <c r="DY188" s="27"/>
      <c r="DZ188" s="16"/>
      <c r="EA188" s="16"/>
      <c r="EB188" s="302"/>
    </row>
    <row r="189" spans="1:132" s="14" customFormat="1" ht="21" x14ac:dyDescent="0.4">
      <c r="A189" s="27"/>
      <c r="B189" s="27"/>
      <c r="C189" s="27"/>
      <c r="E189" s="16"/>
      <c r="F189" s="27"/>
      <c r="G189" s="27"/>
      <c r="I189" s="27"/>
      <c r="J189" s="16"/>
      <c r="K189" s="16"/>
      <c r="L189" s="27"/>
      <c r="N189" s="27"/>
      <c r="O189" s="16"/>
      <c r="P189" s="16"/>
      <c r="Q189" s="27"/>
      <c r="S189" s="27"/>
      <c r="T189" s="16"/>
      <c r="U189" s="16"/>
      <c r="V189" s="27"/>
      <c r="X189" s="27"/>
      <c r="Y189" s="16"/>
      <c r="Z189" s="16"/>
      <c r="AA189" s="27"/>
      <c r="AC189" s="27"/>
      <c r="AD189" s="16"/>
      <c r="AE189" s="16"/>
      <c r="AF189" s="27"/>
      <c r="AH189" s="27"/>
      <c r="AI189" s="16"/>
      <c r="AJ189" s="16"/>
      <c r="AK189" s="27"/>
      <c r="AM189" s="27"/>
      <c r="AN189" s="16"/>
      <c r="AO189" s="16"/>
      <c r="AP189" s="27"/>
      <c r="AR189" s="27"/>
      <c r="AS189" s="16"/>
      <c r="AT189" s="16"/>
      <c r="AU189" s="27"/>
      <c r="AW189" s="27"/>
      <c r="AX189" s="16"/>
      <c r="AY189" s="16"/>
      <c r="AZ189" s="27"/>
      <c r="BB189" s="27"/>
      <c r="BC189" s="16"/>
      <c r="BD189" s="16"/>
      <c r="BE189" s="27"/>
      <c r="BG189" s="27"/>
      <c r="BH189" s="16"/>
      <c r="BI189" s="16"/>
      <c r="BJ189" s="27"/>
      <c r="BL189" s="27"/>
      <c r="BM189" s="16"/>
      <c r="BN189" s="16"/>
      <c r="BO189" s="27"/>
      <c r="BQ189" s="27"/>
      <c r="BR189" s="16"/>
      <c r="BS189" s="16"/>
      <c r="BT189" s="27"/>
      <c r="BV189" s="27"/>
      <c r="BW189" s="16"/>
      <c r="BX189" s="16"/>
      <c r="BY189" s="27"/>
      <c r="CA189" s="27"/>
      <c r="CB189" s="16"/>
      <c r="CC189" s="16"/>
      <c r="CD189" s="27"/>
      <c r="CF189" s="27"/>
      <c r="CG189" s="16"/>
      <c r="CH189" s="16"/>
      <c r="CI189" s="27"/>
      <c r="CK189" s="27"/>
      <c r="CL189" s="16"/>
      <c r="CM189" s="16"/>
      <c r="CN189" s="27"/>
      <c r="CP189" s="27"/>
      <c r="CQ189" s="16"/>
      <c r="CR189" s="16"/>
      <c r="CS189" s="27"/>
      <c r="CU189" s="27"/>
      <c r="CV189" s="16"/>
      <c r="CW189" s="16"/>
      <c r="CX189" s="27"/>
      <c r="CZ189" s="27"/>
      <c r="DA189" s="16"/>
      <c r="DB189" s="16"/>
      <c r="DC189" s="27"/>
      <c r="DE189" s="27"/>
      <c r="DF189" s="16"/>
      <c r="DG189" s="16"/>
      <c r="DH189" s="27"/>
      <c r="DJ189" s="27"/>
      <c r="DK189" s="16"/>
      <c r="DL189" s="16"/>
      <c r="DM189" s="27"/>
      <c r="DO189" s="27"/>
      <c r="DP189" s="16"/>
      <c r="DQ189" s="16"/>
      <c r="DR189" s="27"/>
      <c r="DT189" s="27"/>
      <c r="DU189" s="16"/>
      <c r="DV189" s="16"/>
      <c r="DW189" s="27"/>
      <c r="DY189" s="27"/>
      <c r="DZ189" s="16"/>
      <c r="EA189" s="16"/>
      <c r="EB189" s="302"/>
    </row>
    <row r="190" spans="1:132" s="14" customFormat="1" ht="21" x14ac:dyDescent="0.4">
      <c r="A190" s="27"/>
      <c r="B190" s="27"/>
      <c r="C190" s="27"/>
      <c r="E190" s="16"/>
      <c r="F190" s="27"/>
      <c r="G190" s="27"/>
      <c r="I190" s="27"/>
      <c r="J190" s="16"/>
      <c r="K190" s="16"/>
      <c r="L190" s="27"/>
      <c r="N190" s="27"/>
      <c r="O190" s="16"/>
      <c r="P190" s="16"/>
      <c r="Q190" s="27"/>
      <c r="S190" s="27"/>
      <c r="T190" s="16"/>
      <c r="U190" s="16"/>
      <c r="V190" s="27"/>
      <c r="X190" s="27"/>
      <c r="Y190" s="16"/>
      <c r="Z190" s="16"/>
      <c r="AA190" s="27"/>
      <c r="AC190" s="27"/>
      <c r="AD190" s="16"/>
      <c r="AE190" s="16"/>
      <c r="AF190" s="27"/>
      <c r="AH190" s="27"/>
      <c r="AI190" s="16"/>
      <c r="AJ190" s="16"/>
      <c r="AK190" s="27"/>
      <c r="AM190" s="27"/>
      <c r="AN190" s="16"/>
      <c r="AO190" s="16"/>
      <c r="AP190" s="27"/>
      <c r="AR190" s="27"/>
      <c r="AS190" s="16"/>
      <c r="AT190" s="16"/>
      <c r="AU190" s="27"/>
      <c r="AW190" s="27"/>
      <c r="AX190" s="16"/>
      <c r="AY190" s="16"/>
      <c r="AZ190" s="27"/>
      <c r="BB190" s="27"/>
      <c r="BC190" s="16"/>
      <c r="BD190" s="16"/>
      <c r="BE190" s="27"/>
      <c r="BG190" s="27"/>
      <c r="BH190" s="16"/>
      <c r="BI190" s="16"/>
      <c r="BJ190" s="27"/>
      <c r="BL190" s="27"/>
      <c r="BM190" s="16"/>
      <c r="BN190" s="16"/>
      <c r="BO190" s="27"/>
      <c r="BQ190" s="27"/>
      <c r="BR190" s="16"/>
      <c r="BS190" s="16"/>
      <c r="BT190" s="27"/>
      <c r="BV190" s="27"/>
      <c r="BW190" s="16"/>
      <c r="BX190" s="16"/>
      <c r="BY190" s="27"/>
      <c r="CA190" s="27"/>
      <c r="CB190" s="16"/>
      <c r="CC190" s="16"/>
      <c r="CD190" s="27"/>
      <c r="CF190" s="27"/>
      <c r="CG190" s="16"/>
      <c r="CH190" s="16"/>
      <c r="CI190" s="27"/>
      <c r="CK190" s="27"/>
      <c r="CL190" s="16"/>
      <c r="CM190" s="16"/>
      <c r="CN190" s="27"/>
      <c r="CP190" s="27"/>
      <c r="CQ190" s="16"/>
      <c r="CR190" s="16"/>
      <c r="CS190" s="27"/>
      <c r="CU190" s="27"/>
      <c r="CV190" s="16"/>
      <c r="CW190" s="16"/>
      <c r="CX190" s="27"/>
      <c r="CZ190" s="27"/>
      <c r="DA190" s="16"/>
      <c r="DB190" s="16"/>
      <c r="DC190" s="27"/>
      <c r="DE190" s="27"/>
      <c r="DF190" s="16"/>
      <c r="DG190" s="16"/>
      <c r="DH190" s="27"/>
      <c r="DJ190" s="27"/>
      <c r="DK190" s="16"/>
      <c r="DL190" s="16"/>
      <c r="DM190" s="27"/>
      <c r="DO190" s="27"/>
      <c r="DP190" s="16"/>
      <c r="DQ190" s="16"/>
      <c r="DR190" s="27"/>
      <c r="DT190" s="27"/>
      <c r="DU190" s="16"/>
      <c r="DV190" s="16"/>
      <c r="DW190" s="27"/>
      <c r="DY190" s="27"/>
      <c r="DZ190" s="16"/>
      <c r="EA190" s="16"/>
      <c r="EB190" s="302"/>
    </row>
    <row r="191" spans="1:132" s="14" customFormat="1" ht="21" x14ac:dyDescent="0.4">
      <c r="A191" s="27"/>
      <c r="B191" s="27"/>
      <c r="C191" s="27"/>
      <c r="E191" s="16"/>
      <c r="F191" s="27"/>
      <c r="G191" s="27"/>
      <c r="I191" s="27"/>
      <c r="J191" s="16"/>
      <c r="K191" s="16"/>
      <c r="L191" s="27"/>
      <c r="N191" s="27"/>
      <c r="O191" s="16"/>
      <c r="P191" s="16"/>
      <c r="Q191" s="27"/>
      <c r="S191" s="27"/>
      <c r="T191" s="16"/>
      <c r="U191" s="16"/>
      <c r="V191" s="27"/>
      <c r="X191" s="27"/>
      <c r="Y191" s="16"/>
      <c r="Z191" s="16"/>
      <c r="AA191" s="27"/>
      <c r="AC191" s="27"/>
      <c r="AD191" s="16"/>
      <c r="AE191" s="16"/>
      <c r="AF191" s="27"/>
      <c r="AH191" s="27"/>
      <c r="AI191" s="16"/>
      <c r="AJ191" s="16"/>
      <c r="AK191" s="27"/>
      <c r="AM191" s="27"/>
      <c r="AN191" s="16"/>
      <c r="AO191" s="16"/>
      <c r="AP191" s="27"/>
      <c r="AR191" s="27"/>
      <c r="AS191" s="16"/>
      <c r="AT191" s="16"/>
      <c r="AU191" s="27"/>
      <c r="AW191" s="27"/>
      <c r="AX191" s="16"/>
      <c r="AY191" s="16"/>
      <c r="AZ191" s="27"/>
      <c r="BB191" s="27"/>
      <c r="BC191" s="16"/>
      <c r="BD191" s="16"/>
      <c r="BE191" s="27"/>
      <c r="BG191" s="27"/>
      <c r="BH191" s="16"/>
      <c r="BI191" s="16"/>
      <c r="BJ191" s="27"/>
      <c r="BL191" s="27"/>
      <c r="BM191" s="16"/>
      <c r="BN191" s="16"/>
      <c r="BO191" s="27"/>
      <c r="BQ191" s="27"/>
      <c r="BR191" s="16"/>
      <c r="BS191" s="16"/>
      <c r="BT191" s="27"/>
      <c r="BV191" s="27"/>
      <c r="BW191" s="16"/>
      <c r="BX191" s="16"/>
      <c r="BY191" s="27"/>
      <c r="CA191" s="27"/>
      <c r="CB191" s="16"/>
      <c r="CC191" s="16"/>
      <c r="CD191" s="27"/>
      <c r="CF191" s="27"/>
      <c r="CG191" s="16"/>
      <c r="CH191" s="16"/>
      <c r="CI191" s="27"/>
      <c r="CK191" s="27"/>
      <c r="CL191" s="16"/>
      <c r="CM191" s="16"/>
      <c r="CN191" s="27"/>
      <c r="CP191" s="27"/>
      <c r="CQ191" s="16"/>
      <c r="CR191" s="16"/>
      <c r="CS191" s="27"/>
      <c r="CU191" s="27"/>
      <c r="CV191" s="16"/>
      <c r="CW191" s="16"/>
      <c r="CX191" s="27"/>
      <c r="CZ191" s="27"/>
      <c r="DA191" s="16"/>
      <c r="DB191" s="16"/>
      <c r="DC191" s="27"/>
      <c r="DE191" s="27"/>
      <c r="DF191" s="16"/>
      <c r="DG191" s="16"/>
      <c r="DH191" s="27"/>
      <c r="DJ191" s="27"/>
      <c r="DK191" s="16"/>
      <c r="DL191" s="16"/>
      <c r="DM191" s="27"/>
      <c r="DO191" s="27"/>
      <c r="DP191" s="16"/>
      <c r="DQ191" s="16"/>
      <c r="DR191" s="27"/>
      <c r="DT191" s="27"/>
      <c r="DU191" s="16"/>
      <c r="DV191" s="16"/>
      <c r="DW191" s="27"/>
      <c r="DY191" s="27"/>
      <c r="DZ191" s="16"/>
      <c r="EA191" s="16"/>
      <c r="EB191" s="302"/>
    </row>
    <row r="192" spans="1:132" s="14" customFormat="1" ht="21" x14ac:dyDescent="0.4">
      <c r="A192" s="27"/>
      <c r="B192" s="27"/>
      <c r="C192" s="27"/>
      <c r="E192" s="16"/>
      <c r="F192" s="27"/>
      <c r="G192" s="27"/>
      <c r="I192" s="27"/>
      <c r="J192" s="16"/>
      <c r="K192" s="16"/>
      <c r="L192" s="27"/>
      <c r="N192" s="27"/>
      <c r="O192" s="16"/>
      <c r="P192" s="16"/>
      <c r="Q192" s="27"/>
      <c r="S192" s="27"/>
      <c r="T192" s="16"/>
      <c r="U192" s="16"/>
      <c r="V192" s="27"/>
      <c r="X192" s="27"/>
      <c r="Y192" s="16"/>
      <c r="Z192" s="16"/>
      <c r="AA192" s="27"/>
      <c r="AC192" s="27"/>
      <c r="AD192" s="16"/>
      <c r="AE192" s="16"/>
      <c r="AF192" s="27"/>
      <c r="AH192" s="27"/>
      <c r="AI192" s="16"/>
      <c r="AJ192" s="16"/>
      <c r="AK192" s="27"/>
      <c r="AM192" s="27"/>
      <c r="AN192" s="16"/>
      <c r="AO192" s="16"/>
      <c r="AP192" s="27"/>
      <c r="AR192" s="27"/>
      <c r="AS192" s="16"/>
      <c r="AT192" s="16"/>
      <c r="AU192" s="27"/>
      <c r="AW192" s="27"/>
      <c r="AX192" s="16"/>
      <c r="AY192" s="16"/>
      <c r="AZ192" s="27"/>
      <c r="BB192" s="27"/>
      <c r="BC192" s="16"/>
      <c r="BD192" s="16"/>
      <c r="BE192" s="27"/>
      <c r="BG192" s="27"/>
      <c r="BH192" s="16"/>
      <c r="BI192" s="16"/>
      <c r="BJ192" s="27"/>
      <c r="BL192" s="27"/>
      <c r="BM192" s="16"/>
      <c r="BN192" s="16"/>
      <c r="BO192" s="27"/>
      <c r="BQ192" s="27"/>
      <c r="BR192" s="16"/>
      <c r="BS192" s="16"/>
      <c r="BT192" s="27"/>
      <c r="BV192" s="27"/>
      <c r="BW192" s="16"/>
      <c r="BX192" s="16"/>
      <c r="BY192" s="27"/>
      <c r="CA192" s="27"/>
      <c r="CB192" s="16"/>
      <c r="CC192" s="16"/>
      <c r="CD192" s="27"/>
      <c r="CF192" s="27"/>
      <c r="CG192" s="16"/>
      <c r="CH192" s="16"/>
      <c r="CI192" s="27"/>
      <c r="CK192" s="27"/>
      <c r="CL192" s="16"/>
      <c r="CM192" s="16"/>
      <c r="CN192" s="27"/>
      <c r="CP192" s="27"/>
      <c r="CQ192" s="16"/>
      <c r="CR192" s="16"/>
      <c r="CS192" s="27"/>
      <c r="CU192" s="27"/>
      <c r="CV192" s="16"/>
      <c r="CW192" s="16"/>
      <c r="CX192" s="27"/>
      <c r="CZ192" s="27"/>
      <c r="DA192" s="16"/>
      <c r="DB192" s="16"/>
      <c r="DC192" s="27"/>
      <c r="DE192" s="27"/>
      <c r="DF192" s="16"/>
      <c r="DG192" s="16"/>
      <c r="DH192" s="27"/>
      <c r="DJ192" s="27"/>
      <c r="DK192" s="16"/>
      <c r="DL192" s="16"/>
      <c r="DM192" s="27"/>
      <c r="DO192" s="27"/>
      <c r="DP192" s="16"/>
      <c r="DQ192" s="16"/>
      <c r="DR192" s="27"/>
      <c r="DT192" s="27"/>
      <c r="DU192" s="16"/>
      <c r="DV192" s="16"/>
      <c r="DW192" s="27"/>
      <c r="DY192" s="27"/>
      <c r="DZ192" s="16"/>
      <c r="EA192" s="16"/>
      <c r="EB192" s="302"/>
    </row>
    <row r="193" spans="1:132" s="14" customFormat="1" ht="21" x14ac:dyDescent="0.4">
      <c r="A193" s="27"/>
      <c r="B193" s="27"/>
      <c r="C193" s="27"/>
      <c r="E193" s="16"/>
      <c r="F193" s="27"/>
      <c r="G193" s="27"/>
      <c r="I193" s="27"/>
      <c r="J193" s="16"/>
      <c r="K193" s="16"/>
      <c r="L193" s="27"/>
      <c r="N193" s="27"/>
      <c r="O193" s="16"/>
      <c r="P193" s="16"/>
      <c r="Q193" s="27"/>
      <c r="S193" s="27"/>
      <c r="T193" s="16"/>
      <c r="U193" s="16"/>
      <c r="V193" s="27"/>
      <c r="X193" s="27"/>
      <c r="Y193" s="16"/>
      <c r="Z193" s="16"/>
      <c r="AA193" s="27"/>
      <c r="AC193" s="27"/>
      <c r="AD193" s="16"/>
      <c r="AE193" s="16"/>
      <c r="AF193" s="27"/>
      <c r="AH193" s="27"/>
      <c r="AI193" s="16"/>
      <c r="AJ193" s="16"/>
      <c r="AK193" s="27"/>
      <c r="AM193" s="27"/>
      <c r="AN193" s="16"/>
      <c r="AO193" s="16"/>
      <c r="AP193" s="27"/>
      <c r="AR193" s="27"/>
      <c r="AS193" s="16"/>
      <c r="AT193" s="16"/>
      <c r="AU193" s="27"/>
      <c r="AW193" s="27"/>
      <c r="AX193" s="16"/>
      <c r="AY193" s="16"/>
      <c r="AZ193" s="27"/>
      <c r="BB193" s="27"/>
      <c r="BC193" s="16"/>
      <c r="BD193" s="16"/>
      <c r="BE193" s="27"/>
      <c r="BG193" s="27"/>
      <c r="BH193" s="16"/>
      <c r="BI193" s="16"/>
      <c r="BJ193" s="27"/>
      <c r="BL193" s="27"/>
      <c r="BM193" s="16"/>
      <c r="BN193" s="16"/>
      <c r="BO193" s="27"/>
      <c r="BQ193" s="27"/>
      <c r="BR193" s="16"/>
      <c r="BS193" s="16"/>
      <c r="BT193" s="27"/>
      <c r="BV193" s="27"/>
      <c r="BW193" s="16"/>
      <c r="BX193" s="16"/>
      <c r="BY193" s="27"/>
      <c r="CA193" s="27"/>
      <c r="CB193" s="16"/>
      <c r="CC193" s="16"/>
      <c r="CD193" s="27"/>
      <c r="CF193" s="27"/>
      <c r="CG193" s="16"/>
      <c r="CH193" s="16"/>
      <c r="CI193" s="27"/>
      <c r="CK193" s="27"/>
      <c r="CL193" s="16"/>
      <c r="CM193" s="16"/>
      <c r="CN193" s="27"/>
      <c r="CP193" s="27"/>
      <c r="CQ193" s="16"/>
      <c r="CR193" s="16"/>
      <c r="CS193" s="27"/>
      <c r="CU193" s="27"/>
      <c r="CV193" s="16"/>
      <c r="CW193" s="16"/>
      <c r="CX193" s="27"/>
      <c r="CZ193" s="27"/>
      <c r="DA193" s="16"/>
      <c r="DB193" s="16"/>
      <c r="DC193" s="27"/>
      <c r="DE193" s="27"/>
      <c r="DF193" s="16"/>
      <c r="DG193" s="16"/>
      <c r="DH193" s="27"/>
      <c r="DJ193" s="27"/>
      <c r="DK193" s="16"/>
      <c r="DL193" s="16"/>
      <c r="DM193" s="27"/>
      <c r="DO193" s="27"/>
      <c r="DP193" s="16"/>
      <c r="DQ193" s="16"/>
      <c r="DR193" s="27"/>
      <c r="DT193" s="27"/>
      <c r="DU193" s="16"/>
      <c r="DV193" s="16"/>
      <c r="DW193" s="27"/>
      <c r="DY193" s="27"/>
      <c r="DZ193" s="16"/>
      <c r="EA193" s="16"/>
      <c r="EB193" s="302"/>
    </row>
    <row r="194" spans="1:132" s="14" customFormat="1" ht="21" x14ac:dyDescent="0.4">
      <c r="A194" s="27"/>
      <c r="B194" s="27"/>
      <c r="C194" s="27"/>
      <c r="E194" s="16"/>
      <c r="F194" s="27"/>
      <c r="G194" s="27"/>
      <c r="I194" s="27"/>
      <c r="J194" s="16"/>
      <c r="K194" s="16"/>
      <c r="L194" s="27"/>
      <c r="N194" s="27"/>
      <c r="O194" s="16"/>
      <c r="P194" s="16"/>
      <c r="Q194" s="27"/>
      <c r="S194" s="27"/>
      <c r="T194" s="16"/>
      <c r="U194" s="16"/>
      <c r="V194" s="27"/>
      <c r="X194" s="27"/>
      <c r="Y194" s="16"/>
      <c r="Z194" s="16"/>
      <c r="AA194" s="27"/>
      <c r="AC194" s="27"/>
      <c r="AD194" s="16"/>
      <c r="AE194" s="16"/>
      <c r="AF194" s="27"/>
      <c r="AH194" s="27"/>
      <c r="AI194" s="16"/>
      <c r="AJ194" s="16"/>
      <c r="AK194" s="27"/>
      <c r="AM194" s="27"/>
      <c r="AN194" s="16"/>
      <c r="AO194" s="16"/>
      <c r="AP194" s="27"/>
      <c r="AR194" s="27"/>
      <c r="AS194" s="16"/>
      <c r="AT194" s="16"/>
      <c r="AU194" s="27"/>
      <c r="AW194" s="27"/>
      <c r="AX194" s="16"/>
      <c r="AY194" s="16"/>
      <c r="AZ194" s="27"/>
      <c r="BB194" s="27"/>
      <c r="BC194" s="16"/>
      <c r="BD194" s="16"/>
      <c r="BE194" s="27"/>
      <c r="BG194" s="27"/>
      <c r="BH194" s="16"/>
      <c r="BI194" s="16"/>
      <c r="BJ194" s="27"/>
      <c r="BL194" s="27"/>
      <c r="BM194" s="16"/>
      <c r="BN194" s="16"/>
      <c r="BO194" s="27"/>
      <c r="BQ194" s="27"/>
      <c r="BR194" s="16"/>
      <c r="BS194" s="16"/>
      <c r="BT194" s="27"/>
      <c r="BV194" s="27"/>
      <c r="BW194" s="16"/>
      <c r="BX194" s="16"/>
      <c r="BY194" s="27"/>
      <c r="CA194" s="27"/>
      <c r="CB194" s="16"/>
      <c r="CC194" s="16"/>
      <c r="CD194" s="27"/>
      <c r="CF194" s="27"/>
      <c r="CG194" s="16"/>
      <c r="CH194" s="16"/>
      <c r="CI194" s="27"/>
      <c r="CK194" s="27"/>
      <c r="CL194" s="16"/>
      <c r="CM194" s="16"/>
      <c r="CN194" s="27"/>
      <c r="CP194" s="27"/>
      <c r="CQ194" s="16"/>
      <c r="CR194" s="16"/>
      <c r="CS194" s="27"/>
      <c r="CU194" s="27"/>
      <c r="CV194" s="16"/>
      <c r="CW194" s="16"/>
      <c r="CX194" s="27"/>
      <c r="CZ194" s="27"/>
      <c r="DA194" s="16"/>
      <c r="DB194" s="16"/>
      <c r="DC194" s="27"/>
      <c r="DE194" s="27"/>
      <c r="DF194" s="16"/>
      <c r="DG194" s="16"/>
      <c r="DH194" s="27"/>
      <c r="DJ194" s="27"/>
      <c r="DK194" s="16"/>
      <c r="DL194" s="16"/>
      <c r="DM194" s="27"/>
      <c r="DO194" s="27"/>
      <c r="DP194" s="16"/>
      <c r="DQ194" s="16"/>
      <c r="DR194" s="27"/>
      <c r="DT194" s="27"/>
      <c r="DU194" s="16"/>
      <c r="DV194" s="16"/>
      <c r="DW194" s="27"/>
      <c r="DY194" s="27"/>
      <c r="DZ194" s="16"/>
      <c r="EA194" s="16"/>
      <c r="EB194" s="302"/>
    </row>
    <row r="195" spans="1:132" s="14" customFormat="1" ht="21" x14ac:dyDescent="0.4">
      <c r="A195" s="27"/>
      <c r="B195" s="27"/>
      <c r="C195" s="27"/>
      <c r="E195" s="16"/>
      <c r="F195" s="27"/>
      <c r="G195" s="27"/>
      <c r="I195" s="27"/>
      <c r="J195" s="16"/>
      <c r="K195" s="16"/>
      <c r="L195" s="27"/>
      <c r="N195" s="27"/>
      <c r="O195" s="16"/>
      <c r="P195" s="16"/>
      <c r="Q195" s="27"/>
      <c r="S195" s="27"/>
      <c r="T195" s="16"/>
      <c r="U195" s="16"/>
      <c r="V195" s="27"/>
      <c r="X195" s="27"/>
      <c r="Y195" s="16"/>
      <c r="Z195" s="16"/>
      <c r="AA195" s="27"/>
      <c r="AC195" s="27"/>
      <c r="AD195" s="16"/>
      <c r="AE195" s="16"/>
      <c r="AF195" s="27"/>
      <c r="AH195" s="27"/>
      <c r="AI195" s="16"/>
      <c r="AJ195" s="16"/>
      <c r="AK195" s="27"/>
      <c r="AM195" s="27"/>
      <c r="AN195" s="16"/>
      <c r="AO195" s="16"/>
      <c r="AP195" s="27"/>
      <c r="AR195" s="27"/>
      <c r="AS195" s="16"/>
      <c r="AT195" s="16"/>
      <c r="AU195" s="27"/>
      <c r="AW195" s="27"/>
      <c r="AX195" s="16"/>
      <c r="AY195" s="16"/>
      <c r="AZ195" s="27"/>
      <c r="BB195" s="27"/>
      <c r="BC195" s="16"/>
      <c r="BD195" s="16"/>
      <c r="BE195" s="27"/>
      <c r="BG195" s="27"/>
      <c r="BH195" s="16"/>
      <c r="BI195" s="16"/>
      <c r="BJ195" s="27"/>
      <c r="BL195" s="27"/>
      <c r="BM195" s="16"/>
      <c r="BN195" s="16"/>
      <c r="BO195" s="27"/>
      <c r="BQ195" s="27"/>
      <c r="BR195" s="16"/>
      <c r="BS195" s="16"/>
      <c r="BT195" s="27"/>
      <c r="BV195" s="27"/>
      <c r="BW195" s="16"/>
      <c r="BX195" s="16"/>
      <c r="BY195" s="27"/>
      <c r="CA195" s="27"/>
      <c r="CB195" s="16"/>
      <c r="CC195" s="16"/>
      <c r="CD195" s="27"/>
      <c r="CF195" s="27"/>
      <c r="CG195" s="16"/>
      <c r="CH195" s="16"/>
      <c r="CI195" s="27"/>
      <c r="CK195" s="27"/>
      <c r="CL195" s="16"/>
      <c r="CM195" s="16"/>
      <c r="CN195" s="27"/>
      <c r="CP195" s="27"/>
      <c r="CQ195" s="16"/>
      <c r="CR195" s="16"/>
      <c r="CS195" s="27"/>
      <c r="CU195" s="27"/>
      <c r="CV195" s="16"/>
      <c r="CW195" s="16"/>
      <c r="CX195" s="27"/>
      <c r="CZ195" s="27"/>
      <c r="DA195" s="16"/>
      <c r="DB195" s="16"/>
      <c r="DC195" s="27"/>
      <c r="DE195" s="27"/>
      <c r="DF195" s="16"/>
      <c r="DG195" s="16"/>
      <c r="DH195" s="27"/>
      <c r="DJ195" s="27"/>
      <c r="DK195" s="16"/>
      <c r="DL195" s="16"/>
      <c r="DM195" s="27"/>
      <c r="DO195" s="27"/>
      <c r="DP195" s="16"/>
      <c r="DQ195" s="16"/>
      <c r="DR195" s="27"/>
      <c r="DT195" s="27"/>
      <c r="DU195" s="16"/>
      <c r="DV195" s="16"/>
      <c r="DW195" s="27"/>
      <c r="DY195" s="27"/>
      <c r="DZ195" s="16"/>
      <c r="EA195" s="16"/>
      <c r="EB195" s="302"/>
    </row>
    <row r="196" spans="1:132" s="14" customFormat="1" ht="21" x14ac:dyDescent="0.4">
      <c r="A196" s="27"/>
      <c r="B196" s="27"/>
      <c r="C196" s="27"/>
      <c r="E196" s="16"/>
      <c r="F196" s="27"/>
      <c r="G196" s="27"/>
      <c r="I196" s="27"/>
      <c r="J196" s="16"/>
      <c r="K196" s="16"/>
      <c r="L196" s="27"/>
      <c r="N196" s="27"/>
      <c r="O196" s="16"/>
      <c r="P196" s="16"/>
      <c r="Q196" s="27"/>
      <c r="S196" s="27"/>
      <c r="T196" s="16"/>
      <c r="U196" s="16"/>
      <c r="V196" s="27"/>
      <c r="X196" s="27"/>
      <c r="Y196" s="16"/>
      <c r="Z196" s="16"/>
      <c r="AA196" s="27"/>
      <c r="AC196" s="27"/>
      <c r="AD196" s="16"/>
      <c r="AE196" s="16"/>
      <c r="AF196" s="27"/>
      <c r="AH196" s="27"/>
      <c r="AI196" s="16"/>
      <c r="AJ196" s="16"/>
      <c r="AK196" s="27"/>
      <c r="AM196" s="27"/>
      <c r="AN196" s="16"/>
      <c r="AO196" s="16"/>
      <c r="AP196" s="27"/>
      <c r="AR196" s="27"/>
      <c r="AS196" s="16"/>
      <c r="AT196" s="16"/>
      <c r="AU196" s="27"/>
      <c r="AW196" s="27"/>
      <c r="AX196" s="16"/>
      <c r="AY196" s="16"/>
      <c r="AZ196" s="27"/>
      <c r="BB196" s="27"/>
      <c r="BC196" s="16"/>
      <c r="BD196" s="16"/>
      <c r="BE196" s="27"/>
      <c r="BG196" s="27"/>
      <c r="BH196" s="16"/>
      <c r="BI196" s="16"/>
      <c r="BJ196" s="27"/>
      <c r="BL196" s="27"/>
      <c r="BM196" s="16"/>
      <c r="BN196" s="16"/>
      <c r="BO196" s="27"/>
      <c r="BQ196" s="27"/>
      <c r="BR196" s="16"/>
      <c r="BS196" s="16"/>
      <c r="BT196" s="27"/>
      <c r="BV196" s="27"/>
      <c r="BW196" s="16"/>
      <c r="BX196" s="16"/>
      <c r="BY196" s="27"/>
      <c r="CA196" s="27"/>
      <c r="CB196" s="16"/>
      <c r="CC196" s="16"/>
      <c r="CD196" s="27"/>
      <c r="CF196" s="27"/>
      <c r="CG196" s="16"/>
      <c r="CH196" s="16"/>
      <c r="CI196" s="27"/>
      <c r="CK196" s="27"/>
      <c r="CL196" s="16"/>
      <c r="CM196" s="16"/>
      <c r="CN196" s="27"/>
      <c r="CP196" s="27"/>
      <c r="CQ196" s="16"/>
      <c r="CR196" s="16"/>
      <c r="CS196" s="27"/>
      <c r="CU196" s="27"/>
      <c r="CV196" s="16"/>
      <c r="CW196" s="16"/>
      <c r="CX196" s="27"/>
      <c r="CZ196" s="27"/>
      <c r="DA196" s="16"/>
      <c r="DB196" s="16"/>
      <c r="DC196" s="27"/>
      <c r="DE196" s="27"/>
      <c r="DF196" s="16"/>
      <c r="DG196" s="16"/>
      <c r="DH196" s="27"/>
      <c r="DJ196" s="27"/>
      <c r="DK196" s="16"/>
      <c r="DL196" s="16"/>
      <c r="DM196" s="27"/>
      <c r="DO196" s="27"/>
      <c r="DP196" s="16"/>
      <c r="DQ196" s="16"/>
      <c r="DR196" s="27"/>
      <c r="DT196" s="27"/>
      <c r="DU196" s="16"/>
      <c r="DV196" s="16"/>
      <c r="DW196" s="27"/>
      <c r="DY196" s="27"/>
      <c r="DZ196" s="16"/>
      <c r="EA196" s="16"/>
      <c r="EB196" s="302"/>
    </row>
    <row r="197" spans="1:132" s="14" customFormat="1" ht="21" x14ac:dyDescent="0.4">
      <c r="A197" s="27"/>
      <c r="B197" s="27"/>
      <c r="C197" s="27"/>
      <c r="E197" s="16"/>
      <c r="F197" s="27"/>
      <c r="G197" s="27"/>
      <c r="I197" s="27"/>
      <c r="J197" s="16"/>
      <c r="K197" s="16"/>
      <c r="L197" s="27"/>
      <c r="N197" s="27"/>
      <c r="O197" s="16"/>
      <c r="P197" s="16"/>
      <c r="Q197" s="27"/>
      <c r="S197" s="27"/>
      <c r="T197" s="16"/>
      <c r="U197" s="16"/>
      <c r="V197" s="27"/>
      <c r="X197" s="27"/>
      <c r="Y197" s="16"/>
      <c r="Z197" s="16"/>
      <c r="AA197" s="27"/>
      <c r="AC197" s="27"/>
      <c r="AD197" s="16"/>
      <c r="AE197" s="16"/>
      <c r="AF197" s="27"/>
      <c r="AH197" s="27"/>
      <c r="AI197" s="16"/>
      <c r="AJ197" s="16"/>
      <c r="AK197" s="27"/>
      <c r="AM197" s="27"/>
      <c r="AN197" s="16"/>
      <c r="AO197" s="16"/>
      <c r="AP197" s="27"/>
      <c r="AR197" s="27"/>
      <c r="AS197" s="16"/>
      <c r="AT197" s="16"/>
      <c r="AU197" s="27"/>
      <c r="AW197" s="27"/>
      <c r="AX197" s="16"/>
      <c r="AY197" s="16"/>
      <c r="AZ197" s="27"/>
      <c r="BB197" s="27"/>
      <c r="BC197" s="16"/>
      <c r="BD197" s="16"/>
      <c r="BE197" s="27"/>
      <c r="BG197" s="27"/>
      <c r="BH197" s="16"/>
      <c r="BI197" s="16"/>
      <c r="BJ197" s="27"/>
      <c r="BL197" s="27"/>
      <c r="BM197" s="16"/>
      <c r="BN197" s="16"/>
      <c r="BO197" s="27"/>
      <c r="BQ197" s="27"/>
      <c r="BR197" s="16"/>
      <c r="BS197" s="16"/>
      <c r="BT197" s="27"/>
      <c r="BV197" s="27"/>
      <c r="BW197" s="16"/>
      <c r="BX197" s="16"/>
      <c r="BY197" s="27"/>
      <c r="CA197" s="27"/>
      <c r="CB197" s="16"/>
      <c r="CC197" s="16"/>
      <c r="CD197" s="27"/>
      <c r="CF197" s="27"/>
      <c r="CG197" s="16"/>
      <c r="CH197" s="16"/>
      <c r="CI197" s="27"/>
      <c r="CK197" s="27"/>
      <c r="CL197" s="16"/>
      <c r="CM197" s="16"/>
      <c r="CN197" s="27"/>
      <c r="CP197" s="27"/>
      <c r="CQ197" s="16"/>
      <c r="CR197" s="16"/>
      <c r="CS197" s="27"/>
      <c r="CU197" s="27"/>
      <c r="CV197" s="16"/>
      <c r="CW197" s="16"/>
      <c r="CX197" s="27"/>
      <c r="CZ197" s="27"/>
      <c r="DA197" s="16"/>
      <c r="DB197" s="16"/>
      <c r="DC197" s="27"/>
      <c r="DE197" s="27"/>
      <c r="DF197" s="16"/>
      <c r="DG197" s="16"/>
      <c r="DH197" s="27"/>
      <c r="DJ197" s="27"/>
      <c r="DK197" s="16"/>
      <c r="DL197" s="16"/>
      <c r="DM197" s="27"/>
      <c r="DO197" s="27"/>
      <c r="DP197" s="16"/>
      <c r="DQ197" s="16"/>
      <c r="DR197" s="27"/>
      <c r="DT197" s="27"/>
      <c r="DU197" s="16"/>
      <c r="DV197" s="16"/>
      <c r="DW197" s="27"/>
      <c r="DY197" s="27"/>
      <c r="DZ197" s="16"/>
      <c r="EA197" s="16"/>
      <c r="EB197" s="302"/>
    </row>
    <row r="198" spans="1:132" s="14" customFormat="1" ht="21" x14ac:dyDescent="0.4">
      <c r="A198" s="27"/>
      <c r="B198" s="27"/>
      <c r="C198" s="27"/>
      <c r="E198" s="16"/>
      <c r="F198" s="27"/>
      <c r="G198" s="27"/>
      <c r="I198" s="27"/>
      <c r="J198" s="16"/>
      <c r="K198" s="16"/>
      <c r="L198" s="27"/>
      <c r="N198" s="27"/>
      <c r="O198" s="16"/>
      <c r="P198" s="16"/>
      <c r="Q198" s="27"/>
      <c r="S198" s="27"/>
      <c r="T198" s="16"/>
      <c r="U198" s="16"/>
      <c r="V198" s="27"/>
      <c r="X198" s="27"/>
      <c r="Y198" s="16"/>
      <c r="Z198" s="16"/>
      <c r="AA198" s="27"/>
      <c r="AC198" s="27"/>
      <c r="AD198" s="16"/>
      <c r="AE198" s="16"/>
      <c r="AF198" s="27"/>
      <c r="AH198" s="27"/>
      <c r="AI198" s="16"/>
      <c r="AJ198" s="16"/>
      <c r="AK198" s="27"/>
      <c r="AM198" s="27"/>
      <c r="AN198" s="16"/>
      <c r="AO198" s="16"/>
      <c r="AP198" s="27"/>
      <c r="AR198" s="27"/>
      <c r="AS198" s="16"/>
      <c r="AT198" s="16"/>
      <c r="AU198" s="27"/>
      <c r="AW198" s="27"/>
      <c r="AX198" s="16"/>
      <c r="AY198" s="16"/>
      <c r="AZ198" s="27"/>
      <c r="BB198" s="27"/>
      <c r="BC198" s="16"/>
      <c r="BD198" s="16"/>
      <c r="BE198" s="27"/>
      <c r="BG198" s="27"/>
      <c r="BH198" s="16"/>
      <c r="BI198" s="16"/>
      <c r="BJ198" s="27"/>
      <c r="BL198" s="27"/>
      <c r="BM198" s="16"/>
      <c r="BN198" s="16"/>
      <c r="BO198" s="27"/>
      <c r="BQ198" s="27"/>
      <c r="BR198" s="16"/>
      <c r="BS198" s="16"/>
      <c r="BT198" s="27"/>
      <c r="BV198" s="27"/>
      <c r="BW198" s="16"/>
      <c r="BX198" s="16"/>
      <c r="BY198" s="27"/>
      <c r="CA198" s="27"/>
      <c r="CB198" s="16"/>
      <c r="CC198" s="16"/>
      <c r="CD198" s="27"/>
      <c r="CF198" s="27"/>
      <c r="CG198" s="16"/>
      <c r="CH198" s="16"/>
      <c r="CI198" s="27"/>
      <c r="CK198" s="27"/>
      <c r="CL198" s="16"/>
      <c r="CM198" s="16"/>
      <c r="CN198" s="27"/>
      <c r="CP198" s="27"/>
      <c r="CQ198" s="16"/>
      <c r="CR198" s="16"/>
      <c r="CS198" s="27"/>
      <c r="CU198" s="27"/>
      <c r="CV198" s="16"/>
      <c r="CW198" s="16"/>
      <c r="CX198" s="27"/>
      <c r="CZ198" s="27"/>
      <c r="DA198" s="16"/>
      <c r="DB198" s="16"/>
      <c r="DC198" s="27"/>
      <c r="DE198" s="27"/>
      <c r="DF198" s="16"/>
      <c r="DG198" s="16"/>
      <c r="DH198" s="27"/>
      <c r="DJ198" s="27"/>
      <c r="DK198" s="16"/>
      <c r="DL198" s="16"/>
      <c r="DM198" s="27"/>
      <c r="DO198" s="27"/>
      <c r="DP198" s="16"/>
      <c r="DQ198" s="16"/>
      <c r="DR198" s="27"/>
      <c r="DT198" s="27"/>
      <c r="DU198" s="16"/>
      <c r="DV198" s="16"/>
      <c r="DW198" s="27"/>
      <c r="DY198" s="27"/>
      <c r="DZ198" s="16"/>
      <c r="EA198" s="16"/>
      <c r="EB198" s="302"/>
    </row>
    <row r="199" spans="1:132" s="14" customFormat="1" ht="21" x14ac:dyDescent="0.4">
      <c r="A199" s="27"/>
      <c r="B199" s="27"/>
      <c r="C199" s="27"/>
      <c r="E199" s="16"/>
      <c r="F199" s="27"/>
      <c r="G199" s="27"/>
      <c r="I199" s="27"/>
      <c r="J199" s="16"/>
      <c r="K199" s="16"/>
      <c r="L199" s="27"/>
      <c r="N199" s="27"/>
      <c r="O199" s="16"/>
      <c r="P199" s="16"/>
      <c r="Q199" s="27"/>
      <c r="S199" s="27"/>
      <c r="T199" s="16"/>
      <c r="U199" s="16"/>
      <c r="V199" s="27"/>
      <c r="X199" s="27"/>
      <c r="Y199" s="16"/>
      <c r="Z199" s="16"/>
      <c r="AA199" s="27"/>
      <c r="AC199" s="27"/>
      <c r="AD199" s="16"/>
      <c r="AE199" s="16"/>
      <c r="AF199" s="27"/>
      <c r="AH199" s="27"/>
      <c r="AI199" s="16"/>
      <c r="AJ199" s="16"/>
      <c r="AK199" s="27"/>
      <c r="AM199" s="27"/>
      <c r="AN199" s="16"/>
      <c r="AO199" s="16"/>
      <c r="AP199" s="27"/>
      <c r="AR199" s="27"/>
      <c r="AS199" s="16"/>
      <c r="AT199" s="16"/>
      <c r="AU199" s="27"/>
      <c r="AW199" s="27"/>
      <c r="AX199" s="16"/>
      <c r="AY199" s="16"/>
      <c r="AZ199" s="27"/>
      <c r="BB199" s="27"/>
      <c r="BC199" s="16"/>
      <c r="BD199" s="16"/>
      <c r="BE199" s="27"/>
      <c r="BG199" s="27"/>
      <c r="BH199" s="16"/>
      <c r="BI199" s="16"/>
      <c r="BJ199" s="27"/>
      <c r="BL199" s="27"/>
      <c r="BM199" s="16"/>
      <c r="BN199" s="16"/>
      <c r="BO199" s="27"/>
      <c r="BQ199" s="27"/>
      <c r="BR199" s="16"/>
      <c r="BS199" s="16"/>
      <c r="BT199" s="27"/>
      <c r="BV199" s="27"/>
      <c r="BW199" s="16"/>
      <c r="BX199" s="16"/>
      <c r="BY199" s="27"/>
      <c r="CA199" s="27"/>
      <c r="CB199" s="16"/>
      <c r="CC199" s="16"/>
      <c r="CD199" s="27"/>
      <c r="CF199" s="27"/>
      <c r="CG199" s="16"/>
      <c r="CH199" s="16"/>
      <c r="CI199" s="27"/>
      <c r="CK199" s="27"/>
      <c r="CL199" s="16"/>
      <c r="CM199" s="16"/>
      <c r="CN199" s="27"/>
      <c r="CP199" s="27"/>
      <c r="CQ199" s="16"/>
      <c r="CR199" s="16"/>
      <c r="CS199" s="27"/>
      <c r="CU199" s="27"/>
      <c r="CV199" s="16"/>
      <c r="CW199" s="16"/>
      <c r="CX199" s="27"/>
      <c r="CZ199" s="27"/>
      <c r="DA199" s="16"/>
      <c r="DB199" s="16"/>
      <c r="DC199" s="27"/>
      <c r="DE199" s="27"/>
      <c r="DF199" s="16"/>
      <c r="DG199" s="16"/>
      <c r="DH199" s="27"/>
      <c r="DJ199" s="27"/>
      <c r="DK199" s="16"/>
      <c r="DL199" s="16"/>
      <c r="DM199" s="27"/>
      <c r="DO199" s="27"/>
      <c r="DP199" s="16"/>
      <c r="DQ199" s="16"/>
      <c r="DR199" s="27"/>
      <c r="DT199" s="27"/>
      <c r="DU199" s="16"/>
      <c r="DV199" s="16"/>
      <c r="DW199" s="27"/>
      <c r="DY199" s="27"/>
      <c r="DZ199" s="16"/>
      <c r="EA199" s="16"/>
      <c r="EB199" s="302"/>
    </row>
    <row r="200" spans="1:132" s="14" customFormat="1" ht="21" x14ac:dyDescent="0.4">
      <c r="A200" s="27"/>
      <c r="B200" s="27"/>
      <c r="C200" s="27"/>
      <c r="E200" s="16"/>
      <c r="F200" s="27"/>
      <c r="G200" s="27"/>
      <c r="I200" s="27"/>
      <c r="J200" s="16"/>
      <c r="K200" s="16"/>
      <c r="L200" s="27"/>
      <c r="N200" s="27"/>
      <c r="O200" s="16"/>
      <c r="P200" s="16"/>
      <c r="Q200" s="27"/>
      <c r="S200" s="27"/>
      <c r="T200" s="16"/>
      <c r="U200" s="16"/>
      <c r="V200" s="27"/>
      <c r="X200" s="27"/>
      <c r="Y200" s="16"/>
      <c r="Z200" s="16"/>
      <c r="AA200" s="27"/>
      <c r="AC200" s="27"/>
      <c r="AD200" s="16"/>
      <c r="AE200" s="16"/>
      <c r="AF200" s="27"/>
      <c r="AH200" s="27"/>
      <c r="AI200" s="16"/>
      <c r="AJ200" s="16"/>
      <c r="AK200" s="27"/>
      <c r="AM200" s="27"/>
      <c r="AN200" s="16"/>
      <c r="AO200" s="16"/>
      <c r="AP200" s="27"/>
      <c r="AR200" s="27"/>
      <c r="AS200" s="16"/>
      <c r="AT200" s="16"/>
      <c r="AU200" s="27"/>
      <c r="AW200" s="27"/>
      <c r="AX200" s="16"/>
      <c r="AY200" s="16"/>
      <c r="AZ200" s="27"/>
      <c r="BB200" s="27"/>
      <c r="BC200" s="16"/>
      <c r="BD200" s="16"/>
      <c r="BE200" s="27"/>
      <c r="BG200" s="27"/>
      <c r="BH200" s="16"/>
      <c r="BI200" s="16"/>
      <c r="BJ200" s="27"/>
      <c r="BL200" s="27"/>
      <c r="BM200" s="16"/>
      <c r="BN200" s="16"/>
      <c r="BO200" s="27"/>
      <c r="BQ200" s="27"/>
      <c r="BR200" s="16"/>
      <c r="BS200" s="16"/>
      <c r="BT200" s="27"/>
      <c r="BV200" s="27"/>
      <c r="BW200" s="16"/>
      <c r="BX200" s="16"/>
      <c r="BY200" s="27"/>
      <c r="CA200" s="27"/>
      <c r="CB200" s="16"/>
      <c r="CC200" s="16"/>
      <c r="CD200" s="27"/>
      <c r="CF200" s="27"/>
      <c r="CG200" s="16"/>
      <c r="CH200" s="16"/>
      <c r="CI200" s="27"/>
      <c r="CK200" s="27"/>
      <c r="CL200" s="16"/>
      <c r="CM200" s="16"/>
      <c r="CN200" s="27"/>
      <c r="CP200" s="27"/>
      <c r="CQ200" s="16"/>
      <c r="CR200" s="16"/>
      <c r="CS200" s="27"/>
      <c r="CU200" s="27"/>
      <c r="CV200" s="16"/>
      <c r="CW200" s="16"/>
      <c r="CX200" s="27"/>
      <c r="CZ200" s="27"/>
      <c r="DA200" s="16"/>
      <c r="DB200" s="16"/>
      <c r="DC200" s="27"/>
      <c r="DE200" s="27"/>
      <c r="DF200" s="16"/>
      <c r="DG200" s="16"/>
      <c r="DH200" s="27"/>
      <c r="DJ200" s="27"/>
      <c r="DK200" s="16"/>
      <c r="DL200" s="16"/>
      <c r="DM200" s="27"/>
      <c r="DO200" s="27"/>
      <c r="DP200" s="16"/>
      <c r="DQ200" s="16"/>
      <c r="DR200" s="27"/>
      <c r="DT200" s="27"/>
      <c r="DU200" s="16"/>
      <c r="DV200" s="16"/>
      <c r="DW200" s="27"/>
      <c r="DY200" s="27"/>
      <c r="DZ200" s="16"/>
      <c r="EA200" s="16"/>
      <c r="EB200" s="302"/>
    </row>
    <row r="201" spans="1:132" s="14" customFormat="1" ht="21" x14ac:dyDescent="0.4">
      <c r="A201" s="27"/>
      <c r="B201" s="27"/>
      <c r="C201" s="27"/>
      <c r="E201" s="16"/>
      <c r="F201" s="27"/>
      <c r="G201" s="27"/>
      <c r="I201" s="27"/>
      <c r="J201" s="16"/>
      <c r="K201" s="16"/>
      <c r="L201" s="27"/>
      <c r="N201" s="27"/>
      <c r="O201" s="16"/>
      <c r="P201" s="16"/>
      <c r="Q201" s="27"/>
      <c r="S201" s="27"/>
      <c r="T201" s="16"/>
      <c r="U201" s="16"/>
      <c r="V201" s="27"/>
      <c r="X201" s="27"/>
      <c r="Y201" s="16"/>
      <c r="Z201" s="16"/>
      <c r="AA201" s="27"/>
      <c r="AC201" s="27"/>
      <c r="AD201" s="16"/>
      <c r="AE201" s="16"/>
      <c r="AF201" s="27"/>
      <c r="AH201" s="27"/>
      <c r="AI201" s="16"/>
      <c r="AJ201" s="16"/>
      <c r="AK201" s="27"/>
      <c r="AM201" s="27"/>
      <c r="AN201" s="16"/>
      <c r="AO201" s="16"/>
      <c r="AP201" s="27"/>
      <c r="AR201" s="27"/>
      <c r="AS201" s="16"/>
      <c r="AT201" s="16"/>
      <c r="AU201" s="27"/>
      <c r="AW201" s="27"/>
      <c r="AX201" s="16"/>
      <c r="AY201" s="16"/>
      <c r="AZ201" s="27"/>
      <c r="BB201" s="27"/>
      <c r="BC201" s="16"/>
      <c r="BD201" s="16"/>
      <c r="BE201" s="27"/>
      <c r="BG201" s="27"/>
      <c r="BH201" s="16"/>
      <c r="BI201" s="16"/>
      <c r="BJ201" s="27"/>
      <c r="BL201" s="27"/>
      <c r="BM201" s="16"/>
      <c r="BN201" s="16"/>
      <c r="BO201" s="27"/>
      <c r="BQ201" s="27"/>
      <c r="BR201" s="16"/>
      <c r="BS201" s="16"/>
      <c r="BT201" s="27"/>
      <c r="BV201" s="27"/>
      <c r="BW201" s="16"/>
      <c r="BX201" s="16"/>
      <c r="BY201" s="27"/>
      <c r="CA201" s="27"/>
      <c r="CB201" s="16"/>
      <c r="CC201" s="16"/>
      <c r="CD201" s="27"/>
      <c r="CF201" s="27"/>
      <c r="CG201" s="16"/>
      <c r="CH201" s="16"/>
      <c r="CI201" s="27"/>
      <c r="CK201" s="27"/>
      <c r="CL201" s="16"/>
      <c r="CM201" s="16"/>
      <c r="CN201" s="27"/>
      <c r="CP201" s="27"/>
      <c r="CQ201" s="16"/>
      <c r="CR201" s="16"/>
      <c r="CS201" s="27"/>
      <c r="CU201" s="27"/>
      <c r="CV201" s="16"/>
      <c r="CW201" s="16"/>
      <c r="CX201" s="27"/>
      <c r="CZ201" s="27"/>
      <c r="DA201" s="16"/>
      <c r="DB201" s="16"/>
      <c r="DC201" s="27"/>
      <c r="DE201" s="27"/>
      <c r="DF201" s="16"/>
      <c r="DG201" s="16"/>
      <c r="DH201" s="27"/>
      <c r="DJ201" s="27"/>
      <c r="DK201" s="16"/>
      <c r="DL201" s="16"/>
      <c r="DM201" s="27"/>
      <c r="DO201" s="27"/>
      <c r="DP201" s="16"/>
      <c r="DQ201" s="16"/>
      <c r="DR201" s="27"/>
      <c r="DT201" s="27"/>
      <c r="DU201" s="16"/>
      <c r="DV201" s="16"/>
      <c r="DW201" s="27"/>
      <c r="DY201" s="27"/>
      <c r="DZ201" s="16"/>
      <c r="EA201" s="16"/>
      <c r="EB201" s="302"/>
    </row>
    <row r="202" spans="1:132" s="14" customFormat="1" ht="21" x14ac:dyDescent="0.4">
      <c r="A202" s="27"/>
      <c r="B202" s="27"/>
      <c r="C202" s="27"/>
      <c r="E202" s="16"/>
      <c r="F202" s="27"/>
      <c r="G202" s="27"/>
      <c r="I202" s="27"/>
      <c r="J202" s="16"/>
      <c r="K202" s="16"/>
      <c r="L202" s="27"/>
      <c r="N202" s="27"/>
      <c r="O202" s="16"/>
      <c r="P202" s="16"/>
      <c r="Q202" s="27"/>
      <c r="S202" s="27"/>
      <c r="T202" s="16"/>
      <c r="U202" s="16"/>
      <c r="V202" s="27"/>
      <c r="X202" s="27"/>
      <c r="Y202" s="16"/>
      <c r="Z202" s="16"/>
      <c r="AA202" s="27"/>
      <c r="AC202" s="27"/>
      <c r="AD202" s="16"/>
      <c r="AE202" s="16"/>
      <c r="AF202" s="27"/>
      <c r="AH202" s="27"/>
      <c r="AI202" s="16"/>
      <c r="AJ202" s="16"/>
      <c r="AK202" s="27"/>
      <c r="AM202" s="27"/>
      <c r="AN202" s="16"/>
      <c r="AO202" s="16"/>
      <c r="AP202" s="27"/>
      <c r="AR202" s="27"/>
      <c r="AS202" s="16"/>
      <c r="AT202" s="16"/>
      <c r="AU202" s="27"/>
      <c r="AW202" s="27"/>
      <c r="AX202" s="16"/>
      <c r="AY202" s="16"/>
      <c r="AZ202" s="27"/>
      <c r="BB202" s="27"/>
      <c r="BC202" s="16"/>
      <c r="BD202" s="16"/>
      <c r="BE202" s="27"/>
      <c r="BG202" s="27"/>
      <c r="BH202" s="16"/>
      <c r="BI202" s="16"/>
      <c r="BJ202" s="27"/>
      <c r="BL202" s="27"/>
      <c r="BM202" s="16"/>
      <c r="BN202" s="16"/>
      <c r="BO202" s="27"/>
      <c r="BQ202" s="27"/>
      <c r="BR202" s="16"/>
      <c r="BS202" s="16"/>
      <c r="BT202" s="27"/>
      <c r="BV202" s="27"/>
      <c r="BW202" s="16"/>
      <c r="BX202" s="16"/>
      <c r="BY202" s="27"/>
      <c r="CA202" s="27"/>
      <c r="CB202" s="16"/>
      <c r="CC202" s="16"/>
      <c r="CD202" s="27"/>
      <c r="CF202" s="27"/>
      <c r="CG202" s="16"/>
      <c r="CH202" s="16"/>
      <c r="CI202" s="27"/>
      <c r="CK202" s="27"/>
      <c r="CL202" s="16"/>
      <c r="CM202" s="16"/>
      <c r="CN202" s="27"/>
      <c r="CP202" s="27"/>
      <c r="CQ202" s="16"/>
      <c r="CR202" s="16"/>
      <c r="CS202" s="27"/>
      <c r="CU202" s="27"/>
      <c r="CV202" s="16"/>
      <c r="CW202" s="16"/>
      <c r="CX202" s="27"/>
      <c r="CZ202" s="27"/>
      <c r="DA202" s="16"/>
      <c r="DB202" s="16"/>
      <c r="DC202" s="27"/>
      <c r="DE202" s="27"/>
      <c r="DF202" s="16"/>
      <c r="DG202" s="16"/>
      <c r="DH202" s="27"/>
      <c r="DJ202" s="27"/>
      <c r="DK202" s="16"/>
      <c r="DL202" s="16"/>
      <c r="DM202" s="27"/>
      <c r="DO202" s="27"/>
      <c r="DP202" s="16"/>
      <c r="DQ202" s="16"/>
      <c r="DR202" s="27"/>
      <c r="DT202" s="27"/>
      <c r="DU202" s="16"/>
      <c r="DV202" s="16"/>
      <c r="DW202" s="27"/>
      <c r="DY202" s="27"/>
      <c r="DZ202" s="16"/>
      <c r="EA202" s="16"/>
      <c r="EB202" s="302"/>
    </row>
    <row r="203" spans="1:132" s="14" customFormat="1" ht="21" x14ac:dyDescent="0.4">
      <c r="A203" s="27"/>
      <c r="B203" s="27"/>
      <c r="C203" s="27"/>
      <c r="E203" s="16"/>
      <c r="F203" s="27"/>
      <c r="G203" s="27"/>
      <c r="I203" s="27"/>
      <c r="J203" s="16"/>
      <c r="K203" s="16"/>
      <c r="L203" s="27"/>
      <c r="N203" s="27"/>
      <c r="O203" s="16"/>
      <c r="P203" s="16"/>
      <c r="Q203" s="27"/>
      <c r="S203" s="27"/>
      <c r="T203" s="16"/>
      <c r="U203" s="16"/>
      <c r="V203" s="27"/>
      <c r="X203" s="27"/>
      <c r="Y203" s="16"/>
      <c r="Z203" s="16"/>
      <c r="AA203" s="27"/>
      <c r="AC203" s="27"/>
      <c r="AD203" s="16"/>
      <c r="AE203" s="16"/>
      <c r="AF203" s="27"/>
      <c r="AH203" s="27"/>
      <c r="AI203" s="16"/>
      <c r="AJ203" s="16"/>
      <c r="AK203" s="27"/>
      <c r="AM203" s="27"/>
      <c r="AN203" s="16"/>
      <c r="AO203" s="16"/>
      <c r="AP203" s="27"/>
      <c r="AR203" s="27"/>
      <c r="AS203" s="16"/>
      <c r="AT203" s="16"/>
      <c r="AU203" s="27"/>
      <c r="AW203" s="27"/>
      <c r="AX203" s="16"/>
      <c r="AY203" s="16"/>
      <c r="AZ203" s="27"/>
      <c r="BB203" s="27"/>
      <c r="BC203" s="16"/>
      <c r="BD203" s="16"/>
      <c r="BE203" s="27"/>
      <c r="BG203" s="27"/>
      <c r="BH203" s="16"/>
      <c r="BI203" s="16"/>
      <c r="BJ203" s="27"/>
      <c r="BL203" s="27"/>
      <c r="BM203" s="16"/>
      <c r="BN203" s="16"/>
      <c r="BO203" s="27"/>
      <c r="BQ203" s="27"/>
      <c r="BR203" s="16"/>
      <c r="BS203" s="16"/>
      <c r="BT203" s="27"/>
      <c r="BV203" s="27"/>
      <c r="BW203" s="16"/>
      <c r="BX203" s="16"/>
      <c r="BY203" s="27"/>
      <c r="CA203" s="27"/>
      <c r="CB203" s="16"/>
      <c r="CC203" s="16"/>
      <c r="CD203" s="27"/>
      <c r="CF203" s="27"/>
      <c r="CG203" s="16"/>
      <c r="CH203" s="16"/>
      <c r="CI203" s="27"/>
      <c r="CK203" s="27"/>
      <c r="CL203" s="16"/>
      <c r="CM203" s="16"/>
      <c r="CN203" s="27"/>
      <c r="CP203" s="27"/>
      <c r="CQ203" s="16"/>
      <c r="CR203" s="16"/>
      <c r="CS203" s="27"/>
      <c r="CU203" s="27"/>
      <c r="CV203" s="16"/>
      <c r="CW203" s="16"/>
      <c r="CX203" s="27"/>
      <c r="CZ203" s="27"/>
      <c r="DA203" s="16"/>
      <c r="DB203" s="16"/>
      <c r="DC203" s="27"/>
      <c r="DE203" s="27"/>
      <c r="DF203" s="16"/>
      <c r="DG203" s="16"/>
      <c r="DH203" s="27"/>
      <c r="DJ203" s="27"/>
      <c r="DK203" s="16"/>
      <c r="DL203" s="16"/>
      <c r="DM203" s="27"/>
      <c r="DO203" s="27"/>
      <c r="DP203" s="16"/>
      <c r="DQ203" s="16"/>
      <c r="DR203" s="27"/>
      <c r="DT203" s="27"/>
      <c r="DU203" s="16"/>
      <c r="DV203" s="16"/>
      <c r="DW203" s="27"/>
      <c r="DY203" s="27"/>
      <c r="DZ203" s="16"/>
      <c r="EA203" s="16"/>
      <c r="EB203" s="302"/>
    </row>
    <row r="204" spans="1:132" s="14" customFormat="1" ht="21" x14ac:dyDescent="0.4">
      <c r="A204" s="27"/>
      <c r="B204" s="27"/>
      <c r="C204" s="27"/>
      <c r="E204" s="16"/>
      <c r="F204" s="27"/>
      <c r="G204" s="27"/>
      <c r="I204" s="27"/>
      <c r="J204" s="16"/>
      <c r="K204" s="16"/>
      <c r="L204" s="27"/>
      <c r="N204" s="27"/>
      <c r="O204" s="16"/>
      <c r="P204" s="16"/>
      <c r="Q204" s="27"/>
      <c r="S204" s="27"/>
      <c r="T204" s="16"/>
      <c r="U204" s="16"/>
      <c r="V204" s="27"/>
      <c r="X204" s="27"/>
      <c r="Y204" s="16"/>
      <c r="Z204" s="16"/>
      <c r="AA204" s="27"/>
      <c r="AC204" s="27"/>
      <c r="AD204" s="16"/>
      <c r="AE204" s="16"/>
      <c r="AF204" s="27"/>
      <c r="AH204" s="27"/>
      <c r="AI204" s="16"/>
      <c r="AJ204" s="16"/>
      <c r="AK204" s="27"/>
      <c r="AM204" s="27"/>
      <c r="AN204" s="16"/>
      <c r="AO204" s="16"/>
      <c r="AP204" s="27"/>
      <c r="AR204" s="27"/>
      <c r="AS204" s="16"/>
      <c r="AT204" s="16"/>
      <c r="AU204" s="27"/>
      <c r="AW204" s="27"/>
      <c r="AX204" s="16"/>
      <c r="AY204" s="16"/>
      <c r="AZ204" s="27"/>
      <c r="BB204" s="27"/>
      <c r="BC204" s="16"/>
      <c r="BD204" s="16"/>
      <c r="BE204" s="27"/>
      <c r="BG204" s="27"/>
      <c r="BH204" s="16"/>
      <c r="BI204" s="16"/>
      <c r="BJ204" s="27"/>
      <c r="BL204" s="27"/>
      <c r="BM204" s="16"/>
      <c r="BN204" s="16"/>
      <c r="BO204" s="27"/>
      <c r="BQ204" s="27"/>
      <c r="BR204" s="16"/>
      <c r="BS204" s="16"/>
      <c r="BT204" s="27"/>
      <c r="BV204" s="27"/>
      <c r="BW204" s="16"/>
      <c r="BX204" s="16"/>
      <c r="BY204" s="27"/>
      <c r="CA204" s="27"/>
      <c r="CB204" s="16"/>
      <c r="CC204" s="16"/>
      <c r="CD204" s="27"/>
      <c r="CF204" s="27"/>
      <c r="CG204" s="16"/>
      <c r="CH204" s="16"/>
      <c r="CI204" s="27"/>
      <c r="CK204" s="27"/>
      <c r="CL204" s="16"/>
      <c r="CM204" s="16"/>
      <c r="CN204" s="27"/>
      <c r="CP204" s="27"/>
      <c r="CQ204" s="16"/>
      <c r="CR204" s="16"/>
      <c r="CS204" s="27"/>
      <c r="CU204" s="27"/>
      <c r="CV204" s="16"/>
      <c r="CW204" s="16"/>
      <c r="CX204" s="27"/>
      <c r="CZ204" s="27"/>
      <c r="DA204" s="16"/>
      <c r="DB204" s="16"/>
      <c r="DC204" s="27"/>
      <c r="DE204" s="27"/>
      <c r="DF204" s="16"/>
      <c r="DG204" s="16"/>
      <c r="DH204" s="27"/>
      <c r="DJ204" s="27"/>
      <c r="DK204" s="16"/>
      <c r="DL204" s="16"/>
      <c r="DM204" s="27"/>
      <c r="DO204" s="27"/>
      <c r="DP204" s="16"/>
      <c r="DQ204" s="16"/>
      <c r="DR204" s="27"/>
      <c r="DT204" s="27"/>
      <c r="DU204" s="16"/>
      <c r="DV204" s="16"/>
      <c r="DW204" s="27"/>
      <c r="DY204" s="27"/>
      <c r="DZ204" s="16"/>
      <c r="EA204" s="16"/>
      <c r="EB204" s="302"/>
    </row>
    <row r="205" spans="1:132" s="14" customFormat="1" ht="21" x14ac:dyDescent="0.4">
      <c r="A205" s="27"/>
      <c r="B205" s="27"/>
      <c r="C205" s="27"/>
      <c r="E205" s="16"/>
      <c r="F205" s="27"/>
      <c r="G205" s="27"/>
      <c r="I205" s="27"/>
      <c r="J205" s="16"/>
      <c r="K205" s="16"/>
      <c r="L205" s="27"/>
      <c r="N205" s="27"/>
      <c r="O205" s="16"/>
      <c r="P205" s="16"/>
      <c r="Q205" s="27"/>
      <c r="S205" s="27"/>
      <c r="T205" s="16"/>
      <c r="U205" s="16"/>
      <c r="V205" s="27"/>
      <c r="X205" s="27"/>
      <c r="Y205" s="16"/>
      <c r="Z205" s="16"/>
      <c r="AA205" s="27"/>
      <c r="AC205" s="27"/>
      <c r="AD205" s="16"/>
      <c r="AE205" s="16"/>
      <c r="AF205" s="27"/>
      <c r="AH205" s="27"/>
      <c r="AI205" s="16"/>
      <c r="AJ205" s="16"/>
      <c r="AK205" s="27"/>
      <c r="AM205" s="27"/>
      <c r="AN205" s="16"/>
      <c r="AO205" s="16"/>
      <c r="AP205" s="27"/>
      <c r="AR205" s="27"/>
      <c r="AS205" s="16"/>
      <c r="AT205" s="16"/>
      <c r="AU205" s="27"/>
      <c r="AW205" s="27"/>
      <c r="AX205" s="16"/>
      <c r="AY205" s="16"/>
      <c r="AZ205" s="27"/>
      <c r="BB205" s="27"/>
      <c r="BC205" s="16"/>
      <c r="BD205" s="16"/>
      <c r="BE205" s="27"/>
      <c r="BG205" s="27"/>
      <c r="BH205" s="16"/>
      <c r="BI205" s="16"/>
      <c r="BJ205" s="27"/>
      <c r="BL205" s="27"/>
      <c r="BM205" s="16"/>
      <c r="BN205" s="16"/>
      <c r="BO205" s="27"/>
      <c r="BQ205" s="27"/>
      <c r="BR205" s="16"/>
      <c r="BS205" s="16"/>
      <c r="BT205" s="27"/>
      <c r="BV205" s="27"/>
      <c r="BW205" s="16"/>
      <c r="BX205" s="16"/>
      <c r="BY205" s="27"/>
      <c r="CA205" s="27"/>
      <c r="CB205" s="16"/>
      <c r="CC205" s="16"/>
      <c r="CD205" s="27"/>
      <c r="CF205" s="27"/>
      <c r="CG205" s="16"/>
      <c r="CH205" s="16"/>
      <c r="CI205" s="27"/>
      <c r="CK205" s="27"/>
      <c r="CL205" s="16"/>
      <c r="CM205" s="16"/>
      <c r="CN205" s="27"/>
      <c r="CP205" s="27"/>
      <c r="CQ205" s="16"/>
      <c r="CR205" s="16"/>
      <c r="CS205" s="27"/>
      <c r="CU205" s="27"/>
      <c r="CV205" s="16"/>
      <c r="CW205" s="16"/>
      <c r="CX205" s="27"/>
      <c r="CZ205" s="27"/>
      <c r="DA205" s="16"/>
      <c r="DB205" s="16"/>
      <c r="DC205" s="27"/>
      <c r="DE205" s="27"/>
      <c r="DF205" s="16"/>
      <c r="DG205" s="16"/>
      <c r="DH205" s="27"/>
      <c r="DJ205" s="27"/>
      <c r="DK205" s="16"/>
      <c r="DL205" s="16"/>
      <c r="DM205" s="27"/>
      <c r="DO205" s="27"/>
      <c r="DP205" s="16"/>
      <c r="DQ205" s="16"/>
      <c r="DR205" s="27"/>
      <c r="DT205" s="27"/>
      <c r="DU205" s="16"/>
      <c r="DV205" s="16"/>
      <c r="DW205" s="27"/>
      <c r="DY205" s="27"/>
      <c r="DZ205" s="16"/>
      <c r="EA205" s="16"/>
      <c r="EB205" s="302"/>
    </row>
    <row r="206" spans="1:132" s="14" customFormat="1" ht="21" x14ac:dyDescent="0.4">
      <c r="A206" s="27"/>
      <c r="B206" s="27"/>
      <c r="C206" s="27"/>
      <c r="E206" s="16"/>
      <c r="F206" s="27"/>
      <c r="G206" s="27"/>
      <c r="I206" s="27"/>
      <c r="J206" s="16"/>
      <c r="K206" s="16"/>
      <c r="L206" s="27"/>
      <c r="N206" s="27"/>
      <c r="O206" s="16"/>
      <c r="P206" s="16"/>
      <c r="Q206" s="27"/>
      <c r="S206" s="27"/>
      <c r="T206" s="16"/>
      <c r="U206" s="16"/>
      <c r="V206" s="27"/>
      <c r="X206" s="27"/>
      <c r="Y206" s="16"/>
      <c r="Z206" s="16"/>
      <c r="AA206" s="27"/>
      <c r="AC206" s="27"/>
      <c r="AD206" s="16"/>
      <c r="AE206" s="16"/>
      <c r="AF206" s="27"/>
      <c r="AH206" s="27"/>
      <c r="AI206" s="16"/>
      <c r="AJ206" s="16"/>
      <c r="AK206" s="27"/>
      <c r="AM206" s="27"/>
      <c r="AN206" s="16"/>
      <c r="AO206" s="16"/>
      <c r="AP206" s="27"/>
      <c r="AR206" s="27"/>
      <c r="AS206" s="16"/>
      <c r="AT206" s="16"/>
      <c r="AU206" s="27"/>
      <c r="AW206" s="27"/>
      <c r="AX206" s="16"/>
      <c r="AY206" s="16"/>
      <c r="AZ206" s="27"/>
      <c r="BB206" s="27"/>
      <c r="BC206" s="16"/>
      <c r="BD206" s="16"/>
      <c r="BE206" s="27"/>
      <c r="BG206" s="27"/>
      <c r="BH206" s="16"/>
      <c r="BI206" s="16"/>
      <c r="BJ206" s="27"/>
      <c r="BL206" s="27"/>
      <c r="BM206" s="16"/>
      <c r="BN206" s="16"/>
      <c r="BO206" s="27"/>
      <c r="BQ206" s="27"/>
      <c r="BR206" s="16"/>
      <c r="BS206" s="16"/>
      <c r="BT206" s="27"/>
      <c r="BV206" s="27"/>
      <c r="BW206" s="16"/>
      <c r="BX206" s="16"/>
      <c r="BY206" s="27"/>
      <c r="CA206" s="27"/>
      <c r="CB206" s="16"/>
      <c r="CC206" s="16"/>
      <c r="CD206" s="27"/>
      <c r="CF206" s="27"/>
      <c r="CG206" s="16"/>
      <c r="CH206" s="16"/>
      <c r="CI206" s="27"/>
      <c r="CK206" s="27"/>
      <c r="CL206" s="16"/>
      <c r="CM206" s="16"/>
      <c r="CN206" s="27"/>
      <c r="CP206" s="27"/>
      <c r="CQ206" s="16"/>
      <c r="CR206" s="16"/>
      <c r="CS206" s="27"/>
      <c r="CU206" s="27"/>
      <c r="CV206" s="16"/>
      <c r="CW206" s="16"/>
      <c r="CX206" s="27"/>
      <c r="CZ206" s="27"/>
      <c r="DA206" s="16"/>
      <c r="DB206" s="16"/>
      <c r="DC206" s="27"/>
      <c r="DE206" s="27"/>
      <c r="DF206" s="16"/>
      <c r="DG206" s="16"/>
      <c r="DH206" s="27"/>
      <c r="DJ206" s="27"/>
      <c r="DK206" s="16"/>
      <c r="DL206" s="16"/>
      <c r="DM206" s="27"/>
      <c r="DO206" s="27"/>
      <c r="DP206" s="16"/>
      <c r="DQ206" s="16"/>
      <c r="DR206" s="27"/>
      <c r="DT206" s="27"/>
      <c r="DU206" s="16"/>
      <c r="DV206" s="16"/>
      <c r="DW206" s="27"/>
      <c r="DY206" s="27"/>
      <c r="DZ206" s="16"/>
      <c r="EA206" s="16"/>
      <c r="EB206" s="302"/>
    </row>
    <row r="207" spans="1:132" s="14" customFormat="1" ht="21" x14ac:dyDescent="0.4">
      <c r="A207" s="27"/>
      <c r="B207" s="27"/>
      <c r="C207" s="27"/>
      <c r="E207" s="16"/>
      <c r="F207" s="27"/>
      <c r="G207" s="27"/>
      <c r="I207" s="27"/>
      <c r="J207" s="16"/>
      <c r="K207" s="16"/>
      <c r="L207" s="27"/>
      <c r="N207" s="27"/>
      <c r="O207" s="16"/>
      <c r="P207" s="16"/>
      <c r="Q207" s="27"/>
      <c r="S207" s="27"/>
      <c r="T207" s="16"/>
      <c r="U207" s="16"/>
      <c r="V207" s="27"/>
      <c r="X207" s="27"/>
      <c r="Y207" s="16"/>
      <c r="Z207" s="16"/>
      <c r="AA207" s="27"/>
      <c r="AC207" s="27"/>
      <c r="AD207" s="16"/>
      <c r="AE207" s="16"/>
      <c r="AF207" s="27"/>
      <c r="AH207" s="27"/>
      <c r="AI207" s="16"/>
      <c r="AJ207" s="16"/>
      <c r="AK207" s="27"/>
      <c r="AM207" s="27"/>
      <c r="AN207" s="16"/>
      <c r="AO207" s="16"/>
      <c r="AP207" s="27"/>
      <c r="AR207" s="27"/>
      <c r="AS207" s="16"/>
      <c r="AT207" s="16"/>
      <c r="AU207" s="27"/>
      <c r="AW207" s="27"/>
      <c r="AX207" s="16"/>
      <c r="AY207" s="16"/>
      <c r="AZ207" s="27"/>
      <c r="BB207" s="27"/>
      <c r="BC207" s="16"/>
      <c r="BD207" s="16"/>
      <c r="BE207" s="27"/>
      <c r="BG207" s="27"/>
      <c r="BH207" s="16"/>
      <c r="BI207" s="16"/>
      <c r="BJ207" s="27"/>
      <c r="BL207" s="27"/>
      <c r="BM207" s="16"/>
      <c r="BN207" s="16"/>
      <c r="BO207" s="27"/>
      <c r="BQ207" s="27"/>
      <c r="BR207" s="16"/>
      <c r="BS207" s="16"/>
      <c r="BT207" s="27"/>
      <c r="BV207" s="27"/>
      <c r="BW207" s="16"/>
      <c r="BX207" s="16"/>
      <c r="BY207" s="27"/>
      <c r="CA207" s="27"/>
      <c r="CB207" s="16"/>
      <c r="CC207" s="16"/>
      <c r="CD207" s="27"/>
      <c r="CF207" s="27"/>
      <c r="CG207" s="16"/>
      <c r="CH207" s="16"/>
      <c r="CI207" s="27"/>
      <c r="CK207" s="27"/>
      <c r="CL207" s="16"/>
      <c r="CM207" s="16"/>
      <c r="CN207" s="27"/>
      <c r="CP207" s="27"/>
      <c r="CQ207" s="16"/>
      <c r="CR207" s="16"/>
      <c r="CS207" s="27"/>
      <c r="CU207" s="27"/>
      <c r="CV207" s="16"/>
      <c r="CW207" s="16"/>
      <c r="CX207" s="27"/>
      <c r="CZ207" s="27"/>
      <c r="DA207" s="16"/>
      <c r="DB207" s="16"/>
      <c r="DC207" s="27"/>
      <c r="DE207" s="27"/>
      <c r="DF207" s="16"/>
      <c r="DG207" s="16"/>
      <c r="DH207" s="27"/>
      <c r="DJ207" s="27"/>
      <c r="DK207" s="16"/>
      <c r="DL207" s="16"/>
      <c r="DM207" s="27"/>
      <c r="DO207" s="27"/>
      <c r="DP207" s="16"/>
      <c r="DQ207" s="16"/>
      <c r="DR207" s="27"/>
      <c r="DT207" s="27"/>
      <c r="DU207" s="16"/>
      <c r="DV207" s="16"/>
      <c r="DW207" s="27"/>
      <c r="DY207" s="27"/>
      <c r="DZ207" s="16"/>
      <c r="EA207" s="16"/>
      <c r="EB207" s="302"/>
    </row>
    <row r="208" spans="1:132" s="14" customFormat="1" ht="21" x14ac:dyDescent="0.4">
      <c r="A208" s="27"/>
      <c r="B208" s="27"/>
      <c r="C208" s="27"/>
      <c r="E208" s="16"/>
      <c r="F208" s="27"/>
      <c r="G208" s="27"/>
      <c r="I208" s="27"/>
      <c r="J208" s="16"/>
      <c r="K208" s="16"/>
      <c r="L208" s="27"/>
      <c r="N208" s="27"/>
      <c r="O208" s="16"/>
      <c r="P208" s="16"/>
      <c r="Q208" s="27"/>
      <c r="S208" s="27"/>
      <c r="T208" s="16"/>
      <c r="U208" s="16"/>
      <c r="V208" s="27"/>
      <c r="X208" s="27"/>
      <c r="Y208" s="16"/>
      <c r="Z208" s="16"/>
      <c r="AA208" s="27"/>
      <c r="AC208" s="27"/>
      <c r="AD208" s="16"/>
      <c r="AE208" s="16"/>
      <c r="AF208" s="27"/>
      <c r="AH208" s="27"/>
      <c r="AI208" s="16"/>
      <c r="AJ208" s="16"/>
      <c r="AK208" s="27"/>
      <c r="AM208" s="27"/>
      <c r="AN208" s="16"/>
      <c r="AO208" s="16"/>
      <c r="AP208" s="27"/>
      <c r="AR208" s="27"/>
      <c r="AS208" s="16"/>
      <c r="AT208" s="16"/>
      <c r="AU208" s="27"/>
      <c r="AW208" s="27"/>
      <c r="AX208" s="16"/>
      <c r="AY208" s="16"/>
      <c r="AZ208" s="27"/>
      <c r="BB208" s="27"/>
      <c r="BC208" s="16"/>
      <c r="BD208" s="16"/>
      <c r="BE208" s="27"/>
      <c r="BG208" s="27"/>
      <c r="BH208" s="16"/>
      <c r="BI208" s="16"/>
      <c r="BJ208" s="27"/>
      <c r="BL208" s="27"/>
      <c r="BM208" s="16"/>
      <c r="BN208" s="16"/>
      <c r="BO208" s="27"/>
      <c r="BQ208" s="27"/>
      <c r="BR208" s="16"/>
      <c r="BS208" s="16"/>
      <c r="BT208" s="27"/>
      <c r="BV208" s="27"/>
      <c r="BW208" s="16"/>
      <c r="BX208" s="16"/>
      <c r="BY208" s="27"/>
      <c r="CA208" s="27"/>
      <c r="CB208" s="16"/>
      <c r="CC208" s="16"/>
      <c r="CD208" s="27"/>
      <c r="CF208" s="27"/>
      <c r="CG208" s="16"/>
      <c r="CH208" s="16"/>
      <c r="CI208" s="27"/>
      <c r="CK208" s="27"/>
      <c r="CL208" s="16"/>
      <c r="CM208" s="16"/>
      <c r="CN208" s="27"/>
      <c r="CP208" s="27"/>
      <c r="CQ208" s="16"/>
      <c r="CR208" s="16"/>
      <c r="CS208" s="27"/>
      <c r="CU208" s="27"/>
      <c r="CV208" s="16"/>
      <c r="CW208" s="16"/>
      <c r="CX208" s="27"/>
      <c r="CZ208" s="27"/>
      <c r="DA208" s="16"/>
      <c r="DB208" s="16"/>
      <c r="DC208" s="27"/>
      <c r="DE208" s="27"/>
      <c r="DF208" s="16"/>
      <c r="DG208" s="16"/>
      <c r="DH208" s="27"/>
      <c r="DJ208" s="27"/>
      <c r="DK208" s="16"/>
      <c r="DL208" s="16"/>
      <c r="DM208" s="27"/>
      <c r="DO208" s="27"/>
      <c r="DP208" s="16"/>
      <c r="DQ208" s="16"/>
      <c r="DR208" s="27"/>
      <c r="DT208" s="27"/>
      <c r="DU208" s="16"/>
      <c r="DV208" s="16"/>
      <c r="DW208" s="27"/>
      <c r="DY208" s="27"/>
      <c r="DZ208" s="16"/>
      <c r="EA208" s="16"/>
      <c r="EB208" s="302"/>
    </row>
    <row r="209" spans="1:132" s="14" customFormat="1" ht="21" x14ac:dyDescent="0.4">
      <c r="A209" s="27"/>
      <c r="B209" s="27"/>
      <c r="C209" s="27"/>
      <c r="E209" s="16"/>
      <c r="F209" s="27"/>
      <c r="G209" s="27"/>
      <c r="I209" s="27"/>
      <c r="J209" s="16"/>
      <c r="K209" s="16"/>
      <c r="L209" s="27"/>
      <c r="N209" s="27"/>
      <c r="O209" s="16"/>
      <c r="P209" s="16"/>
      <c r="Q209" s="27"/>
      <c r="S209" s="27"/>
      <c r="T209" s="16"/>
      <c r="U209" s="16"/>
      <c r="V209" s="27"/>
      <c r="X209" s="27"/>
      <c r="Y209" s="16"/>
      <c r="Z209" s="16"/>
      <c r="AA209" s="27"/>
      <c r="AC209" s="27"/>
      <c r="AD209" s="16"/>
      <c r="AE209" s="16"/>
      <c r="AF209" s="27"/>
      <c r="AH209" s="27"/>
      <c r="AI209" s="16"/>
      <c r="AJ209" s="16"/>
      <c r="AK209" s="27"/>
      <c r="AM209" s="27"/>
      <c r="AN209" s="16"/>
      <c r="AO209" s="16"/>
      <c r="AP209" s="27"/>
      <c r="AR209" s="27"/>
      <c r="AS209" s="16"/>
      <c r="AT209" s="16"/>
      <c r="AU209" s="27"/>
      <c r="AW209" s="27"/>
      <c r="AX209" s="16"/>
      <c r="AY209" s="16"/>
      <c r="AZ209" s="27"/>
      <c r="BB209" s="27"/>
      <c r="BC209" s="16"/>
      <c r="BD209" s="16"/>
      <c r="BE209" s="27"/>
      <c r="BG209" s="27"/>
      <c r="BH209" s="16"/>
      <c r="BI209" s="16"/>
      <c r="BJ209" s="27"/>
      <c r="BL209" s="27"/>
      <c r="BM209" s="16"/>
      <c r="BN209" s="16"/>
      <c r="BO209" s="27"/>
      <c r="BQ209" s="27"/>
      <c r="BR209" s="16"/>
      <c r="BS209" s="16"/>
      <c r="BT209" s="27"/>
      <c r="BV209" s="27"/>
      <c r="BW209" s="16"/>
      <c r="BX209" s="16"/>
      <c r="BY209" s="27"/>
      <c r="CA209" s="27"/>
      <c r="CB209" s="16"/>
      <c r="CC209" s="16"/>
      <c r="CD209" s="27"/>
      <c r="CF209" s="27"/>
      <c r="CG209" s="16"/>
      <c r="CH209" s="16"/>
      <c r="CI209" s="27"/>
      <c r="CK209" s="27"/>
      <c r="CL209" s="16"/>
      <c r="CM209" s="16"/>
      <c r="CN209" s="27"/>
      <c r="CP209" s="27"/>
      <c r="CQ209" s="16"/>
      <c r="CR209" s="16"/>
      <c r="CS209" s="27"/>
      <c r="CU209" s="27"/>
      <c r="CV209" s="16"/>
      <c r="CW209" s="16"/>
      <c r="CX209" s="27"/>
      <c r="CZ209" s="27"/>
      <c r="DA209" s="16"/>
      <c r="DB209" s="16"/>
      <c r="DC209" s="27"/>
      <c r="DE209" s="27"/>
      <c r="DF209" s="16"/>
      <c r="DG209" s="16"/>
      <c r="DH209" s="27"/>
      <c r="DJ209" s="27"/>
      <c r="DK209" s="16"/>
      <c r="DL209" s="16"/>
      <c r="DM209" s="27"/>
      <c r="DO209" s="27"/>
      <c r="DP209" s="16"/>
      <c r="DQ209" s="16"/>
      <c r="DR209" s="27"/>
      <c r="DT209" s="27"/>
      <c r="DU209" s="16"/>
      <c r="DV209" s="16"/>
      <c r="DW209" s="27"/>
      <c r="DY209" s="27"/>
      <c r="DZ209" s="16"/>
      <c r="EA209" s="16"/>
      <c r="EB209" s="302"/>
    </row>
    <row r="210" spans="1:132" s="14" customFormat="1" ht="21" x14ac:dyDescent="0.4">
      <c r="A210" s="27"/>
      <c r="B210" s="27"/>
      <c r="C210" s="27"/>
      <c r="E210" s="16"/>
      <c r="F210" s="27"/>
      <c r="G210" s="27"/>
      <c r="I210" s="27"/>
      <c r="J210" s="16"/>
      <c r="K210" s="16"/>
      <c r="L210" s="27"/>
      <c r="N210" s="27"/>
      <c r="O210" s="16"/>
      <c r="P210" s="16"/>
      <c r="Q210" s="27"/>
      <c r="S210" s="27"/>
      <c r="T210" s="16"/>
      <c r="U210" s="16"/>
      <c r="V210" s="27"/>
      <c r="X210" s="27"/>
      <c r="Y210" s="16"/>
      <c r="Z210" s="16"/>
      <c r="AA210" s="27"/>
      <c r="AC210" s="27"/>
      <c r="AD210" s="16"/>
      <c r="AE210" s="16"/>
      <c r="AF210" s="27"/>
      <c r="AH210" s="27"/>
      <c r="AI210" s="16"/>
      <c r="AJ210" s="16"/>
      <c r="AK210" s="27"/>
      <c r="AM210" s="27"/>
      <c r="AN210" s="16"/>
      <c r="AO210" s="16"/>
      <c r="AP210" s="27"/>
      <c r="AR210" s="27"/>
      <c r="AS210" s="16"/>
      <c r="AT210" s="16"/>
      <c r="AU210" s="27"/>
      <c r="AW210" s="27"/>
      <c r="AX210" s="16"/>
      <c r="AY210" s="16"/>
      <c r="AZ210" s="27"/>
      <c r="BB210" s="27"/>
      <c r="BC210" s="16"/>
      <c r="BD210" s="16"/>
      <c r="BE210" s="27"/>
      <c r="BG210" s="27"/>
      <c r="BH210" s="16"/>
      <c r="BI210" s="16"/>
      <c r="BJ210" s="27"/>
      <c r="BL210" s="27"/>
      <c r="BM210" s="16"/>
      <c r="BN210" s="16"/>
      <c r="BO210" s="27"/>
      <c r="BQ210" s="27"/>
      <c r="BR210" s="16"/>
      <c r="BS210" s="16"/>
      <c r="BT210" s="27"/>
      <c r="BV210" s="27"/>
      <c r="BW210" s="16"/>
      <c r="BX210" s="16"/>
      <c r="BY210" s="27"/>
      <c r="CA210" s="27"/>
      <c r="CB210" s="16"/>
      <c r="CC210" s="16"/>
      <c r="CD210" s="27"/>
      <c r="CF210" s="27"/>
      <c r="CG210" s="16"/>
      <c r="CH210" s="16"/>
      <c r="CI210" s="27"/>
      <c r="CK210" s="27"/>
      <c r="CL210" s="16"/>
      <c r="CM210" s="16"/>
      <c r="CN210" s="27"/>
      <c r="CP210" s="27"/>
      <c r="CQ210" s="16"/>
      <c r="CR210" s="16"/>
      <c r="CS210" s="27"/>
      <c r="CU210" s="27"/>
      <c r="CV210" s="16"/>
      <c r="CW210" s="16"/>
      <c r="CX210" s="27"/>
      <c r="CZ210" s="27"/>
      <c r="DA210" s="16"/>
      <c r="DB210" s="16"/>
      <c r="DC210" s="27"/>
      <c r="DE210" s="27"/>
      <c r="DF210" s="16"/>
      <c r="DG210" s="16"/>
      <c r="DH210" s="27"/>
      <c r="DJ210" s="27"/>
      <c r="DK210" s="16"/>
      <c r="DL210" s="16"/>
      <c r="DM210" s="27"/>
      <c r="DO210" s="27"/>
      <c r="DP210" s="16"/>
      <c r="DQ210" s="16"/>
      <c r="DR210" s="27"/>
      <c r="DT210" s="27"/>
      <c r="DU210" s="16"/>
      <c r="DV210" s="16"/>
      <c r="DW210" s="27"/>
      <c r="DY210" s="27"/>
      <c r="DZ210" s="16"/>
      <c r="EA210" s="16"/>
      <c r="EB210" s="302"/>
    </row>
    <row r="211" spans="1:132" s="14" customFormat="1" ht="21" x14ac:dyDescent="0.4">
      <c r="A211" s="27"/>
      <c r="B211" s="27"/>
      <c r="C211" s="27"/>
      <c r="E211" s="16"/>
      <c r="F211" s="27"/>
      <c r="G211" s="27"/>
      <c r="I211" s="27"/>
      <c r="J211" s="16"/>
      <c r="K211" s="16"/>
      <c r="L211" s="27"/>
      <c r="N211" s="27"/>
      <c r="O211" s="16"/>
      <c r="P211" s="16"/>
      <c r="Q211" s="27"/>
      <c r="S211" s="27"/>
      <c r="T211" s="16"/>
      <c r="U211" s="16"/>
      <c r="V211" s="27"/>
      <c r="X211" s="27"/>
      <c r="Y211" s="16"/>
      <c r="Z211" s="16"/>
      <c r="AA211" s="27"/>
      <c r="AC211" s="27"/>
      <c r="AD211" s="16"/>
      <c r="AE211" s="16"/>
      <c r="AF211" s="27"/>
      <c r="AH211" s="27"/>
      <c r="AI211" s="16"/>
      <c r="AJ211" s="16"/>
      <c r="AK211" s="27"/>
      <c r="AM211" s="27"/>
      <c r="AN211" s="16"/>
      <c r="AO211" s="16"/>
      <c r="AP211" s="27"/>
      <c r="AR211" s="27"/>
      <c r="AS211" s="16"/>
      <c r="AT211" s="16"/>
      <c r="AU211" s="27"/>
      <c r="AW211" s="27"/>
      <c r="AX211" s="16"/>
      <c r="AY211" s="16"/>
      <c r="AZ211" s="27"/>
      <c r="BB211" s="27"/>
      <c r="BC211" s="16"/>
      <c r="BD211" s="16"/>
      <c r="BE211" s="27"/>
      <c r="BG211" s="27"/>
      <c r="BH211" s="16"/>
      <c r="BI211" s="16"/>
      <c r="BJ211" s="27"/>
      <c r="BL211" s="27"/>
      <c r="BM211" s="16"/>
      <c r="BN211" s="16"/>
      <c r="BO211" s="27"/>
      <c r="BQ211" s="27"/>
      <c r="BR211" s="16"/>
      <c r="BS211" s="16"/>
      <c r="BT211" s="27"/>
      <c r="BV211" s="27"/>
      <c r="BW211" s="16"/>
      <c r="BX211" s="16"/>
      <c r="BY211" s="27"/>
      <c r="CA211" s="27"/>
      <c r="CB211" s="16"/>
      <c r="CC211" s="16"/>
      <c r="CD211" s="27"/>
      <c r="CF211" s="27"/>
      <c r="CG211" s="16"/>
      <c r="CH211" s="16"/>
      <c r="CI211" s="27"/>
      <c r="CK211" s="27"/>
      <c r="CL211" s="16"/>
      <c r="CM211" s="16"/>
      <c r="CN211" s="27"/>
      <c r="CP211" s="27"/>
      <c r="CQ211" s="16"/>
      <c r="CR211" s="16"/>
      <c r="CS211" s="27"/>
      <c r="CU211" s="27"/>
      <c r="CV211" s="16"/>
      <c r="CW211" s="16"/>
      <c r="CX211" s="27"/>
      <c r="CZ211" s="27"/>
      <c r="DA211" s="16"/>
      <c r="DB211" s="16"/>
      <c r="DC211" s="27"/>
      <c r="DE211" s="27"/>
      <c r="DF211" s="16"/>
      <c r="DG211" s="16"/>
      <c r="DH211" s="27"/>
      <c r="DJ211" s="27"/>
      <c r="DK211" s="16"/>
      <c r="DL211" s="16"/>
      <c r="DM211" s="27"/>
      <c r="DO211" s="27"/>
      <c r="DP211" s="16"/>
      <c r="DQ211" s="16"/>
      <c r="DR211" s="27"/>
      <c r="DT211" s="27"/>
      <c r="DU211" s="16"/>
      <c r="DV211" s="16"/>
      <c r="DW211" s="27"/>
      <c r="DY211" s="27"/>
      <c r="DZ211" s="16"/>
      <c r="EA211" s="16"/>
      <c r="EB211" s="302"/>
    </row>
    <row r="212" spans="1:132" s="14" customFormat="1" ht="21" x14ac:dyDescent="0.4">
      <c r="A212" s="27"/>
      <c r="B212" s="27"/>
      <c r="C212" s="27"/>
      <c r="E212" s="16"/>
      <c r="F212" s="27"/>
      <c r="G212" s="27"/>
      <c r="I212" s="27"/>
      <c r="J212" s="16"/>
      <c r="K212" s="16"/>
      <c r="L212" s="27"/>
      <c r="N212" s="27"/>
      <c r="O212" s="16"/>
      <c r="P212" s="16"/>
      <c r="Q212" s="27"/>
      <c r="S212" s="27"/>
      <c r="T212" s="16"/>
      <c r="U212" s="16"/>
      <c r="V212" s="27"/>
      <c r="X212" s="27"/>
      <c r="Y212" s="16"/>
      <c r="Z212" s="16"/>
      <c r="AA212" s="27"/>
      <c r="AC212" s="27"/>
      <c r="AD212" s="16"/>
      <c r="AE212" s="16"/>
      <c r="AF212" s="27"/>
      <c r="AH212" s="27"/>
      <c r="AI212" s="16"/>
      <c r="AJ212" s="16"/>
      <c r="AK212" s="27"/>
      <c r="AM212" s="27"/>
      <c r="AN212" s="16"/>
      <c r="AO212" s="16"/>
      <c r="AP212" s="27"/>
      <c r="AR212" s="27"/>
      <c r="AS212" s="16"/>
      <c r="AT212" s="16"/>
      <c r="AU212" s="27"/>
      <c r="AW212" s="27"/>
      <c r="AX212" s="16"/>
      <c r="AY212" s="16"/>
      <c r="AZ212" s="27"/>
      <c r="BB212" s="27"/>
      <c r="BC212" s="16"/>
      <c r="BD212" s="16"/>
      <c r="BE212" s="27"/>
      <c r="BG212" s="27"/>
      <c r="BH212" s="16"/>
      <c r="BI212" s="16"/>
      <c r="BJ212" s="27"/>
      <c r="BL212" s="27"/>
      <c r="BM212" s="16"/>
      <c r="BN212" s="16"/>
      <c r="BO212" s="27"/>
      <c r="BQ212" s="27"/>
      <c r="BR212" s="16"/>
      <c r="BS212" s="16"/>
      <c r="BT212" s="27"/>
      <c r="BV212" s="27"/>
      <c r="BW212" s="16"/>
      <c r="BX212" s="16"/>
      <c r="BY212" s="27"/>
      <c r="CA212" s="27"/>
      <c r="CB212" s="16"/>
      <c r="CC212" s="16"/>
      <c r="CD212" s="27"/>
      <c r="CF212" s="27"/>
      <c r="CG212" s="16"/>
      <c r="CH212" s="16"/>
      <c r="CI212" s="27"/>
      <c r="CK212" s="27"/>
      <c r="CL212" s="16"/>
      <c r="CM212" s="16"/>
      <c r="CN212" s="27"/>
      <c r="CP212" s="27"/>
      <c r="CQ212" s="16"/>
      <c r="CR212" s="16"/>
      <c r="CS212" s="27"/>
      <c r="CU212" s="27"/>
      <c r="CV212" s="16"/>
      <c r="CW212" s="16"/>
      <c r="CX212" s="27"/>
      <c r="CZ212" s="27"/>
      <c r="DA212" s="16"/>
      <c r="DB212" s="16"/>
      <c r="DC212" s="27"/>
      <c r="DE212" s="27"/>
      <c r="DF212" s="16"/>
      <c r="DG212" s="16"/>
      <c r="DH212" s="27"/>
      <c r="DJ212" s="27"/>
      <c r="DK212" s="16"/>
      <c r="DL212" s="16"/>
      <c r="DM212" s="27"/>
      <c r="DO212" s="27"/>
      <c r="DP212" s="16"/>
      <c r="DQ212" s="16"/>
      <c r="DR212" s="27"/>
      <c r="DT212" s="27"/>
      <c r="DU212" s="16"/>
      <c r="DV212" s="16"/>
      <c r="DW212" s="27"/>
      <c r="DY212" s="27"/>
      <c r="DZ212" s="16"/>
      <c r="EA212" s="16"/>
      <c r="EB212" s="302"/>
    </row>
    <row r="213" spans="1:132" s="14" customFormat="1" ht="21" x14ac:dyDescent="0.4">
      <c r="A213" s="27"/>
      <c r="B213" s="27"/>
      <c r="C213" s="27"/>
      <c r="E213" s="16"/>
      <c r="F213" s="27"/>
      <c r="G213" s="27"/>
      <c r="I213" s="27"/>
      <c r="J213" s="16"/>
      <c r="K213" s="16"/>
      <c r="L213" s="27"/>
      <c r="N213" s="27"/>
      <c r="O213" s="16"/>
      <c r="P213" s="16"/>
      <c r="Q213" s="27"/>
      <c r="S213" s="27"/>
      <c r="T213" s="16"/>
      <c r="U213" s="16"/>
      <c r="V213" s="27"/>
      <c r="X213" s="27"/>
      <c r="Y213" s="16"/>
      <c r="Z213" s="16"/>
      <c r="AA213" s="27"/>
      <c r="AC213" s="27"/>
      <c r="AD213" s="16"/>
      <c r="AE213" s="16"/>
      <c r="AF213" s="27"/>
      <c r="AH213" s="27"/>
      <c r="AI213" s="16"/>
      <c r="AJ213" s="16"/>
      <c r="AK213" s="27"/>
      <c r="AM213" s="27"/>
      <c r="AN213" s="16"/>
      <c r="AO213" s="16"/>
      <c r="AP213" s="27"/>
      <c r="AR213" s="27"/>
      <c r="AS213" s="16"/>
      <c r="AT213" s="16"/>
      <c r="AU213" s="27"/>
      <c r="AW213" s="27"/>
      <c r="AX213" s="16"/>
      <c r="AY213" s="16"/>
      <c r="AZ213" s="27"/>
      <c r="BB213" s="27"/>
      <c r="BC213" s="16"/>
      <c r="BD213" s="16"/>
      <c r="BE213" s="27"/>
      <c r="BG213" s="27"/>
      <c r="BH213" s="16"/>
      <c r="BI213" s="16"/>
      <c r="BJ213" s="27"/>
      <c r="BL213" s="27"/>
      <c r="BM213" s="16"/>
      <c r="BN213" s="16"/>
      <c r="BO213" s="27"/>
      <c r="BQ213" s="27"/>
      <c r="BR213" s="16"/>
      <c r="BS213" s="16"/>
      <c r="BT213" s="27"/>
      <c r="BV213" s="27"/>
      <c r="BW213" s="16"/>
      <c r="BX213" s="16"/>
      <c r="BY213" s="27"/>
      <c r="CA213" s="27"/>
      <c r="CB213" s="16"/>
      <c r="CC213" s="16"/>
      <c r="CD213" s="27"/>
      <c r="CF213" s="27"/>
      <c r="CG213" s="16"/>
      <c r="CH213" s="16"/>
      <c r="CI213" s="27"/>
      <c r="CK213" s="27"/>
      <c r="CL213" s="16"/>
      <c r="CM213" s="16"/>
      <c r="CN213" s="27"/>
      <c r="CP213" s="27"/>
      <c r="CQ213" s="16"/>
      <c r="CR213" s="16"/>
      <c r="CS213" s="27"/>
      <c r="CU213" s="27"/>
      <c r="CV213" s="16"/>
      <c r="CW213" s="16"/>
      <c r="CX213" s="27"/>
      <c r="CZ213" s="27"/>
      <c r="DA213" s="16"/>
      <c r="DB213" s="16"/>
      <c r="DC213" s="27"/>
      <c r="DE213" s="27"/>
      <c r="DF213" s="16"/>
      <c r="DG213" s="16"/>
      <c r="DH213" s="27"/>
      <c r="DJ213" s="27"/>
      <c r="DK213" s="16"/>
      <c r="DL213" s="16"/>
      <c r="DM213" s="27"/>
      <c r="DO213" s="27"/>
      <c r="DP213" s="16"/>
      <c r="DQ213" s="16"/>
      <c r="DR213" s="27"/>
      <c r="DT213" s="27"/>
      <c r="DU213" s="16"/>
      <c r="DV213" s="16"/>
      <c r="DW213" s="27"/>
      <c r="DY213" s="27"/>
      <c r="DZ213" s="16"/>
      <c r="EA213" s="16"/>
      <c r="EB213" s="302"/>
    </row>
    <row r="214" spans="1:132" s="14" customFormat="1" ht="21" x14ac:dyDescent="0.4">
      <c r="A214" s="27"/>
      <c r="B214" s="27"/>
      <c r="C214" s="27"/>
      <c r="E214" s="16"/>
      <c r="F214" s="27"/>
      <c r="G214" s="27"/>
      <c r="I214" s="27"/>
      <c r="J214" s="16"/>
      <c r="K214" s="16"/>
      <c r="L214" s="27"/>
      <c r="N214" s="27"/>
      <c r="O214" s="16"/>
      <c r="P214" s="16"/>
      <c r="Q214" s="27"/>
      <c r="S214" s="27"/>
      <c r="T214" s="16"/>
      <c r="U214" s="16"/>
      <c r="V214" s="27"/>
      <c r="X214" s="27"/>
      <c r="Y214" s="16"/>
      <c r="Z214" s="16"/>
      <c r="AA214" s="27"/>
      <c r="AC214" s="27"/>
      <c r="AD214" s="16"/>
      <c r="AE214" s="16"/>
      <c r="AF214" s="27"/>
      <c r="AH214" s="27"/>
      <c r="AI214" s="16"/>
      <c r="AJ214" s="16"/>
      <c r="AK214" s="27"/>
      <c r="AM214" s="27"/>
      <c r="AN214" s="16"/>
      <c r="AO214" s="16"/>
      <c r="AP214" s="27"/>
      <c r="AR214" s="27"/>
      <c r="AS214" s="16"/>
      <c r="AT214" s="16"/>
      <c r="AU214" s="27"/>
      <c r="AW214" s="27"/>
      <c r="AX214" s="16"/>
      <c r="AY214" s="16"/>
      <c r="AZ214" s="27"/>
      <c r="BB214" s="27"/>
      <c r="BC214" s="16"/>
      <c r="BD214" s="16"/>
      <c r="BE214" s="27"/>
      <c r="BG214" s="27"/>
      <c r="BH214" s="16"/>
      <c r="BI214" s="16"/>
      <c r="BJ214" s="27"/>
      <c r="BL214" s="27"/>
      <c r="BM214" s="16"/>
      <c r="BN214" s="16"/>
      <c r="BO214" s="27"/>
      <c r="BQ214" s="27"/>
      <c r="BR214" s="16"/>
      <c r="BS214" s="16"/>
      <c r="BT214" s="27"/>
      <c r="BV214" s="27"/>
      <c r="BW214" s="16"/>
      <c r="BX214" s="16"/>
      <c r="BY214" s="27"/>
      <c r="CA214" s="27"/>
      <c r="CB214" s="16"/>
      <c r="CC214" s="16"/>
      <c r="CD214" s="27"/>
      <c r="CF214" s="27"/>
      <c r="CG214" s="16"/>
      <c r="CH214" s="16"/>
      <c r="CI214" s="27"/>
      <c r="CK214" s="27"/>
      <c r="CL214" s="16"/>
      <c r="CM214" s="16"/>
      <c r="CN214" s="27"/>
      <c r="CP214" s="27"/>
      <c r="CQ214" s="16"/>
      <c r="CR214" s="16"/>
      <c r="CS214" s="27"/>
      <c r="CU214" s="27"/>
      <c r="CV214" s="16"/>
      <c r="CW214" s="16"/>
      <c r="CX214" s="27"/>
      <c r="CZ214" s="27"/>
      <c r="DA214" s="16"/>
      <c r="DB214" s="16"/>
      <c r="DC214" s="27"/>
      <c r="DE214" s="27"/>
      <c r="DF214" s="16"/>
      <c r="DG214" s="16"/>
      <c r="DH214" s="27"/>
      <c r="DJ214" s="27"/>
      <c r="DK214" s="16"/>
      <c r="DL214" s="16"/>
      <c r="DM214" s="27"/>
      <c r="DO214" s="27"/>
      <c r="DP214" s="16"/>
      <c r="DQ214" s="16"/>
      <c r="DR214" s="27"/>
      <c r="DT214" s="27"/>
      <c r="DU214" s="16"/>
      <c r="DV214" s="16"/>
      <c r="DW214" s="27"/>
      <c r="DY214" s="27"/>
      <c r="DZ214" s="16"/>
      <c r="EA214" s="16"/>
      <c r="EB214" s="302"/>
    </row>
    <row r="215" spans="1:132" s="14" customFormat="1" ht="21" x14ac:dyDescent="0.4">
      <c r="A215" s="27"/>
      <c r="B215" s="27"/>
      <c r="C215" s="27"/>
      <c r="E215" s="16"/>
      <c r="F215" s="27"/>
      <c r="G215" s="27"/>
      <c r="I215" s="27"/>
      <c r="J215" s="16"/>
      <c r="K215" s="16"/>
      <c r="L215" s="27"/>
      <c r="N215" s="27"/>
      <c r="O215" s="16"/>
      <c r="P215" s="16"/>
      <c r="Q215" s="27"/>
      <c r="S215" s="27"/>
      <c r="T215" s="16"/>
      <c r="U215" s="16"/>
      <c r="V215" s="27"/>
      <c r="X215" s="27"/>
      <c r="Y215" s="16"/>
      <c r="Z215" s="16"/>
      <c r="AA215" s="27"/>
      <c r="AC215" s="27"/>
      <c r="AD215" s="16"/>
      <c r="AE215" s="16"/>
      <c r="AF215" s="27"/>
      <c r="AH215" s="27"/>
      <c r="AI215" s="16"/>
      <c r="AJ215" s="16"/>
      <c r="AK215" s="27"/>
      <c r="AM215" s="27"/>
      <c r="AN215" s="16"/>
      <c r="AO215" s="16"/>
      <c r="AP215" s="27"/>
      <c r="AR215" s="27"/>
      <c r="AS215" s="16"/>
      <c r="AT215" s="16"/>
      <c r="AU215" s="27"/>
      <c r="AW215" s="27"/>
      <c r="AX215" s="16"/>
      <c r="AY215" s="16"/>
      <c r="AZ215" s="27"/>
      <c r="BB215" s="27"/>
      <c r="BC215" s="16"/>
      <c r="BD215" s="16"/>
      <c r="BE215" s="27"/>
      <c r="BG215" s="27"/>
      <c r="BH215" s="16"/>
      <c r="BI215" s="16"/>
      <c r="BJ215" s="27"/>
      <c r="BL215" s="27"/>
      <c r="BM215" s="16"/>
      <c r="BN215" s="16"/>
      <c r="BO215" s="27"/>
      <c r="BQ215" s="27"/>
      <c r="BR215" s="16"/>
      <c r="BS215" s="16"/>
      <c r="BT215" s="27"/>
      <c r="BV215" s="27"/>
      <c r="BW215" s="16"/>
      <c r="BX215" s="16"/>
      <c r="BY215" s="27"/>
      <c r="CA215" s="27"/>
      <c r="CB215" s="16"/>
      <c r="CC215" s="16"/>
      <c r="CD215" s="27"/>
      <c r="CF215" s="27"/>
      <c r="CG215" s="16"/>
      <c r="CH215" s="16"/>
      <c r="CI215" s="27"/>
      <c r="CK215" s="27"/>
      <c r="CL215" s="16"/>
      <c r="CM215" s="16"/>
      <c r="CN215" s="27"/>
      <c r="CP215" s="27"/>
      <c r="CQ215" s="16"/>
      <c r="CR215" s="16"/>
      <c r="CS215" s="27"/>
      <c r="CU215" s="27"/>
      <c r="CV215" s="16"/>
      <c r="CW215" s="16"/>
      <c r="CX215" s="27"/>
      <c r="CZ215" s="27"/>
      <c r="DA215" s="16"/>
      <c r="DB215" s="16"/>
      <c r="DC215" s="27"/>
      <c r="DE215" s="27"/>
      <c r="DF215" s="16"/>
      <c r="DG215" s="16"/>
      <c r="DH215" s="27"/>
      <c r="DJ215" s="27"/>
      <c r="DK215" s="16"/>
      <c r="DL215" s="16"/>
      <c r="DM215" s="27"/>
      <c r="DO215" s="27"/>
      <c r="DP215" s="16"/>
      <c r="DQ215" s="16"/>
      <c r="DR215" s="27"/>
      <c r="DT215" s="27"/>
      <c r="DU215" s="16"/>
      <c r="DV215" s="16"/>
      <c r="DW215" s="27"/>
      <c r="DY215" s="27"/>
      <c r="DZ215" s="16"/>
      <c r="EA215" s="16"/>
      <c r="EB215" s="302"/>
    </row>
    <row r="216" spans="1:132" s="14" customFormat="1" ht="21" x14ac:dyDescent="0.4">
      <c r="A216" s="27"/>
      <c r="B216" s="27"/>
      <c r="C216" s="27"/>
      <c r="E216" s="16"/>
      <c r="F216" s="27"/>
      <c r="G216" s="27"/>
      <c r="I216" s="27"/>
      <c r="J216" s="16"/>
      <c r="K216" s="16"/>
      <c r="L216" s="27"/>
      <c r="N216" s="27"/>
      <c r="O216" s="16"/>
      <c r="P216" s="16"/>
      <c r="Q216" s="27"/>
      <c r="S216" s="27"/>
      <c r="T216" s="16"/>
      <c r="U216" s="16"/>
      <c r="V216" s="27"/>
      <c r="X216" s="27"/>
      <c r="Y216" s="16"/>
      <c r="Z216" s="16"/>
      <c r="AA216" s="27"/>
      <c r="AC216" s="27"/>
      <c r="AD216" s="16"/>
      <c r="AE216" s="16"/>
      <c r="AF216" s="27"/>
      <c r="AH216" s="27"/>
      <c r="AI216" s="16"/>
      <c r="AJ216" s="16"/>
      <c r="AK216" s="27"/>
      <c r="AM216" s="27"/>
      <c r="AN216" s="16"/>
      <c r="AO216" s="16"/>
      <c r="AP216" s="27"/>
      <c r="AR216" s="27"/>
      <c r="AS216" s="16"/>
      <c r="AT216" s="16"/>
      <c r="AU216" s="27"/>
      <c r="AW216" s="27"/>
      <c r="AX216" s="16"/>
      <c r="AY216" s="16"/>
      <c r="AZ216" s="27"/>
      <c r="BB216" s="27"/>
      <c r="BC216" s="16"/>
      <c r="BD216" s="16"/>
      <c r="BE216" s="27"/>
      <c r="BG216" s="27"/>
      <c r="BH216" s="16"/>
      <c r="BI216" s="16"/>
      <c r="BJ216" s="27"/>
      <c r="BL216" s="27"/>
      <c r="BM216" s="16"/>
      <c r="BN216" s="16"/>
      <c r="BO216" s="27"/>
      <c r="BQ216" s="27"/>
      <c r="BR216" s="16"/>
      <c r="BS216" s="16"/>
      <c r="BT216" s="27"/>
      <c r="BV216" s="27"/>
      <c r="BW216" s="16"/>
      <c r="BX216" s="16"/>
      <c r="BY216" s="27"/>
      <c r="CA216" s="27"/>
      <c r="CB216" s="16"/>
      <c r="CC216" s="16"/>
      <c r="CD216" s="27"/>
      <c r="CF216" s="27"/>
      <c r="CG216" s="16"/>
      <c r="CH216" s="16"/>
      <c r="CI216" s="27"/>
      <c r="CK216" s="27"/>
      <c r="CL216" s="16"/>
      <c r="CM216" s="16"/>
      <c r="CN216" s="27"/>
      <c r="CP216" s="27"/>
      <c r="CQ216" s="16"/>
      <c r="CR216" s="16"/>
      <c r="CS216" s="27"/>
      <c r="CU216" s="27"/>
      <c r="CV216" s="16"/>
      <c r="CW216" s="16"/>
      <c r="CX216" s="27"/>
      <c r="CZ216" s="27"/>
      <c r="DA216" s="16"/>
      <c r="DB216" s="16"/>
      <c r="DC216" s="27"/>
      <c r="DE216" s="27"/>
      <c r="DF216" s="16"/>
      <c r="DG216" s="16"/>
      <c r="DH216" s="27"/>
      <c r="DJ216" s="27"/>
      <c r="DK216" s="16"/>
      <c r="DL216" s="16"/>
      <c r="DM216" s="27"/>
      <c r="DO216" s="27"/>
      <c r="DP216" s="16"/>
      <c r="DQ216" s="16"/>
      <c r="DR216" s="27"/>
      <c r="DT216" s="27"/>
      <c r="DU216" s="16"/>
      <c r="DV216" s="16"/>
      <c r="DW216" s="27"/>
      <c r="DY216" s="27"/>
      <c r="DZ216" s="16"/>
      <c r="EA216" s="16"/>
      <c r="EB216" s="302"/>
    </row>
    <row r="217" spans="1:132" s="14" customFormat="1" ht="21" x14ac:dyDescent="0.4">
      <c r="A217" s="27"/>
      <c r="B217" s="27"/>
      <c r="C217" s="27"/>
      <c r="E217" s="16"/>
      <c r="F217" s="27"/>
      <c r="G217" s="27"/>
      <c r="I217" s="27"/>
      <c r="J217" s="16"/>
      <c r="K217" s="16"/>
      <c r="L217" s="27"/>
      <c r="N217" s="27"/>
      <c r="O217" s="16"/>
      <c r="P217" s="16"/>
      <c r="Q217" s="27"/>
      <c r="S217" s="27"/>
      <c r="T217" s="16"/>
      <c r="U217" s="16"/>
      <c r="V217" s="27"/>
      <c r="X217" s="27"/>
      <c r="Y217" s="16"/>
      <c r="Z217" s="16"/>
      <c r="AA217" s="27"/>
      <c r="AC217" s="27"/>
      <c r="AD217" s="16"/>
      <c r="AE217" s="16"/>
      <c r="AF217" s="27"/>
      <c r="AH217" s="27"/>
      <c r="AI217" s="16"/>
      <c r="AJ217" s="16"/>
      <c r="AK217" s="27"/>
      <c r="AM217" s="27"/>
      <c r="AN217" s="16"/>
      <c r="AO217" s="16"/>
      <c r="AP217" s="27"/>
      <c r="AR217" s="27"/>
      <c r="AS217" s="16"/>
      <c r="AT217" s="16"/>
      <c r="AU217" s="27"/>
      <c r="AW217" s="27"/>
      <c r="AX217" s="16"/>
      <c r="AY217" s="16"/>
      <c r="AZ217" s="27"/>
      <c r="BB217" s="27"/>
      <c r="BC217" s="16"/>
      <c r="BD217" s="16"/>
      <c r="BE217" s="27"/>
      <c r="BG217" s="27"/>
      <c r="BH217" s="16"/>
      <c r="BI217" s="16"/>
      <c r="BJ217" s="27"/>
      <c r="BL217" s="27"/>
      <c r="BM217" s="16"/>
      <c r="BN217" s="16"/>
      <c r="BO217" s="27"/>
      <c r="BQ217" s="27"/>
      <c r="BR217" s="16"/>
      <c r="BS217" s="16"/>
      <c r="BT217" s="27"/>
      <c r="BV217" s="27"/>
      <c r="BW217" s="16"/>
      <c r="BX217" s="16"/>
      <c r="BY217" s="27"/>
      <c r="CA217" s="27"/>
      <c r="CB217" s="16"/>
      <c r="CC217" s="16"/>
      <c r="CD217" s="27"/>
      <c r="CF217" s="27"/>
      <c r="CG217" s="16"/>
      <c r="CH217" s="16"/>
      <c r="CI217" s="27"/>
      <c r="CK217" s="27"/>
      <c r="CL217" s="16"/>
      <c r="CM217" s="16"/>
      <c r="CN217" s="27"/>
      <c r="CP217" s="27"/>
      <c r="CQ217" s="16"/>
      <c r="CR217" s="16"/>
      <c r="CS217" s="27"/>
      <c r="CU217" s="27"/>
      <c r="CV217" s="16"/>
      <c r="CW217" s="16"/>
      <c r="CX217" s="27"/>
      <c r="CZ217" s="27"/>
      <c r="DA217" s="16"/>
      <c r="DB217" s="16"/>
      <c r="DC217" s="27"/>
      <c r="DE217" s="27"/>
      <c r="DF217" s="16"/>
      <c r="DG217" s="16"/>
      <c r="DH217" s="27"/>
      <c r="DJ217" s="27"/>
      <c r="DK217" s="16"/>
      <c r="DL217" s="16"/>
      <c r="DM217" s="27"/>
      <c r="DO217" s="27"/>
      <c r="DP217" s="16"/>
      <c r="DQ217" s="16"/>
      <c r="DR217" s="27"/>
      <c r="DT217" s="27"/>
      <c r="DU217" s="16"/>
      <c r="DV217" s="16"/>
      <c r="DW217" s="27"/>
      <c r="DY217" s="27"/>
      <c r="DZ217" s="16"/>
      <c r="EA217" s="16"/>
      <c r="EB217" s="302"/>
    </row>
    <row r="218" spans="1:132" s="14" customFormat="1" ht="21" x14ac:dyDescent="0.4">
      <c r="A218" s="27"/>
      <c r="B218" s="27"/>
      <c r="C218" s="27"/>
      <c r="E218" s="16"/>
      <c r="F218" s="27"/>
      <c r="G218" s="27"/>
      <c r="I218" s="27"/>
      <c r="J218" s="16"/>
      <c r="K218" s="16"/>
      <c r="L218" s="27"/>
      <c r="N218" s="27"/>
      <c r="O218" s="16"/>
      <c r="P218" s="16"/>
      <c r="Q218" s="27"/>
      <c r="S218" s="27"/>
      <c r="T218" s="16"/>
      <c r="U218" s="16"/>
      <c r="V218" s="27"/>
      <c r="X218" s="27"/>
      <c r="Y218" s="16"/>
      <c r="Z218" s="16"/>
      <c r="AA218" s="27"/>
      <c r="AC218" s="27"/>
      <c r="AD218" s="16"/>
      <c r="AE218" s="16"/>
      <c r="AF218" s="27"/>
      <c r="AH218" s="27"/>
      <c r="AI218" s="16"/>
      <c r="AJ218" s="16"/>
      <c r="AK218" s="27"/>
      <c r="AM218" s="27"/>
      <c r="AN218" s="16"/>
      <c r="AO218" s="16"/>
      <c r="AP218" s="27"/>
      <c r="AR218" s="27"/>
      <c r="AS218" s="16"/>
      <c r="AT218" s="16"/>
      <c r="AU218" s="27"/>
      <c r="AW218" s="27"/>
      <c r="AX218" s="16"/>
      <c r="AY218" s="16"/>
      <c r="AZ218" s="27"/>
      <c r="BB218" s="27"/>
      <c r="BC218" s="16"/>
      <c r="BD218" s="16"/>
      <c r="BE218" s="27"/>
      <c r="BG218" s="27"/>
      <c r="BH218" s="16"/>
      <c r="BI218" s="16"/>
      <c r="BJ218" s="27"/>
      <c r="BL218" s="27"/>
      <c r="BM218" s="16"/>
      <c r="BN218" s="16"/>
      <c r="BO218" s="27"/>
      <c r="BQ218" s="27"/>
      <c r="BR218" s="16"/>
      <c r="BS218" s="16"/>
      <c r="BT218" s="27"/>
      <c r="BV218" s="27"/>
      <c r="BW218" s="16"/>
      <c r="BX218" s="16"/>
      <c r="BY218" s="27"/>
      <c r="CA218" s="27"/>
      <c r="CB218" s="16"/>
      <c r="CC218" s="16"/>
      <c r="CD218" s="27"/>
      <c r="CF218" s="27"/>
      <c r="CG218" s="16"/>
      <c r="CH218" s="16"/>
      <c r="CI218" s="27"/>
      <c r="CK218" s="27"/>
      <c r="CL218" s="16"/>
      <c r="CM218" s="16"/>
      <c r="CN218" s="27"/>
      <c r="CP218" s="27"/>
      <c r="CQ218" s="16"/>
      <c r="CR218" s="16"/>
      <c r="CS218" s="27"/>
      <c r="CU218" s="27"/>
      <c r="CV218" s="16"/>
      <c r="CW218" s="16"/>
      <c r="CX218" s="27"/>
      <c r="CZ218" s="27"/>
      <c r="DA218" s="16"/>
      <c r="DB218" s="16"/>
      <c r="DC218" s="27"/>
      <c r="DE218" s="27"/>
      <c r="DF218" s="16"/>
      <c r="DG218" s="16"/>
      <c r="DH218" s="27"/>
      <c r="DJ218" s="27"/>
      <c r="DK218" s="16"/>
      <c r="DL218" s="16"/>
      <c r="DM218" s="27"/>
      <c r="DO218" s="27"/>
      <c r="DP218" s="16"/>
      <c r="DQ218" s="16"/>
      <c r="DR218" s="27"/>
      <c r="DT218" s="27"/>
      <c r="DU218" s="16"/>
      <c r="DV218" s="16"/>
      <c r="DW218" s="27"/>
      <c r="DY218" s="27"/>
      <c r="DZ218" s="16"/>
      <c r="EA218" s="16"/>
      <c r="EB218" s="302"/>
    </row>
    <row r="219" spans="1:132" s="14" customFormat="1" ht="21" x14ac:dyDescent="0.4">
      <c r="A219" s="27"/>
      <c r="B219" s="27"/>
      <c r="C219" s="27"/>
      <c r="E219" s="16"/>
      <c r="F219" s="27"/>
      <c r="G219" s="27"/>
      <c r="I219" s="27"/>
      <c r="J219" s="16"/>
      <c r="K219" s="16"/>
      <c r="L219" s="27"/>
      <c r="N219" s="27"/>
      <c r="O219" s="16"/>
      <c r="P219" s="16"/>
      <c r="Q219" s="27"/>
      <c r="S219" s="27"/>
      <c r="T219" s="16"/>
      <c r="U219" s="16"/>
      <c r="V219" s="27"/>
      <c r="X219" s="27"/>
      <c r="Y219" s="16"/>
      <c r="Z219" s="16"/>
      <c r="AA219" s="27"/>
      <c r="AC219" s="27"/>
      <c r="AD219" s="16"/>
      <c r="AE219" s="16"/>
      <c r="AF219" s="27"/>
      <c r="AH219" s="27"/>
      <c r="AI219" s="16"/>
      <c r="AJ219" s="16"/>
      <c r="AK219" s="27"/>
      <c r="AM219" s="27"/>
      <c r="AN219" s="16"/>
      <c r="AO219" s="16"/>
      <c r="AP219" s="27"/>
      <c r="AR219" s="27"/>
      <c r="AS219" s="16"/>
      <c r="AT219" s="16"/>
      <c r="AU219" s="27"/>
      <c r="AW219" s="27"/>
      <c r="AX219" s="16"/>
      <c r="AY219" s="16"/>
      <c r="AZ219" s="27"/>
      <c r="BB219" s="27"/>
      <c r="BC219" s="16"/>
      <c r="BD219" s="16"/>
      <c r="BE219" s="27"/>
      <c r="BG219" s="27"/>
      <c r="BH219" s="16"/>
      <c r="BI219" s="16"/>
      <c r="BJ219" s="27"/>
      <c r="BL219" s="27"/>
      <c r="BM219" s="16"/>
      <c r="BN219" s="16"/>
      <c r="BO219" s="27"/>
      <c r="BQ219" s="27"/>
      <c r="BR219" s="16"/>
      <c r="BS219" s="16"/>
      <c r="BT219" s="27"/>
      <c r="BV219" s="27"/>
      <c r="BW219" s="16"/>
      <c r="BX219" s="16"/>
      <c r="BY219" s="27"/>
      <c r="CA219" s="27"/>
      <c r="CB219" s="16"/>
      <c r="CC219" s="16"/>
      <c r="CD219" s="27"/>
      <c r="CF219" s="27"/>
      <c r="CG219" s="16"/>
      <c r="CH219" s="16"/>
      <c r="CI219" s="27"/>
      <c r="CK219" s="27"/>
      <c r="CL219" s="16"/>
      <c r="CM219" s="16"/>
      <c r="CN219" s="27"/>
      <c r="CP219" s="27"/>
      <c r="CQ219" s="16"/>
      <c r="CR219" s="16"/>
      <c r="CS219" s="27"/>
      <c r="CU219" s="27"/>
      <c r="CV219" s="16"/>
      <c r="CW219" s="16"/>
      <c r="CX219" s="27"/>
      <c r="CZ219" s="27"/>
      <c r="DA219" s="16"/>
      <c r="DB219" s="16"/>
      <c r="DC219" s="27"/>
      <c r="DE219" s="27"/>
      <c r="DF219" s="16"/>
      <c r="DG219" s="16"/>
      <c r="DH219" s="27"/>
      <c r="DJ219" s="27"/>
      <c r="DK219" s="16"/>
      <c r="DL219" s="16"/>
      <c r="DM219" s="27"/>
      <c r="DO219" s="27"/>
      <c r="DP219" s="16"/>
      <c r="DQ219" s="16"/>
      <c r="DR219" s="27"/>
      <c r="DT219" s="27"/>
      <c r="DU219" s="16"/>
      <c r="DV219" s="16"/>
      <c r="DW219" s="27"/>
      <c r="DY219" s="27"/>
      <c r="DZ219" s="16"/>
      <c r="EA219" s="16"/>
      <c r="EB219" s="302"/>
    </row>
    <row r="220" spans="1:132" s="14" customFormat="1" ht="21" x14ac:dyDescent="0.4">
      <c r="A220" s="27"/>
      <c r="B220" s="27"/>
      <c r="C220" s="27"/>
      <c r="E220" s="16"/>
      <c r="F220" s="27"/>
      <c r="G220" s="27"/>
      <c r="I220" s="27"/>
      <c r="J220" s="16"/>
      <c r="K220" s="16"/>
      <c r="L220" s="27"/>
      <c r="N220" s="27"/>
      <c r="O220" s="16"/>
      <c r="P220" s="16"/>
      <c r="Q220" s="27"/>
      <c r="S220" s="27"/>
      <c r="T220" s="16"/>
      <c r="U220" s="16"/>
      <c r="V220" s="27"/>
      <c r="X220" s="27"/>
      <c r="Y220" s="16"/>
      <c r="Z220" s="16"/>
      <c r="AA220" s="27"/>
      <c r="AC220" s="27"/>
      <c r="AD220" s="16"/>
      <c r="AE220" s="16"/>
      <c r="AF220" s="27"/>
      <c r="AH220" s="27"/>
      <c r="AI220" s="16"/>
      <c r="AJ220" s="16"/>
      <c r="AK220" s="27"/>
      <c r="AM220" s="27"/>
      <c r="AN220" s="16"/>
      <c r="AO220" s="16"/>
      <c r="AP220" s="27"/>
      <c r="AR220" s="27"/>
      <c r="AS220" s="16"/>
      <c r="AT220" s="16"/>
      <c r="AU220" s="27"/>
      <c r="AW220" s="27"/>
      <c r="AX220" s="16"/>
      <c r="AY220" s="16"/>
      <c r="AZ220" s="27"/>
      <c r="BB220" s="27"/>
      <c r="BC220" s="16"/>
      <c r="BD220" s="16"/>
      <c r="BE220" s="27"/>
      <c r="BG220" s="27"/>
      <c r="BH220" s="16"/>
      <c r="BI220" s="16"/>
      <c r="BJ220" s="27"/>
      <c r="BL220" s="27"/>
      <c r="BM220" s="16"/>
      <c r="BN220" s="16"/>
      <c r="BO220" s="27"/>
      <c r="BQ220" s="27"/>
      <c r="BR220" s="16"/>
      <c r="BS220" s="16"/>
      <c r="BT220" s="27"/>
      <c r="BV220" s="27"/>
      <c r="BW220" s="16"/>
      <c r="BX220" s="16"/>
      <c r="BY220" s="27"/>
      <c r="CA220" s="27"/>
      <c r="CB220" s="16"/>
      <c r="CC220" s="16"/>
      <c r="CD220" s="27"/>
      <c r="CF220" s="27"/>
      <c r="CG220" s="16"/>
      <c r="CH220" s="16"/>
      <c r="CI220" s="27"/>
      <c r="CK220" s="27"/>
      <c r="CL220" s="16"/>
      <c r="CM220" s="16"/>
      <c r="CN220" s="27"/>
      <c r="CP220" s="27"/>
      <c r="CQ220" s="16"/>
      <c r="CR220" s="16"/>
      <c r="CS220" s="27"/>
      <c r="CU220" s="27"/>
      <c r="CV220" s="16"/>
      <c r="CW220" s="16"/>
      <c r="CX220" s="27"/>
      <c r="CZ220" s="27"/>
      <c r="DA220" s="16"/>
      <c r="DB220" s="16"/>
      <c r="DC220" s="27"/>
      <c r="DE220" s="27"/>
      <c r="DF220" s="16"/>
      <c r="DG220" s="16"/>
      <c r="DH220" s="27"/>
      <c r="DJ220" s="27"/>
      <c r="DK220" s="16"/>
      <c r="DL220" s="16"/>
      <c r="DM220" s="27"/>
      <c r="DO220" s="27"/>
      <c r="DP220" s="16"/>
      <c r="DQ220" s="16"/>
      <c r="DR220" s="27"/>
      <c r="DT220" s="27"/>
      <c r="DU220" s="16"/>
      <c r="DV220" s="16"/>
      <c r="DW220" s="27"/>
      <c r="DY220" s="27"/>
      <c r="DZ220" s="16"/>
      <c r="EA220" s="16"/>
      <c r="EB220" s="302"/>
    </row>
    <row r="221" spans="1:132" s="14" customFormat="1" ht="21" x14ac:dyDescent="0.4">
      <c r="A221" s="27"/>
      <c r="B221" s="27"/>
      <c r="C221" s="27"/>
      <c r="E221" s="16"/>
      <c r="F221" s="27"/>
      <c r="G221" s="27"/>
      <c r="I221" s="27"/>
      <c r="J221" s="16"/>
      <c r="K221" s="16"/>
      <c r="L221" s="27"/>
      <c r="N221" s="27"/>
      <c r="O221" s="16"/>
      <c r="P221" s="16"/>
      <c r="Q221" s="27"/>
      <c r="S221" s="27"/>
      <c r="T221" s="16"/>
      <c r="U221" s="16"/>
      <c r="V221" s="27"/>
      <c r="X221" s="27"/>
      <c r="Y221" s="16"/>
      <c r="Z221" s="16"/>
      <c r="AA221" s="27"/>
      <c r="AC221" s="27"/>
      <c r="AD221" s="16"/>
      <c r="AE221" s="16"/>
      <c r="AF221" s="27"/>
      <c r="AH221" s="27"/>
      <c r="AI221" s="16"/>
      <c r="AJ221" s="16"/>
      <c r="AK221" s="27"/>
      <c r="AM221" s="27"/>
      <c r="AN221" s="16"/>
      <c r="AO221" s="16"/>
      <c r="AP221" s="27"/>
      <c r="AR221" s="27"/>
      <c r="AS221" s="16"/>
      <c r="AT221" s="16"/>
      <c r="AU221" s="27"/>
      <c r="AW221" s="27"/>
      <c r="AX221" s="16"/>
      <c r="AY221" s="16"/>
      <c r="AZ221" s="27"/>
      <c r="BB221" s="27"/>
      <c r="BC221" s="16"/>
      <c r="BD221" s="16"/>
      <c r="BE221" s="27"/>
      <c r="BG221" s="27"/>
      <c r="BH221" s="16"/>
      <c r="BI221" s="16"/>
      <c r="BJ221" s="27"/>
      <c r="BL221" s="27"/>
      <c r="BM221" s="16"/>
      <c r="BN221" s="16"/>
      <c r="BO221" s="27"/>
      <c r="BQ221" s="27"/>
      <c r="BR221" s="16"/>
      <c r="BS221" s="16"/>
      <c r="BT221" s="27"/>
      <c r="BV221" s="27"/>
      <c r="BW221" s="16"/>
      <c r="BX221" s="16"/>
      <c r="BY221" s="27"/>
      <c r="CA221" s="27"/>
      <c r="CB221" s="16"/>
      <c r="CC221" s="16"/>
      <c r="CD221" s="27"/>
      <c r="CF221" s="27"/>
      <c r="CG221" s="16"/>
      <c r="CH221" s="16"/>
      <c r="CI221" s="27"/>
      <c r="CK221" s="27"/>
      <c r="CL221" s="16"/>
      <c r="CM221" s="16"/>
      <c r="CN221" s="27"/>
      <c r="CP221" s="27"/>
      <c r="CQ221" s="16"/>
      <c r="CR221" s="16"/>
      <c r="CS221" s="27"/>
      <c r="CU221" s="27"/>
      <c r="CV221" s="16"/>
      <c r="CW221" s="16"/>
      <c r="CX221" s="27"/>
      <c r="CZ221" s="27"/>
      <c r="DA221" s="16"/>
      <c r="DB221" s="16"/>
      <c r="DC221" s="27"/>
      <c r="DE221" s="27"/>
      <c r="DF221" s="16"/>
      <c r="DG221" s="16"/>
      <c r="DH221" s="27"/>
      <c r="DJ221" s="27"/>
      <c r="DK221" s="16"/>
      <c r="DL221" s="16"/>
      <c r="DM221" s="27"/>
      <c r="DO221" s="27"/>
      <c r="DP221" s="16"/>
      <c r="DQ221" s="16"/>
      <c r="DR221" s="27"/>
      <c r="DT221" s="27"/>
      <c r="DU221" s="16"/>
      <c r="DV221" s="16"/>
      <c r="DW221" s="27"/>
      <c r="DY221" s="27"/>
      <c r="DZ221" s="16"/>
      <c r="EA221" s="16"/>
      <c r="EB221" s="302"/>
    </row>
    <row r="222" spans="1:132" s="14" customFormat="1" ht="21" x14ac:dyDescent="0.4">
      <c r="A222" s="27"/>
      <c r="B222" s="27"/>
      <c r="C222" s="27"/>
      <c r="E222" s="16"/>
      <c r="F222" s="27"/>
      <c r="G222" s="27"/>
      <c r="I222" s="27"/>
      <c r="J222" s="16"/>
      <c r="K222" s="16"/>
      <c r="L222" s="27"/>
      <c r="N222" s="27"/>
      <c r="O222" s="16"/>
      <c r="P222" s="16"/>
      <c r="Q222" s="27"/>
      <c r="S222" s="27"/>
      <c r="T222" s="16"/>
      <c r="U222" s="16"/>
      <c r="V222" s="27"/>
      <c r="X222" s="27"/>
      <c r="Y222" s="16"/>
      <c r="Z222" s="16"/>
      <c r="AA222" s="27"/>
      <c r="AC222" s="27"/>
      <c r="AD222" s="16"/>
      <c r="AE222" s="16"/>
      <c r="AF222" s="27"/>
      <c r="AH222" s="27"/>
      <c r="AI222" s="16"/>
      <c r="AJ222" s="16"/>
      <c r="AK222" s="27"/>
      <c r="AM222" s="27"/>
      <c r="AN222" s="16"/>
      <c r="AO222" s="16"/>
      <c r="AP222" s="27"/>
      <c r="AR222" s="27"/>
      <c r="AS222" s="16"/>
      <c r="AT222" s="16"/>
      <c r="AU222" s="27"/>
      <c r="AW222" s="27"/>
      <c r="AX222" s="16"/>
      <c r="AY222" s="16"/>
      <c r="AZ222" s="27"/>
      <c r="BB222" s="27"/>
      <c r="BC222" s="16"/>
      <c r="BD222" s="16"/>
      <c r="BE222" s="27"/>
      <c r="BG222" s="27"/>
      <c r="BH222" s="16"/>
      <c r="BI222" s="16"/>
      <c r="BJ222" s="27"/>
      <c r="BL222" s="27"/>
      <c r="BM222" s="16"/>
      <c r="BN222" s="16"/>
      <c r="BO222" s="27"/>
      <c r="BQ222" s="27"/>
      <c r="BR222" s="16"/>
      <c r="BS222" s="16"/>
      <c r="BT222" s="27"/>
      <c r="BV222" s="27"/>
      <c r="BW222" s="16"/>
      <c r="BX222" s="16"/>
      <c r="BY222" s="27"/>
      <c r="CA222" s="27"/>
      <c r="CB222" s="16"/>
      <c r="CC222" s="16"/>
      <c r="CD222" s="27"/>
      <c r="CF222" s="27"/>
      <c r="CG222" s="16"/>
      <c r="CH222" s="16"/>
      <c r="CI222" s="27"/>
      <c r="CK222" s="27"/>
      <c r="CL222" s="16"/>
      <c r="CM222" s="16"/>
      <c r="CN222" s="27"/>
      <c r="CP222" s="27"/>
      <c r="CQ222" s="16"/>
      <c r="CR222" s="16"/>
      <c r="CS222" s="27"/>
      <c r="CU222" s="27"/>
      <c r="CV222" s="16"/>
      <c r="CW222" s="16"/>
      <c r="CX222" s="27"/>
      <c r="CZ222" s="27"/>
      <c r="DA222" s="16"/>
      <c r="DB222" s="16"/>
      <c r="DC222" s="27"/>
      <c r="DE222" s="27"/>
      <c r="DF222" s="16"/>
      <c r="DG222" s="16"/>
      <c r="DH222" s="27"/>
      <c r="DJ222" s="27"/>
      <c r="DK222" s="16"/>
      <c r="DL222" s="16"/>
      <c r="DM222" s="27"/>
      <c r="DO222" s="27"/>
      <c r="DP222" s="16"/>
      <c r="DQ222" s="16"/>
      <c r="DR222" s="27"/>
      <c r="DT222" s="27"/>
      <c r="DU222" s="16"/>
      <c r="DV222" s="16"/>
      <c r="DW222" s="27"/>
      <c r="DY222" s="27"/>
      <c r="DZ222" s="16"/>
      <c r="EA222" s="16"/>
      <c r="EB222" s="302"/>
    </row>
    <row r="223" spans="1:132" s="14" customFormat="1" ht="21" x14ac:dyDescent="0.4">
      <c r="A223" s="27"/>
      <c r="B223" s="27"/>
      <c r="C223" s="27"/>
      <c r="E223" s="16"/>
      <c r="F223" s="27"/>
      <c r="G223" s="27"/>
      <c r="I223" s="27"/>
      <c r="J223" s="16"/>
      <c r="K223" s="16"/>
      <c r="L223" s="27"/>
      <c r="N223" s="27"/>
      <c r="O223" s="16"/>
      <c r="P223" s="16"/>
      <c r="Q223" s="27"/>
      <c r="S223" s="27"/>
      <c r="T223" s="16"/>
      <c r="U223" s="16"/>
      <c r="V223" s="27"/>
      <c r="X223" s="27"/>
      <c r="Y223" s="16"/>
      <c r="Z223" s="16"/>
      <c r="AA223" s="27"/>
      <c r="AC223" s="27"/>
      <c r="AD223" s="16"/>
      <c r="AE223" s="16"/>
      <c r="AF223" s="27"/>
      <c r="AH223" s="27"/>
      <c r="AI223" s="16"/>
      <c r="AJ223" s="16"/>
      <c r="AK223" s="27"/>
      <c r="AM223" s="27"/>
      <c r="AN223" s="16"/>
      <c r="AO223" s="16"/>
      <c r="AP223" s="27"/>
      <c r="AR223" s="27"/>
      <c r="AS223" s="16"/>
      <c r="AT223" s="16"/>
      <c r="AU223" s="27"/>
      <c r="AW223" s="27"/>
      <c r="AX223" s="16"/>
      <c r="AY223" s="16"/>
      <c r="AZ223" s="27"/>
      <c r="BB223" s="27"/>
      <c r="BC223" s="16"/>
      <c r="BD223" s="16"/>
      <c r="BE223" s="27"/>
      <c r="BG223" s="27"/>
      <c r="BH223" s="16"/>
      <c r="BI223" s="16"/>
      <c r="BJ223" s="27"/>
      <c r="BL223" s="27"/>
      <c r="BM223" s="16"/>
      <c r="BN223" s="16"/>
      <c r="BO223" s="27"/>
      <c r="BQ223" s="27"/>
      <c r="BR223" s="16"/>
      <c r="BS223" s="16"/>
      <c r="BT223" s="27"/>
      <c r="BV223" s="27"/>
      <c r="BW223" s="16"/>
      <c r="BX223" s="16"/>
      <c r="BY223" s="27"/>
      <c r="CA223" s="27"/>
      <c r="CB223" s="16"/>
      <c r="CC223" s="16"/>
      <c r="CD223" s="27"/>
      <c r="CF223" s="27"/>
      <c r="CG223" s="16"/>
      <c r="CH223" s="16"/>
      <c r="CI223" s="27"/>
      <c r="CK223" s="27"/>
      <c r="CL223" s="16"/>
      <c r="CM223" s="16"/>
      <c r="CN223" s="27"/>
      <c r="CP223" s="27"/>
      <c r="CQ223" s="16"/>
      <c r="CR223" s="16"/>
      <c r="CS223" s="27"/>
      <c r="CU223" s="27"/>
      <c r="CV223" s="16"/>
      <c r="CW223" s="16"/>
      <c r="CX223" s="27"/>
      <c r="CZ223" s="27"/>
      <c r="DA223" s="16"/>
      <c r="DB223" s="16"/>
      <c r="DC223" s="27"/>
      <c r="DE223" s="27"/>
      <c r="DF223" s="16"/>
      <c r="DG223" s="16"/>
      <c r="DH223" s="27"/>
      <c r="DJ223" s="27"/>
      <c r="DK223" s="16"/>
      <c r="DL223" s="16"/>
      <c r="DM223" s="27"/>
      <c r="DO223" s="27"/>
      <c r="DP223" s="16"/>
      <c r="DQ223" s="16"/>
      <c r="DR223" s="27"/>
      <c r="DT223" s="27"/>
      <c r="DU223" s="16"/>
      <c r="DV223" s="16"/>
      <c r="DW223" s="27"/>
      <c r="DY223" s="27"/>
      <c r="DZ223" s="16"/>
      <c r="EA223" s="16"/>
      <c r="EB223" s="302"/>
    </row>
    <row r="224" spans="1:132" s="14" customFormat="1" ht="21" x14ac:dyDescent="0.4">
      <c r="A224" s="27"/>
      <c r="B224" s="27"/>
      <c r="C224" s="27"/>
      <c r="E224" s="16"/>
      <c r="F224" s="27"/>
      <c r="G224" s="27"/>
      <c r="I224" s="27"/>
      <c r="J224" s="16"/>
      <c r="K224" s="16"/>
      <c r="L224" s="27"/>
      <c r="N224" s="27"/>
      <c r="O224" s="16"/>
      <c r="P224" s="16"/>
      <c r="Q224" s="27"/>
      <c r="S224" s="27"/>
      <c r="T224" s="16"/>
      <c r="U224" s="16"/>
      <c r="V224" s="27"/>
      <c r="X224" s="27"/>
      <c r="Y224" s="16"/>
      <c r="Z224" s="16"/>
      <c r="AA224" s="27"/>
      <c r="AC224" s="27"/>
      <c r="AD224" s="16"/>
      <c r="AE224" s="16"/>
      <c r="AF224" s="27"/>
      <c r="AH224" s="27"/>
      <c r="AI224" s="16"/>
      <c r="AJ224" s="16"/>
      <c r="AK224" s="27"/>
      <c r="AM224" s="27"/>
      <c r="AN224" s="16"/>
      <c r="AO224" s="16"/>
      <c r="AP224" s="27"/>
      <c r="AR224" s="27"/>
      <c r="AS224" s="16"/>
      <c r="AT224" s="16"/>
      <c r="AU224" s="27"/>
      <c r="AW224" s="27"/>
      <c r="AX224" s="16"/>
      <c r="AY224" s="16"/>
      <c r="AZ224" s="27"/>
      <c r="BB224" s="27"/>
      <c r="BC224" s="16"/>
      <c r="BD224" s="16"/>
      <c r="BE224" s="27"/>
      <c r="BG224" s="27"/>
      <c r="BH224" s="16"/>
      <c r="BI224" s="16"/>
      <c r="BJ224" s="27"/>
      <c r="BL224" s="27"/>
      <c r="BM224" s="16"/>
      <c r="BN224" s="16"/>
      <c r="BO224" s="27"/>
      <c r="BQ224" s="27"/>
      <c r="BR224" s="16"/>
      <c r="BS224" s="16"/>
      <c r="BT224" s="27"/>
      <c r="BV224" s="27"/>
      <c r="BW224" s="16"/>
      <c r="BX224" s="16"/>
      <c r="BY224" s="27"/>
      <c r="CA224" s="27"/>
      <c r="CB224" s="16"/>
      <c r="CC224" s="16"/>
      <c r="CD224" s="27"/>
      <c r="CF224" s="27"/>
      <c r="CG224" s="16"/>
      <c r="CH224" s="16"/>
      <c r="CI224" s="27"/>
      <c r="CK224" s="27"/>
      <c r="CL224" s="16"/>
      <c r="CM224" s="16"/>
      <c r="CN224" s="27"/>
      <c r="CP224" s="27"/>
      <c r="CQ224" s="16"/>
      <c r="CR224" s="16"/>
      <c r="CS224" s="27"/>
      <c r="CU224" s="27"/>
      <c r="CV224" s="16"/>
      <c r="CW224" s="16"/>
      <c r="CX224" s="27"/>
      <c r="CZ224" s="27"/>
      <c r="DA224" s="16"/>
      <c r="DB224" s="16"/>
      <c r="DC224" s="27"/>
      <c r="DE224" s="27"/>
      <c r="DF224" s="16"/>
      <c r="DG224" s="16"/>
      <c r="DH224" s="27"/>
      <c r="DJ224" s="27"/>
      <c r="DK224" s="16"/>
      <c r="DL224" s="16"/>
      <c r="DM224" s="27"/>
      <c r="DO224" s="27"/>
      <c r="DP224" s="16"/>
      <c r="DQ224" s="16"/>
      <c r="DR224" s="27"/>
      <c r="DT224" s="27"/>
      <c r="DU224" s="16"/>
      <c r="DV224" s="16"/>
      <c r="DW224" s="27"/>
      <c r="DY224" s="27"/>
      <c r="DZ224" s="16"/>
      <c r="EA224" s="16"/>
      <c r="EB224" s="302"/>
    </row>
    <row r="225" spans="1:132" s="14" customFormat="1" ht="21" x14ac:dyDescent="0.4">
      <c r="A225" s="27"/>
      <c r="B225" s="27"/>
      <c r="C225" s="27"/>
      <c r="E225" s="16"/>
      <c r="F225" s="27"/>
      <c r="G225" s="27"/>
      <c r="I225" s="27"/>
      <c r="J225" s="16"/>
      <c r="K225" s="16"/>
      <c r="L225" s="27"/>
      <c r="N225" s="27"/>
      <c r="O225" s="16"/>
      <c r="P225" s="16"/>
      <c r="Q225" s="27"/>
      <c r="S225" s="27"/>
      <c r="T225" s="16"/>
      <c r="U225" s="16"/>
      <c r="V225" s="27"/>
      <c r="X225" s="27"/>
      <c r="Y225" s="16"/>
      <c r="Z225" s="16"/>
      <c r="AA225" s="27"/>
      <c r="AC225" s="27"/>
      <c r="AD225" s="16"/>
      <c r="AE225" s="16"/>
      <c r="AF225" s="27"/>
      <c r="AH225" s="27"/>
      <c r="AI225" s="16"/>
      <c r="AJ225" s="16"/>
      <c r="AK225" s="27"/>
      <c r="AM225" s="27"/>
      <c r="AN225" s="16"/>
      <c r="AO225" s="16"/>
      <c r="AP225" s="27"/>
      <c r="AR225" s="27"/>
      <c r="AS225" s="16"/>
      <c r="AT225" s="16"/>
      <c r="AU225" s="27"/>
      <c r="AW225" s="27"/>
      <c r="AX225" s="16"/>
      <c r="AY225" s="16"/>
      <c r="AZ225" s="27"/>
      <c r="BB225" s="27"/>
      <c r="BC225" s="16"/>
      <c r="BD225" s="16"/>
      <c r="BE225" s="27"/>
      <c r="BG225" s="27"/>
      <c r="BH225" s="16"/>
      <c r="BI225" s="16"/>
      <c r="BJ225" s="27"/>
      <c r="BL225" s="27"/>
      <c r="BM225" s="16"/>
      <c r="BN225" s="16"/>
      <c r="BO225" s="27"/>
      <c r="BQ225" s="27"/>
      <c r="BR225" s="16"/>
      <c r="BS225" s="16"/>
      <c r="BT225" s="27"/>
      <c r="BV225" s="27"/>
      <c r="BW225" s="16"/>
      <c r="BX225" s="16"/>
      <c r="BY225" s="27"/>
      <c r="CA225" s="27"/>
      <c r="CB225" s="16"/>
      <c r="CC225" s="16"/>
      <c r="CD225" s="27"/>
      <c r="CF225" s="27"/>
      <c r="CG225" s="16"/>
      <c r="CH225" s="16"/>
      <c r="CI225" s="27"/>
      <c r="CK225" s="27"/>
      <c r="CL225" s="16"/>
      <c r="CM225" s="16"/>
      <c r="CN225" s="27"/>
      <c r="CP225" s="27"/>
      <c r="CQ225" s="16"/>
      <c r="CR225" s="16"/>
      <c r="CS225" s="27"/>
      <c r="CU225" s="27"/>
      <c r="CV225" s="16"/>
      <c r="CW225" s="16"/>
      <c r="CX225" s="27"/>
      <c r="CZ225" s="27"/>
      <c r="DA225" s="16"/>
      <c r="DB225" s="16"/>
      <c r="DC225" s="27"/>
      <c r="DE225" s="27"/>
      <c r="DF225" s="16"/>
      <c r="DG225" s="16"/>
      <c r="DH225" s="27"/>
      <c r="DJ225" s="27"/>
      <c r="DK225" s="16"/>
      <c r="DL225" s="16"/>
      <c r="DM225" s="27"/>
      <c r="DO225" s="27"/>
      <c r="DP225" s="16"/>
      <c r="DQ225" s="16"/>
      <c r="DR225" s="27"/>
      <c r="DT225" s="27"/>
      <c r="DU225" s="16"/>
      <c r="DV225" s="16"/>
      <c r="DW225" s="27"/>
      <c r="DY225" s="27"/>
      <c r="DZ225" s="16"/>
      <c r="EA225" s="16"/>
      <c r="EB225" s="302"/>
    </row>
    <row r="226" spans="1:132" s="14" customFormat="1" ht="21" x14ac:dyDescent="0.4">
      <c r="A226" s="27"/>
      <c r="B226" s="27"/>
      <c r="C226" s="27"/>
      <c r="E226" s="16"/>
      <c r="F226" s="27"/>
      <c r="G226" s="27"/>
      <c r="I226" s="27"/>
      <c r="J226" s="16"/>
      <c r="K226" s="16"/>
      <c r="L226" s="27"/>
      <c r="N226" s="27"/>
      <c r="O226" s="16"/>
      <c r="P226" s="16"/>
      <c r="Q226" s="27"/>
      <c r="S226" s="27"/>
      <c r="T226" s="16"/>
      <c r="U226" s="16"/>
      <c r="V226" s="27"/>
      <c r="X226" s="27"/>
      <c r="Y226" s="16"/>
      <c r="Z226" s="16"/>
      <c r="AA226" s="27"/>
      <c r="AC226" s="27"/>
      <c r="AD226" s="16"/>
      <c r="AE226" s="16"/>
      <c r="AF226" s="27"/>
      <c r="AH226" s="27"/>
      <c r="AI226" s="16"/>
      <c r="AJ226" s="16"/>
      <c r="AK226" s="27"/>
      <c r="AM226" s="27"/>
      <c r="AN226" s="16"/>
      <c r="AO226" s="16"/>
      <c r="AP226" s="27"/>
      <c r="AR226" s="27"/>
      <c r="AS226" s="16"/>
      <c r="AT226" s="16"/>
      <c r="AU226" s="27"/>
      <c r="AW226" s="27"/>
      <c r="AX226" s="16"/>
      <c r="AY226" s="16"/>
      <c r="AZ226" s="27"/>
      <c r="BB226" s="27"/>
      <c r="BC226" s="16"/>
      <c r="BD226" s="16"/>
      <c r="BE226" s="27"/>
      <c r="BG226" s="27"/>
      <c r="BH226" s="16"/>
      <c r="BI226" s="16"/>
      <c r="BJ226" s="27"/>
      <c r="BL226" s="27"/>
      <c r="BM226" s="16"/>
      <c r="BN226" s="16"/>
      <c r="BO226" s="27"/>
      <c r="BQ226" s="27"/>
      <c r="BR226" s="16"/>
      <c r="BS226" s="16"/>
      <c r="BT226" s="27"/>
      <c r="BV226" s="27"/>
      <c r="BW226" s="16"/>
      <c r="BX226" s="16"/>
      <c r="BY226" s="27"/>
      <c r="CA226" s="27"/>
      <c r="CB226" s="16"/>
      <c r="CC226" s="16"/>
      <c r="CD226" s="27"/>
      <c r="CF226" s="27"/>
      <c r="CG226" s="16"/>
      <c r="CH226" s="16"/>
      <c r="CI226" s="27"/>
      <c r="CK226" s="27"/>
      <c r="CL226" s="16"/>
      <c r="CM226" s="16"/>
      <c r="CN226" s="27"/>
      <c r="CP226" s="27"/>
      <c r="CQ226" s="16"/>
      <c r="CR226" s="16"/>
      <c r="CS226" s="27"/>
      <c r="CU226" s="27"/>
      <c r="CV226" s="16"/>
      <c r="CW226" s="16"/>
      <c r="CX226" s="27"/>
      <c r="CZ226" s="27"/>
      <c r="DA226" s="16"/>
      <c r="DB226" s="16"/>
      <c r="DC226" s="27"/>
      <c r="DE226" s="27"/>
      <c r="DF226" s="16"/>
      <c r="DG226" s="16"/>
      <c r="DH226" s="27"/>
      <c r="DJ226" s="27"/>
      <c r="DK226" s="16"/>
      <c r="DL226" s="16"/>
      <c r="DM226" s="27"/>
      <c r="DO226" s="27"/>
      <c r="DP226" s="16"/>
      <c r="DQ226" s="16"/>
      <c r="DR226" s="27"/>
      <c r="DT226" s="27"/>
      <c r="DU226" s="16"/>
      <c r="DV226" s="16"/>
      <c r="DW226" s="27"/>
      <c r="DY226" s="27"/>
      <c r="DZ226" s="16"/>
      <c r="EA226" s="16"/>
      <c r="EB226" s="302"/>
    </row>
    <row r="227" spans="1:132" s="14" customFormat="1" ht="21" x14ac:dyDescent="0.4">
      <c r="A227" s="27"/>
      <c r="B227" s="27"/>
      <c r="C227" s="27"/>
      <c r="E227" s="16"/>
      <c r="F227" s="27"/>
      <c r="G227" s="27"/>
      <c r="I227" s="27"/>
      <c r="J227" s="16"/>
      <c r="K227" s="16"/>
      <c r="L227" s="27"/>
      <c r="N227" s="27"/>
      <c r="O227" s="16"/>
      <c r="P227" s="16"/>
      <c r="Q227" s="27"/>
      <c r="S227" s="27"/>
      <c r="T227" s="16"/>
      <c r="U227" s="16"/>
      <c r="V227" s="27"/>
      <c r="X227" s="27"/>
      <c r="Y227" s="16"/>
      <c r="Z227" s="16"/>
      <c r="AA227" s="27"/>
      <c r="AC227" s="27"/>
      <c r="AD227" s="16"/>
      <c r="AE227" s="16"/>
      <c r="AF227" s="27"/>
      <c r="AH227" s="27"/>
      <c r="AI227" s="16"/>
      <c r="AJ227" s="16"/>
      <c r="AK227" s="27"/>
      <c r="AM227" s="27"/>
      <c r="AN227" s="16"/>
      <c r="AO227" s="16"/>
      <c r="AP227" s="27"/>
      <c r="AR227" s="27"/>
      <c r="AS227" s="16"/>
      <c r="AT227" s="16"/>
      <c r="AU227" s="27"/>
      <c r="AW227" s="27"/>
      <c r="AX227" s="16"/>
      <c r="AY227" s="16"/>
      <c r="AZ227" s="27"/>
      <c r="BB227" s="27"/>
      <c r="BC227" s="16"/>
      <c r="BD227" s="16"/>
      <c r="BE227" s="27"/>
      <c r="BG227" s="27"/>
      <c r="BH227" s="16"/>
      <c r="BI227" s="16"/>
      <c r="BJ227" s="27"/>
      <c r="BL227" s="27"/>
      <c r="BM227" s="16"/>
      <c r="BN227" s="16"/>
      <c r="BO227" s="27"/>
      <c r="BQ227" s="27"/>
      <c r="BR227" s="16"/>
      <c r="BS227" s="16"/>
      <c r="BT227" s="27"/>
      <c r="BV227" s="27"/>
      <c r="BW227" s="16"/>
      <c r="BX227" s="16"/>
      <c r="BY227" s="27"/>
      <c r="CA227" s="27"/>
      <c r="CB227" s="16"/>
      <c r="CC227" s="16"/>
      <c r="CD227" s="27"/>
      <c r="CF227" s="27"/>
      <c r="CG227" s="16"/>
      <c r="CH227" s="16"/>
      <c r="CI227" s="27"/>
      <c r="CK227" s="27"/>
      <c r="CL227" s="16"/>
      <c r="CM227" s="16"/>
      <c r="CN227" s="27"/>
      <c r="CP227" s="27"/>
      <c r="CQ227" s="16"/>
      <c r="CR227" s="16"/>
      <c r="CS227" s="27"/>
      <c r="CU227" s="27"/>
      <c r="CV227" s="16"/>
      <c r="CW227" s="16"/>
      <c r="CX227" s="27"/>
      <c r="CZ227" s="27"/>
      <c r="DA227" s="16"/>
      <c r="DB227" s="16"/>
      <c r="DC227" s="27"/>
      <c r="DE227" s="27"/>
      <c r="DF227" s="16"/>
      <c r="DG227" s="16"/>
      <c r="DH227" s="27"/>
      <c r="DJ227" s="27"/>
      <c r="DK227" s="16"/>
      <c r="DL227" s="16"/>
      <c r="DM227" s="27"/>
      <c r="DO227" s="27"/>
      <c r="DP227" s="16"/>
      <c r="DQ227" s="16"/>
      <c r="DR227" s="27"/>
      <c r="DT227" s="27"/>
      <c r="DU227" s="16"/>
      <c r="DV227" s="16"/>
      <c r="DW227" s="27"/>
      <c r="DY227" s="27"/>
      <c r="DZ227" s="16"/>
      <c r="EA227" s="16"/>
      <c r="EB227" s="302"/>
    </row>
    <row r="228" spans="1:132" s="14" customFormat="1" ht="21" x14ac:dyDescent="0.4">
      <c r="A228" s="27"/>
      <c r="B228" s="27"/>
      <c r="C228" s="27"/>
      <c r="E228" s="16"/>
      <c r="F228" s="27"/>
      <c r="G228" s="27"/>
      <c r="I228" s="27"/>
      <c r="J228" s="16"/>
      <c r="K228" s="16"/>
      <c r="L228" s="27"/>
      <c r="N228" s="27"/>
      <c r="O228" s="16"/>
      <c r="P228" s="16"/>
      <c r="Q228" s="27"/>
      <c r="S228" s="27"/>
      <c r="T228" s="16"/>
      <c r="U228" s="16"/>
      <c r="V228" s="27"/>
      <c r="X228" s="27"/>
      <c r="Y228" s="16"/>
      <c r="Z228" s="16"/>
      <c r="AA228" s="27"/>
      <c r="AC228" s="27"/>
      <c r="AD228" s="16"/>
      <c r="AE228" s="16"/>
      <c r="AF228" s="27"/>
      <c r="AH228" s="27"/>
      <c r="AI228" s="16"/>
      <c r="AJ228" s="16"/>
      <c r="AK228" s="27"/>
      <c r="AM228" s="27"/>
      <c r="AN228" s="16"/>
      <c r="AO228" s="16"/>
      <c r="AP228" s="27"/>
      <c r="AR228" s="27"/>
      <c r="AS228" s="16"/>
      <c r="AT228" s="16"/>
      <c r="AU228" s="27"/>
      <c r="AW228" s="27"/>
      <c r="AX228" s="16"/>
      <c r="AY228" s="16"/>
      <c r="AZ228" s="27"/>
      <c r="BB228" s="27"/>
      <c r="BC228" s="16"/>
      <c r="BD228" s="16"/>
      <c r="BE228" s="27"/>
      <c r="BG228" s="27"/>
      <c r="BH228" s="16"/>
      <c r="BI228" s="16"/>
      <c r="BJ228" s="27"/>
      <c r="BL228" s="27"/>
      <c r="BM228" s="16"/>
      <c r="BN228" s="16"/>
      <c r="BO228" s="27"/>
      <c r="BQ228" s="27"/>
      <c r="BR228" s="16"/>
      <c r="BS228" s="16"/>
      <c r="BT228" s="27"/>
      <c r="BV228" s="27"/>
      <c r="BW228" s="16"/>
      <c r="BX228" s="16"/>
      <c r="BY228" s="27"/>
      <c r="CA228" s="27"/>
      <c r="CB228" s="16"/>
      <c r="CC228" s="16"/>
      <c r="CD228" s="27"/>
      <c r="CF228" s="27"/>
      <c r="CG228" s="16"/>
      <c r="CH228" s="16"/>
      <c r="CI228" s="27"/>
      <c r="CK228" s="27"/>
      <c r="CL228" s="16"/>
      <c r="CM228" s="16"/>
      <c r="CN228" s="27"/>
      <c r="CP228" s="27"/>
      <c r="CQ228" s="16"/>
      <c r="CR228" s="16"/>
      <c r="CS228" s="27"/>
      <c r="CU228" s="27"/>
      <c r="CV228" s="16"/>
      <c r="CW228" s="16"/>
      <c r="CX228" s="27"/>
      <c r="CZ228" s="27"/>
      <c r="DA228" s="16"/>
      <c r="DB228" s="16"/>
      <c r="DC228" s="27"/>
      <c r="DE228" s="27"/>
      <c r="DF228" s="16"/>
      <c r="DG228" s="16"/>
      <c r="DH228" s="27"/>
      <c r="DJ228" s="27"/>
      <c r="DK228" s="16"/>
      <c r="DL228" s="16"/>
      <c r="DM228" s="27"/>
      <c r="DO228" s="27"/>
      <c r="DP228" s="16"/>
      <c r="DQ228" s="16"/>
      <c r="DR228" s="27"/>
      <c r="DT228" s="27"/>
      <c r="DU228" s="16"/>
      <c r="DV228" s="16"/>
      <c r="DW228" s="27"/>
      <c r="DY228" s="27"/>
      <c r="DZ228" s="16"/>
      <c r="EA228" s="16"/>
      <c r="EB228" s="302"/>
    </row>
    <row r="229" spans="1:132" s="14" customFormat="1" ht="21" x14ac:dyDescent="0.4">
      <c r="A229" s="27"/>
      <c r="B229" s="27"/>
      <c r="C229" s="27"/>
      <c r="E229" s="16"/>
      <c r="F229" s="27"/>
      <c r="G229" s="27"/>
      <c r="I229" s="27"/>
      <c r="J229" s="16"/>
      <c r="K229" s="16"/>
      <c r="L229" s="27"/>
      <c r="N229" s="27"/>
      <c r="O229" s="16"/>
      <c r="P229" s="16"/>
      <c r="Q229" s="27"/>
      <c r="S229" s="27"/>
      <c r="T229" s="16"/>
      <c r="U229" s="16"/>
      <c r="V229" s="27"/>
      <c r="X229" s="27"/>
      <c r="Y229" s="16"/>
      <c r="Z229" s="16"/>
      <c r="AA229" s="27"/>
      <c r="AC229" s="27"/>
      <c r="AD229" s="16"/>
      <c r="AE229" s="16"/>
      <c r="AF229" s="27"/>
      <c r="AH229" s="27"/>
      <c r="AI229" s="16"/>
      <c r="AJ229" s="16"/>
      <c r="AK229" s="27"/>
      <c r="AM229" s="27"/>
      <c r="AN229" s="16"/>
      <c r="AO229" s="16"/>
      <c r="AP229" s="27"/>
      <c r="AR229" s="27"/>
      <c r="AS229" s="16"/>
      <c r="AT229" s="16"/>
      <c r="AU229" s="27"/>
      <c r="AW229" s="27"/>
      <c r="AX229" s="16"/>
      <c r="AY229" s="16"/>
      <c r="AZ229" s="27"/>
      <c r="BB229" s="27"/>
      <c r="BC229" s="16"/>
      <c r="BD229" s="16"/>
      <c r="BE229" s="27"/>
      <c r="BG229" s="27"/>
      <c r="BH229" s="16"/>
      <c r="BI229" s="16"/>
      <c r="BJ229" s="27"/>
      <c r="BL229" s="27"/>
      <c r="BM229" s="16"/>
      <c r="BN229" s="16"/>
      <c r="BO229" s="27"/>
      <c r="BQ229" s="27"/>
      <c r="BR229" s="16"/>
      <c r="BS229" s="16"/>
      <c r="BT229" s="27"/>
      <c r="BV229" s="27"/>
      <c r="BW229" s="16"/>
      <c r="BX229" s="16"/>
      <c r="BY229" s="27"/>
      <c r="CA229" s="27"/>
      <c r="CB229" s="16"/>
      <c r="CC229" s="16"/>
      <c r="CD229" s="27"/>
      <c r="CF229" s="27"/>
      <c r="CG229" s="16"/>
      <c r="CH229" s="16"/>
      <c r="CI229" s="27"/>
      <c r="CK229" s="27"/>
      <c r="CL229" s="16"/>
      <c r="CM229" s="16"/>
      <c r="CN229" s="27"/>
      <c r="CP229" s="27"/>
      <c r="CQ229" s="16"/>
      <c r="CR229" s="16"/>
      <c r="CS229" s="27"/>
      <c r="CU229" s="27"/>
      <c r="CV229" s="16"/>
      <c r="CW229" s="16"/>
      <c r="CX229" s="27"/>
      <c r="CZ229" s="27"/>
      <c r="DA229" s="16"/>
      <c r="DB229" s="16"/>
      <c r="DC229" s="27"/>
      <c r="DE229" s="27"/>
      <c r="DF229" s="16"/>
      <c r="DG229" s="16"/>
      <c r="DH229" s="27"/>
      <c r="DJ229" s="27"/>
      <c r="DK229" s="16"/>
      <c r="DL229" s="16"/>
      <c r="DM229" s="27"/>
      <c r="DO229" s="27"/>
      <c r="DP229" s="16"/>
      <c r="DQ229" s="16"/>
      <c r="DR229" s="27"/>
      <c r="DT229" s="27"/>
      <c r="DU229" s="16"/>
      <c r="DV229" s="16"/>
      <c r="DW229" s="27"/>
      <c r="DY229" s="27"/>
      <c r="DZ229" s="16"/>
      <c r="EA229" s="16"/>
      <c r="EB229" s="302"/>
    </row>
    <row r="230" spans="1:132" s="14" customFormat="1" ht="21" x14ac:dyDescent="0.4">
      <c r="A230" s="27"/>
      <c r="B230" s="27"/>
      <c r="C230" s="27"/>
      <c r="E230" s="16"/>
      <c r="F230" s="27"/>
      <c r="G230" s="27"/>
      <c r="I230" s="27"/>
      <c r="J230" s="16"/>
      <c r="K230" s="16"/>
      <c r="L230" s="27"/>
      <c r="N230" s="27"/>
      <c r="O230" s="16"/>
      <c r="P230" s="16"/>
      <c r="Q230" s="27"/>
      <c r="S230" s="27"/>
      <c r="T230" s="16"/>
      <c r="U230" s="16"/>
      <c r="V230" s="27"/>
      <c r="X230" s="27"/>
      <c r="Y230" s="16"/>
      <c r="Z230" s="16"/>
      <c r="AA230" s="27"/>
      <c r="AC230" s="27"/>
      <c r="AD230" s="16"/>
      <c r="AE230" s="16"/>
      <c r="AF230" s="27"/>
      <c r="AH230" s="27"/>
      <c r="AI230" s="16"/>
      <c r="AJ230" s="16"/>
      <c r="AK230" s="27"/>
      <c r="AM230" s="27"/>
      <c r="AN230" s="16"/>
      <c r="AO230" s="16"/>
      <c r="AP230" s="27"/>
      <c r="AR230" s="27"/>
      <c r="AS230" s="16"/>
      <c r="AT230" s="16"/>
      <c r="AU230" s="27"/>
      <c r="AW230" s="27"/>
      <c r="AX230" s="16"/>
      <c r="AY230" s="16"/>
      <c r="AZ230" s="27"/>
      <c r="BB230" s="27"/>
      <c r="BC230" s="16"/>
      <c r="BD230" s="16"/>
      <c r="BE230" s="27"/>
      <c r="BG230" s="27"/>
      <c r="BH230" s="16"/>
      <c r="BI230" s="16"/>
      <c r="BJ230" s="27"/>
      <c r="BL230" s="27"/>
      <c r="BM230" s="16"/>
      <c r="BN230" s="16"/>
      <c r="BO230" s="27"/>
      <c r="BQ230" s="27"/>
      <c r="BR230" s="16"/>
      <c r="BS230" s="16"/>
      <c r="BT230" s="27"/>
      <c r="BV230" s="27"/>
      <c r="BW230" s="16"/>
      <c r="BX230" s="16"/>
      <c r="BY230" s="27"/>
      <c r="CA230" s="27"/>
      <c r="CB230" s="16"/>
      <c r="CC230" s="16"/>
      <c r="CD230" s="27"/>
      <c r="CF230" s="27"/>
      <c r="CG230" s="16"/>
      <c r="CH230" s="16"/>
      <c r="CI230" s="27"/>
      <c r="CK230" s="27"/>
      <c r="CL230" s="16"/>
      <c r="CM230" s="16"/>
      <c r="CN230" s="27"/>
      <c r="CP230" s="27"/>
      <c r="CQ230" s="16"/>
      <c r="CR230" s="16"/>
      <c r="CS230" s="27"/>
      <c r="CU230" s="27"/>
      <c r="CV230" s="16"/>
      <c r="CW230" s="16"/>
      <c r="CX230" s="27"/>
      <c r="CZ230" s="27"/>
      <c r="DA230" s="16"/>
      <c r="DB230" s="16"/>
      <c r="DC230" s="27"/>
      <c r="DE230" s="27"/>
      <c r="DF230" s="16"/>
      <c r="DG230" s="16"/>
      <c r="DH230" s="27"/>
      <c r="DJ230" s="27"/>
      <c r="DK230" s="16"/>
      <c r="DL230" s="16"/>
      <c r="DM230" s="27"/>
      <c r="DO230" s="27"/>
      <c r="DP230" s="16"/>
      <c r="DQ230" s="16"/>
      <c r="DR230" s="27"/>
      <c r="DT230" s="27"/>
      <c r="DU230" s="16"/>
      <c r="DV230" s="16"/>
      <c r="DW230" s="27"/>
      <c r="DY230" s="27"/>
      <c r="DZ230" s="16"/>
      <c r="EA230" s="16"/>
      <c r="EB230" s="302"/>
    </row>
    <row r="231" spans="1:132" s="14" customFormat="1" ht="21" x14ac:dyDescent="0.4">
      <c r="A231" s="27"/>
      <c r="B231" s="27"/>
      <c r="C231" s="27"/>
      <c r="E231" s="16"/>
      <c r="F231" s="27"/>
      <c r="G231" s="27"/>
      <c r="I231" s="27"/>
      <c r="J231" s="16"/>
      <c r="K231" s="16"/>
      <c r="L231" s="27"/>
      <c r="N231" s="27"/>
      <c r="O231" s="16"/>
      <c r="P231" s="16"/>
      <c r="Q231" s="27"/>
      <c r="S231" s="27"/>
      <c r="T231" s="16"/>
      <c r="U231" s="16"/>
      <c r="V231" s="27"/>
      <c r="X231" s="27"/>
      <c r="Y231" s="16"/>
      <c r="Z231" s="16"/>
      <c r="AA231" s="27"/>
      <c r="AC231" s="27"/>
      <c r="AD231" s="16"/>
      <c r="AE231" s="16"/>
      <c r="AF231" s="27"/>
      <c r="AH231" s="27"/>
      <c r="AI231" s="16"/>
      <c r="AJ231" s="16"/>
      <c r="AK231" s="27"/>
      <c r="AM231" s="27"/>
      <c r="AN231" s="16"/>
      <c r="AO231" s="16"/>
      <c r="AP231" s="27"/>
      <c r="AR231" s="27"/>
      <c r="AS231" s="16"/>
      <c r="AT231" s="16"/>
      <c r="AU231" s="27"/>
      <c r="AW231" s="27"/>
      <c r="AX231" s="16"/>
      <c r="AY231" s="16"/>
      <c r="AZ231" s="27"/>
      <c r="BB231" s="27"/>
      <c r="BC231" s="16"/>
      <c r="BD231" s="16"/>
      <c r="BE231" s="27"/>
      <c r="BG231" s="27"/>
      <c r="BH231" s="16"/>
      <c r="BI231" s="16"/>
      <c r="BJ231" s="27"/>
      <c r="BL231" s="27"/>
      <c r="BM231" s="16"/>
      <c r="BN231" s="16"/>
      <c r="BO231" s="27"/>
      <c r="BQ231" s="27"/>
      <c r="BR231" s="16"/>
      <c r="BS231" s="16"/>
      <c r="BT231" s="27"/>
      <c r="BV231" s="27"/>
      <c r="BW231" s="16"/>
      <c r="BX231" s="16"/>
      <c r="BY231" s="27"/>
      <c r="CA231" s="27"/>
      <c r="CB231" s="16"/>
      <c r="CC231" s="16"/>
      <c r="CD231" s="27"/>
      <c r="CF231" s="27"/>
      <c r="CG231" s="16"/>
      <c r="CH231" s="16"/>
      <c r="CI231" s="27"/>
      <c r="CK231" s="27"/>
      <c r="CL231" s="16"/>
      <c r="CM231" s="16"/>
      <c r="CN231" s="27"/>
      <c r="CP231" s="27"/>
      <c r="CQ231" s="16"/>
      <c r="CR231" s="16"/>
      <c r="CS231" s="27"/>
      <c r="CU231" s="27"/>
      <c r="CV231" s="16"/>
      <c r="CW231" s="16"/>
      <c r="CX231" s="27"/>
      <c r="CZ231" s="27"/>
      <c r="DA231" s="16"/>
      <c r="DB231" s="16"/>
      <c r="DC231" s="27"/>
      <c r="DE231" s="27"/>
      <c r="DF231" s="16"/>
      <c r="DG231" s="16"/>
      <c r="DH231" s="27"/>
      <c r="DJ231" s="27"/>
      <c r="DK231" s="16"/>
      <c r="DL231" s="16"/>
      <c r="DM231" s="27"/>
      <c r="DO231" s="27"/>
      <c r="DP231" s="16"/>
      <c r="DQ231" s="16"/>
      <c r="DR231" s="27"/>
      <c r="DT231" s="27"/>
      <c r="DU231" s="16"/>
      <c r="DV231" s="16"/>
      <c r="DW231" s="27"/>
      <c r="DY231" s="27"/>
      <c r="DZ231" s="16"/>
      <c r="EA231" s="16"/>
      <c r="EB231" s="302"/>
    </row>
    <row r="232" spans="1:132" s="14" customFormat="1" ht="21" x14ac:dyDescent="0.4">
      <c r="A232" s="27"/>
      <c r="B232" s="27"/>
      <c r="C232" s="27"/>
      <c r="E232" s="16"/>
      <c r="F232" s="27"/>
      <c r="G232" s="27"/>
      <c r="I232" s="27"/>
      <c r="J232" s="16"/>
      <c r="K232" s="16"/>
      <c r="L232" s="27"/>
      <c r="N232" s="27"/>
      <c r="O232" s="16"/>
      <c r="P232" s="16"/>
      <c r="Q232" s="27"/>
      <c r="S232" s="27"/>
      <c r="T232" s="16"/>
      <c r="U232" s="16"/>
      <c r="V232" s="27"/>
      <c r="X232" s="27"/>
      <c r="Y232" s="16"/>
      <c r="Z232" s="16"/>
      <c r="AA232" s="27"/>
      <c r="AC232" s="27"/>
      <c r="AD232" s="16"/>
      <c r="AE232" s="16"/>
      <c r="AF232" s="27"/>
      <c r="AH232" s="27"/>
      <c r="AI232" s="16"/>
      <c r="AJ232" s="16"/>
      <c r="AK232" s="27"/>
      <c r="AM232" s="27"/>
      <c r="AN232" s="16"/>
      <c r="AO232" s="16"/>
      <c r="AP232" s="27"/>
      <c r="AR232" s="27"/>
      <c r="AS232" s="16"/>
      <c r="AT232" s="16"/>
      <c r="AU232" s="27"/>
      <c r="AW232" s="27"/>
      <c r="AX232" s="16"/>
      <c r="AY232" s="16"/>
      <c r="AZ232" s="27"/>
      <c r="BB232" s="27"/>
      <c r="BC232" s="16"/>
      <c r="BD232" s="16"/>
      <c r="BE232" s="27"/>
      <c r="BG232" s="27"/>
      <c r="BH232" s="16"/>
      <c r="BI232" s="16"/>
      <c r="BJ232" s="27"/>
      <c r="BL232" s="27"/>
      <c r="BM232" s="16"/>
      <c r="BN232" s="16"/>
      <c r="BO232" s="27"/>
      <c r="BQ232" s="27"/>
      <c r="BR232" s="16"/>
      <c r="BS232" s="16"/>
      <c r="BT232" s="27"/>
      <c r="BV232" s="27"/>
      <c r="BW232" s="16"/>
      <c r="BX232" s="16"/>
      <c r="BY232" s="27"/>
      <c r="CA232" s="27"/>
      <c r="CB232" s="16"/>
      <c r="CC232" s="16"/>
      <c r="CD232" s="27"/>
      <c r="CF232" s="27"/>
      <c r="CG232" s="16"/>
      <c r="CH232" s="16"/>
      <c r="CI232" s="27"/>
      <c r="CK232" s="27"/>
      <c r="CL232" s="16"/>
      <c r="CM232" s="16"/>
      <c r="CN232" s="27"/>
      <c r="CP232" s="27"/>
      <c r="CQ232" s="16"/>
      <c r="CR232" s="16"/>
      <c r="CS232" s="27"/>
      <c r="CU232" s="27"/>
      <c r="CV232" s="16"/>
      <c r="CW232" s="16"/>
      <c r="CX232" s="27"/>
      <c r="CZ232" s="27"/>
      <c r="DA232" s="16"/>
      <c r="DB232" s="16"/>
      <c r="DC232" s="27"/>
      <c r="DE232" s="27"/>
      <c r="DF232" s="16"/>
      <c r="DG232" s="16"/>
      <c r="DH232" s="27"/>
      <c r="DJ232" s="27"/>
      <c r="DK232" s="16"/>
      <c r="DL232" s="16"/>
      <c r="DM232" s="27"/>
      <c r="DO232" s="27"/>
      <c r="DP232" s="16"/>
      <c r="DQ232" s="16"/>
      <c r="DR232" s="27"/>
      <c r="DT232" s="27"/>
      <c r="DU232" s="16"/>
      <c r="DV232" s="16"/>
      <c r="DW232" s="27"/>
      <c r="DY232" s="27"/>
      <c r="DZ232" s="16"/>
      <c r="EA232" s="16"/>
      <c r="EB232" s="302"/>
    </row>
    <row r="233" spans="1:132" s="14" customFormat="1" ht="21" x14ac:dyDescent="0.4">
      <c r="A233" s="27"/>
      <c r="B233" s="27"/>
      <c r="C233" s="27"/>
      <c r="E233" s="16"/>
      <c r="F233" s="27"/>
      <c r="G233" s="27"/>
      <c r="I233" s="27"/>
      <c r="J233" s="16"/>
      <c r="K233" s="16"/>
      <c r="L233" s="27"/>
      <c r="N233" s="27"/>
      <c r="O233" s="16"/>
      <c r="P233" s="16"/>
      <c r="Q233" s="27"/>
      <c r="S233" s="27"/>
      <c r="T233" s="16"/>
      <c r="U233" s="16"/>
      <c r="V233" s="27"/>
      <c r="X233" s="27"/>
      <c r="Y233" s="16"/>
      <c r="Z233" s="16"/>
      <c r="AA233" s="27"/>
      <c r="AC233" s="27"/>
      <c r="AD233" s="16"/>
      <c r="AE233" s="16"/>
      <c r="AF233" s="27"/>
      <c r="AH233" s="27"/>
      <c r="AI233" s="16"/>
      <c r="AJ233" s="16"/>
      <c r="AK233" s="27"/>
      <c r="AM233" s="27"/>
      <c r="AN233" s="16"/>
      <c r="AO233" s="16"/>
      <c r="AP233" s="27"/>
      <c r="AR233" s="27"/>
      <c r="AS233" s="16"/>
      <c r="AT233" s="16"/>
      <c r="AU233" s="27"/>
      <c r="AW233" s="27"/>
      <c r="AX233" s="16"/>
      <c r="AY233" s="16"/>
      <c r="AZ233" s="27"/>
      <c r="BB233" s="27"/>
      <c r="BC233" s="16"/>
      <c r="BD233" s="16"/>
      <c r="BE233" s="27"/>
      <c r="BG233" s="27"/>
      <c r="BH233" s="16"/>
      <c r="BI233" s="16"/>
      <c r="BJ233" s="27"/>
      <c r="BL233" s="27"/>
      <c r="BM233" s="16"/>
      <c r="BN233" s="16"/>
      <c r="BO233" s="27"/>
      <c r="BQ233" s="27"/>
      <c r="BR233" s="16"/>
      <c r="BS233" s="16"/>
      <c r="BT233" s="27"/>
      <c r="BV233" s="27"/>
      <c r="BW233" s="16"/>
      <c r="BX233" s="16"/>
      <c r="BY233" s="27"/>
      <c r="CA233" s="27"/>
      <c r="CB233" s="16"/>
      <c r="CC233" s="16"/>
      <c r="CD233" s="27"/>
      <c r="CF233" s="27"/>
      <c r="CG233" s="16"/>
      <c r="CH233" s="16"/>
      <c r="CI233" s="27"/>
      <c r="CK233" s="27"/>
      <c r="CL233" s="16"/>
      <c r="CM233" s="16"/>
      <c r="CN233" s="27"/>
      <c r="CP233" s="27"/>
      <c r="CQ233" s="16"/>
      <c r="CR233" s="16"/>
      <c r="CS233" s="27"/>
      <c r="CU233" s="27"/>
      <c r="CV233" s="16"/>
      <c r="CW233" s="16"/>
      <c r="CX233" s="27"/>
      <c r="CZ233" s="27"/>
      <c r="DA233" s="16"/>
      <c r="DB233" s="16"/>
      <c r="DC233" s="27"/>
      <c r="DE233" s="27"/>
      <c r="DF233" s="16"/>
      <c r="DG233" s="16"/>
      <c r="DH233" s="27"/>
      <c r="DJ233" s="27"/>
      <c r="DK233" s="16"/>
      <c r="DL233" s="16"/>
      <c r="DM233" s="27"/>
      <c r="DO233" s="27"/>
      <c r="DP233" s="16"/>
      <c r="DQ233" s="16"/>
      <c r="DR233" s="27"/>
      <c r="DT233" s="27"/>
      <c r="DU233" s="16"/>
      <c r="DV233" s="16"/>
      <c r="DW233" s="27"/>
      <c r="DY233" s="27"/>
      <c r="DZ233" s="16"/>
      <c r="EA233" s="16"/>
      <c r="EB233" s="302"/>
    </row>
    <row r="234" spans="1:132" s="14" customFormat="1" ht="21" x14ac:dyDescent="0.4">
      <c r="A234" s="27"/>
      <c r="B234" s="27"/>
      <c r="C234" s="27"/>
      <c r="E234" s="16"/>
      <c r="F234" s="27"/>
      <c r="G234" s="27"/>
      <c r="I234" s="27"/>
      <c r="J234" s="16"/>
      <c r="K234" s="16"/>
      <c r="L234" s="27"/>
      <c r="N234" s="27"/>
      <c r="O234" s="16"/>
      <c r="P234" s="16"/>
      <c r="Q234" s="27"/>
      <c r="S234" s="27"/>
      <c r="T234" s="16"/>
      <c r="U234" s="16"/>
      <c r="V234" s="27"/>
      <c r="X234" s="27"/>
      <c r="Y234" s="16"/>
      <c r="Z234" s="16"/>
      <c r="AA234" s="27"/>
      <c r="AC234" s="27"/>
      <c r="AD234" s="16"/>
      <c r="AE234" s="16"/>
      <c r="AF234" s="27"/>
      <c r="AH234" s="27"/>
      <c r="AI234" s="16"/>
      <c r="AJ234" s="16"/>
      <c r="AK234" s="27"/>
      <c r="AM234" s="27"/>
      <c r="AN234" s="16"/>
      <c r="AO234" s="16"/>
      <c r="AP234" s="27"/>
      <c r="AR234" s="27"/>
      <c r="AS234" s="16"/>
      <c r="AT234" s="16"/>
      <c r="AU234" s="27"/>
      <c r="AW234" s="27"/>
      <c r="AX234" s="16"/>
      <c r="AY234" s="16"/>
      <c r="AZ234" s="27"/>
      <c r="BB234" s="27"/>
      <c r="BC234" s="16"/>
      <c r="BD234" s="16"/>
      <c r="BE234" s="27"/>
      <c r="BG234" s="27"/>
      <c r="BH234" s="16"/>
      <c r="BI234" s="16"/>
      <c r="BJ234" s="27"/>
      <c r="BL234" s="27"/>
      <c r="BM234" s="16"/>
      <c r="BN234" s="16"/>
      <c r="BO234" s="27"/>
      <c r="BQ234" s="27"/>
      <c r="BR234" s="16"/>
      <c r="BS234" s="16"/>
      <c r="BT234" s="27"/>
      <c r="BV234" s="27"/>
      <c r="BW234" s="16"/>
      <c r="BX234" s="16"/>
      <c r="BY234" s="27"/>
      <c r="CA234" s="27"/>
      <c r="CB234" s="16"/>
      <c r="CC234" s="16"/>
      <c r="CD234" s="27"/>
      <c r="CF234" s="27"/>
      <c r="CG234" s="16"/>
      <c r="CH234" s="16"/>
      <c r="CI234" s="27"/>
      <c r="CK234" s="27"/>
      <c r="CL234" s="16"/>
      <c r="CM234" s="16"/>
      <c r="CN234" s="27"/>
      <c r="CP234" s="27"/>
      <c r="CQ234" s="16"/>
      <c r="CR234" s="16"/>
      <c r="CS234" s="27"/>
      <c r="CU234" s="27"/>
      <c r="CV234" s="16"/>
      <c r="CW234" s="16"/>
      <c r="CX234" s="27"/>
      <c r="CZ234" s="27"/>
      <c r="DA234" s="16"/>
      <c r="DB234" s="16"/>
      <c r="DC234" s="27"/>
      <c r="DE234" s="27"/>
      <c r="DF234" s="16"/>
      <c r="DG234" s="16"/>
      <c r="DH234" s="27"/>
      <c r="DJ234" s="27"/>
      <c r="DK234" s="16"/>
      <c r="DL234" s="16"/>
      <c r="DM234" s="27"/>
      <c r="DO234" s="27"/>
      <c r="DP234" s="16"/>
      <c r="DQ234" s="16"/>
      <c r="DR234" s="27"/>
      <c r="DT234" s="27"/>
      <c r="DU234" s="16"/>
      <c r="DV234" s="16"/>
      <c r="DW234" s="27"/>
      <c r="DY234" s="27"/>
      <c r="DZ234" s="16"/>
      <c r="EA234" s="16"/>
      <c r="EB234" s="302"/>
    </row>
    <row r="235" spans="1:132" s="14" customFormat="1" ht="21" x14ac:dyDescent="0.4">
      <c r="A235" s="27"/>
      <c r="B235" s="27"/>
      <c r="C235" s="27"/>
      <c r="E235" s="16"/>
      <c r="F235" s="27"/>
      <c r="G235" s="27"/>
      <c r="I235" s="27"/>
      <c r="J235" s="16"/>
      <c r="K235" s="16"/>
      <c r="L235" s="27"/>
      <c r="N235" s="27"/>
      <c r="O235" s="16"/>
      <c r="P235" s="16"/>
      <c r="Q235" s="27"/>
      <c r="S235" s="27"/>
      <c r="T235" s="16"/>
      <c r="U235" s="16"/>
      <c r="V235" s="27"/>
      <c r="X235" s="27"/>
      <c r="Y235" s="16"/>
      <c r="Z235" s="16"/>
      <c r="AA235" s="27"/>
      <c r="AC235" s="27"/>
      <c r="AD235" s="16"/>
      <c r="AE235" s="16"/>
      <c r="AF235" s="27"/>
      <c r="AH235" s="27"/>
      <c r="AI235" s="16"/>
      <c r="AJ235" s="16"/>
      <c r="AK235" s="27"/>
      <c r="AM235" s="27"/>
      <c r="AN235" s="16"/>
      <c r="AO235" s="16"/>
      <c r="AP235" s="27"/>
      <c r="AR235" s="27"/>
      <c r="AS235" s="16"/>
      <c r="AT235" s="16"/>
      <c r="AU235" s="27"/>
      <c r="AW235" s="27"/>
      <c r="AX235" s="16"/>
      <c r="AY235" s="16"/>
      <c r="AZ235" s="27"/>
      <c r="BB235" s="27"/>
      <c r="BC235" s="16"/>
      <c r="BD235" s="16"/>
      <c r="BE235" s="27"/>
      <c r="BG235" s="27"/>
      <c r="BH235" s="16"/>
      <c r="BI235" s="16"/>
      <c r="BJ235" s="27"/>
      <c r="BL235" s="27"/>
      <c r="BM235" s="16"/>
      <c r="BN235" s="16"/>
      <c r="BO235" s="27"/>
      <c r="BQ235" s="27"/>
      <c r="BR235" s="16"/>
      <c r="BS235" s="16"/>
      <c r="BT235" s="27"/>
      <c r="BV235" s="27"/>
      <c r="BW235" s="16"/>
      <c r="BX235" s="16"/>
      <c r="BY235" s="27"/>
      <c r="CA235" s="27"/>
      <c r="CB235" s="16"/>
      <c r="CC235" s="16"/>
      <c r="CD235" s="27"/>
      <c r="CF235" s="27"/>
      <c r="CG235" s="16"/>
      <c r="CH235" s="16"/>
      <c r="CI235" s="27"/>
      <c r="CK235" s="27"/>
      <c r="CL235" s="16"/>
      <c r="CM235" s="16"/>
      <c r="CN235" s="27"/>
      <c r="CP235" s="27"/>
      <c r="CQ235" s="16"/>
      <c r="CR235" s="16"/>
      <c r="CS235" s="27"/>
      <c r="CU235" s="27"/>
      <c r="CV235" s="16"/>
      <c r="CW235" s="16"/>
      <c r="CX235" s="27"/>
      <c r="CZ235" s="27"/>
      <c r="DA235" s="16"/>
      <c r="DB235" s="16"/>
      <c r="DC235" s="27"/>
      <c r="DE235" s="27"/>
      <c r="DF235" s="16"/>
      <c r="DG235" s="16"/>
      <c r="DH235" s="27"/>
      <c r="DJ235" s="27"/>
      <c r="DK235" s="16"/>
      <c r="DL235" s="16"/>
      <c r="DM235" s="27"/>
      <c r="DO235" s="27"/>
      <c r="DP235" s="16"/>
      <c r="DQ235" s="16"/>
      <c r="DR235" s="27"/>
      <c r="DT235" s="27"/>
      <c r="DU235" s="16"/>
      <c r="DV235" s="16"/>
      <c r="DW235" s="27"/>
      <c r="DY235" s="27"/>
      <c r="DZ235" s="16"/>
      <c r="EA235" s="16"/>
      <c r="EB235" s="302"/>
    </row>
    <row r="236" spans="1:132" s="14" customFormat="1" ht="21" x14ac:dyDescent="0.4">
      <c r="A236" s="27"/>
      <c r="B236" s="27"/>
      <c r="C236" s="27"/>
      <c r="E236" s="16"/>
      <c r="F236" s="27"/>
      <c r="G236" s="27"/>
      <c r="I236" s="27"/>
      <c r="J236" s="16"/>
      <c r="K236" s="16"/>
      <c r="L236" s="27"/>
      <c r="N236" s="27"/>
      <c r="O236" s="16"/>
      <c r="P236" s="16"/>
      <c r="Q236" s="27"/>
      <c r="S236" s="27"/>
      <c r="T236" s="16"/>
      <c r="U236" s="16"/>
      <c r="V236" s="27"/>
      <c r="X236" s="27"/>
      <c r="Y236" s="16"/>
      <c r="Z236" s="16"/>
      <c r="AA236" s="27"/>
      <c r="AC236" s="27"/>
      <c r="AD236" s="16"/>
      <c r="AE236" s="16"/>
      <c r="AF236" s="27"/>
      <c r="AH236" s="27"/>
      <c r="AI236" s="16"/>
      <c r="AJ236" s="16"/>
      <c r="AK236" s="27"/>
      <c r="AM236" s="27"/>
      <c r="AN236" s="16"/>
      <c r="AO236" s="16"/>
      <c r="AP236" s="27"/>
      <c r="AR236" s="27"/>
      <c r="AS236" s="16"/>
      <c r="AT236" s="16"/>
      <c r="AU236" s="27"/>
      <c r="AW236" s="27"/>
      <c r="AX236" s="16"/>
      <c r="AY236" s="16"/>
      <c r="AZ236" s="27"/>
      <c r="BB236" s="27"/>
      <c r="BC236" s="16"/>
      <c r="BD236" s="16"/>
      <c r="BE236" s="27"/>
      <c r="BG236" s="27"/>
      <c r="BH236" s="16"/>
      <c r="BI236" s="16"/>
      <c r="BJ236" s="27"/>
      <c r="BL236" s="27"/>
      <c r="BM236" s="16"/>
      <c r="BN236" s="16"/>
      <c r="BO236" s="27"/>
      <c r="BQ236" s="27"/>
      <c r="BR236" s="16"/>
      <c r="BS236" s="16"/>
      <c r="BT236" s="27"/>
      <c r="BV236" s="27"/>
      <c r="BW236" s="16"/>
      <c r="BX236" s="16"/>
      <c r="BY236" s="27"/>
      <c r="CA236" s="27"/>
      <c r="CB236" s="16"/>
      <c r="CC236" s="16"/>
      <c r="CD236" s="27"/>
      <c r="CF236" s="27"/>
      <c r="CG236" s="16"/>
      <c r="CH236" s="16"/>
      <c r="CI236" s="27"/>
      <c r="CK236" s="27"/>
      <c r="CL236" s="16"/>
      <c r="CM236" s="16"/>
      <c r="CN236" s="27"/>
      <c r="CP236" s="27"/>
      <c r="CQ236" s="16"/>
      <c r="CR236" s="16"/>
      <c r="CS236" s="27"/>
      <c r="CU236" s="27"/>
      <c r="CV236" s="16"/>
      <c r="CW236" s="16"/>
      <c r="CX236" s="27"/>
      <c r="CZ236" s="27"/>
      <c r="DA236" s="16"/>
      <c r="DB236" s="16"/>
      <c r="DC236" s="27"/>
      <c r="DE236" s="27"/>
      <c r="DF236" s="16"/>
      <c r="DG236" s="16"/>
      <c r="DH236" s="27"/>
      <c r="DJ236" s="27"/>
      <c r="DK236" s="16"/>
      <c r="DL236" s="16"/>
      <c r="DM236" s="27"/>
      <c r="DO236" s="27"/>
      <c r="DP236" s="16"/>
      <c r="DQ236" s="16"/>
      <c r="DR236" s="27"/>
      <c r="DT236" s="27"/>
      <c r="DU236" s="16"/>
      <c r="DV236" s="16"/>
      <c r="DW236" s="27"/>
      <c r="DY236" s="27"/>
      <c r="DZ236" s="16"/>
      <c r="EA236" s="16"/>
      <c r="EB236" s="302"/>
    </row>
    <row r="237" spans="1:132" s="14" customFormat="1" ht="21" x14ac:dyDescent="0.4">
      <c r="A237" s="27"/>
      <c r="B237" s="27"/>
      <c r="C237" s="27"/>
      <c r="E237" s="16"/>
      <c r="F237" s="27"/>
      <c r="G237" s="27"/>
      <c r="I237" s="27"/>
      <c r="J237" s="16"/>
      <c r="K237" s="16"/>
      <c r="L237" s="27"/>
      <c r="N237" s="27"/>
      <c r="O237" s="16"/>
      <c r="P237" s="16"/>
      <c r="Q237" s="27"/>
      <c r="S237" s="27"/>
      <c r="T237" s="16"/>
      <c r="U237" s="16"/>
      <c r="V237" s="27"/>
      <c r="X237" s="27"/>
      <c r="Y237" s="16"/>
      <c r="Z237" s="16"/>
      <c r="AA237" s="27"/>
      <c r="AC237" s="27"/>
      <c r="AD237" s="16"/>
      <c r="AE237" s="16"/>
      <c r="AF237" s="27"/>
      <c r="AH237" s="27"/>
      <c r="AI237" s="16"/>
      <c r="AJ237" s="16"/>
      <c r="AK237" s="27"/>
      <c r="AM237" s="27"/>
      <c r="AN237" s="16"/>
      <c r="AO237" s="16"/>
      <c r="AP237" s="27"/>
      <c r="AR237" s="27"/>
      <c r="AS237" s="16"/>
      <c r="AT237" s="16"/>
      <c r="AU237" s="27"/>
      <c r="AW237" s="27"/>
      <c r="AX237" s="16"/>
      <c r="AY237" s="16"/>
      <c r="AZ237" s="27"/>
      <c r="BB237" s="27"/>
      <c r="BC237" s="16"/>
      <c r="BD237" s="16"/>
      <c r="BE237" s="27"/>
      <c r="BG237" s="27"/>
      <c r="BH237" s="16"/>
      <c r="BI237" s="16"/>
      <c r="BJ237" s="27"/>
      <c r="BL237" s="27"/>
      <c r="BM237" s="16"/>
      <c r="BN237" s="16"/>
      <c r="BO237" s="27"/>
      <c r="BQ237" s="27"/>
      <c r="BR237" s="16"/>
      <c r="BS237" s="16"/>
      <c r="BT237" s="27"/>
      <c r="BV237" s="27"/>
      <c r="BW237" s="16"/>
      <c r="BX237" s="16"/>
      <c r="BY237" s="27"/>
      <c r="CA237" s="27"/>
      <c r="CB237" s="16"/>
      <c r="CC237" s="16"/>
      <c r="CD237" s="27"/>
      <c r="CF237" s="27"/>
      <c r="CG237" s="16"/>
      <c r="CH237" s="16"/>
      <c r="CI237" s="27"/>
      <c r="CK237" s="27"/>
      <c r="CL237" s="16"/>
      <c r="CM237" s="16"/>
      <c r="CN237" s="27"/>
      <c r="CP237" s="27"/>
      <c r="CQ237" s="16"/>
      <c r="CR237" s="16"/>
      <c r="CS237" s="27"/>
      <c r="CU237" s="27"/>
      <c r="CV237" s="16"/>
      <c r="CW237" s="16"/>
      <c r="CX237" s="27"/>
      <c r="CZ237" s="27"/>
      <c r="DA237" s="16"/>
      <c r="DB237" s="16"/>
      <c r="DC237" s="27"/>
      <c r="DE237" s="27"/>
      <c r="DF237" s="16"/>
      <c r="DG237" s="16"/>
      <c r="DH237" s="27"/>
      <c r="DJ237" s="27"/>
      <c r="DK237" s="16"/>
      <c r="DL237" s="16"/>
      <c r="DM237" s="27"/>
      <c r="DO237" s="27"/>
      <c r="DP237" s="16"/>
      <c r="DQ237" s="16"/>
      <c r="DR237" s="27"/>
      <c r="DT237" s="27"/>
      <c r="DU237" s="16"/>
      <c r="DV237" s="16"/>
      <c r="DW237" s="27"/>
      <c r="DY237" s="27"/>
      <c r="DZ237" s="16"/>
      <c r="EA237" s="16"/>
      <c r="EB237" s="302"/>
    </row>
    <row r="238" spans="1:132" s="14" customFormat="1" ht="21" x14ac:dyDescent="0.4">
      <c r="A238" s="27"/>
      <c r="B238" s="27"/>
      <c r="C238" s="27"/>
      <c r="E238" s="16"/>
      <c r="F238" s="27"/>
      <c r="G238" s="27"/>
      <c r="I238" s="27"/>
      <c r="J238" s="16"/>
      <c r="K238" s="16"/>
      <c r="L238" s="27"/>
      <c r="N238" s="27"/>
      <c r="O238" s="16"/>
      <c r="P238" s="16"/>
      <c r="Q238" s="27"/>
      <c r="S238" s="27"/>
      <c r="T238" s="16"/>
      <c r="U238" s="16"/>
      <c r="V238" s="27"/>
      <c r="X238" s="27"/>
      <c r="Y238" s="16"/>
      <c r="Z238" s="16"/>
      <c r="AA238" s="27"/>
      <c r="AC238" s="27"/>
      <c r="AD238" s="16"/>
      <c r="AE238" s="16"/>
      <c r="AF238" s="27"/>
      <c r="AH238" s="27"/>
      <c r="AI238" s="16"/>
      <c r="AJ238" s="16"/>
      <c r="AK238" s="27"/>
      <c r="AM238" s="27"/>
      <c r="AN238" s="16"/>
      <c r="AO238" s="16"/>
      <c r="AP238" s="27"/>
      <c r="AR238" s="27"/>
      <c r="AS238" s="16"/>
      <c r="AT238" s="16"/>
      <c r="AU238" s="27"/>
      <c r="AW238" s="27"/>
      <c r="AX238" s="16"/>
      <c r="AY238" s="16"/>
      <c r="AZ238" s="27"/>
      <c r="BB238" s="27"/>
      <c r="BC238" s="16"/>
      <c r="BD238" s="16"/>
      <c r="BE238" s="27"/>
      <c r="BG238" s="27"/>
      <c r="BH238" s="16"/>
      <c r="BI238" s="16"/>
      <c r="BJ238" s="27"/>
      <c r="BL238" s="27"/>
      <c r="BM238" s="16"/>
      <c r="BN238" s="16"/>
      <c r="BO238" s="27"/>
      <c r="BQ238" s="27"/>
      <c r="BR238" s="16"/>
      <c r="BS238" s="16"/>
      <c r="BT238" s="27"/>
      <c r="BV238" s="27"/>
      <c r="BW238" s="16"/>
      <c r="BX238" s="16"/>
      <c r="BY238" s="27"/>
      <c r="CA238" s="27"/>
      <c r="CB238" s="16"/>
      <c r="CC238" s="16"/>
      <c r="CD238" s="27"/>
      <c r="CF238" s="27"/>
      <c r="CG238" s="16"/>
      <c r="CH238" s="16"/>
      <c r="CI238" s="27"/>
      <c r="CK238" s="27"/>
      <c r="CL238" s="16"/>
      <c r="CM238" s="16"/>
      <c r="CN238" s="27"/>
      <c r="CP238" s="27"/>
      <c r="CQ238" s="16"/>
      <c r="CR238" s="16"/>
      <c r="CS238" s="27"/>
      <c r="CU238" s="27"/>
      <c r="CV238" s="16"/>
      <c r="CW238" s="16"/>
      <c r="CX238" s="27"/>
      <c r="CZ238" s="27"/>
      <c r="DA238" s="16"/>
      <c r="DB238" s="16"/>
      <c r="DC238" s="27"/>
      <c r="DE238" s="27"/>
      <c r="DF238" s="16"/>
      <c r="DG238" s="16"/>
      <c r="DH238" s="27"/>
      <c r="DJ238" s="27"/>
      <c r="DK238" s="16"/>
      <c r="DL238" s="16"/>
      <c r="DM238" s="27"/>
      <c r="DO238" s="27"/>
      <c r="DP238" s="16"/>
      <c r="DQ238" s="16"/>
      <c r="DR238" s="27"/>
      <c r="DT238" s="27"/>
      <c r="DU238" s="16"/>
      <c r="DV238" s="16"/>
      <c r="DW238" s="27"/>
      <c r="DY238" s="27"/>
      <c r="DZ238" s="16"/>
      <c r="EA238" s="16"/>
      <c r="EB238" s="302"/>
    </row>
    <row r="239" spans="1:132" s="14" customFormat="1" ht="21" x14ac:dyDescent="0.4">
      <c r="A239" s="27"/>
      <c r="B239" s="27"/>
      <c r="C239" s="27"/>
      <c r="E239" s="16"/>
      <c r="F239" s="27"/>
      <c r="G239" s="27"/>
      <c r="I239" s="27"/>
      <c r="J239" s="16"/>
      <c r="K239" s="16"/>
      <c r="L239" s="27"/>
      <c r="N239" s="27"/>
      <c r="O239" s="16"/>
      <c r="P239" s="16"/>
      <c r="Q239" s="27"/>
      <c r="S239" s="27"/>
      <c r="T239" s="16"/>
      <c r="U239" s="16"/>
      <c r="V239" s="27"/>
      <c r="X239" s="27"/>
      <c r="Y239" s="16"/>
      <c r="Z239" s="16"/>
      <c r="AA239" s="27"/>
      <c r="AC239" s="27"/>
      <c r="AD239" s="16"/>
      <c r="AE239" s="16"/>
      <c r="AF239" s="27"/>
      <c r="AH239" s="27"/>
      <c r="AI239" s="16"/>
      <c r="AJ239" s="16"/>
      <c r="AK239" s="27"/>
      <c r="AM239" s="27"/>
      <c r="AN239" s="16"/>
      <c r="AO239" s="16"/>
      <c r="AP239" s="27"/>
      <c r="AR239" s="27"/>
      <c r="AS239" s="16"/>
      <c r="AT239" s="16"/>
      <c r="AU239" s="27"/>
      <c r="AW239" s="27"/>
      <c r="AX239" s="16"/>
      <c r="AY239" s="16"/>
      <c r="AZ239" s="27"/>
      <c r="BB239" s="27"/>
      <c r="BC239" s="16"/>
      <c r="BD239" s="16"/>
      <c r="BE239" s="27"/>
      <c r="BG239" s="27"/>
      <c r="BH239" s="16"/>
      <c r="BI239" s="16"/>
      <c r="BJ239" s="27"/>
      <c r="BL239" s="27"/>
      <c r="BM239" s="16"/>
      <c r="BN239" s="16"/>
      <c r="BO239" s="27"/>
      <c r="BQ239" s="27"/>
      <c r="BR239" s="16"/>
      <c r="BS239" s="16"/>
      <c r="BT239" s="27"/>
      <c r="BV239" s="27"/>
      <c r="BW239" s="16"/>
      <c r="BX239" s="16"/>
      <c r="BY239" s="27"/>
      <c r="CA239" s="27"/>
      <c r="CB239" s="16"/>
      <c r="CC239" s="16"/>
      <c r="CD239" s="27"/>
      <c r="CF239" s="27"/>
      <c r="CG239" s="16"/>
      <c r="CH239" s="16"/>
      <c r="CI239" s="27"/>
      <c r="CK239" s="27"/>
      <c r="CL239" s="16"/>
      <c r="CM239" s="16"/>
      <c r="CN239" s="27"/>
      <c r="CP239" s="27"/>
      <c r="CQ239" s="16"/>
      <c r="CR239" s="16"/>
      <c r="CS239" s="27"/>
      <c r="CU239" s="27"/>
      <c r="CV239" s="16"/>
      <c r="CW239" s="16"/>
      <c r="CX239" s="27"/>
      <c r="CZ239" s="27"/>
      <c r="DA239" s="16"/>
      <c r="DB239" s="16"/>
      <c r="DC239" s="27"/>
      <c r="DE239" s="27"/>
      <c r="DF239" s="16"/>
      <c r="DG239" s="16"/>
      <c r="DH239" s="27"/>
      <c r="DJ239" s="27"/>
      <c r="DK239" s="16"/>
      <c r="DL239" s="16"/>
      <c r="DM239" s="27"/>
      <c r="DO239" s="27"/>
      <c r="DP239" s="16"/>
      <c r="DQ239" s="16"/>
      <c r="DR239" s="27"/>
      <c r="DT239" s="27"/>
      <c r="DU239" s="16"/>
      <c r="DV239" s="16"/>
      <c r="DW239" s="27"/>
      <c r="DY239" s="27"/>
      <c r="DZ239" s="16"/>
      <c r="EA239" s="16"/>
      <c r="EB239" s="302"/>
    </row>
    <row r="240" spans="1:132" s="14" customFormat="1" ht="21" x14ac:dyDescent="0.4">
      <c r="A240" s="27"/>
      <c r="B240" s="27"/>
      <c r="C240" s="27"/>
      <c r="E240" s="16"/>
      <c r="F240" s="27"/>
      <c r="G240" s="27"/>
      <c r="I240" s="27"/>
      <c r="J240" s="16"/>
      <c r="K240" s="16"/>
      <c r="L240" s="27"/>
      <c r="N240" s="27"/>
      <c r="O240" s="16"/>
      <c r="P240" s="16"/>
      <c r="Q240" s="27"/>
      <c r="S240" s="27"/>
      <c r="T240" s="16"/>
      <c r="U240" s="16"/>
      <c r="V240" s="27"/>
      <c r="X240" s="27"/>
      <c r="Y240" s="16"/>
      <c r="Z240" s="16"/>
      <c r="AA240" s="27"/>
      <c r="AC240" s="27"/>
      <c r="AD240" s="16"/>
      <c r="AE240" s="16"/>
      <c r="AF240" s="27"/>
      <c r="AH240" s="27"/>
      <c r="AI240" s="16"/>
      <c r="AJ240" s="16"/>
      <c r="AK240" s="27"/>
      <c r="AM240" s="27"/>
      <c r="AN240" s="16"/>
      <c r="AO240" s="16"/>
      <c r="AP240" s="27"/>
      <c r="AR240" s="27"/>
      <c r="AS240" s="16"/>
      <c r="AT240" s="16"/>
      <c r="AU240" s="27"/>
      <c r="AW240" s="27"/>
      <c r="AX240" s="16"/>
      <c r="AY240" s="16"/>
      <c r="AZ240" s="27"/>
      <c r="BB240" s="27"/>
      <c r="BC240" s="16"/>
      <c r="BD240" s="16"/>
      <c r="BE240" s="27"/>
      <c r="BG240" s="27"/>
      <c r="BH240" s="16"/>
      <c r="BI240" s="16"/>
      <c r="BJ240" s="27"/>
      <c r="BL240" s="27"/>
      <c r="BM240" s="16"/>
      <c r="BN240" s="16"/>
      <c r="BO240" s="27"/>
      <c r="BQ240" s="27"/>
      <c r="BR240" s="16"/>
      <c r="BS240" s="16"/>
      <c r="BT240" s="27"/>
      <c r="BV240" s="27"/>
      <c r="BW240" s="16"/>
      <c r="BX240" s="16"/>
      <c r="BY240" s="27"/>
      <c r="CA240" s="27"/>
      <c r="CB240" s="16"/>
      <c r="CC240" s="16"/>
      <c r="CD240" s="27"/>
      <c r="CF240" s="27"/>
      <c r="CG240" s="16"/>
      <c r="CH240" s="16"/>
      <c r="CI240" s="27"/>
      <c r="CK240" s="27"/>
      <c r="CL240" s="16"/>
      <c r="CM240" s="16"/>
      <c r="CN240" s="27"/>
      <c r="CP240" s="27"/>
      <c r="CQ240" s="16"/>
      <c r="CR240" s="16"/>
      <c r="CS240" s="27"/>
      <c r="CU240" s="27"/>
      <c r="CV240" s="16"/>
      <c r="CW240" s="16"/>
      <c r="CX240" s="27"/>
      <c r="CZ240" s="27"/>
      <c r="DA240" s="16"/>
      <c r="DB240" s="16"/>
      <c r="DC240" s="27"/>
      <c r="DE240" s="27"/>
      <c r="DF240" s="16"/>
      <c r="DG240" s="16"/>
      <c r="DH240" s="27"/>
      <c r="DJ240" s="27"/>
      <c r="DK240" s="16"/>
      <c r="DL240" s="16"/>
      <c r="DM240" s="27"/>
      <c r="DO240" s="27"/>
      <c r="DP240" s="16"/>
      <c r="DQ240" s="16"/>
      <c r="DR240" s="27"/>
      <c r="DT240" s="27"/>
      <c r="DU240" s="16"/>
      <c r="DV240" s="16"/>
      <c r="DW240" s="27"/>
      <c r="DY240" s="27"/>
      <c r="DZ240" s="16"/>
      <c r="EA240" s="16"/>
      <c r="EB240" s="302"/>
    </row>
    <row r="241" spans="1:132" s="14" customFormat="1" ht="21" x14ac:dyDescent="0.4">
      <c r="A241" s="27"/>
      <c r="B241" s="27"/>
      <c r="C241" s="27"/>
      <c r="E241" s="16"/>
      <c r="F241" s="27"/>
      <c r="G241" s="27"/>
      <c r="I241" s="27"/>
      <c r="J241" s="16"/>
      <c r="K241" s="16"/>
      <c r="L241" s="27"/>
      <c r="N241" s="27"/>
      <c r="O241" s="16"/>
      <c r="P241" s="16"/>
      <c r="Q241" s="27"/>
      <c r="S241" s="27"/>
      <c r="T241" s="16"/>
      <c r="U241" s="16"/>
      <c r="V241" s="27"/>
      <c r="X241" s="27"/>
      <c r="Y241" s="16"/>
      <c r="Z241" s="16"/>
      <c r="AA241" s="27"/>
      <c r="AC241" s="27"/>
      <c r="AD241" s="16"/>
      <c r="AE241" s="16"/>
      <c r="AF241" s="27"/>
      <c r="AH241" s="27"/>
      <c r="AI241" s="16"/>
      <c r="AJ241" s="16"/>
      <c r="AK241" s="27"/>
      <c r="AM241" s="27"/>
      <c r="AN241" s="16"/>
      <c r="AO241" s="16"/>
      <c r="AP241" s="27"/>
      <c r="AR241" s="27"/>
      <c r="AS241" s="16"/>
      <c r="AT241" s="16"/>
      <c r="AU241" s="27"/>
      <c r="AW241" s="27"/>
      <c r="AX241" s="16"/>
      <c r="AY241" s="16"/>
      <c r="AZ241" s="27"/>
      <c r="BB241" s="27"/>
      <c r="BC241" s="16"/>
      <c r="BD241" s="16"/>
      <c r="BE241" s="27"/>
      <c r="BG241" s="27"/>
      <c r="BH241" s="16"/>
      <c r="BI241" s="16"/>
      <c r="BJ241" s="27"/>
      <c r="BL241" s="27"/>
      <c r="BM241" s="16"/>
      <c r="BN241" s="16"/>
      <c r="BO241" s="27"/>
      <c r="BQ241" s="27"/>
      <c r="BR241" s="16"/>
      <c r="BS241" s="16"/>
      <c r="BT241" s="27"/>
      <c r="BV241" s="27"/>
      <c r="BW241" s="16"/>
      <c r="BX241" s="16"/>
      <c r="BY241" s="27"/>
      <c r="CA241" s="27"/>
      <c r="CB241" s="16"/>
      <c r="CC241" s="16"/>
      <c r="CD241" s="27"/>
      <c r="CF241" s="27"/>
      <c r="CG241" s="16"/>
      <c r="CH241" s="16"/>
      <c r="CI241" s="27"/>
      <c r="CK241" s="27"/>
      <c r="CL241" s="16"/>
      <c r="CM241" s="16"/>
      <c r="CN241" s="27"/>
      <c r="CP241" s="27"/>
      <c r="CQ241" s="16"/>
      <c r="CR241" s="16"/>
      <c r="CS241" s="27"/>
      <c r="CU241" s="27"/>
      <c r="CV241" s="16"/>
      <c r="CW241" s="16"/>
      <c r="CX241" s="27"/>
      <c r="CZ241" s="27"/>
      <c r="DA241" s="16"/>
      <c r="DB241" s="16"/>
      <c r="DC241" s="27"/>
      <c r="DE241" s="27"/>
      <c r="DF241" s="16"/>
      <c r="DG241" s="16"/>
      <c r="DH241" s="27"/>
      <c r="DJ241" s="27"/>
      <c r="DK241" s="16"/>
      <c r="DL241" s="16"/>
      <c r="DM241" s="27"/>
      <c r="DO241" s="27"/>
      <c r="DP241" s="16"/>
      <c r="DQ241" s="16"/>
      <c r="DR241" s="27"/>
      <c r="DT241" s="27"/>
      <c r="DU241" s="16"/>
      <c r="DV241" s="16"/>
      <c r="DW241" s="27"/>
      <c r="DY241" s="27"/>
      <c r="DZ241" s="16"/>
      <c r="EA241" s="16"/>
      <c r="EB241" s="302"/>
    </row>
    <row r="242" spans="1:132" s="14" customFormat="1" ht="21" x14ac:dyDescent="0.4">
      <c r="A242" s="27"/>
      <c r="B242" s="27"/>
      <c r="C242" s="27"/>
      <c r="E242" s="16"/>
      <c r="F242" s="27"/>
      <c r="G242" s="27"/>
      <c r="I242" s="27"/>
      <c r="J242" s="16"/>
      <c r="K242" s="16"/>
      <c r="L242" s="27"/>
      <c r="N242" s="27"/>
      <c r="O242" s="16"/>
      <c r="P242" s="16"/>
      <c r="Q242" s="27"/>
      <c r="S242" s="27"/>
      <c r="T242" s="16"/>
      <c r="U242" s="16"/>
      <c r="V242" s="27"/>
      <c r="X242" s="27"/>
      <c r="Y242" s="16"/>
      <c r="Z242" s="16"/>
      <c r="AA242" s="27"/>
      <c r="AC242" s="27"/>
      <c r="AD242" s="16"/>
      <c r="AE242" s="16"/>
      <c r="AF242" s="27"/>
      <c r="AH242" s="27"/>
      <c r="AI242" s="16"/>
      <c r="AJ242" s="16"/>
      <c r="AK242" s="27"/>
      <c r="AM242" s="27"/>
      <c r="AN242" s="16"/>
      <c r="AO242" s="16"/>
      <c r="AP242" s="27"/>
      <c r="AR242" s="27"/>
      <c r="AS242" s="16"/>
      <c r="AT242" s="16"/>
      <c r="AU242" s="27"/>
      <c r="AW242" s="27"/>
      <c r="AX242" s="16"/>
      <c r="AY242" s="16"/>
      <c r="AZ242" s="27"/>
      <c r="BB242" s="27"/>
      <c r="BC242" s="16"/>
      <c r="BD242" s="16"/>
      <c r="BE242" s="27"/>
      <c r="BG242" s="27"/>
      <c r="BH242" s="16"/>
      <c r="BI242" s="16"/>
      <c r="BJ242" s="27"/>
      <c r="BL242" s="27"/>
      <c r="BM242" s="16"/>
      <c r="BN242" s="16"/>
      <c r="BO242" s="27"/>
      <c r="BQ242" s="27"/>
      <c r="BR242" s="16"/>
      <c r="BS242" s="16"/>
      <c r="BT242" s="27"/>
      <c r="BV242" s="27"/>
      <c r="BW242" s="16"/>
      <c r="BX242" s="16"/>
      <c r="BY242" s="27"/>
      <c r="CA242" s="27"/>
      <c r="CB242" s="16"/>
      <c r="CC242" s="16"/>
      <c r="CD242" s="27"/>
      <c r="CF242" s="27"/>
      <c r="CG242" s="16"/>
      <c r="CH242" s="16"/>
      <c r="CI242" s="27"/>
      <c r="CK242" s="27"/>
      <c r="CL242" s="16"/>
      <c r="CM242" s="16"/>
      <c r="CN242" s="27"/>
      <c r="CP242" s="27"/>
      <c r="CQ242" s="16"/>
      <c r="CR242" s="16"/>
      <c r="CS242" s="27"/>
      <c r="CU242" s="27"/>
      <c r="CV242" s="16"/>
      <c r="CW242" s="16"/>
      <c r="CX242" s="27"/>
      <c r="CZ242" s="27"/>
      <c r="DA242" s="16"/>
      <c r="DB242" s="16"/>
      <c r="DC242" s="27"/>
      <c r="DE242" s="27"/>
      <c r="DF242" s="16"/>
      <c r="DG242" s="16"/>
      <c r="DH242" s="27"/>
      <c r="DJ242" s="27"/>
      <c r="DK242" s="16"/>
      <c r="DL242" s="16"/>
      <c r="DM242" s="27"/>
      <c r="DO242" s="27"/>
      <c r="DP242" s="16"/>
      <c r="DQ242" s="16"/>
      <c r="DR242" s="27"/>
      <c r="DT242" s="27"/>
      <c r="DU242" s="16"/>
      <c r="DV242" s="16"/>
      <c r="DW242" s="27"/>
      <c r="DY242" s="27"/>
      <c r="DZ242" s="16"/>
      <c r="EA242" s="16"/>
      <c r="EB242" s="302"/>
    </row>
    <row r="243" spans="1:132" s="14" customFormat="1" ht="21" x14ac:dyDescent="0.4">
      <c r="A243" s="27"/>
      <c r="B243" s="27"/>
      <c r="C243" s="27"/>
      <c r="E243" s="16"/>
      <c r="F243" s="27"/>
      <c r="G243" s="27"/>
      <c r="I243" s="27"/>
      <c r="J243" s="16"/>
      <c r="K243" s="16"/>
      <c r="L243" s="27"/>
      <c r="N243" s="27"/>
      <c r="O243" s="16"/>
      <c r="P243" s="16"/>
      <c r="Q243" s="27"/>
      <c r="S243" s="27"/>
      <c r="T243" s="16"/>
      <c r="U243" s="16"/>
      <c r="V243" s="27"/>
      <c r="X243" s="27"/>
      <c r="Y243" s="16"/>
      <c r="Z243" s="16"/>
      <c r="AA243" s="27"/>
      <c r="AC243" s="27"/>
      <c r="AD243" s="16"/>
      <c r="AE243" s="16"/>
      <c r="AF243" s="27"/>
      <c r="AH243" s="27"/>
      <c r="AI243" s="16"/>
      <c r="AJ243" s="16"/>
      <c r="AK243" s="27"/>
      <c r="AM243" s="27"/>
      <c r="AN243" s="16"/>
      <c r="AO243" s="16"/>
      <c r="AP243" s="27"/>
      <c r="AR243" s="27"/>
      <c r="AS243" s="16"/>
      <c r="AT243" s="16"/>
      <c r="AU243" s="27"/>
      <c r="AW243" s="27"/>
      <c r="AX243" s="16"/>
      <c r="AY243" s="16"/>
      <c r="AZ243" s="27"/>
      <c r="BB243" s="27"/>
      <c r="BC243" s="16"/>
      <c r="BD243" s="16"/>
      <c r="BE243" s="27"/>
      <c r="BG243" s="27"/>
      <c r="BH243" s="16"/>
      <c r="BI243" s="16"/>
      <c r="BJ243" s="27"/>
      <c r="BL243" s="27"/>
      <c r="BM243" s="16"/>
      <c r="BN243" s="16"/>
      <c r="BO243" s="27"/>
      <c r="BQ243" s="27"/>
      <c r="BR243" s="16"/>
      <c r="BS243" s="16"/>
      <c r="BT243" s="27"/>
      <c r="BV243" s="27"/>
      <c r="BW243" s="16"/>
      <c r="BX243" s="16"/>
      <c r="BY243" s="27"/>
      <c r="CA243" s="27"/>
      <c r="CB243" s="16"/>
      <c r="CC243" s="16"/>
      <c r="CD243" s="27"/>
      <c r="CF243" s="27"/>
      <c r="CG243" s="16"/>
      <c r="CH243" s="16"/>
      <c r="CI243" s="27"/>
      <c r="CK243" s="27"/>
      <c r="CL243" s="16"/>
      <c r="CM243" s="16"/>
      <c r="CN243" s="27"/>
      <c r="CP243" s="27"/>
      <c r="CQ243" s="16"/>
      <c r="CR243" s="16"/>
      <c r="CS243" s="27"/>
      <c r="CU243" s="27"/>
      <c r="CV243" s="16"/>
      <c r="CW243" s="16"/>
      <c r="CX243" s="27"/>
      <c r="CZ243" s="27"/>
      <c r="DA243" s="16"/>
      <c r="DB243" s="16"/>
      <c r="DC243" s="27"/>
      <c r="DE243" s="27"/>
      <c r="DF243" s="16"/>
      <c r="DG243" s="16"/>
      <c r="DH243" s="27"/>
      <c r="DJ243" s="27"/>
      <c r="DK243" s="16"/>
      <c r="DL243" s="16"/>
      <c r="DM243" s="27"/>
      <c r="DO243" s="27"/>
      <c r="DP243" s="16"/>
      <c r="DQ243" s="16"/>
      <c r="DR243" s="27"/>
      <c r="DT243" s="27"/>
      <c r="DU243" s="16"/>
      <c r="DV243" s="16"/>
      <c r="DW243" s="27"/>
      <c r="DY243" s="27"/>
      <c r="DZ243" s="16"/>
      <c r="EA243" s="16"/>
      <c r="EB243" s="302"/>
    </row>
    <row r="244" spans="1:132" s="14" customFormat="1" ht="21" x14ac:dyDescent="0.4">
      <c r="A244" s="27"/>
      <c r="B244" s="27"/>
      <c r="C244" s="27"/>
      <c r="E244" s="16"/>
      <c r="F244" s="27"/>
      <c r="G244" s="27"/>
      <c r="I244" s="27"/>
      <c r="J244" s="16"/>
      <c r="K244" s="16"/>
      <c r="L244" s="27"/>
      <c r="N244" s="27"/>
      <c r="O244" s="16"/>
      <c r="P244" s="16"/>
      <c r="Q244" s="27"/>
      <c r="S244" s="27"/>
      <c r="T244" s="16"/>
      <c r="U244" s="16"/>
      <c r="V244" s="27"/>
      <c r="X244" s="27"/>
      <c r="Y244" s="16"/>
      <c r="Z244" s="16"/>
      <c r="AA244" s="27"/>
      <c r="AC244" s="27"/>
      <c r="AD244" s="16"/>
      <c r="AE244" s="16"/>
      <c r="AF244" s="27"/>
      <c r="AH244" s="27"/>
      <c r="AI244" s="16"/>
      <c r="AJ244" s="16"/>
      <c r="AK244" s="27"/>
      <c r="AM244" s="27"/>
      <c r="AN244" s="16"/>
      <c r="AO244" s="16"/>
      <c r="AP244" s="27"/>
      <c r="AR244" s="27"/>
      <c r="AS244" s="16"/>
      <c r="AT244" s="16"/>
      <c r="AU244" s="27"/>
      <c r="AW244" s="27"/>
      <c r="AX244" s="16"/>
      <c r="AY244" s="16"/>
      <c r="AZ244" s="27"/>
      <c r="BB244" s="27"/>
      <c r="BC244" s="16"/>
      <c r="BD244" s="16"/>
      <c r="BE244" s="27"/>
      <c r="BG244" s="27"/>
      <c r="BH244" s="16"/>
      <c r="BI244" s="16"/>
      <c r="BJ244" s="27"/>
      <c r="BL244" s="27"/>
      <c r="BM244" s="16"/>
      <c r="BN244" s="16"/>
      <c r="BO244" s="27"/>
      <c r="BQ244" s="27"/>
      <c r="BR244" s="16"/>
      <c r="BS244" s="16"/>
      <c r="BT244" s="27"/>
      <c r="BV244" s="27"/>
      <c r="BW244" s="16"/>
      <c r="BX244" s="16"/>
      <c r="BY244" s="27"/>
      <c r="CA244" s="27"/>
      <c r="CB244" s="16"/>
      <c r="CC244" s="16"/>
      <c r="CD244" s="27"/>
      <c r="CF244" s="27"/>
      <c r="CG244" s="16"/>
      <c r="CH244" s="16"/>
      <c r="CI244" s="27"/>
      <c r="CK244" s="27"/>
      <c r="CL244" s="16"/>
      <c r="CM244" s="16"/>
      <c r="CN244" s="27"/>
      <c r="CP244" s="27"/>
      <c r="CQ244" s="16"/>
      <c r="CR244" s="16"/>
      <c r="CS244" s="27"/>
      <c r="CU244" s="27"/>
      <c r="CV244" s="16"/>
      <c r="CW244" s="16"/>
      <c r="CX244" s="27"/>
      <c r="CZ244" s="27"/>
      <c r="DA244" s="16"/>
      <c r="DB244" s="16"/>
      <c r="DC244" s="27"/>
      <c r="DE244" s="27"/>
      <c r="DF244" s="16"/>
      <c r="DG244" s="16"/>
      <c r="DH244" s="27"/>
      <c r="DJ244" s="27"/>
      <c r="DK244" s="16"/>
      <c r="DL244" s="16"/>
      <c r="DM244" s="27"/>
      <c r="DO244" s="27"/>
      <c r="DP244" s="16"/>
      <c r="DQ244" s="16"/>
      <c r="DR244" s="27"/>
      <c r="DT244" s="27"/>
      <c r="DU244" s="16"/>
      <c r="DV244" s="16"/>
      <c r="DW244" s="27"/>
      <c r="DY244" s="27"/>
      <c r="DZ244" s="16"/>
      <c r="EA244" s="16"/>
      <c r="EB244" s="302"/>
    </row>
    <row r="245" spans="1:132" s="14" customFormat="1" ht="21" x14ac:dyDescent="0.4">
      <c r="A245" s="27"/>
      <c r="B245" s="27"/>
      <c r="C245" s="27"/>
      <c r="E245" s="16"/>
      <c r="F245" s="27"/>
      <c r="G245" s="27"/>
      <c r="I245" s="27"/>
      <c r="J245" s="16"/>
      <c r="K245" s="16"/>
      <c r="L245" s="27"/>
      <c r="N245" s="27"/>
      <c r="O245" s="16"/>
      <c r="P245" s="16"/>
      <c r="Q245" s="27"/>
      <c r="S245" s="27"/>
      <c r="T245" s="16"/>
      <c r="U245" s="16"/>
      <c r="V245" s="27"/>
      <c r="X245" s="27"/>
      <c r="Y245" s="16"/>
      <c r="Z245" s="16"/>
      <c r="AA245" s="27"/>
      <c r="AC245" s="27"/>
      <c r="AD245" s="16"/>
      <c r="AE245" s="16"/>
      <c r="AF245" s="27"/>
      <c r="AH245" s="27"/>
      <c r="AI245" s="16"/>
      <c r="AJ245" s="16"/>
      <c r="AK245" s="27"/>
      <c r="AM245" s="27"/>
      <c r="AN245" s="16"/>
      <c r="AO245" s="16"/>
      <c r="AP245" s="27"/>
      <c r="AR245" s="27"/>
      <c r="AS245" s="16"/>
      <c r="AT245" s="16"/>
      <c r="AU245" s="27"/>
      <c r="AW245" s="27"/>
      <c r="AX245" s="16"/>
      <c r="AY245" s="16"/>
      <c r="AZ245" s="27"/>
      <c r="BB245" s="27"/>
      <c r="BC245" s="16"/>
      <c r="BD245" s="16"/>
      <c r="BE245" s="27"/>
      <c r="BG245" s="27"/>
      <c r="BH245" s="16"/>
      <c r="BI245" s="16"/>
      <c r="BJ245" s="27"/>
      <c r="BL245" s="27"/>
      <c r="BM245" s="16"/>
      <c r="BN245" s="16"/>
      <c r="BO245" s="27"/>
      <c r="BQ245" s="27"/>
      <c r="BR245" s="16"/>
      <c r="BS245" s="16"/>
      <c r="BT245" s="27"/>
      <c r="BV245" s="27"/>
      <c r="BW245" s="16"/>
      <c r="BX245" s="16"/>
      <c r="BY245" s="27"/>
      <c r="CA245" s="27"/>
      <c r="CB245" s="16"/>
      <c r="CC245" s="16"/>
      <c r="CD245" s="27"/>
      <c r="CF245" s="27"/>
      <c r="CG245" s="16"/>
      <c r="CH245" s="16"/>
      <c r="CI245" s="27"/>
      <c r="CK245" s="27"/>
      <c r="CL245" s="16"/>
      <c r="CM245" s="16"/>
      <c r="CN245" s="27"/>
      <c r="CP245" s="27"/>
      <c r="CQ245" s="16"/>
      <c r="CR245" s="16"/>
      <c r="CS245" s="27"/>
      <c r="CU245" s="27"/>
      <c r="CV245" s="16"/>
      <c r="CW245" s="16"/>
      <c r="CX245" s="27"/>
      <c r="CZ245" s="27"/>
      <c r="DA245" s="16"/>
      <c r="DB245" s="16"/>
      <c r="DC245" s="27"/>
      <c r="DE245" s="27"/>
      <c r="DF245" s="16"/>
      <c r="DG245" s="16"/>
      <c r="DH245" s="27"/>
      <c r="DJ245" s="27"/>
      <c r="DK245" s="16"/>
      <c r="DL245" s="16"/>
      <c r="DM245" s="27"/>
      <c r="DO245" s="27"/>
      <c r="DP245" s="16"/>
      <c r="DQ245" s="16"/>
      <c r="DR245" s="27"/>
      <c r="DT245" s="27"/>
      <c r="DU245" s="16"/>
      <c r="DV245" s="16"/>
      <c r="DW245" s="27"/>
      <c r="DY245" s="27"/>
      <c r="DZ245" s="16"/>
      <c r="EA245" s="16"/>
      <c r="EB245" s="302"/>
    </row>
    <row r="246" spans="1:132" s="14" customFormat="1" ht="21" x14ac:dyDescent="0.4">
      <c r="A246" s="27"/>
      <c r="B246" s="27"/>
      <c r="C246" s="27"/>
      <c r="E246" s="16"/>
      <c r="F246" s="27"/>
      <c r="G246" s="27"/>
      <c r="I246" s="27"/>
      <c r="J246" s="16"/>
      <c r="K246" s="16"/>
      <c r="L246" s="27"/>
      <c r="N246" s="27"/>
      <c r="O246" s="16"/>
      <c r="P246" s="16"/>
      <c r="Q246" s="27"/>
      <c r="S246" s="27"/>
      <c r="T246" s="16"/>
      <c r="U246" s="16"/>
      <c r="V246" s="27"/>
      <c r="X246" s="27"/>
      <c r="Y246" s="16"/>
      <c r="Z246" s="16"/>
      <c r="AA246" s="27"/>
      <c r="AC246" s="27"/>
      <c r="AD246" s="16"/>
      <c r="AE246" s="16"/>
      <c r="AF246" s="27"/>
      <c r="AH246" s="27"/>
      <c r="AI246" s="16"/>
      <c r="AJ246" s="16"/>
      <c r="AK246" s="27"/>
      <c r="AM246" s="27"/>
      <c r="AN246" s="16"/>
      <c r="AO246" s="16"/>
      <c r="AP246" s="27"/>
      <c r="AR246" s="27"/>
      <c r="AS246" s="16"/>
      <c r="AT246" s="16"/>
      <c r="AU246" s="27"/>
      <c r="AW246" s="27"/>
      <c r="AX246" s="16"/>
      <c r="AY246" s="16"/>
      <c r="AZ246" s="27"/>
      <c r="BB246" s="27"/>
      <c r="BC246" s="16"/>
      <c r="BD246" s="16"/>
      <c r="BE246" s="27"/>
      <c r="BG246" s="27"/>
      <c r="BH246" s="16"/>
      <c r="BI246" s="16"/>
      <c r="BJ246" s="27"/>
      <c r="BL246" s="27"/>
      <c r="BM246" s="16"/>
      <c r="BN246" s="16"/>
      <c r="BO246" s="27"/>
      <c r="BQ246" s="27"/>
      <c r="BR246" s="16"/>
      <c r="BS246" s="16"/>
      <c r="BT246" s="27"/>
      <c r="BV246" s="27"/>
      <c r="BW246" s="16"/>
      <c r="BX246" s="16"/>
      <c r="BY246" s="27"/>
      <c r="CA246" s="27"/>
      <c r="CB246" s="16"/>
      <c r="CC246" s="16"/>
      <c r="CD246" s="27"/>
      <c r="CF246" s="27"/>
      <c r="CG246" s="16"/>
      <c r="CH246" s="16"/>
      <c r="CI246" s="27"/>
      <c r="CK246" s="27"/>
      <c r="CL246" s="16"/>
      <c r="CM246" s="16"/>
      <c r="CN246" s="27"/>
      <c r="CP246" s="27"/>
      <c r="CQ246" s="16"/>
      <c r="CR246" s="16"/>
      <c r="CS246" s="27"/>
      <c r="CU246" s="27"/>
      <c r="CV246" s="16"/>
      <c r="CW246" s="16"/>
      <c r="CX246" s="27"/>
      <c r="CZ246" s="27"/>
      <c r="DA246" s="16"/>
      <c r="DB246" s="16"/>
      <c r="DC246" s="27"/>
      <c r="DE246" s="27"/>
      <c r="DF246" s="16"/>
      <c r="DG246" s="16"/>
      <c r="DH246" s="27"/>
      <c r="DJ246" s="27"/>
      <c r="DK246" s="16"/>
      <c r="DL246" s="16"/>
      <c r="DM246" s="27"/>
      <c r="DO246" s="27"/>
      <c r="DP246" s="16"/>
      <c r="DQ246" s="16"/>
      <c r="DR246" s="27"/>
      <c r="DT246" s="27"/>
      <c r="DU246" s="16"/>
      <c r="DV246" s="16"/>
      <c r="DW246" s="27"/>
      <c r="DY246" s="27"/>
      <c r="DZ246" s="16"/>
      <c r="EA246" s="16"/>
      <c r="EB246" s="302"/>
    </row>
    <row r="247" spans="1:132" s="14" customFormat="1" ht="21" x14ac:dyDescent="0.4">
      <c r="A247" s="27"/>
      <c r="B247" s="27"/>
      <c r="C247" s="27"/>
      <c r="E247" s="16"/>
      <c r="F247" s="27"/>
      <c r="G247" s="27"/>
      <c r="I247" s="27"/>
      <c r="J247" s="16"/>
      <c r="K247" s="16"/>
      <c r="L247" s="27"/>
      <c r="N247" s="27"/>
      <c r="O247" s="16"/>
      <c r="P247" s="16"/>
      <c r="Q247" s="27"/>
      <c r="S247" s="27"/>
      <c r="T247" s="16"/>
      <c r="U247" s="16"/>
      <c r="V247" s="27"/>
      <c r="X247" s="27"/>
      <c r="Y247" s="16"/>
      <c r="Z247" s="16"/>
      <c r="AA247" s="27"/>
      <c r="AC247" s="27"/>
      <c r="AD247" s="16"/>
      <c r="AE247" s="16"/>
      <c r="AF247" s="27"/>
      <c r="AH247" s="27"/>
      <c r="AI247" s="16"/>
      <c r="AJ247" s="16"/>
      <c r="AK247" s="27"/>
      <c r="AM247" s="27"/>
      <c r="AN247" s="16"/>
      <c r="AO247" s="16"/>
      <c r="AP247" s="27"/>
      <c r="AR247" s="27"/>
      <c r="AS247" s="16"/>
      <c r="AT247" s="16"/>
      <c r="AU247" s="27"/>
      <c r="AW247" s="27"/>
      <c r="AX247" s="16"/>
      <c r="AY247" s="16"/>
      <c r="AZ247" s="27"/>
      <c r="BB247" s="27"/>
      <c r="BC247" s="16"/>
      <c r="BD247" s="16"/>
      <c r="BE247" s="27"/>
      <c r="BG247" s="27"/>
      <c r="BH247" s="16"/>
      <c r="BI247" s="16"/>
      <c r="BJ247" s="27"/>
      <c r="BL247" s="27"/>
      <c r="BM247" s="16"/>
      <c r="BN247" s="16"/>
      <c r="BO247" s="27"/>
      <c r="BQ247" s="27"/>
      <c r="BR247" s="16"/>
      <c r="BS247" s="16"/>
      <c r="BT247" s="27"/>
      <c r="BV247" s="27"/>
      <c r="BW247" s="16"/>
      <c r="BX247" s="16"/>
      <c r="BY247" s="27"/>
      <c r="CA247" s="27"/>
      <c r="CB247" s="16"/>
      <c r="CC247" s="16"/>
      <c r="CD247" s="27"/>
      <c r="CF247" s="27"/>
      <c r="CG247" s="16"/>
      <c r="CH247" s="16"/>
      <c r="CI247" s="27"/>
      <c r="CK247" s="27"/>
      <c r="CL247" s="16"/>
      <c r="CM247" s="16"/>
      <c r="CN247" s="27"/>
      <c r="CP247" s="27"/>
      <c r="CQ247" s="16"/>
      <c r="CR247" s="16"/>
      <c r="CS247" s="27"/>
      <c r="CU247" s="27"/>
      <c r="CV247" s="16"/>
      <c r="CW247" s="16"/>
      <c r="CX247" s="27"/>
      <c r="CZ247" s="27"/>
      <c r="DA247" s="16"/>
      <c r="DB247" s="16"/>
      <c r="DC247" s="27"/>
      <c r="DE247" s="27"/>
      <c r="DF247" s="16"/>
      <c r="DG247" s="16"/>
      <c r="DH247" s="27"/>
      <c r="DJ247" s="27"/>
      <c r="DK247" s="16"/>
      <c r="DL247" s="16"/>
      <c r="DM247" s="27"/>
      <c r="DO247" s="27"/>
      <c r="DP247" s="16"/>
      <c r="DQ247" s="16"/>
      <c r="DR247" s="27"/>
      <c r="DT247" s="27"/>
      <c r="DU247" s="16"/>
      <c r="DV247" s="16"/>
      <c r="DW247" s="27"/>
      <c r="DY247" s="27"/>
      <c r="DZ247" s="16"/>
      <c r="EA247" s="16"/>
      <c r="EB247" s="302"/>
    </row>
    <row r="248" spans="1:132" s="14" customFormat="1" ht="21" x14ac:dyDescent="0.4">
      <c r="A248" s="27"/>
      <c r="B248" s="27"/>
      <c r="C248" s="27"/>
      <c r="E248" s="16"/>
      <c r="F248" s="27"/>
      <c r="G248" s="27"/>
      <c r="I248" s="27"/>
      <c r="J248" s="16"/>
      <c r="K248" s="16"/>
      <c r="L248" s="27"/>
      <c r="N248" s="27"/>
      <c r="O248" s="16"/>
      <c r="P248" s="16"/>
      <c r="Q248" s="27"/>
      <c r="S248" s="27"/>
      <c r="T248" s="16"/>
      <c r="U248" s="16"/>
      <c r="V248" s="27"/>
      <c r="X248" s="27"/>
      <c r="Y248" s="16"/>
      <c r="Z248" s="16"/>
      <c r="AA248" s="27"/>
      <c r="AC248" s="27"/>
      <c r="AD248" s="16"/>
      <c r="AE248" s="16"/>
      <c r="AF248" s="27"/>
      <c r="AH248" s="27"/>
      <c r="AI248" s="16"/>
      <c r="AJ248" s="16"/>
      <c r="AK248" s="27"/>
      <c r="AM248" s="27"/>
      <c r="AN248" s="16"/>
      <c r="AO248" s="16"/>
      <c r="AP248" s="27"/>
      <c r="AR248" s="27"/>
      <c r="AS248" s="16"/>
      <c r="AT248" s="16"/>
      <c r="AU248" s="27"/>
      <c r="AW248" s="27"/>
      <c r="AX248" s="16"/>
      <c r="AY248" s="16"/>
      <c r="AZ248" s="27"/>
      <c r="BB248" s="27"/>
      <c r="BC248" s="16"/>
      <c r="BD248" s="16"/>
      <c r="BE248" s="27"/>
      <c r="BG248" s="27"/>
      <c r="BH248" s="16"/>
      <c r="BI248" s="16"/>
      <c r="BJ248" s="27"/>
      <c r="BL248" s="27"/>
      <c r="BM248" s="16"/>
      <c r="BN248" s="16"/>
      <c r="BO248" s="27"/>
      <c r="BQ248" s="27"/>
      <c r="BR248" s="16"/>
      <c r="BS248" s="16"/>
      <c r="BT248" s="27"/>
      <c r="BV248" s="27"/>
      <c r="BW248" s="16"/>
      <c r="BX248" s="16"/>
      <c r="BY248" s="27"/>
      <c r="CA248" s="27"/>
      <c r="CB248" s="16"/>
      <c r="CC248" s="16"/>
      <c r="CD248" s="27"/>
      <c r="CF248" s="27"/>
      <c r="CG248" s="16"/>
      <c r="CH248" s="16"/>
      <c r="CI248" s="27"/>
      <c r="CK248" s="27"/>
      <c r="CL248" s="16"/>
      <c r="CM248" s="16"/>
      <c r="CN248" s="27"/>
      <c r="CP248" s="27"/>
      <c r="CQ248" s="16"/>
      <c r="CR248" s="16"/>
      <c r="CS248" s="27"/>
      <c r="CU248" s="27"/>
      <c r="CV248" s="16"/>
      <c r="CW248" s="16"/>
      <c r="CX248" s="27"/>
      <c r="CZ248" s="27"/>
      <c r="DA248" s="16"/>
      <c r="DB248" s="16"/>
      <c r="DC248" s="27"/>
      <c r="DE248" s="27"/>
      <c r="DF248" s="16"/>
      <c r="DG248" s="16"/>
      <c r="DH248" s="27"/>
      <c r="DJ248" s="27"/>
      <c r="DK248" s="16"/>
      <c r="DL248" s="16"/>
      <c r="DM248" s="27"/>
      <c r="DO248" s="27"/>
      <c r="DP248" s="16"/>
      <c r="DQ248" s="16"/>
      <c r="DR248" s="27"/>
      <c r="DT248" s="27"/>
      <c r="DU248" s="16"/>
      <c r="DV248" s="16"/>
      <c r="DW248" s="27"/>
      <c r="DY248" s="27"/>
      <c r="DZ248" s="16"/>
      <c r="EA248" s="16"/>
      <c r="EB248" s="302"/>
    </row>
    <row r="249" spans="1:132" s="14" customFormat="1" ht="21" x14ac:dyDescent="0.4">
      <c r="A249" s="27"/>
      <c r="B249" s="27"/>
      <c r="C249" s="27"/>
      <c r="E249" s="16"/>
      <c r="F249" s="27"/>
      <c r="G249" s="27"/>
      <c r="I249" s="27"/>
      <c r="J249" s="16"/>
      <c r="K249" s="16"/>
      <c r="L249" s="27"/>
      <c r="N249" s="27"/>
      <c r="O249" s="16"/>
      <c r="P249" s="16"/>
      <c r="Q249" s="27"/>
      <c r="S249" s="27"/>
      <c r="T249" s="16"/>
      <c r="U249" s="16"/>
      <c r="V249" s="27"/>
      <c r="X249" s="27"/>
      <c r="Y249" s="16"/>
      <c r="Z249" s="16"/>
      <c r="AA249" s="27"/>
      <c r="AC249" s="27"/>
      <c r="AD249" s="16"/>
      <c r="AE249" s="16"/>
      <c r="AF249" s="27"/>
      <c r="AH249" s="27"/>
      <c r="AI249" s="16"/>
      <c r="AJ249" s="16"/>
      <c r="AK249" s="27"/>
      <c r="AM249" s="27"/>
      <c r="AN249" s="16"/>
      <c r="AO249" s="16"/>
      <c r="AP249" s="27"/>
      <c r="AR249" s="27"/>
      <c r="AS249" s="16"/>
      <c r="AT249" s="16"/>
      <c r="AU249" s="27"/>
      <c r="AW249" s="27"/>
      <c r="AX249" s="16"/>
      <c r="AY249" s="16"/>
      <c r="AZ249" s="27"/>
      <c r="BB249" s="27"/>
      <c r="BC249" s="16"/>
      <c r="BD249" s="16"/>
      <c r="BE249" s="27"/>
      <c r="BG249" s="27"/>
      <c r="BH249" s="16"/>
      <c r="BI249" s="16"/>
      <c r="BJ249" s="27"/>
      <c r="BL249" s="27"/>
      <c r="BM249" s="16"/>
      <c r="BN249" s="16"/>
      <c r="BO249" s="27"/>
      <c r="BQ249" s="27"/>
      <c r="BR249" s="16"/>
      <c r="BS249" s="16"/>
      <c r="BT249" s="27"/>
      <c r="BV249" s="27"/>
      <c r="BW249" s="16"/>
      <c r="BX249" s="16"/>
      <c r="BY249" s="27"/>
      <c r="CA249" s="27"/>
      <c r="CB249" s="16"/>
      <c r="CC249" s="16"/>
      <c r="CD249" s="27"/>
      <c r="CF249" s="27"/>
      <c r="CG249" s="16"/>
      <c r="CH249" s="16"/>
      <c r="CI249" s="27"/>
      <c r="CK249" s="27"/>
      <c r="CL249" s="16"/>
      <c r="CM249" s="16"/>
      <c r="CN249" s="27"/>
      <c r="CP249" s="27"/>
      <c r="CQ249" s="16"/>
      <c r="CR249" s="16"/>
      <c r="CS249" s="27"/>
      <c r="CU249" s="27"/>
      <c r="CV249" s="16"/>
      <c r="CW249" s="16"/>
      <c r="CX249" s="27"/>
      <c r="CZ249" s="27"/>
      <c r="DA249" s="16"/>
      <c r="DB249" s="16"/>
      <c r="DC249" s="27"/>
      <c r="DE249" s="27"/>
      <c r="DF249" s="16"/>
      <c r="DG249" s="16"/>
      <c r="DH249" s="27"/>
      <c r="DJ249" s="27"/>
      <c r="DK249" s="16"/>
      <c r="DL249" s="16"/>
      <c r="DM249" s="27"/>
      <c r="DO249" s="27"/>
      <c r="DP249" s="16"/>
      <c r="DQ249" s="16"/>
      <c r="DR249" s="27"/>
      <c r="DT249" s="27"/>
      <c r="DU249" s="16"/>
      <c r="DV249" s="16"/>
      <c r="DW249" s="27"/>
      <c r="DY249" s="27"/>
      <c r="DZ249" s="16"/>
      <c r="EA249" s="16"/>
      <c r="EB249" s="302"/>
    </row>
    <row r="250" spans="1:132" s="14" customFormat="1" ht="21" x14ac:dyDescent="0.4">
      <c r="A250" s="27"/>
      <c r="B250" s="27"/>
      <c r="C250" s="27"/>
      <c r="E250" s="16"/>
      <c r="F250" s="27"/>
      <c r="G250" s="27"/>
      <c r="I250" s="27"/>
      <c r="J250" s="16"/>
      <c r="K250" s="16"/>
      <c r="L250" s="27"/>
      <c r="N250" s="27"/>
      <c r="O250" s="16"/>
      <c r="P250" s="16"/>
      <c r="Q250" s="27"/>
      <c r="S250" s="27"/>
      <c r="T250" s="16"/>
      <c r="U250" s="16"/>
      <c r="V250" s="27"/>
      <c r="X250" s="27"/>
      <c r="Y250" s="16"/>
      <c r="Z250" s="16"/>
      <c r="AA250" s="27"/>
      <c r="AC250" s="27"/>
      <c r="AD250" s="16"/>
      <c r="AE250" s="16"/>
      <c r="AF250" s="27"/>
      <c r="AH250" s="27"/>
      <c r="AI250" s="16"/>
      <c r="AJ250" s="16"/>
      <c r="AK250" s="27"/>
      <c r="AM250" s="27"/>
      <c r="AN250" s="16"/>
      <c r="AO250" s="16"/>
      <c r="AP250" s="27"/>
      <c r="AR250" s="27"/>
      <c r="AS250" s="16"/>
      <c r="AT250" s="16"/>
      <c r="AU250" s="27"/>
      <c r="AW250" s="27"/>
      <c r="AX250" s="16"/>
      <c r="AY250" s="16"/>
      <c r="AZ250" s="27"/>
      <c r="BB250" s="27"/>
      <c r="BC250" s="16"/>
      <c r="BD250" s="16"/>
      <c r="BE250" s="27"/>
      <c r="BG250" s="27"/>
      <c r="BH250" s="16"/>
      <c r="BI250" s="16"/>
      <c r="BJ250" s="27"/>
      <c r="BL250" s="27"/>
      <c r="BM250" s="16"/>
      <c r="BN250" s="16"/>
      <c r="BO250" s="27"/>
      <c r="BQ250" s="27"/>
      <c r="BR250" s="16"/>
      <c r="BS250" s="16"/>
      <c r="BT250" s="27"/>
      <c r="BV250" s="27"/>
      <c r="BW250" s="16"/>
      <c r="BX250" s="16"/>
      <c r="BY250" s="27"/>
      <c r="CA250" s="27"/>
      <c r="CB250" s="16"/>
      <c r="CC250" s="16"/>
      <c r="CD250" s="27"/>
      <c r="CF250" s="27"/>
      <c r="CG250" s="16"/>
      <c r="CH250" s="16"/>
      <c r="CI250" s="27"/>
      <c r="CK250" s="27"/>
      <c r="CL250" s="16"/>
      <c r="CM250" s="16"/>
      <c r="CN250" s="27"/>
      <c r="CP250" s="27"/>
      <c r="CQ250" s="16"/>
      <c r="CR250" s="16"/>
      <c r="CS250" s="27"/>
      <c r="CU250" s="27"/>
      <c r="CV250" s="16"/>
      <c r="CW250" s="16"/>
      <c r="CX250" s="27"/>
      <c r="CZ250" s="27"/>
      <c r="DA250" s="16"/>
      <c r="DB250" s="16"/>
      <c r="DC250" s="27"/>
      <c r="DE250" s="27"/>
      <c r="DF250" s="16"/>
      <c r="DG250" s="16"/>
      <c r="DH250" s="27"/>
      <c r="DJ250" s="27"/>
      <c r="DK250" s="16"/>
      <c r="DL250" s="16"/>
      <c r="DM250" s="27"/>
      <c r="DO250" s="27"/>
      <c r="DP250" s="16"/>
      <c r="DQ250" s="16"/>
      <c r="DR250" s="27"/>
      <c r="DT250" s="27"/>
      <c r="DU250" s="16"/>
      <c r="DV250" s="16"/>
      <c r="DW250" s="27"/>
      <c r="DY250" s="27"/>
      <c r="DZ250" s="16"/>
      <c r="EA250" s="16"/>
      <c r="EB250" s="302"/>
    </row>
    <row r="251" spans="1:132" s="14" customFormat="1" ht="21" x14ac:dyDescent="0.4">
      <c r="A251" s="27"/>
      <c r="B251" s="27"/>
      <c r="C251" s="27"/>
      <c r="E251" s="16"/>
      <c r="F251" s="27"/>
      <c r="G251" s="27"/>
      <c r="I251" s="27"/>
      <c r="J251" s="16"/>
      <c r="K251" s="16"/>
      <c r="L251" s="27"/>
      <c r="N251" s="27"/>
      <c r="O251" s="16"/>
      <c r="P251" s="16"/>
      <c r="Q251" s="27"/>
      <c r="S251" s="27"/>
      <c r="T251" s="16"/>
      <c r="U251" s="16"/>
      <c r="V251" s="27"/>
      <c r="X251" s="27"/>
      <c r="Y251" s="16"/>
      <c r="Z251" s="16"/>
      <c r="AA251" s="27"/>
      <c r="AC251" s="27"/>
      <c r="AD251" s="16"/>
      <c r="AE251" s="16"/>
      <c r="AF251" s="27"/>
      <c r="AH251" s="27"/>
      <c r="AI251" s="16"/>
      <c r="AJ251" s="16"/>
      <c r="AK251" s="27"/>
      <c r="AM251" s="27"/>
      <c r="AN251" s="16"/>
      <c r="AO251" s="16"/>
      <c r="AP251" s="27"/>
      <c r="AR251" s="27"/>
      <c r="AS251" s="16"/>
      <c r="AT251" s="16"/>
      <c r="AU251" s="27"/>
      <c r="AW251" s="27"/>
      <c r="AX251" s="16"/>
      <c r="AY251" s="16"/>
      <c r="AZ251" s="27"/>
      <c r="BB251" s="27"/>
      <c r="BC251" s="16"/>
      <c r="BD251" s="16"/>
      <c r="BE251" s="27"/>
      <c r="BG251" s="27"/>
      <c r="BH251" s="16"/>
      <c r="BI251" s="16"/>
      <c r="BJ251" s="27"/>
      <c r="BL251" s="27"/>
      <c r="BM251" s="16"/>
      <c r="BN251" s="16"/>
      <c r="BO251" s="27"/>
      <c r="BQ251" s="27"/>
      <c r="BR251" s="16"/>
      <c r="BS251" s="16"/>
      <c r="BT251" s="27"/>
      <c r="BV251" s="27"/>
      <c r="BW251" s="16"/>
      <c r="BX251" s="16"/>
      <c r="BY251" s="27"/>
      <c r="CA251" s="27"/>
      <c r="CB251" s="16"/>
      <c r="CC251" s="16"/>
      <c r="CD251" s="27"/>
      <c r="CF251" s="27"/>
      <c r="CG251" s="16"/>
      <c r="CH251" s="16"/>
      <c r="CI251" s="27"/>
      <c r="CK251" s="27"/>
      <c r="CL251" s="16"/>
      <c r="CM251" s="16"/>
      <c r="CN251" s="27"/>
      <c r="CP251" s="27"/>
      <c r="CQ251" s="16"/>
      <c r="CR251" s="16"/>
      <c r="CS251" s="27"/>
      <c r="CU251" s="27"/>
      <c r="CV251" s="16"/>
      <c r="CW251" s="16"/>
      <c r="CX251" s="27"/>
      <c r="CZ251" s="27"/>
      <c r="DA251" s="16"/>
      <c r="DB251" s="16"/>
      <c r="DC251" s="27"/>
      <c r="DE251" s="27"/>
      <c r="DF251" s="16"/>
      <c r="DG251" s="16"/>
      <c r="DH251" s="27"/>
      <c r="DJ251" s="27"/>
      <c r="DK251" s="16"/>
      <c r="DL251" s="16"/>
      <c r="DM251" s="27"/>
      <c r="DO251" s="27"/>
      <c r="DP251" s="16"/>
      <c r="DQ251" s="16"/>
      <c r="DR251" s="27"/>
      <c r="DT251" s="27"/>
      <c r="DU251" s="16"/>
      <c r="DV251" s="16"/>
      <c r="DW251" s="27"/>
      <c r="DY251" s="27"/>
      <c r="DZ251" s="16"/>
      <c r="EA251" s="16"/>
      <c r="EB251" s="302"/>
    </row>
    <row r="252" spans="1:132" s="14" customFormat="1" ht="21" x14ac:dyDescent="0.4">
      <c r="A252" s="27"/>
      <c r="B252" s="27"/>
      <c r="C252" s="27"/>
      <c r="E252" s="16"/>
      <c r="F252" s="27"/>
      <c r="G252" s="27"/>
      <c r="I252" s="27"/>
      <c r="J252" s="16"/>
      <c r="K252" s="16"/>
      <c r="L252" s="27"/>
      <c r="N252" s="27"/>
      <c r="O252" s="16"/>
      <c r="P252" s="16"/>
      <c r="Q252" s="27"/>
      <c r="S252" s="27"/>
      <c r="T252" s="16"/>
      <c r="U252" s="16"/>
      <c r="V252" s="27"/>
      <c r="X252" s="27"/>
      <c r="Y252" s="16"/>
      <c r="Z252" s="16"/>
      <c r="AA252" s="27"/>
      <c r="AC252" s="27"/>
      <c r="AD252" s="16"/>
      <c r="AE252" s="16"/>
      <c r="AF252" s="27"/>
      <c r="AH252" s="27"/>
      <c r="AI252" s="16"/>
      <c r="AJ252" s="16"/>
      <c r="AK252" s="27"/>
      <c r="AM252" s="27"/>
      <c r="AN252" s="16"/>
      <c r="AO252" s="16"/>
      <c r="AP252" s="27"/>
      <c r="AR252" s="27"/>
      <c r="AS252" s="16"/>
      <c r="AT252" s="16"/>
      <c r="AU252" s="27"/>
      <c r="AW252" s="27"/>
      <c r="AX252" s="16"/>
      <c r="AY252" s="16"/>
      <c r="AZ252" s="27"/>
      <c r="BB252" s="27"/>
      <c r="BC252" s="16"/>
      <c r="BD252" s="16"/>
      <c r="BE252" s="27"/>
      <c r="BG252" s="27"/>
      <c r="BH252" s="16"/>
      <c r="BI252" s="16"/>
      <c r="BJ252" s="27"/>
      <c r="BL252" s="27"/>
      <c r="BM252" s="16"/>
      <c r="BN252" s="16"/>
      <c r="BO252" s="27"/>
      <c r="BQ252" s="27"/>
      <c r="BR252" s="16"/>
      <c r="BS252" s="16"/>
      <c r="BT252" s="27"/>
      <c r="BV252" s="27"/>
      <c r="BW252" s="16"/>
      <c r="BX252" s="16"/>
      <c r="BY252" s="27"/>
      <c r="CA252" s="27"/>
      <c r="CB252" s="16"/>
      <c r="CC252" s="16"/>
      <c r="CD252" s="27"/>
      <c r="CF252" s="27"/>
      <c r="CG252" s="16"/>
      <c r="CH252" s="16"/>
      <c r="CI252" s="27"/>
      <c r="CK252" s="27"/>
      <c r="CL252" s="16"/>
      <c r="CM252" s="16"/>
      <c r="CN252" s="27"/>
      <c r="CP252" s="27"/>
      <c r="CQ252" s="16"/>
      <c r="CR252" s="16"/>
      <c r="CS252" s="27"/>
      <c r="CU252" s="27"/>
      <c r="CV252" s="16"/>
      <c r="CW252" s="16"/>
      <c r="CX252" s="27"/>
      <c r="CZ252" s="27"/>
      <c r="DA252" s="16"/>
      <c r="DB252" s="16"/>
      <c r="DC252" s="27"/>
      <c r="DE252" s="27"/>
      <c r="DF252" s="16"/>
      <c r="DG252" s="16"/>
      <c r="DH252" s="27"/>
      <c r="DJ252" s="27"/>
      <c r="DK252" s="16"/>
      <c r="DL252" s="16"/>
      <c r="DM252" s="27"/>
      <c r="DO252" s="27"/>
      <c r="DP252" s="16"/>
      <c r="DQ252" s="16"/>
      <c r="DR252" s="27"/>
      <c r="DT252" s="27"/>
      <c r="DU252" s="16"/>
      <c r="DV252" s="16"/>
      <c r="DW252" s="27"/>
      <c r="DY252" s="27"/>
      <c r="DZ252" s="16"/>
      <c r="EA252" s="16"/>
      <c r="EB252" s="302"/>
    </row>
    <row r="253" spans="1:132" s="14" customFormat="1" ht="21" x14ac:dyDescent="0.4">
      <c r="A253" s="27"/>
      <c r="B253" s="27"/>
      <c r="C253" s="27"/>
      <c r="E253" s="16"/>
      <c r="F253" s="27"/>
      <c r="G253" s="27"/>
      <c r="I253" s="27"/>
      <c r="J253" s="16"/>
      <c r="K253" s="16"/>
      <c r="L253" s="27"/>
      <c r="N253" s="27"/>
      <c r="O253" s="16"/>
      <c r="P253" s="16"/>
      <c r="Q253" s="27"/>
      <c r="S253" s="27"/>
      <c r="T253" s="16"/>
      <c r="U253" s="16"/>
      <c r="V253" s="27"/>
      <c r="X253" s="27"/>
      <c r="Y253" s="16"/>
      <c r="Z253" s="16"/>
      <c r="AA253" s="27"/>
      <c r="AC253" s="27"/>
      <c r="AD253" s="16"/>
      <c r="AE253" s="16"/>
      <c r="AF253" s="27"/>
      <c r="AH253" s="27"/>
      <c r="AI253" s="16"/>
      <c r="AJ253" s="16"/>
      <c r="AK253" s="27"/>
      <c r="AM253" s="27"/>
      <c r="AN253" s="16"/>
      <c r="AO253" s="16"/>
      <c r="AP253" s="27"/>
      <c r="AR253" s="27"/>
      <c r="AS253" s="16"/>
      <c r="AT253" s="16"/>
      <c r="AU253" s="27"/>
      <c r="AW253" s="27"/>
      <c r="AX253" s="16"/>
      <c r="AY253" s="16"/>
      <c r="AZ253" s="27"/>
      <c r="BB253" s="27"/>
      <c r="BC253" s="16"/>
      <c r="BD253" s="16"/>
      <c r="BE253" s="27"/>
      <c r="BG253" s="27"/>
      <c r="BH253" s="16"/>
      <c r="BI253" s="16"/>
      <c r="BJ253" s="27"/>
      <c r="BL253" s="27"/>
      <c r="BM253" s="16"/>
      <c r="BN253" s="16"/>
      <c r="BO253" s="27"/>
      <c r="BQ253" s="27"/>
      <c r="BR253" s="16"/>
      <c r="BS253" s="16"/>
      <c r="BT253" s="27"/>
      <c r="BV253" s="27"/>
      <c r="BW253" s="16"/>
      <c r="BX253" s="16"/>
      <c r="BY253" s="27"/>
      <c r="CA253" s="27"/>
      <c r="CB253" s="16"/>
      <c r="CC253" s="16"/>
      <c r="CD253" s="27"/>
      <c r="CF253" s="27"/>
      <c r="CG253" s="16"/>
      <c r="CH253" s="16"/>
      <c r="CI253" s="27"/>
      <c r="CK253" s="27"/>
      <c r="CL253" s="16"/>
      <c r="CM253" s="16"/>
      <c r="CN253" s="27"/>
      <c r="CP253" s="27"/>
      <c r="CQ253" s="16"/>
      <c r="CR253" s="16"/>
      <c r="CS253" s="27"/>
      <c r="CU253" s="27"/>
      <c r="CV253" s="16"/>
      <c r="CW253" s="16"/>
      <c r="CX253" s="27"/>
      <c r="CZ253" s="27"/>
      <c r="DA253" s="16"/>
      <c r="DB253" s="16"/>
      <c r="DC253" s="27"/>
      <c r="DE253" s="27"/>
      <c r="DF253" s="16"/>
      <c r="DG253" s="16"/>
      <c r="DH253" s="27"/>
      <c r="DJ253" s="27"/>
      <c r="DK253" s="16"/>
      <c r="DL253" s="16"/>
      <c r="DM253" s="27"/>
      <c r="DO253" s="27"/>
      <c r="DP253" s="16"/>
      <c r="DQ253" s="16"/>
      <c r="DR253" s="27"/>
      <c r="DT253" s="27"/>
      <c r="DU253" s="16"/>
      <c r="DV253" s="16"/>
      <c r="DW253" s="27"/>
      <c r="DY253" s="27"/>
      <c r="DZ253" s="16"/>
      <c r="EA253" s="16"/>
      <c r="EB253" s="302"/>
    </row>
    <row r="254" spans="1:132" s="14" customFormat="1" ht="21" x14ac:dyDescent="0.4">
      <c r="A254" s="27"/>
      <c r="B254" s="27"/>
      <c r="C254" s="27"/>
      <c r="E254" s="16"/>
      <c r="F254" s="27"/>
      <c r="G254" s="27"/>
      <c r="I254" s="27"/>
      <c r="J254" s="16"/>
      <c r="K254" s="16"/>
      <c r="L254" s="27"/>
      <c r="N254" s="27"/>
      <c r="O254" s="16"/>
      <c r="P254" s="16"/>
      <c r="Q254" s="27"/>
      <c r="S254" s="27"/>
      <c r="T254" s="16"/>
      <c r="U254" s="16"/>
      <c r="V254" s="27"/>
      <c r="X254" s="27"/>
      <c r="Y254" s="16"/>
      <c r="Z254" s="16"/>
      <c r="AA254" s="27"/>
      <c r="AC254" s="27"/>
      <c r="AD254" s="16"/>
      <c r="AE254" s="16"/>
      <c r="AF254" s="27"/>
      <c r="AH254" s="27"/>
      <c r="AI254" s="16"/>
      <c r="AJ254" s="16"/>
      <c r="AK254" s="27"/>
      <c r="AM254" s="27"/>
      <c r="AN254" s="16"/>
      <c r="AO254" s="16"/>
      <c r="AP254" s="27"/>
      <c r="AR254" s="27"/>
      <c r="AS254" s="16"/>
      <c r="AT254" s="16"/>
      <c r="AU254" s="27"/>
      <c r="AW254" s="27"/>
      <c r="AX254" s="16"/>
      <c r="AY254" s="16"/>
      <c r="AZ254" s="27"/>
      <c r="BB254" s="27"/>
      <c r="BC254" s="16"/>
      <c r="BD254" s="16"/>
      <c r="BE254" s="27"/>
      <c r="BG254" s="27"/>
      <c r="BH254" s="16"/>
      <c r="BI254" s="16"/>
      <c r="BJ254" s="27"/>
      <c r="BL254" s="27"/>
      <c r="BM254" s="16"/>
      <c r="BN254" s="16"/>
      <c r="BO254" s="27"/>
      <c r="BQ254" s="27"/>
      <c r="BR254" s="16"/>
      <c r="BS254" s="16"/>
      <c r="BT254" s="27"/>
      <c r="BV254" s="27"/>
      <c r="BW254" s="16"/>
      <c r="BX254" s="16"/>
      <c r="BY254" s="27"/>
      <c r="CA254" s="27"/>
      <c r="CB254" s="16"/>
      <c r="CC254" s="16"/>
      <c r="CD254" s="27"/>
      <c r="CF254" s="27"/>
      <c r="CG254" s="16"/>
      <c r="CH254" s="16"/>
      <c r="CI254" s="27"/>
      <c r="CK254" s="27"/>
      <c r="CL254" s="16"/>
      <c r="CM254" s="16"/>
      <c r="CN254" s="27"/>
      <c r="CP254" s="27"/>
      <c r="CQ254" s="16"/>
      <c r="CR254" s="16"/>
      <c r="CS254" s="27"/>
      <c r="CU254" s="27"/>
      <c r="CV254" s="16"/>
      <c r="CW254" s="16"/>
      <c r="CX254" s="27"/>
      <c r="CZ254" s="27"/>
      <c r="DA254" s="16"/>
      <c r="DB254" s="16"/>
      <c r="DC254" s="27"/>
      <c r="DE254" s="27"/>
      <c r="DF254" s="16"/>
      <c r="DG254" s="16"/>
      <c r="DH254" s="27"/>
      <c r="DJ254" s="27"/>
      <c r="DK254" s="16"/>
      <c r="DL254" s="16"/>
      <c r="DM254" s="27"/>
      <c r="DO254" s="27"/>
      <c r="DP254" s="16"/>
      <c r="DQ254" s="16"/>
      <c r="DR254" s="27"/>
      <c r="DT254" s="27"/>
      <c r="DU254" s="16"/>
      <c r="DV254" s="16"/>
      <c r="DW254" s="27"/>
      <c r="DY254" s="27"/>
      <c r="DZ254" s="16"/>
      <c r="EA254" s="16"/>
      <c r="EB254" s="302"/>
    </row>
    <row r="255" spans="1:132" s="14" customFormat="1" ht="21" x14ac:dyDescent="0.4">
      <c r="A255" s="27"/>
      <c r="B255" s="27"/>
      <c r="C255" s="27"/>
      <c r="E255" s="16"/>
      <c r="F255" s="27"/>
      <c r="G255" s="27"/>
      <c r="I255" s="27"/>
      <c r="J255" s="16"/>
      <c r="K255" s="16"/>
      <c r="L255" s="27"/>
      <c r="N255" s="27"/>
      <c r="O255" s="16"/>
      <c r="P255" s="16"/>
      <c r="Q255" s="27"/>
      <c r="S255" s="27"/>
      <c r="T255" s="16"/>
      <c r="U255" s="16"/>
      <c r="V255" s="27"/>
      <c r="X255" s="27"/>
      <c r="Y255" s="16"/>
      <c r="Z255" s="16"/>
      <c r="AA255" s="27"/>
      <c r="AC255" s="27"/>
      <c r="AD255" s="16"/>
      <c r="AE255" s="16"/>
      <c r="AF255" s="27"/>
      <c r="AH255" s="27"/>
      <c r="AI255" s="16"/>
      <c r="AJ255" s="16"/>
      <c r="AK255" s="27"/>
      <c r="AM255" s="27"/>
      <c r="AN255" s="16"/>
      <c r="AO255" s="16"/>
      <c r="AP255" s="27"/>
      <c r="AR255" s="27"/>
      <c r="AS255" s="16"/>
      <c r="AT255" s="16"/>
      <c r="AU255" s="27"/>
      <c r="AW255" s="27"/>
      <c r="AX255" s="16"/>
      <c r="AY255" s="16"/>
      <c r="AZ255" s="27"/>
      <c r="BB255" s="27"/>
      <c r="BC255" s="16"/>
      <c r="BD255" s="16"/>
      <c r="BE255" s="27"/>
      <c r="BG255" s="27"/>
      <c r="BH255" s="16"/>
      <c r="BI255" s="16"/>
      <c r="BJ255" s="27"/>
      <c r="BL255" s="27"/>
      <c r="BM255" s="16"/>
      <c r="BN255" s="16"/>
      <c r="BO255" s="27"/>
      <c r="BQ255" s="27"/>
      <c r="BR255" s="16"/>
      <c r="BS255" s="16"/>
      <c r="BT255" s="27"/>
      <c r="BV255" s="27"/>
      <c r="BW255" s="16"/>
      <c r="BX255" s="16"/>
      <c r="BY255" s="27"/>
      <c r="CA255" s="27"/>
      <c r="CB255" s="16"/>
      <c r="CC255" s="16"/>
      <c r="CD255" s="27"/>
      <c r="CF255" s="27"/>
      <c r="CG255" s="16"/>
      <c r="CH255" s="16"/>
      <c r="CI255" s="27"/>
      <c r="CK255" s="27"/>
      <c r="CL255" s="16"/>
      <c r="CM255" s="16"/>
      <c r="CN255" s="27"/>
      <c r="CP255" s="27"/>
      <c r="CQ255" s="16"/>
      <c r="CR255" s="16"/>
      <c r="CS255" s="27"/>
      <c r="CU255" s="27"/>
      <c r="CV255" s="16"/>
      <c r="CW255" s="16"/>
      <c r="CX255" s="27"/>
      <c r="CZ255" s="27"/>
      <c r="DA255" s="16"/>
      <c r="DB255" s="16"/>
      <c r="DC255" s="27"/>
      <c r="DE255" s="27"/>
      <c r="DF255" s="16"/>
      <c r="DG255" s="16"/>
      <c r="DH255" s="27"/>
      <c r="DJ255" s="27"/>
      <c r="DK255" s="16"/>
      <c r="DL255" s="16"/>
      <c r="DM255" s="27"/>
      <c r="DO255" s="27"/>
      <c r="DP255" s="16"/>
      <c r="DQ255" s="16"/>
      <c r="DR255" s="27"/>
      <c r="DT255" s="27"/>
      <c r="DU255" s="16"/>
      <c r="DV255" s="16"/>
      <c r="DW255" s="27"/>
      <c r="DY255" s="27"/>
      <c r="DZ255" s="16"/>
      <c r="EA255" s="16"/>
      <c r="EB255" s="302"/>
    </row>
    <row r="256" spans="1:132" s="14" customFormat="1" ht="21" x14ac:dyDescent="0.4">
      <c r="A256" s="27"/>
      <c r="B256" s="27"/>
      <c r="C256" s="27"/>
      <c r="E256" s="16"/>
      <c r="F256" s="27"/>
      <c r="G256" s="27"/>
      <c r="I256" s="27"/>
      <c r="J256" s="16"/>
      <c r="K256" s="16"/>
      <c r="L256" s="27"/>
      <c r="N256" s="27"/>
      <c r="O256" s="16"/>
      <c r="P256" s="16"/>
      <c r="Q256" s="27"/>
      <c r="S256" s="27"/>
      <c r="T256" s="16"/>
      <c r="U256" s="16"/>
      <c r="V256" s="27"/>
      <c r="X256" s="27"/>
      <c r="Y256" s="16"/>
      <c r="Z256" s="16"/>
      <c r="AA256" s="27"/>
      <c r="AC256" s="27"/>
      <c r="AD256" s="16"/>
      <c r="AE256" s="16"/>
      <c r="AF256" s="27"/>
      <c r="AH256" s="27"/>
      <c r="AI256" s="16"/>
      <c r="AJ256" s="16"/>
      <c r="AK256" s="27"/>
      <c r="AM256" s="27"/>
      <c r="AN256" s="16"/>
      <c r="AO256" s="16"/>
      <c r="AP256" s="27"/>
      <c r="AR256" s="27"/>
      <c r="AS256" s="16"/>
      <c r="AT256" s="16"/>
      <c r="AU256" s="27"/>
      <c r="AW256" s="27"/>
      <c r="AX256" s="16"/>
      <c r="AY256" s="16"/>
      <c r="AZ256" s="27"/>
      <c r="BB256" s="27"/>
      <c r="BC256" s="16"/>
      <c r="BD256" s="16"/>
      <c r="BE256" s="27"/>
      <c r="BG256" s="27"/>
      <c r="BH256" s="16"/>
      <c r="BI256" s="16"/>
      <c r="BJ256" s="27"/>
      <c r="BL256" s="27"/>
      <c r="BM256" s="16"/>
      <c r="BN256" s="16"/>
      <c r="BO256" s="27"/>
      <c r="BQ256" s="27"/>
      <c r="BR256" s="16"/>
      <c r="BS256" s="16"/>
      <c r="BT256" s="27"/>
      <c r="BV256" s="27"/>
      <c r="BW256" s="16"/>
      <c r="BX256" s="16"/>
      <c r="BY256" s="27"/>
      <c r="CA256" s="27"/>
      <c r="CB256" s="16"/>
      <c r="CC256" s="16"/>
      <c r="CD256" s="27"/>
      <c r="CF256" s="27"/>
      <c r="CG256" s="16"/>
      <c r="CH256" s="16"/>
      <c r="CI256" s="27"/>
      <c r="CK256" s="27"/>
      <c r="CL256" s="16"/>
      <c r="CM256" s="16"/>
      <c r="CN256" s="27"/>
      <c r="CP256" s="27"/>
      <c r="CQ256" s="16"/>
      <c r="CR256" s="16"/>
      <c r="CS256" s="27"/>
      <c r="CU256" s="27"/>
      <c r="CV256" s="16"/>
      <c r="CW256" s="16"/>
      <c r="CX256" s="27"/>
      <c r="CZ256" s="27"/>
      <c r="DA256" s="16"/>
      <c r="DB256" s="16"/>
      <c r="DC256" s="27"/>
      <c r="DE256" s="27"/>
      <c r="DF256" s="16"/>
      <c r="DG256" s="16"/>
      <c r="DH256" s="27"/>
      <c r="DJ256" s="27"/>
      <c r="DK256" s="16"/>
      <c r="DL256" s="16"/>
      <c r="DM256" s="27"/>
      <c r="DO256" s="27"/>
      <c r="DP256" s="16"/>
      <c r="DQ256" s="16"/>
      <c r="DR256" s="27"/>
      <c r="DT256" s="27"/>
      <c r="DU256" s="16"/>
      <c r="DV256" s="16"/>
      <c r="DW256" s="27"/>
      <c r="DY256" s="27"/>
      <c r="DZ256" s="16"/>
      <c r="EA256" s="16"/>
      <c r="EB256" s="302"/>
    </row>
    <row r="257" spans="1:132" s="14" customFormat="1" ht="21" x14ac:dyDescent="0.4">
      <c r="A257" s="27"/>
      <c r="B257" s="27"/>
      <c r="C257" s="27"/>
      <c r="E257" s="16"/>
      <c r="F257" s="27"/>
      <c r="G257" s="27"/>
      <c r="I257" s="27"/>
      <c r="J257" s="16"/>
      <c r="K257" s="16"/>
      <c r="L257" s="27"/>
      <c r="N257" s="27"/>
      <c r="O257" s="16"/>
      <c r="P257" s="16"/>
      <c r="Q257" s="27"/>
      <c r="S257" s="27"/>
      <c r="T257" s="16"/>
      <c r="U257" s="16"/>
      <c r="V257" s="27"/>
      <c r="X257" s="27"/>
      <c r="Y257" s="16"/>
      <c r="Z257" s="16"/>
      <c r="AA257" s="27"/>
      <c r="AC257" s="27"/>
      <c r="AD257" s="16"/>
      <c r="AE257" s="16"/>
      <c r="AF257" s="27"/>
      <c r="AH257" s="27"/>
      <c r="AI257" s="16"/>
      <c r="AJ257" s="16"/>
      <c r="AK257" s="27"/>
      <c r="AM257" s="27"/>
      <c r="AN257" s="16"/>
      <c r="AO257" s="16"/>
      <c r="AP257" s="27"/>
      <c r="AR257" s="27"/>
      <c r="AS257" s="16"/>
      <c r="AT257" s="16"/>
      <c r="AU257" s="27"/>
      <c r="AW257" s="27"/>
      <c r="AX257" s="16"/>
      <c r="AY257" s="16"/>
      <c r="AZ257" s="27"/>
      <c r="BB257" s="27"/>
      <c r="BC257" s="16"/>
      <c r="BD257" s="16"/>
      <c r="BE257" s="27"/>
      <c r="BG257" s="27"/>
      <c r="BH257" s="16"/>
      <c r="BI257" s="16"/>
      <c r="BJ257" s="27"/>
      <c r="BL257" s="27"/>
      <c r="BM257" s="16"/>
      <c r="BN257" s="16"/>
      <c r="BO257" s="27"/>
      <c r="BQ257" s="27"/>
      <c r="BR257" s="16"/>
      <c r="BS257" s="16"/>
      <c r="BT257" s="27"/>
      <c r="BV257" s="27"/>
      <c r="BW257" s="16"/>
      <c r="BX257" s="16"/>
      <c r="BY257" s="27"/>
      <c r="CA257" s="27"/>
      <c r="CB257" s="16"/>
      <c r="CC257" s="16"/>
      <c r="CD257" s="27"/>
      <c r="CF257" s="27"/>
      <c r="CG257" s="16"/>
      <c r="CH257" s="16"/>
      <c r="CI257" s="27"/>
      <c r="CK257" s="27"/>
      <c r="CL257" s="16"/>
      <c r="CM257" s="16"/>
      <c r="CN257" s="27"/>
      <c r="CP257" s="27"/>
      <c r="CQ257" s="16"/>
      <c r="CR257" s="16"/>
      <c r="CS257" s="27"/>
      <c r="CU257" s="27"/>
      <c r="CV257" s="16"/>
      <c r="CW257" s="16"/>
      <c r="CX257" s="27"/>
      <c r="CZ257" s="27"/>
      <c r="DA257" s="16"/>
      <c r="DB257" s="16"/>
      <c r="DC257" s="27"/>
      <c r="DE257" s="27"/>
      <c r="DF257" s="16"/>
      <c r="DG257" s="16"/>
      <c r="DH257" s="27"/>
      <c r="DJ257" s="27"/>
      <c r="DK257" s="16"/>
      <c r="DL257" s="16"/>
      <c r="DM257" s="27"/>
      <c r="DO257" s="27"/>
      <c r="DP257" s="16"/>
      <c r="DQ257" s="16"/>
      <c r="DR257" s="27"/>
      <c r="DT257" s="27"/>
      <c r="DU257" s="16"/>
      <c r="DV257" s="16"/>
      <c r="DW257" s="27"/>
      <c r="DY257" s="27"/>
      <c r="DZ257" s="16"/>
      <c r="EA257" s="16"/>
      <c r="EB257" s="302"/>
    </row>
    <row r="258" spans="1:132" s="14" customFormat="1" ht="21" x14ac:dyDescent="0.4">
      <c r="A258" s="27"/>
      <c r="B258" s="27"/>
      <c r="C258" s="27"/>
      <c r="E258" s="16"/>
      <c r="F258" s="27"/>
      <c r="G258" s="27"/>
      <c r="I258" s="27"/>
      <c r="J258" s="16"/>
      <c r="K258" s="16"/>
      <c r="L258" s="27"/>
      <c r="N258" s="27"/>
      <c r="O258" s="16"/>
      <c r="P258" s="16"/>
      <c r="Q258" s="27"/>
      <c r="S258" s="27"/>
      <c r="T258" s="16"/>
      <c r="U258" s="16"/>
      <c r="V258" s="27"/>
      <c r="X258" s="27"/>
      <c r="Y258" s="16"/>
      <c r="Z258" s="16"/>
      <c r="AA258" s="27"/>
      <c r="AC258" s="27"/>
      <c r="AD258" s="16"/>
      <c r="AE258" s="16"/>
      <c r="AF258" s="27"/>
      <c r="AH258" s="27"/>
      <c r="AI258" s="16"/>
      <c r="AJ258" s="16"/>
      <c r="AK258" s="27"/>
      <c r="AM258" s="27"/>
      <c r="AN258" s="16"/>
      <c r="AO258" s="16"/>
      <c r="AP258" s="27"/>
      <c r="AR258" s="27"/>
      <c r="AS258" s="16"/>
      <c r="AT258" s="16"/>
      <c r="AU258" s="27"/>
      <c r="AW258" s="27"/>
      <c r="AX258" s="16"/>
      <c r="AY258" s="16"/>
      <c r="AZ258" s="27"/>
      <c r="BB258" s="27"/>
      <c r="BC258" s="16"/>
      <c r="BD258" s="16"/>
      <c r="BE258" s="27"/>
      <c r="BG258" s="27"/>
      <c r="BH258" s="16"/>
      <c r="BI258" s="16"/>
      <c r="BJ258" s="27"/>
      <c r="BL258" s="27"/>
      <c r="BM258" s="16"/>
      <c r="BN258" s="16"/>
      <c r="BO258" s="27"/>
      <c r="BQ258" s="27"/>
      <c r="BR258" s="16"/>
      <c r="BS258" s="16"/>
      <c r="BT258" s="27"/>
      <c r="BV258" s="27"/>
      <c r="BW258" s="16"/>
      <c r="BX258" s="16"/>
      <c r="BY258" s="27"/>
      <c r="CA258" s="27"/>
      <c r="CB258" s="16"/>
      <c r="CC258" s="16"/>
      <c r="CD258" s="27"/>
      <c r="CF258" s="27"/>
      <c r="CG258" s="16"/>
      <c r="CH258" s="16"/>
      <c r="CI258" s="27"/>
      <c r="CK258" s="27"/>
      <c r="CL258" s="16"/>
      <c r="CM258" s="16"/>
      <c r="CN258" s="27"/>
      <c r="CP258" s="27"/>
      <c r="CQ258" s="16"/>
      <c r="CR258" s="16"/>
      <c r="CS258" s="27"/>
      <c r="CU258" s="27"/>
      <c r="CV258" s="16"/>
      <c r="CW258" s="16"/>
      <c r="CX258" s="27"/>
      <c r="CZ258" s="27"/>
      <c r="DA258" s="16"/>
      <c r="DB258" s="16"/>
      <c r="DC258" s="27"/>
      <c r="DE258" s="27"/>
      <c r="DF258" s="16"/>
      <c r="DG258" s="16"/>
      <c r="DH258" s="27"/>
      <c r="DJ258" s="27"/>
      <c r="DK258" s="16"/>
      <c r="DL258" s="16"/>
      <c r="DM258" s="27"/>
      <c r="DO258" s="27"/>
      <c r="DP258" s="16"/>
      <c r="DQ258" s="16"/>
      <c r="DR258" s="27"/>
      <c r="DT258" s="27"/>
      <c r="DU258" s="16"/>
      <c r="DV258" s="16"/>
      <c r="DW258" s="27"/>
      <c r="DY258" s="27"/>
      <c r="DZ258" s="16"/>
      <c r="EA258" s="16"/>
      <c r="EB258" s="302"/>
    </row>
    <row r="259" spans="1:132" s="14" customFormat="1" ht="21" x14ac:dyDescent="0.4">
      <c r="A259" s="27"/>
      <c r="B259" s="27"/>
      <c r="C259" s="27"/>
      <c r="E259" s="16"/>
      <c r="F259" s="27"/>
      <c r="G259" s="27"/>
      <c r="I259" s="27"/>
      <c r="J259" s="16"/>
      <c r="K259" s="16"/>
      <c r="L259" s="27"/>
      <c r="N259" s="27"/>
      <c r="O259" s="16"/>
      <c r="P259" s="16"/>
      <c r="Q259" s="27"/>
      <c r="S259" s="27"/>
      <c r="T259" s="16"/>
      <c r="U259" s="16"/>
      <c r="V259" s="27"/>
      <c r="X259" s="27"/>
      <c r="Y259" s="16"/>
      <c r="Z259" s="16"/>
      <c r="AA259" s="27"/>
      <c r="AC259" s="27"/>
      <c r="AD259" s="16"/>
      <c r="AE259" s="16"/>
      <c r="AF259" s="27"/>
      <c r="AH259" s="27"/>
      <c r="AI259" s="16"/>
      <c r="AJ259" s="16"/>
      <c r="AK259" s="27"/>
      <c r="AM259" s="27"/>
      <c r="AN259" s="16"/>
      <c r="AO259" s="16"/>
      <c r="AP259" s="27"/>
      <c r="AR259" s="27"/>
      <c r="AS259" s="16"/>
      <c r="AT259" s="16"/>
      <c r="AU259" s="27"/>
      <c r="AW259" s="27"/>
      <c r="AX259" s="16"/>
      <c r="AY259" s="16"/>
      <c r="AZ259" s="27"/>
      <c r="BB259" s="27"/>
      <c r="BC259" s="16"/>
      <c r="BD259" s="16"/>
      <c r="BE259" s="27"/>
      <c r="BG259" s="27"/>
      <c r="BH259" s="16"/>
      <c r="BI259" s="16"/>
      <c r="BJ259" s="27"/>
      <c r="BL259" s="27"/>
      <c r="BM259" s="16"/>
      <c r="BN259" s="16"/>
      <c r="BO259" s="27"/>
      <c r="BQ259" s="27"/>
      <c r="BR259" s="16"/>
      <c r="BS259" s="16"/>
      <c r="BT259" s="27"/>
      <c r="BV259" s="27"/>
      <c r="BW259" s="16"/>
      <c r="BX259" s="16"/>
      <c r="BY259" s="27"/>
      <c r="CA259" s="27"/>
      <c r="CB259" s="16"/>
      <c r="CC259" s="16"/>
      <c r="CD259" s="27"/>
      <c r="CF259" s="27"/>
      <c r="CG259" s="16"/>
      <c r="CH259" s="16"/>
      <c r="CI259" s="27"/>
      <c r="CK259" s="27"/>
      <c r="CL259" s="16"/>
      <c r="CM259" s="16"/>
      <c r="CN259" s="27"/>
      <c r="CP259" s="27"/>
      <c r="CQ259" s="16"/>
      <c r="CR259" s="16"/>
      <c r="CS259" s="27"/>
      <c r="CU259" s="27"/>
      <c r="CV259" s="16"/>
      <c r="CW259" s="16"/>
      <c r="CX259" s="27"/>
      <c r="CZ259" s="27"/>
      <c r="DA259" s="16"/>
      <c r="DB259" s="16"/>
      <c r="DC259" s="27"/>
      <c r="DE259" s="27"/>
      <c r="DF259" s="16"/>
      <c r="DG259" s="16"/>
      <c r="DH259" s="27"/>
      <c r="DJ259" s="27"/>
      <c r="DK259" s="16"/>
      <c r="DL259" s="16"/>
      <c r="DM259" s="27"/>
      <c r="DO259" s="27"/>
      <c r="DP259" s="16"/>
      <c r="DQ259" s="16"/>
      <c r="DR259" s="27"/>
      <c r="DT259" s="27"/>
      <c r="DU259" s="16"/>
      <c r="DV259" s="16"/>
      <c r="DW259" s="27"/>
      <c r="DY259" s="27"/>
      <c r="DZ259" s="16"/>
      <c r="EA259" s="16"/>
      <c r="EB259" s="302"/>
    </row>
    <row r="260" spans="1:132" s="14" customFormat="1" ht="21" x14ac:dyDescent="0.4">
      <c r="A260" s="27"/>
      <c r="B260" s="27"/>
      <c r="C260" s="27"/>
      <c r="E260" s="16"/>
      <c r="F260" s="27"/>
      <c r="G260" s="27"/>
      <c r="I260" s="27"/>
      <c r="J260" s="16"/>
      <c r="K260" s="16"/>
      <c r="L260" s="27"/>
      <c r="N260" s="27"/>
      <c r="O260" s="16"/>
      <c r="P260" s="16"/>
      <c r="Q260" s="27"/>
      <c r="S260" s="27"/>
      <c r="T260" s="16"/>
      <c r="U260" s="16"/>
      <c r="V260" s="27"/>
      <c r="X260" s="27"/>
      <c r="Y260" s="16"/>
      <c r="Z260" s="16"/>
      <c r="AA260" s="27"/>
      <c r="AC260" s="27"/>
      <c r="AD260" s="16"/>
      <c r="AE260" s="16"/>
      <c r="AF260" s="27"/>
      <c r="AH260" s="27"/>
      <c r="AI260" s="16"/>
      <c r="AJ260" s="16"/>
      <c r="AK260" s="27"/>
      <c r="AM260" s="27"/>
      <c r="AN260" s="16"/>
      <c r="AO260" s="16"/>
      <c r="AP260" s="27"/>
      <c r="AR260" s="27"/>
      <c r="AS260" s="16"/>
      <c r="AT260" s="16"/>
      <c r="AU260" s="27"/>
      <c r="AW260" s="27"/>
      <c r="AX260" s="16"/>
      <c r="AY260" s="16"/>
      <c r="AZ260" s="27"/>
      <c r="BB260" s="27"/>
      <c r="BC260" s="16"/>
      <c r="BD260" s="16"/>
      <c r="BE260" s="27"/>
      <c r="BG260" s="27"/>
      <c r="BH260" s="16"/>
      <c r="BI260" s="16"/>
      <c r="BJ260" s="27"/>
      <c r="BL260" s="27"/>
      <c r="BM260" s="16"/>
      <c r="BN260" s="16"/>
      <c r="BO260" s="27"/>
      <c r="BQ260" s="27"/>
      <c r="BR260" s="16"/>
      <c r="BS260" s="16"/>
      <c r="BT260" s="27"/>
      <c r="BV260" s="27"/>
      <c r="BW260" s="16"/>
      <c r="BX260" s="16"/>
      <c r="BY260" s="27"/>
      <c r="CA260" s="27"/>
      <c r="CB260" s="16"/>
      <c r="CC260" s="16"/>
      <c r="CD260" s="27"/>
      <c r="CF260" s="27"/>
      <c r="CG260" s="16"/>
      <c r="CH260" s="16"/>
      <c r="CI260" s="27"/>
      <c r="CK260" s="27"/>
      <c r="CL260" s="16"/>
      <c r="CM260" s="16"/>
      <c r="CN260" s="27"/>
      <c r="CP260" s="27"/>
      <c r="CQ260" s="16"/>
      <c r="CR260" s="16"/>
      <c r="CS260" s="27"/>
      <c r="CU260" s="27"/>
      <c r="CV260" s="16"/>
      <c r="CW260" s="16"/>
      <c r="CX260" s="27"/>
      <c r="CZ260" s="27"/>
      <c r="DA260" s="16"/>
      <c r="DB260" s="16"/>
      <c r="DC260" s="27"/>
      <c r="DE260" s="27"/>
      <c r="DF260" s="16"/>
      <c r="DG260" s="16"/>
      <c r="DH260" s="27"/>
      <c r="DJ260" s="27"/>
      <c r="DK260" s="16"/>
      <c r="DL260" s="16"/>
      <c r="DM260" s="27"/>
      <c r="DO260" s="27"/>
      <c r="DP260" s="16"/>
      <c r="DQ260" s="16"/>
      <c r="DR260" s="27"/>
      <c r="DT260" s="27"/>
      <c r="DU260" s="16"/>
      <c r="DV260" s="16"/>
      <c r="DW260" s="27"/>
      <c r="DY260" s="27"/>
      <c r="DZ260" s="16"/>
      <c r="EA260" s="16"/>
      <c r="EB260" s="302"/>
    </row>
    <row r="261" spans="1:132" s="14" customFormat="1" ht="21" x14ac:dyDescent="0.4">
      <c r="A261" s="27"/>
      <c r="B261" s="27"/>
      <c r="C261" s="27"/>
      <c r="E261" s="16"/>
      <c r="F261" s="27"/>
      <c r="G261" s="27"/>
      <c r="I261" s="27"/>
      <c r="J261" s="16"/>
      <c r="K261" s="16"/>
      <c r="L261" s="27"/>
      <c r="N261" s="27"/>
      <c r="O261" s="16"/>
      <c r="P261" s="16"/>
      <c r="Q261" s="27"/>
      <c r="S261" s="27"/>
      <c r="T261" s="16"/>
      <c r="U261" s="16"/>
      <c r="V261" s="27"/>
      <c r="X261" s="27"/>
      <c r="Y261" s="16"/>
      <c r="Z261" s="16"/>
      <c r="AA261" s="27"/>
      <c r="AC261" s="27"/>
      <c r="AD261" s="16"/>
      <c r="AE261" s="16"/>
      <c r="AF261" s="27"/>
      <c r="AH261" s="27"/>
      <c r="AI261" s="16"/>
      <c r="AJ261" s="16"/>
      <c r="AK261" s="27"/>
      <c r="AM261" s="27"/>
      <c r="AN261" s="16"/>
      <c r="AO261" s="16"/>
      <c r="AP261" s="27"/>
      <c r="AR261" s="27"/>
      <c r="AS261" s="16"/>
      <c r="AT261" s="16"/>
      <c r="AU261" s="27"/>
      <c r="AW261" s="27"/>
      <c r="AX261" s="16"/>
      <c r="AY261" s="16"/>
      <c r="AZ261" s="27"/>
      <c r="BB261" s="27"/>
      <c r="BC261" s="16"/>
      <c r="BD261" s="16"/>
      <c r="BE261" s="27"/>
      <c r="BG261" s="27"/>
      <c r="BH261" s="16"/>
      <c r="BI261" s="16"/>
      <c r="BJ261" s="27"/>
      <c r="BL261" s="27"/>
      <c r="BM261" s="16"/>
      <c r="BN261" s="16"/>
      <c r="BO261" s="27"/>
      <c r="BQ261" s="27"/>
      <c r="BR261" s="16"/>
      <c r="BS261" s="16"/>
      <c r="BT261" s="27"/>
      <c r="BV261" s="27"/>
      <c r="BW261" s="16"/>
      <c r="BX261" s="16"/>
      <c r="BY261" s="27"/>
      <c r="CA261" s="27"/>
      <c r="CB261" s="16"/>
      <c r="CC261" s="16"/>
      <c r="CD261" s="27"/>
      <c r="CF261" s="27"/>
      <c r="CG261" s="16"/>
      <c r="CH261" s="16"/>
      <c r="CI261" s="27"/>
      <c r="CK261" s="27"/>
      <c r="CL261" s="16"/>
      <c r="CM261" s="16"/>
      <c r="CN261" s="27"/>
      <c r="CP261" s="27"/>
      <c r="CQ261" s="16"/>
      <c r="CR261" s="16"/>
      <c r="CS261" s="27"/>
      <c r="CU261" s="27"/>
      <c r="CV261" s="16"/>
      <c r="CW261" s="16"/>
      <c r="CX261" s="27"/>
      <c r="CZ261" s="27"/>
      <c r="DA261" s="16"/>
      <c r="DB261" s="16"/>
      <c r="DC261" s="27"/>
      <c r="DE261" s="27"/>
      <c r="DF261" s="16"/>
      <c r="DG261" s="16"/>
      <c r="DH261" s="27"/>
      <c r="DJ261" s="27"/>
      <c r="DK261" s="16"/>
      <c r="DL261" s="16"/>
      <c r="DM261" s="27"/>
      <c r="DO261" s="27"/>
      <c r="DP261" s="16"/>
      <c r="DQ261" s="16"/>
      <c r="DR261" s="27"/>
      <c r="DT261" s="27"/>
      <c r="DU261" s="16"/>
      <c r="DV261" s="16"/>
      <c r="DW261" s="27"/>
      <c r="DY261" s="27"/>
      <c r="DZ261" s="16"/>
      <c r="EA261" s="16"/>
      <c r="EB261" s="302"/>
    </row>
    <row r="262" spans="1:132" s="14" customFormat="1" ht="21" x14ac:dyDescent="0.4">
      <c r="A262" s="27"/>
      <c r="B262" s="27"/>
      <c r="C262" s="27"/>
      <c r="E262" s="16"/>
      <c r="F262" s="27"/>
      <c r="G262" s="27"/>
      <c r="I262" s="27"/>
      <c r="J262" s="16"/>
      <c r="K262" s="16"/>
      <c r="L262" s="27"/>
      <c r="N262" s="27"/>
      <c r="O262" s="16"/>
      <c r="P262" s="16"/>
      <c r="Q262" s="27"/>
      <c r="S262" s="27"/>
      <c r="T262" s="16"/>
      <c r="U262" s="16"/>
      <c r="V262" s="27"/>
      <c r="X262" s="27"/>
      <c r="Y262" s="16"/>
      <c r="Z262" s="16"/>
      <c r="AA262" s="27"/>
      <c r="AC262" s="27"/>
      <c r="AD262" s="16"/>
      <c r="AE262" s="16"/>
      <c r="AF262" s="27"/>
      <c r="AH262" s="27"/>
      <c r="AI262" s="16"/>
      <c r="AJ262" s="16"/>
      <c r="AK262" s="27"/>
      <c r="AM262" s="27"/>
      <c r="AN262" s="16"/>
      <c r="AO262" s="16"/>
      <c r="AP262" s="27"/>
      <c r="AR262" s="27"/>
      <c r="AS262" s="16"/>
      <c r="AT262" s="16"/>
      <c r="AU262" s="27"/>
      <c r="AW262" s="27"/>
      <c r="AX262" s="16"/>
      <c r="AY262" s="16"/>
      <c r="AZ262" s="27"/>
      <c r="BB262" s="27"/>
      <c r="BC262" s="16"/>
      <c r="BD262" s="16"/>
      <c r="BE262" s="27"/>
      <c r="BG262" s="27"/>
      <c r="BH262" s="16"/>
      <c r="BI262" s="16"/>
      <c r="BJ262" s="27"/>
      <c r="BL262" s="27"/>
      <c r="BM262" s="16"/>
      <c r="BN262" s="16"/>
      <c r="BO262" s="27"/>
      <c r="BQ262" s="27"/>
      <c r="BR262" s="16"/>
      <c r="BS262" s="16"/>
      <c r="BT262" s="27"/>
      <c r="BV262" s="27"/>
      <c r="BW262" s="16"/>
      <c r="BX262" s="16"/>
      <c r="BY262" s="27"/>
      <c r="CA262" s="27"/>
      <c r="CB262" s="16"/>
      <c r="CC262" s="16"/>
      <c r="CD262" s="27"/>
      <c r="CF262" s="27"/>
      <c r="CG262" s="16"/>
      <c r="CH262" s="16"/>
      <c r="CI262" s="27"/>
      <c r="CK262" s="27"/>
      <c r="CL262" s="16"/>
      <c r="CM262" s="16"/>
      <c r="CN262" s="27"/>
      <c r="CP262" s="27"/>
      <c r="CQ262" s="16"/>
      <c r="CR262" s="16"/>
      <c r="CS262" s="27"/>
      <c r="CU262" s="27"/>
      <c r="CV262" s="16"/>
      <c r="CW262" s="16"/>
      <c r="CX262" s="27"/>
      <c r="CZ262" s="27"/>
      <c r="DA262" s="16"/>
      <c r="DB262" s="16"/>
      <c r="DC262" s="27"/>
      <c r="DE262" s="27"/>
      <c r="DF262" s="16"/>
      <c r="DG262" s="16"/>
      <c r="DH262" s="27"/>
      <c r="DJ262" s="27"/>
      <c r="DK262" s="16"/>
      <c r="DL262" s="16"/>
      <c r="DM262" s="27"/>
      <c r="DO262" s="27"/>
      <c r="DP262" s="16"/>
      <c r="DQ262" s="16"/>
      <c r="DR262" s="27"/>
      <c r="DT262" s="27"/>
      <c r="DU262" s="16"/>
      <c r="DV262" s="16"/>
      <c r="DW262" s="27"/>
      <c r="DY262" s="27"/>
      <c r="DZ262" s="16"/>
      <c r="EA262" s="16"/>
      <c r="EB262" s="302"/>
    </row>
    <row r="263" spans="1:132" s="14" customFormat="1" ht="21" x14ac:dyDescent="0.4">
      <c r="A263" s="27"/>
      <c r="B263" s="27"/>
      <c r="C263" s="27"/>
      <c r="E263" s="16"/>
      <c r="F263" s="27"/>
      <c r="G263" s="27"/>
      <c r="I263" s="27"/>
      <c r="J263" s="16"/>
      <c r="K263" s="16"/>
      <c r="L263" s="27"/>
      <c r="N263" s="27"/>
      <c r="O263" s="16"/>
      <c r="P263" s="16"/>
      <c r="Q263" s="27"/>
      <c r="S263" s="27"/>
      <c r="T263" s="16"/>
      <c r="U263" s="16"/>
      <c r="V263" s="27"/>
      <c r="X263" s="27"/>
      <c r="Y263" s="16"/>
      <c r="Z263" s="16"/>
      <c r="AA263" s="27"/>
      <c r="AC263" s="27"/>
      <c r="AD263" s="16"/>
      <c r="AE263" s="16"/>
      <c r="AF263" s="27"/>
      <c r="AH263" s="27"/>
      <c r="AI263" s="16"/>
      <c r="AJ263" s="16"/>
      <c r="AK263" s="27"/>
      <c r="AM263" s="27"/>
      <c r="AN263" s="16"/>
      <c r="AO263" s="16"/>
      <c r="AP263" s="27"/>
      <c r="AR263" s="27"/>
      <c r="AS263" s="16"/>
      <c r="AT263" s="16"/>
      <c r="AU263" s="27"/>
      <c r="AW263" s="27"/>
      <c r="AX263" s="16"/>
      <c r="AY263" s="16"/>
      <c r="AZ263" s="27"/>
      <c r="BB263" s="27"/>
      <c r="BC263" s="16"/>
      <c r="BD263" s="16"/>
      <c r="BE263" s="27"/>
      <c r="BG263" s="27"/>
      <c r="BH263" s="16"/>
      <c r="BI263" s="16"/>
      <c r="BJ263" s="27"/>
      <c r="BL263" s="27"/>
      <c r="BM263" s="16"/>
      <c r="BN263" s="16"/>
      <c r="BO263" s="27"/>
      <c r="BQ263" s="27"/>
      <c r="BR263" s="16"/>
      <c r="BS263" s="16"/>
      <c r="BT263" s="27"/>
      <c r="BV263" s="27"/>
      <c r="BW263" s="16"/>
      <c r="BX263" s="16"/>
      <c r="BY263" s="27"/>
      <c r="CA263" s="27"/>
      <c r="CB263" s="16"/>
      <c r="CC263" s="16"/>
      <c r="CD263" s="27"/>
      <c r="CF263" s="27"/>
      <c r="CG263" s="16"/>
      <c r="CH263" s="16"/>
      <c r="CI263" s="27"/>
      <c r="CK263" s="27"/>
      <c r="CL263" s="16"/>
      <c r="CM263" s="16"/>
      <c r="CN263" s="27"/>
      <c r="CP263" s="27"/>
      <c r="CQ263" s="16"/>
      <c r="CR263" s="16"/>
      <c r="CS263" s="27"/>
      <c r="CU263" s="27"/>
      <c r="CV263" s="16"/>
      <c r="CW263" s="16"/>
      <c r="CX263" s="27"/>
      <c r="CZ263" s="27"/>
      <c r="DA263" s="16"/>
      <c r="DB263" s="16"/>
      <c r="DC263" s="27"/>
      <c r="DE263" s="27"/>
      <c r="DF263" s="16"/>
      <c r="DG263" s="16"/>
      <c r="DH263" s="27"/>
      <c r="DJ263" s="27"/>
      <c r="DK263" s="16"/>
      <c r="DL263" s="16"/>
      <c r="DM263" s="27"/>
      <c r="DO263" s="27"/>
      <c r="DP263" s="16"/>
      <c r="DQ263" s="16"/>
      <c r="DR263" s="27"/>
      <c r="DT263" s="27"/>
      <c r="DU263" s="16"/>
      <c r="DV263" s="16"/>
      <c r="DW263" s="27"/>
      <c r="DY263" s="27"/>
      <c r="DZ263" s="16"/>
      <c r="EA263" s="16"/>
      <c r="EB263" s="302"/>
    </row>
    <row r="264" spans="1:132" s="14" customFormat="1" ht="21" x14ac:dyDescent="0.4">
      <c r="A264" s="27"/>
      <c r="B264" s="27"/>
      <c r="C264" s="27"/>
      <c r="E264" s="16"/>
      <c r="F264" s="27"/>
      <c r="G264" s="27"/>
      <c r="I264" s="27"/>
      <c r="J264" s="16"/>
      <c r="K264" s="16"/>
      <c r="L264" s="27"/>
      <c r="N264" s="27"/>
      <c r="O264" s="16"/>
      <c r="P264" s="16"/>
      <c r="Q264" s="27"/>
      <c r="S264" s="27"/>
      <c r="T264" s="16"/>
      <c r="U264" s="16"/>
      <c r="V264" s="27"/>
      <c r="X264" s="27"/>
      <c r="Y264" s="16"/>
      <c r="Z264" s="16"/>
      <c r="AA264" s="27"/>
      <c r="AC264" s="27"/>
      <c r="AD264" s="16"/>
      <c r="AE264" s="16"/>
      <c r="AF264" s="27"/>
      <c r="AH264" s="27"/>
      <c r="AI264" s="16"/>
      <c r="AJ264" s="16"/>
      <c r="AK264" s="27"/>
      <c r="AM264" s="27"/>
      <c r="AN264" s="16"/>
      <c r="AO264" s="16"/>
      <c r="AP264" s="27"/>
      <c r="AR264" s="27"/>
      <c r="AS264" s="16"/>
      <c r="AT264" s="16"/>
      <c r="AU264" s="27"/>
      <c r="AW264" s="27"/>
      <c r="AX264" s="16"/>
      <c r="AY264" s="16"/>
      <c r="AZ264" s="27"/>
      <c r="BB264" s="27"/>
      <c r="BC264" s="16"/>
      <c r="BD264" s="16"/>
      <c r="BE264" s="27"/>
      <c r="BG264" s="27"/>
      <c r="BH264" s="16"/>
      <c r="BI264" s="16"/>
      <c r="BJ264" s="27"/>
      <c r="BL264" s="27"/>
      <c r="BM264" s="16"/>
      <c r="BN264" s="16"/>
      <c r="BO264" s="27"/>
      <c r="BQ264" s="27"/>
      <c r="BR264" s="16"/>
      <c r="BS264" s="16"/>
      <c r="BT264" s="27"/>
      <c r="BV264" s="27"/>
      <c r="BW264" s="16"/>
      <c r="BX264" s="16"/>
      <c r="BY264" s="27"/>
      <c r="CA264" s="27"/>
      <c r="CB264" s="16"/>
      <c r="CC264" s="16"/>
      <c r="CD264" s="27"/>
      <c r="CF264" s="27"/>
      <c r="CG264" s="16"/>
      <c r="CH264" s="16"/>
      <c r="CI264" s="27"/>
      <c r="CK264" s="27"/>
      <c r="CL264" s="16"/>
      <c r="CM264" s="16"/>
      <c r="CN264" s="27"/>
      <c r="CP264" s="27"/>
      <c r="CQ264" s="16"/>
      <c r="CR264" s="16"/>
      <c r="CS264" s="27"/>
      <c r="CU264" s="27"/>
      <c r="CV264" s="16"/>
      <c r="CW264" s="16"/>
      <c r="CX264" s="27"/>
      <c r="CZ264" s="27"/>
      <c r="DA264" s="16"/>
      <c r="DB264" s="16"/>
      <c r="DC264" s="27"/>
      <c r="DE264" s="27"/>
      <c r="DF264" s="16"/>
      <c r="DG264" s="16"/>
      <c r="DH264" s="27"/>
      <c r="DJ264" s="27"/>
      <c r="DK264" s="16"/>
      <c r="DL264" s="16"/>
      <c r="DM264" s="27"/>
      <c r="DO264" s="27"/>
      <c r="DP264" s="16"/>
      <c r="DQ264" s="16"/>
      <c r="DR264" s="27"/>
      <c r="DT264" s="27"/>
      <c r="DU264" s="16"/>
      <c r="DV264" s="16"/>
      <c r="DW264" s="27"/>
      <c r="DY264" s="27"/>
      <c r="DZ264" s="16"/>
      <c r="EA264" s="16"/>
      <c r="EB264" s="302"/>
    </row>
    <row r="265" spans="1:132" s="14" customFormat="1" ht="21" x14ac:dyDescent="0.4">
      <c r="A265" s="27"/>
      <c r="B265" s="27"/>
      <c r="C265" s="27"/>
      <c r="E265" s="16"/>
      <c r="F265" s="27"/>
      <c r="G265" s="27"/>
      <c r="I265" s="27"/>
      <c r="J265" s="16"/>
      <c r="K265" s="16"/>
      <c r="L265" s="27"/>
      <c r="N265" s="27"/>
      <c r="O265" s="16"/>
      <c r="P265" s="16"/>
      <c r="Q265" s="27"/>
      <c r="S265" s="27"/>
      <c r="T265" s="16"/>
      <c r="U265" s="16"/>
      <c r="V265" s="27"/>
      <c r="X265" s="27"/>
      <c r="Y265" s="16"/>
      <c r="Z265" s="16"/>
      <c r="AA265" s="27"/>
      <c r="AC265" s="27"/>
      <c r="AD265" s="16"/>
      <c r="AE265" s="16"/>
      <c r="AF265" s="27"/>
      <c r="AH265" s="27"/>
      <c r="AI265" s="16"/>
      <c r="AJ265" s="16"/>
      <c r="AK265" s="27"/>
      <c r="AM265" s="27"/>
      <c r="AN265" s="16"/>
      <c r="AO265" s="16"/>
      <c r="AP265" s="27"/>
      <c r="AR265" s="27"/>
      <c r="AS265" s="16"/>
      <c r="AT265" s="16"/>
      <c r="AU265" s="27"/>
      <c r="AW265" s="27"/>
      <c r="AX265" s="16"/>
      <c r="AY265" s="16"/>
      <c r="AZ265" s="27"/>
      <c r="BB265" s="27"/>
      <c r="BC265" s="16"/>
      <c r="BD265" s="16"/>
      <c r="BE265" s="27"/>
      <c r="BG265" s="27"/>
      <c r="BH265" s="16"/>
      <c r="BI265" s="16"/>
      <c r="BJ265" s="27"/>
      <c r="BL265" s="27"/>
      <c r="BM265" s="16"/>
      <c r="BN265" s="16"/>
      <c r="BO265" s="27"/>
      <c r="BQ265" s="27"/>
      <c r="BR265" s="16"/>
      <c r="BS265" s="16"/>
      <c r="BT265" s="27"/>
      <c r="BV265" s="27"/>
      <c r="BW265" s="16"/>
      <c r="BX265" s="16"/>
      <c r="BY265" s="27"/>
      <c r="CA265" s="27"/>
      <c r="CB265" s="16"/>
      <c r="CC265" s="16"/>
      <c r="CD265" s="27"/>
      <c r="CF265" s="27"/>
      <c r="CG265" s="16"/>
      <c r="CH265" s="16"/>
      <c r="CI265" s="27"/>
      <c r="CK265" s="27"/>
      <c r="CL265" s="16"/>
      <c r="CM265" s="16"/>
      <c r="CN265" s="27"/>
      <c r="CP265" s="27"/>
      <c r="CQ265" s="16"/>
      <c r="CR265" s="16"/>
      <c r="CS265" s="27"/>
      <c r="CU265" s="27"/>
      <c r="CV265" s="16"/>
      <c r="CW265" s="16"/>
      <c r="CX265" s="27"/>
      <c r="CZ265" s="27"/>
      <c r="DA265" s="16"/>
      <c r="DB265" s="16"/>
      <c r="DC265" s="27"/>
      <c r="DE265" s="27"/>
      <c r="DF265" s="16"/>
      <c r="DG265" s="16"/>
      <c r="DH265" s="27"/>
      <c r="DJ265" s="27"/>
      <c r="DK265" s="16"/>
      <c r="DL265" s="16"/>
      <c r="DM265" s="27"/>
      <c r="DO265" s="27"/>
      <c r="DP265" s="16"/>
      <c r="DQ265" s="16"/>
      <c r="DR265" s="27"/>
      <c r="DT265" s="27"/>
      <c r="DU265" s="16"/>
      <c r="DV265" s="16"/>
      <c r="DW265" s="27"/>
      <c r="DY265" s="27"/>
      <c r="DZ265" s="16"/>
      <c r="EA265" s="16"/>
      <c r="EB265" s="302"/>
    </row>
    <row r="266" spans="1:132" s="14" customFormat="1" ht="21" x14ac:dyDescent="0.4">
      <c r="A266" s="27"/>
      <c r="B266" s="27"/>
      <c r="C266" s="27"/>
      <c r="E266" s="16"/>
      <c r="F266" s="27"/>
      <c r="G266" s="27"/>
      <c r="I266" s="27"/>
      <c r="J266" s="16"/>
      <c r="K266" s="16"/>
      <c r="L266" s="27"/>
      <c r="N266" s="27"/>
      <c r="O266" s="16"/>
      <c r="P266" s="16"/>
      <c r="Q266" s="27"/>
      <c r="S266" s="27"/>
      <c r="T266" s="16"/>
      <c r="U266" s="16"/>
      <c r="V266" s="27"/>
      <c r="X266" s="27"/>
      <c r="Y266" s="16"/>
      <c r="Z266" s="16"/>
      <c r="AA266" s="27"/>
      <c r="AC266" s="27"/>
      <c r="AD266" s="16"/>
      <c r="AE266" s="16"/>
      <c r="AF266" s="27"/>
      <c r="AH266" s="27"/>
      <c r="AI266" s="16"/>
      <c r="AJ266" s="16"/>
      <c r="AK266" s="27"/>
      <c r="AM266" s="27"/>
      <c r="AN266" s="16"/>
      <c r="AO266" s="16"/>
      <c r="AP266" s="27"/>
      <c r="AR266" s="27"/>
      <c r="AS266" s="16"/>
      <c r="AT266" s="16"/>
      <c r="AU266" s="27"/>
      <c r="AW266" s="27"/>
      <c r="AX266" s="16"/>
      <c r="AY266" s="16"/>
      <c r="AZ266" s="27"/>
      <c r="BB266" s="27"/>
      <c r="BC266" s="16"/>
      <c r="BD266" s="16"/>
      <c r="BE266" s="27"/>
      <c r="BG266" s="27"/>
      <c r="BH266" s="16"/>
      <c r="BI266" s="16"/>
      <c r="BJ266" s="27"/>
      <c r="BL266" s="27"/>
      <c r="BM266" s="16"/>
      <c r="BN266" s="16"/>
      <c r="BO266" s="27"/>
      <c r="BQ266" s="27"/>
      <c r="BR266" s="16"/>
      <c r="BS266" s="16"/>
      <c r="BT266" s="27"/>
      <c r="BV266" s="27"/>
      <c r="BW266" s="16"/>
      <c r="BX266" s="16"/>
      <c r="BY266" s="27"/>
      <c r="CA266" s="27"/>
      <c r="CB266" s="16"/>
      <c r="CC266" s="16"/>
      <c r="CD266" s="27"/>
      <c r="CF266" s="27"/>
      <c r="CG266" s="16"/>
      <c r="CH266" s="16"/>
      <c r="CI266" s="27"/>
      <c r="CK266" s="27"/>
      <c r="CL266" s="16"/>
      <c r="CM266" s="16"/>
      <c r="CN266" s="27"/>
      <c r="CP266" s="27"/>
      <c r="CQ266" s="16"/>
      <c r="CR266" s="16"/>
      <c r="CS266" s="27"/>
      <c r="CU266" s="27"/>
      <c r="CV266" s="16"/>
      <c r="CW266" s="16"/>
      <c r="CX266" s="27"/>
      <c r="CZ266" s="27"/>
      <c r="DA266" s="16"/>
      <c r="DB266" s="16"/>
      <c r="DC266" s="27"/>
      <c r="DE266" s="27"/>
      <c r="DF266" s="16"/>
      <c r="DG266" s="16"/>
      <c r="DH266" s="27"/>
      <c r="DJ266" s="27"/>
      <c r="DK266" s="16"/>
      <c r="DL266" s="16"/>
      <c r="DM266" s="27"/>
      <c r="DO266" s="27"/>
      <c r="DP266" s="16"/>
      <c r="DQ266" s="16"/>
      <c r="DR266" s="27"/>
      <c r="DT266" s="27"/>
      <c r="DU266" s="16"/>
      <c r="DV266" s="16"/>
      <c r="DW266" s="27"/>
      <c r="DY266" s="27"/>
      <c r="DZ266" s="16"/>
      <c r="EA266" s="16"/>
      <c r="EB266" s="302"/>
    </row>
    <row r="267" spans="1:132" s="14" customFormat="1" ht="21" x14ac:dyDescent="0.4">
      <c r="A267" s="27"/>
      <c r="B267" s="27"/>
      <c r="C267" s="27"/>
      <c r="E267" s="16"/>
      <c r="F267" s="27"/>
      <c r="G267" s="27"/>
      <c r="I267" s="27"/>
      <c r="J267" s="16"/>
      <c r="K267" s="16"/>
      <c r="L267" s="27"/>
      <c r="N267" s="27"/>
      <c r="O267" s="16"/>
      <c r="P267" s="16"/>
      <c r="Q267" s="27"/>
      <c r="S267" s="27"/>
      <c r="T267" s="16"/>
      <c r="U267" s="16"/>
      <c r="V267" s="27"/>
      <c r="X267" s="27"/>
      <c r="Y267" s="16"/>
      <c r="Z267" s="16"/>
      <c r="AA267" s="27"/>
      <c r="AC267" s="27"/>
      <c r="AD267" s="16"/>
      <c r="AE267" s="16"/>
      <c r="AF267" s="27"/>
      <c r="AH267" s="27"/>
      <c r="AI267" s="16"/>
      <c r="AJ267" s="16"/>
      <c r="AK267" s="27"/>
      <c r="AM267" s="27"/>
      <c r="AN267" s="16"/>
      <c r="AO267" s="16"/>
      <c r="AP267" s="27"/>
      <c r="AR267" s="27"/>
      <c r="AS267" s="16"/>
      <c r="AT267" s="16"/>
      <c r="AU267" s="27"/>
      <c r="AW267" s="27"/>
      <c r="AX267" s="16"/>
      <c r="AY267" s="16"/>
      <c r="AZ267" s="27"/>
      <c r="BB267" s="27"/>
      <c r="BC267" s="16"/>
      <c r="BD267" s="16"/>
      <c r="BE267" s="27"/>
      <c r="BG267" s="27"/>
      <c r="BH267" s="16"/>
      <c r="BI267" s="16"/>
      <c r="BJ267" s="27"/>
      <c r="BL267" s="27"/>
      <c r="BM267" s="16"/>
      <c r="BN267" s="16"/>
      <c r="BO267" s="27"/>
      <c r="BQ267" s="27"/>
      <c r="BR267" s="16"/>
      <c r="BS267" s="16"/>
      <c r="BT267" s="27"/>
      <c r="BV267" s="27"/>
      <c r="BW267" s="16"/>
      <c r="BX267" s="16"/>
      <c r="BY267" s="27"/>
      <c r="CA267" s="27"/>
      <c r="CB267" s="16"/>
      <c r="CC267" s="16"/>
      <c r="CD267" s="27"/>
      <c r="CF267" s="27"/>
      <c r="CG267" s="16"/>
      <c r="CH267" s="16"/>
      <c r="CI267" s="27"/>
      <c r="CK267" s="27"/>
      <c r="CL267" s="16"/>
      <c r="CM267" s="16"/>
      <c r="CN267" s="27"/>
      <c r="CP267" s="27"/>
      <c r="CQ267" s="16"/>
      <c r="CR267" s="16"/>
      <c r="CS267" s="27"/>
      <c r="CU267" s="27"/>
      <c r="CV267" s="16"/>
      <c r="CW267" s="16"/>
      <c r="CX267" s="27"/>
      <c r="CZ267" s="27"/>
      <c r="DA267" s="16"/>
      <c r="DB267" s="16"/>
      <c r="DC267" s="27"/>
      <c r="DE267" s="27"/>
      <c r="DF267" s="16"/>
      <c r="DG267" s="16"/>
      <c r="DH267" s="27"/>
      <c r="DJ267" s="27"/>
      <c r="DK267" s="16"/>
      <c r="DL267" s="16"/>
      <c r="DM267" s="27"/>
      <c r="DO267" s="27"/>
      <c r="DP267" s="16"/>
      <c r="DQ267" s="16"/>
      <c r="DR267" s="27"/>
      <c r="DT267" s="27"/>
      <c r="DU267" s="16"/>
      <c r="DV267" s="16"/>
      <c r="DW267" s="27"/>
      <c r="DY267" s="27"/>
      <c r="DZ267" s="16"/>
      <c r="EA267" s="16"/>
      <c r="EB267" s="302"/>
    </row>
    <row r="268" spans="1:132" s="14" customFormat="1" ht="21" x14ac:dyDescent="0.4">
      <c r="A268" s="27"/>
      <c r="B268" s="27"/>
      <c r="C268" s="27"/>
      <c r="E268" s="16"/>
      <c r="F268" s="27"/>
      <c r="G268" s="27"/>
      <c r="I268" s="27"/>
      <c r="J268" s="16"/>
      <c r="K268" s="16"/>
      <c r="L268" s="27"/>
      <c r="N268" s="27"/>
      <c r="O268" s="16"/>
      <c r="P268" s="16"/>
      <c r="Q268" s="27"/>
      <c r="S268" s="27"/>
      <c r="T268" s="16"/>
      <c r="U268" s="16"/>
      <c r="V268" s="27"/>
      <c r="X268" s="27"/>
      <c r="Y268" s="16"/>
      <c r="Z268" s="16"/>
      <c r="AA268" s="27"/>
      <c r="AC268" s="27"/>
      <c r="AD268" s="16"/>
      <c r="AE268" s="16"/>
      <c r="AF268" s="27"/>
      <c r="AH268" s="27"/>
      <c r="AI268" s="16"/>
      <c r="AJ268" s="16"/>
      <c r="AK268" s="27"/>
      <c r="AM268" s="27"/>
      <c r="AN268" s="16"/>
      <c r="AO268" s="16"/>
      <c r="AP268" s="27"/>
      <c r="AR268" s="27"/>
      <c r="AS268" s="16"/>
      <c r="AT268" s="16"/>
      <c r="AU268" s="27"/>
      <c r="AW268" s="27"/>
      <c r="AX268" s="16"/>
      <c r="AY268" s="16"/>
      <c r="AZ268" s="27"/>
      <c r="BB268" s="27"/>
      <c r="BC268" s="16"/>
      <c r="BD268" s="16"/>
      <c r="BE268" s="27"/>
      <c r="BG268" s="27"/>
      <c r="BH268" s="16"/>
      <c r="BI268" s="16"/>
      <c r="BJ268" s="27"/>
      <c r="BL268" s="27"/>
      <c r="BM268" s="16"/>
      <c r="BN268" s="16"/>
      <c r="BO268" s="27"/>
      <c r="BQ268" s="27"/>
      <c r="BR268" s="16"/>
      <c r="BS268" s="16"/>
      <c r="BT268" s="27"/>
      <c r="BV268" s="27"/>
      <c r="BW268" s="16"/>
      <c r="BX268" s="16"/>
      <c r="BY268" s="27"/>
      <c r="CA268" s="27"/>
      <c r="CB268" s="16"/>
      <c r="CC268" s="16"/>
      <c r="CD268" s="27"/>
      <c r="CF268" s="27"/>
      <c r="CG268" s="16"/>
      <c r="CH268" s="16"/>
      <c r="CI268" s="27"/>
      <c r="CK268" s="27"/>
      <c r="CL268" s="16"/>
      <c r="CM268" s="16"/>
      <c r="CN268" s="27"/>
      <c r="CP268" s="27"/>
      <c r="CQ268" s="16"/>
      <c r="CR268" s="16"/>
      <c r="CS268" s="27"/>
      <c r="CU268" s="27"/>
      <c r="CV268" s="16"/>
      <c r="CW268" s="16"/>
      <c r="CX268" s="27"/>
      <c r="CZ268" s="27"/>
      <c r="DA268" s="16"/>
      <c r="DB268" s="16"/>
      <c r="DC268" s="27"/>
      <c r="DE268" s="27"/>
      <c r="DF268" s="16"/>
      <c r="DG268" s="16"/>
      <c r="DH268" s="27"/>
      <c r="DJ268" s="27"/>
      <c r="DK268" s="16"/>
      <c r="DL268" s="16"/>
      <c r="DM268" s="27"/>
      <c r="DO268" s="27"/>
      <c r="DP268" s="16"/>
      <c r="DQ268" s="16"/>
      <c r="DR268" s="27"/>
      <c r="DT268" s="27"/>
      <c r="DU268" s="16"/>
      <c r="DV268" s="16"/>
      <c r="DW268" s="27"/>
      <c r="DY268" s="27"/>
      <c r="DZ268" s="16"/>
      <c r="EA268" s="16"/>
      <c r="EB268" s="302"/>
    </row>
    <row r="269" spans="1:132" s="14" customFormat="1" ht="21" x14ac:dyDescent="0.4">
      <c r="A269" s="27"/>
      <c r="B269" s="27"/>
      <c r="C269" s="27"/>
      <c r="E269" s="16"/>
      <c r="F269" s="27"/>
      <c r="G269" s="27"/>
      <c r="I269" s="27"/>
      <c r="J269" s="16"/>
      <c r="K269" s="16"/>
      <c r="L269" s="27"/>
      <c r="N269" s="27"/>
      <c r="O269" s="16"/>
      <c r="P269" s="16"/>
      <c r="Q269" s="27"/>
      <c r="S269" s="27"/>
      <c r="T269" s="16"/>
      <c r="U269" s="16"/>
      <c r="V269" s="27"/>
      <c r="X269" s="27"/>
      <c r="Y269" s="16"/>
      <c r="Z269" s="16"/>
      <c r="AA269" s="27"/>
      <c r="AC269" s="27"/>
      <c r="AD269" s="16"/>
      <c r="AE269" s="16"/>
      <c r="AF269" s="27"/>
      <c r="AH269" s="27"/>
      <c r="AI269" s="16"/>
      <c r="AJ269" s="16"/>
      <c r="AK269" s="27"/>
      <c r="AM269" s="27"/>
      <c r="AN269" s="16"/>
      <c r="AO269" s="16"/>
      <c r="AP269" s="27"/>
      <c r="AR269" s="27"/>
      <c r="AS269" s="16"/>
      <c r="AT269" s="16"/>
      <c r="AU269" s="27"/>
      <c r="AW269" s="27"/>
      <c r="AX269" s="16"/>
      <c r="AY269" s="16"/>
      <c r="AZ269" s="27"/>
      <c r="BB269" s="27"/>
      <c r="BC269" s="16"/>
      <c r="BD269" s="16"/>
      <c r="BE269" s="27"/>
      <c r="BG269" s="27"/>
      <c r="BH269" s="16"/>
      <c r="BI269" s="16"/>
      <c r="BJ269" s="27"/>
      <c r="BL269" s="27"/>
      <c r="BM269" s="16"/>
      <c r="BN269" s="16"/>
      <c r="BO269" s="27"/>
      <c r="BQ269" s="27"/>
      <c r="BR269" s="16"/>
      <c r="BS269" s="16"/>
      <c r="BT269" s="27"/>
      <c r="BV269" s="27"/>
      <c r="BW269" s="16"/>
      <c r="BX269" s="16"/>
      <c r="BY269" s="27"/>
      <c r="CA269" s="27"/>
      <c r="CB269" s="16"/>
      <c r="CC269" s="16"/>
      <c r="CD269" s="27"/>
      <c r="CF269" s="27"/>
      <c r="CG269" s="16"/>
      <c r="CH269" s="16"/>
      <c r="CI269" s="27"/>
      <c r="CK269" s="27"/>
      <c r="CL269" s="16"/>
      <c r="CM269" s="16"/>
      <c r="CN269" s="27"/>
      <c r="CP269" s="27"/>
      <c r="CQ269" s="16"/>
      <c r="CR269" s="16"/>
      <c r="CS269" s="27"/>
      <c r="CU269" s="27"/>
      <c r="CV269" s="16"/>
      <c r="CW269" s="16"/>
      <c r="CX269" s="27"/>
      <c r="CZ269" s="27"/>
      <c r="DA269" s="16"/>
      <c r="DB269" s="16"/>
      <c r="DC269" s="27"/>
      <c r="DE269" s="27"/>
      <c r="DF269" s="16"/>
      <c r="DG269" s="16"/>
      <c r="DH269" s="27"/>
      <c r="DJ269" s="27"/>
      <c r="DK269" s="16"/>
      <c r="DL269" s="16"/>
      <c r="DM269" s="27"/>
      <c r="DO269" s="27"/>
      <c r="DP269" s="16"/>
      <c r="DQ269" s="16"/>
      <c r="DR269" s="27"/>
      <c r="DT269" s="27"/>
      <c r="DU269" s="16"/>
      <c r="DV269" s="16"/>
      <c r="DW269" s="27"/>
      <c r="DY269" s="27"/>
      <c r="DZ269" s="16"/>
      <c r="EA269" s="16"/>
      <c r="EB269" s="302"/>
    </row>
    <row r="270" spans="1:132" s="14" customFormat="1" ht="21" x14ac:dyDescent="0.4">
      <c r="A270" s="27"/>
      <c r="B270" s="27"/>
      <c r="C270" s="27"/>
      <c r="E270" s="16"/>
      <c r="F270" s="27"/>
      <c r="G270" s="27"/>
      <c r="I270" s="27"/>
      <c r="J270" s="16"/>
      <c r="K270" s="16"/>
      <c r="L270" s="27"/>
      <c r="N270" s="27"/>
      <c r="O270" s="16"/>
      <c r="P270" s="16"/>
      <c r="Q270" s="27"/>
      <c r="S270" s="27"/>
      <c r="T270" s="16"/>
      <c r="U270" s="16"/>
      <c r="V270" s="27"/>
      <c r="X270" s="27"/>
      <c r="Y270" s="16"/>
      <c r="Z270" s="16"/>
      <c r="AA270" s="27"/>
      <c r="AC270" s="27"/>
      <c r="AD270" s="16"/>
      <c r="AE270" s="16"/>
      <c r="AF270" s="27"/>
      <c r="AH270" s="27"/>
      <c r="AI270" s="16"/>
      <c r="AJ270" s="16"/>
      <c r="AK270" s="27"/>
      <c r="AM270" s="27"/>
      <c r="AN270" s="16"/>
      <c r="AO270" s="16"/>
      <c r="AP270" s="27"/>
      <c r="AR270" s="27"/>
      <c r="AS270" s="16"/>
      <c r="AT270" s="16"/>
      <c r="AU270" s="27"/>
      <c r="AW270" s="27"/>
      <c r="AX270" s="16"/>
      <c r="AY270" s="16"/>
      <c r="AZ270" s="27"/>
      <c r="BB270" s="27"/>
      <c r="BC270" s="16"/>
      <c r="BD270" s="16"/>
      <c r="BE270" s="27"/>
      <c r="BG270" s="27"/>
      <c r="BH270" s="16"/>
      <c r="BI270" s="16"/>
      <c r="BJ270" s="27"/>
      <c r="BL270" s="27"/>
      <c r="BM270" s="16"/>
      <c r="BN270" s="16"/>
      <c r="BO270" s="27"/>
      <c r="BQ270" s="27"/>
      <c r="BR270" s="16"/>
      <c r="BS270" s="16"/>
      <c r="BT270" s="27"/>
      <c r="BV270" s="27"/>
      <c r="BW270" s="16"/>
      <c r="BX270" s="16"/>
      <c r="BY270" s="27"/>
      <c r="CA270" s="27"/>
      <c r="CB270" s="16"/>
      <c r="CC270" s="16"/>
      <c r="CD270" s="27"/>
      <c r="CF270" s="27"/>
      <c r="CG270" s="16"/>
      <c r="CH270" s="16"/>
      <c r="CI270" s="27"/>
      <c r="CK270" s="27"/>
      <c r="CL270" s="16"/>
      <c r="CM270" s="16"/>
      <c r="CN270" s="27"/>
      <c r="CP270" s="27"/>
      <c r="CQ270" s="16"/>
      <c r="CR270" s="16"/>
      <c r="CS270" s="27"/>
      <c r="CU270" s="27"/>
      <c r="CV270" s="16"/>
      <c r="CW270" s="16"/>
      <c r="CX270" s="27"/>
      <c r="CZ270" s="27"/>
      <c r="DA270" s="16"/>
      <c r="DB270" s="16"/>
      <c r="DC270" s="27"/>
      <c r="DE270" s="27"/>
      <c r="DF270" s="16"/>
      <c r="DG270" s="16"/>
      <c r="DH270" s="27"/>
      <c r="DJ270" s="27"/>
      <c r="DK270" s="16"/>
      <c r="DL270" s="16"/>
      <c r="DM270" s="27"/>
      <c r="DO270" s="27"/>
      <c r="DP270" s="16"/>
      <c r="DQ270" s="16"/>
      <c r="DR270" s="27"/>
      <c r="DT270" s="27"/>
      <c r="DU270" s="16"/>
      <c r="DV270" s="16"/>
      <c r="DW270" s="27"/>
      <c r="DY270" s="27"/>
      <c r="DZ270" s="16"/>
      <c r="EA270" s="16"/>
      <c r="EB270" s="302"/>
    </row>
    <row r="271" spans="1:132" s="14" customFormat="1" ht="21" x14ac:dyDescent="0.4">
      <c r="A271" s="27"/>
      <c r="B271" s="27"/>
      <c r="C271" s="27"/>
      <c r="E271" s="16"/>
      <c r="F271" s="27"/>
      <c r="G271" s="27"/>
      <c r="I271" s="27"/>
      <c r="J271" s="16"/>
      <c r="K271" s="16"/>
      <c r="L271" s="27"/>
      <c r="N271" s="27"/>
      <c r="O271" s="16"/>
      <c r="P271" s="16"/>
      <c r="Q271" s="27"/>
      <c r="S271" s="27"/>
      <c r="T271" s="16"/>
      <c r="U271" s="16"/>
      <c r="V271" s="27"/>
      <c r="X271" s="27"/>
      <c r="Y271" s="16"/>
      <c r="Z271" s="16"/>
      <c r="AA271" s="27"/>
      <c r="AC271" s="27"/>
      <c r="AD271" s="16"/>
      <c r="AE271" s="16"/>
      <c r="AF271" s="27"/>
      <c r="AH271" s="27"/>
      <c r="AI271" s="16"/>
      <c r="AJ271" s="16"/>
      <c r="AK271" s="27"/>
      <c r="AM271" s="27"/>
      <c r="AN271" s="16"/>
      <c r="AO271" s="16"/>
      <c r="AP271" s="27"/>
      <c r="AR271" s="27"/>
      <c r="AS271" s="16"/>
      <c r="AT271" s="16"/>
      <c r="AU271" s="27"/>
      <c r="AW271" s="27"/>
      <c r="AX271" s="16"/>
      <c r="AY271" s="16"/>
      <c r="AZ271" s="27"/>
      <c r="BB271" s="27"/>
      <c r="BC271" s="16"/>
      <c r="BD271" s="16"/>
      <c r="BE271" s="27"/>
      <c r="BG271" s="27"/>
      <c r="BH271" s="16"/>
      <c r="BI271" s="16"/>
      <c r="BJ271" s="27"/>
      <c r="BL271" s="27"/>
      <c r="BM271" s="16"/>
      <c r="BN271" s="16"/>
      <c r="BO271" s="27"/>
      <c r="BQ271" s="27"/>
      <c r="BR271" s="16"/>
      <c r="BS271" s="16"/>
      <c r="BT271" s="27"/>
      <c r="BV271" s="27"/>
      <c r="BW271" s="16"/>
      <c r="BX271" s="16"/>
      <c r="BY271" s="27"/>
      <c r="CA271" s="27"/>
      <c r="CB271" s="16"/>
      <c r="CC271" s="16"/>
      <c r="CD271" s="27"/>
      <c r="CF271" s="27"/>
      <c r="CG271" s="16"/>
      <c r="CH271" s="16"/>
      <c r="CI271" s="27"/>
      <c r="CK271" s="27"/>
      <c r="CL271" s="16"/>
      <c r="CM271" s="16"/>
      <c r="CN271" s="27"/>
      <c r="CP271" s="27"/>
      <c r="CQ271" s="16"/>
      <c r="CR271" s="16"/>
      <c r="CS271" s="27"/>
      <c r="CU271" s="27"/>
      <c r="CV271" s="16"/>
      <c r="CW271" s="16"/>
      <c r="CX271" s="27"/>
      <c r="CZ271" s="27"/>
      <c r="DA271" s="16"/>
      <c r="DB271" s="16"/>
      <c r="DC271" s="27"/>
      <c r="DE271" s="27"/>
      <c r="DF271" s="16"/>
      <c r="DG271" s="16"/>
      <c r="DH271" s="27"/>
      <c r="DJ271" s="27"/>
      <c r="DK271" s="16"/>
      <c r="DL271" s="16"/>
      <c r="DM271" s="27"/>
      <c r="DO271" s="27"/>
      <c r="DP271" s="16"/>
      <c r="DQ271" s="16"/>
      <c r="DR271" s="27"/>
      <c r="DT271" s="27"/>
      <c r="DU271" s="16"/>
      <c r="DV271" s="16"/>
      <c r="DW271" s="27"/>
      <c r="DY271" s="27"/>
      <c r="DZ271" s="16"/>
      <c r="EA271" s="16"/>
      <c r="EB271" s="302"/>
    </row>
    <row r="272" spans="1:132" s="14" customFormat="1" ht="21" x14ac:dyDescent="0.4">
      <c r="A272" s="27"/>
      <c r="B272" s="27"/>
      <c r="C272" s="27"/>
      <c r="E272" s="16"/>
      <c r="F272" s="27"/>
      <c r="G272" s="27"/>
      <c r="I272" s="27"/>
      <c r="J272" s="16"/>
      <c r="K272" s="16"/>
      <c r="L272" s="27"/>
      <c r="N272" s="27"/>
      <c r="O272" s="16"/>
      <c r="P272" s="16"/>
      <c r="Q272" s="27"/>
      <c r="S272" s="27"/>
      <c r="T272" s="16"/>
      <c r="U272" s="16"/>
      <c r="V272" s="27"/>
      <c r="X272" s="27"/>
      <c r="Y272" s="16"/>
      <c r="Z272" s="16"/>
      <c r="AA272" s="27"/>
      <c r="AC272" s="27"/>
      <c r="AD272" s="16"/>
      <c r="AE272" s="16"/>
      <c r="AF272" s="27"/>
      <c r="AH272" s="27"/>
      <c r="AI272" s="16"/>
      <c r="AJ272" s="16"/>
      <c r="AK272" s="27"/>
      <c r="AM272" s="27"/>
      <c r="AN272" s="16"/>
      <c r="AO272" s="16"/>
      <c r="AP272" s="27"/>
      <c r="AR272" s="27"/>
      <c r="AS272" s="16"/>
      <c r="AT272" s="16"/>
      <c r="AU272" s="27"/>
      <c r="AW272" s="27"/>
      <c r="AX272" s="16"/>
      <c r="AY272" s="16"/>
      <c r="AZ272" s="27"/>
      <c r="BB272" s="27"/>
      <c r="BC272" s="16"/>
      <c r="BD272" s="16"/>
      <c r="BE272" s="27"/>
      <c r="BG272" s="27"/>
      <c r="BH272" s="16"/>
      <c r="BI272" s="16"/>
      <c r="BJ272" s="27"/>
      <c r="BL272" s="27"/>
      <c r="BM272" s="16"/>
      <c r="BN272" s="16"/>
      <c r="BO272" s="27"/>
      <c r="BQ272" s="27"/>
      <c r="BR272" s="16"/>
      <c r="BS272" s="16"/>
      <c r="BT272" s="27"/>
      <c r="BV272" s="27"/>
      <c r="BW272" s="16"/>
      <c r="BX272" s="16"/>
      <c r="BY272" s="27"/>
      <c r="CA272" s="27"/>
      <c r="CB272" s="16"/>
      <c r="CC272" s="16"/>
      <c r="CD272" s="27"/>
      <c r="CF272" s="27"/>
      <c r="CG272" s="16"/>
      <c r="CH272" s="16"/>
      <c r="CI272" s="27"/>
      <c r="CK272" s="27"/>
      <c r="CL272" s="16"/>
      <c r="CM272" s="16"/>
      <c r="CN272" s="27"/>
      <c r="CP272" s="27"/>
      <c r="CQ272" s="16"/>
      <c r="CR272" s="16"/>
      <c r="CS272" s="27"/>
      <c r="CU272" s="27"/>
      <c r="CV272" s="16"/>
      <c r="CW272" s="16"/>
      <c r="CX272" s="27"/>
      <c r="CZ272" s="27"/>
      <c r="DA272" s="16"/>
      <c r="DB272" s="16"/>
      <c r="DC272" s="27"/>
      <c r="DE272" s="27"/>
      <c r="DF272" s="16"/>
      <c r="DG272" s="16"/>
      <c r="DH272" s="27"/>
      <c r="DJ272" s="27"/>
      <c r="DK272" s="16"/>
      <c r="DL272" s="16"/>
      <c r="DM272" s="27"/>
      <c r="DO272" s="27"/>
      <c r="DP272" s="16"/>
      <c r="DQ272" s="16"/>
      <c r="DR272" s="27"/>
      <c r="DT272" s="27"/>
      <c r="DU272" s="16"/>
      <c r="DV272" s="16"/>
      <c r="DW272" s="27"/>
      <c r="DY272" s="27"/>
      <c r="DZ272" s="16"/>
      <c r="EA272" s="16"/>
      <c r="EB272" s="302"/>
    </row>
    <row r="273" spans="1:132" s="14" customFormat="1" ht="21" x14ac:dyDescent="0.4">
      <c r="A273" s="27"/>
      <c r="B273" s="27"/>
      <c r="C273" s="27"/>
      <c r="E273" s="16"/>
      <c r="F273" s="27"/>
      <c r="G273" s="27"/>
      <c r="I273" s="27"/>
      <c r="J273" s="16"/>
      <c r="K273" s="16"/>
      <c r="L273" s="27"/>
      <c r="N273" s="27"/>
      <c r="O273" s="16"/>
      <c r="P273" s="16"/>
      <c r="Q273" s="27"/>
      <c r="S273" s="27"/>
      <c r="T273" s="16"/>
      <c r="U273" s="16"/>
      <c r="V273" s="27"/>
      <c r="X273" s="27"/>
      <c r="Y273" s="16"/>
      <c r="Z273" s="16"/>
      <c r="AA273" s="27"/>
      <c r="AC273" s="27"/>
      <c r="AD273" s="16"/>
      <c r="AE273" s="16"/>
      <c r="AF273" s="27"/>
      <c r="AH273" s="27"/>
      <c r="AI273" s="16"/>
      <c r="AJ273" s="16"/>
      <c r="AK273" s="27"/>
      <c r="AM273" s="27"/>
      <c r="AN273" s="16"/>
      <c r="AO273" s="16"/>
      <c r="AP273" s="27"/>
      <c r="AR273" s="27"/>
      <c r="AS273" s="16"/>
      <c r="AT273" s="16"/>
      <c r="AU273" s="27"/>
      <c r="AW273" s="27"/>
      <c r="AX273" s="16"/>
      <c r="AY273" s="16"/>
      <c r="AZ273" s="27"/>
      <c r="BB273" s="27"/>
      <c r="BC273" s="16"/>
      <c r="BD273" s="16"/>
      <c r="BE273" s="27"/>
      <c r="BG273" s="27"/>
      <c r="BH273" s="16"/>
      <c r="BI273" s="16"/>
      <c r="BJ273" s="27"/>
      <c r="BL273" s="27"/>
      <c r="BM273" s="16"/>
      <c r="BN273" s="16"/>
      <c r="BO273" s="27"/>
      <c r="BQ273" s="27"/>
      <c r="BR273" s="16"/>
      <c r="BS273" s="16"/>
      <c r="BT273" s="27"/>
      <c r="BV273" s="27"/>
      <c r="BW273" s="16"/>
      <c r="BX273" s="16"/>
      <c r="BY273" s="27"/>
      <c r="CA273" s="27"/>
      <c r="CB273" s="16"/>
      <c r="CC273" s="16"/>
      <c r="CD273" s="27"/>
      <c r="CF273" s="27"/>
      <c r="CG273" s="16"/>
      <c r="CH273" s="16"/>
      <c r="CI273" s="27"/>
      <c r="CK273" s="27"/>
      <c r="CL273" s="16"/>
      <c r="CM273" s="16"/>
      <c r="CN273" s="27"/>
      <c r="CP273" s="27"/>
      <c r="CQ273" s="16"/>
      <c r="CR273" s="16"/>
      <c r="CS273" s="27"/>
      <c r="CU273" s="27"/>
      <c r="CV273" s="16"/>
      <c r="CW273" s="16"/>
      <c r="CX273" s="27"/>
      <c r="CZ273" s="27"/>
      <c r="DA273" s="16"/>
      <c r="DB273" s="16"/>
      <c r="DC273" s="27"/>
      <c r="DE273" s="27"/>
      <c r="DF273" s="16"/>
      <c r="DG273" s="16"/>
      <c r="DH273" s="27"/>
      <c r="DJ273" s="27"/>
      <c r="DK273" s="16"/>
      <c r="DL273" s="16"/>
      <c r="DM273" s="27"/>
      <c r="DO273" s="27"/>
      <c r="DP273" s="16"/>
      <c r="DQ273" s="16"/>
      <c r="DR273" s="27"/>
      <c r="DT273" s="27"/>
      <c r="DU273" s="16"/>
      <c r="DV273" s="16"/>
      <c r="DW273" s="27"/>
      <c r="DY273" s="27"/>
      <c r="DZ273" s="16"/>
      <c r="EA273" s="16"/>
      <c r="EB273" s="302"/>
    </row>
    <row r="274" spans="1:132" s="14" customFormat="1" ht="21" x14ac:dyDescent="0.4">
      <c r="A274" s="27"/>
      <c r="B274" s="27"/>
      <c r="C274" s="27"/>
      <c r="E274" s="16"/>
      <c r="F274" s="27"/>
      <c r="G274" s="27"/>
      <c r="I274" s="27"/>
      <c r="J274" s="16"/>
      <c r="K274" s="16"/>
      <c r="L274" s="27"/>
      <c r="N274" s="27"/>
      <c r="O274" s="16"/>
      <c r="P274" s="16"/>
      <c r="Q274" s="27"/>
      <c r="S274" s="27"/>
      <c r="T274" s="16"/>
      <c r="U274" s="16"/>
      <c r="V274" s="27"/>
      <c r="X274" s="27"/>
      <c r="Y274" s="16"/>
      <c r="Z274" s="16"/>
      <c r="AA274" s="27"/>
      <c r="AC274" s="27"/>
      <c r="AD274" s="16"/>
      <c r="AE274" s="16"/>
      <c r="AF274" s="27"/>
      <c r="AH274" s="27"/>
      <c r="AI274" s="16"/>
      <c r="AJ274" s="16"/>
      <c r="AK274" s="27"/>
      <c r="AM274" s="27"/>
      <c r="AN274" s="16"/>
      <c r="AO274" s="16"/>
      <c r="AP274" s="27"/>
      <c r="AR274" s="27"/>
      <c r="AS274" s="16"/>
      <c r="AT274" s="16"/>
      <c r="AU274" s="27"/>
      <c r="AW274" s="27"/>
      <c r="AX274" s="16"/>
      <c r="AY274" s="16"/>
      <c r="AZ274" s="27"/>
      <c r="BB274" s="27"/>
      <c r="BC274" s="16"/>
      <c r="BD274" s="16"/>
      <c r="BE274" s="27"/>
      <c r="BG274" s="27"/>
      <c r="BH274" s="16"/>
      <c r="BI274" s="16"/>
      <c r="BJ274" s="27"/>
      <c r="BL274" s="27"/>
      <c r="BM274" s="16"/>
      <c r="BN274" s="16"/>
      <c r="BO274" s="27"/>
      <c r="BQ274" s="27"/>
      <c r="BR274" s="16"/>
      <c r="BS274" s="16"/>
      <c r="BT274" s="27"/>
      <c r="BV274" s="27"/>
      <c r="BW274" s="16"/>
      <c r="BX274" s="16"/>
      <c r="BY274" s="27"/>
      <c r="CA274" s="27"/>
      <c r="CB274" s="16"/>
      <c r="CC274" s="16"/>
      <c r="CD274" s="27"/>
      <c r="CF274" s="27"/>
      <c r="CG274" s="16"/>
      <c r="CH274" s="16"/>
      <c r="CI274" s="27"/>
      <c r="CK274" s="27"/>
      <c r="CL274" s="16"/>
      <c r="CM274" s="16"/>
      <c r="CN274" s="27"/>
      <c r="CP274" s="27"/>
      <c r="CQ274" s="16"/>
      <c r="CR274" s="16"/>
      <c r="CS274" s="27"/>
      <c r="CU274" s="27"/>
      <c r="CV274" s="16"/>
      <c r="CW274" s="16"/>
      <c r="CX274" s="27"/>
      <c r="CZ274" s="27"/>
      <c r="DA274" s="16"/>
      <c r="DB274" s="16"/>
      <c r="DC274" s="27"/>
      <c r="DE274" s="27"/>
      <c r="DF274" s="16"/>
      <c r="DG274" s="16"/>
      <c r="DH274" s="27"/>
      <c r="DJ274" s="27"/>
      <c r="DK274" s="16"/>
      <c r="DL274" s="16"/>
      <c r="DM274" s="27"/>
      <c r="DO274" s="27"/>
      <c r="DP274" s="16"/>
      <c r="DQ274" s="16"/>
      <c r="DR274" s="27"/>
      <c r="DT274" s="27"/>
      <c r="DU274" s="16"/>
      <c r="DV274" s="16"/>
      <c r="DW274" s="27"/>
      <c r="DY274" s="27"/>
      <c r="DZ274" s="16"/>
      <c r="EA274" s="16"/>
      <c r="EB274" s="302"/>
    </row>
    <row r="275" spans="1:132" s="14" customFormat="1" ht="21" x14ac:dyDescent="0.4">
      <c r="A275" s="27"/>
      <c r="B275" s="27"/>
      <c r="C275" s="27"/>
      <c r="E275" s="16"/>
      <c r="F275" s="27"/>
      <c r="G275" s="27"/>
      <c r="I275" s="27"/>
      <c r="J275" s="16"/>
      <c r="K275" s="16"/>
      <c r="L275" s="27"/>
      <c r="N275" s="27"/>
      <c r="O275" s="16"/>
      <c r="P275" s="16"/>
      <c r="Q275" s="27"/>
      <c r="S275" s="27"/>
      <c r="T275" s="16"/>
      <c r="U275" s="16"/>
      <c r="V275" s="27"/>
      <c r="X275" s="27"/>
      <c r="Y275" s="16"/>
      <c r="Z275" s="16"/>
      <c r="AA275" s="27"/>
      <c r="AC275" s="27"/>
      <c r="AD275" s="16"/>
      <c r="AE275" s="16"/>
      <c r="AF275" s="27"/>
      <c r="AH275" s="27"/>
      <c r="AI275" s="16"/>
      <c r="AJ275" s="16"/>
      <c r="AK275" s="27"/>
      <c r="AM275" s="27"/>
      <c r="AN275" s="16"/>
      <c r="AO275" s="16"/>
      <c r="AP275" s="27"/>
      <c r="AR275" s="27"/>
      <c r="AS275" s="16"/>
      <c r="AT275" s="16"/>
      <c r="AU275" s="27"/>
      <c r="AW275" s="27"/>
      <c r="AX275" s="16"/>
      <c r="AY275" s="16"/>
      <c r="AZ275" s="27"/>
      <c r="BB275" s="27"/>
      <c r="BC275" s="16"/>
      <c r="BD275" s="16"/>
      <c r="BE275" s="27"/>
      <c r="BG275" s="27"/>
      <c r="BH275" s="16"/>
      <c r="BI275" s="16"/>
      <c r="BJ275" s="27"/>
      <c r="BL275" s="27"/>
      <c r="BM275" s="16"/>
      <c r="BN275" s="16"/>
      <c r="BO275" s="27"/>
      <c r="BQ275" s="27"/>
      <c r="BR275" s="16"/>
      <c r="BS275" s="16"/>
      <c r="BT275" s="27"/>
      <c r="BV275" s="27"/>
      <c r="BW275" s="16"/>
      <c r="BX275" s="16"/>
      <c r="BY275" s="27"/>
      <c r="CA275" s="27"/>
      <c r="CB275" s="16"/>
      <c r="CC275" s="16"/>
      <c r="CD275" s="27"/>
      <c r="CF275" s="27"/>
      <c r="CG275" s="16"/>
      <c r="CH275" s="16"/>
      <c r="CI275" s="27"/>
      <c r="CK275" s="27"/>
      <c r="CL275" s="16"/>
      <c r="CM275" s="16"/>
      <c r="CN275" s="27"/>
      <c r="CP275" s="27"/>
      <c r="CQ275" s="16"/>
      <c r="CR275" s="16"/>
      <c r="CS275" s="27"/>
      <c r="CU275" s="27"/>
      <c r="CV275" s="16"/>
      <c r="CW275" s="16"/>
      <c r="CX275" s="27"/>
      <c r="CZ275" s="27"/>
      <c r="DA275" s="16"/>
      <c r="DB275" s="16"/>
      <c r="DC275" s="27"/>
      <c r="DE275" s="27"/>
      <c r="DF275" s="16"/>
      <c r="DG275" s="16"/>
      <c r="DH275" s="27"/>
      <c r="DJ275" s="27"/>
      <c r="DK275" s="16"/>
      <c r="DL275" s="16"/>
      <c r="DM275" s="27"/>
      <c r="DO275" s="27"/>
      <c r="DP275" s="16"/>
      <c r="DQ275" s="16"/>
      <c r="DR275" s="27"/>
      <c r="DT275" s="27"/>
      <c r="DU275" s="16"/>
      <c r="DV275" s="16"/>
      <c r="DW275" s="27"/>
      <c r="DY275" s="27"/>
      <c r="DZ275" s="16"/>
      <c r="EA275" s="16"/>
      <c r="EB275" s="302"/>
    </row>
    <row r="276" spans="1:132" s="14" customFormat="1" ht="21" x14ac:dyDescent="0.4">
      <c r="A276" s="27"/>
      <c r="B276" s="27"/>
      <c r="C276" s="27"/>
      <c r="E276" s="16"/>
      <c r="F276" s="27"/>
      <c r="G276" s="27"/>
      <c r="I276" s="27"/>
      <c r="J276" s="16"/>
      <c r="K276" s="16"/>
      <c r="L276" s="27"/>
      <c r="N276" s="27"/>
      <c r="O276" s="16"/>
      <c r="P276" s="16"/>
      <c r="Q276" s="27"/>
      <c r="S276" s="27"/>
      <c r="T276" s="16"/>
      <c r="U276" s="16"/>
      <c r="V276" s="27"/>
      <c r="X276" s="27"/>
      <c r="Y276" s="16"/>
      <c r="Z276" s="16"/>
      <c r="AA276" s="27"/>
      <c r="AC276" s="27"/>
      <c r="AD276" s="16"/>
      <c r="AE276" s="16"/>
      <c r="AF276" s="27"/>
      <c r="AH276" s="27"/>
      <c r="AI276" s="16"/>
      <c r="AJ276" s="16"/>
      <c r="AK276" s="27"/>
      <c r="AM276" s="27"/>
      <c r="AN276" s="16"/>
      <c r="AO276" s="16"/>
      <c r="AP276" s="27"/>
      <c r="AR276" s="27"/>
      <c r="AS276" s="16"/>
      <c r="AT276" s="16"/>
      <c r="AU276" s="27"/>
      <c r="AW276" s="27"/>
      <c r="AX276" s="16"/>
      <c r="AY276" s="16"/>
      <c r="AZ276" s="27"/>
      <c r="BB276" s="27"/>
      <c r="BC276" s="16"/>
      <c r="BD276" s="16"/>
      <c r="BE276" s="27"/>
      <c r="BG276" s="27"/>
      <c r="BH276" s="16"/>
      <c r="BI276" s="16"/>
      <c r="BJ276" s="27"/>
      <c r="BL276" s="27"/>
      <c r="BM276" s="16"/>
      <c r="BN276" s="16"/>
      <c r="BO276" s="27"/>
      <c r="BQ276" s="27"/>
      <c r="BR276" s="16"/>
      <c r="BS276" s="16"/>
      <c r="BT276" s="27"/>
      <c r="BV276" s="27"/>
      <c r="BW276" s="16"/>
      <c r="BX276" s="16"/>
      <c r="BY276" s="27"/>
      <c r="CA276" s="27"/>
      <c r="CB276" s="16"/>
      <c r="CC276" s="16"/>
      <c r="CD276" s="27"/>
      <c r="CF276" s="27"/>
      <c r="CG276" s="16"/>
      <c r="CH276" s="16"/>
      <c r="CI276" s="27"/>
      <c r="CK276" s="27"/>
      <c r="CL276" s="16"/>
      <c r="CM276" s="16"/>
      <c r="CN276" s="27"/>
      <c r="CP276" s="27"/>
      <c r="CQ276" s="16"/>
      <c r="CR276" s="16"/>
      <c r="CS276" s="27"/>
      <c r="CU276" s="27"/>
      <c r="CV276" s="16"/>
      <c r="CW276" s="16"/>
      <c r="CX276" s="27"/>
      <c r="CZ276" s="27"/>
      <c r="DA276" s="16"/>
      <c r="DB276" s="16"/>
      <c r="DC276" s="27"/>
      <c r="DE276" s="27"/>
      <c r="DF276" s="16"/>
      <c r="DG276" s="16"/>
      <c r="DH276" s="27"/>
      <c r="DJ276" s="27"/>
      <c r="DK276" s="16"/>
      <c r="DL276" s="16"/>
      <c r="DM276" s="27"/>
      <c r="DO276" s="27"/>
      <c r="DP276" s="16"/>
      <c r="DQ276" s="16"/>
      <c r="DR276" s="27"/>
      <c r="DT276" s="27"/>
      <c r="DU276" s="16"/>
      <c r="DV276" s="16"/>
      <c r="DW276" s="27"/>
      <c r="DY276" s="27"/>
      <c r="DZ276" s="16"/>
      <c r="EA276" s="16"/>
      <c r="EB276" s="302"/>
    </row>
    <row r="277" spans="1:132" s="14" customFormat="1" ht="21" x14ac:dyDescent="0.4">
      <c r="A277" s="27"/>
      <c r="B277" s="27"/>
      <c r="C277" s="27"/>
      <c r="E277" s="16"/>
      <c r="F277" s="27"/>
      <c r="G277" s="27"/>
      <c r="I277" s="27"/>
      <c r="J277" s="16"/>
      <c r="K277" s="16"/>
      <c r="L277" s="27"/>
      <c r="N277" s="27"/>
      <c r="O277" s="16"/>
      <c r="P277" s="16"/>
      <c r="Q277" s="27"/>
      <c r="S277" s="27"/>
      <c r="T277" s="16"/>
      <c r="U277" s="16"/>
      <c r="V277" s="27"/>
      <c r="X277" s="27"/>
      <c r="Y277" s="16"/>
      <c r="Z277" s="16"/>
      <c r="AA277" s="27"/>
      <c r="AC277" s="27"/>
      <c r="AD277" s="16"/>
      <c r="AE277" s="16"/>
      <c r="AF277" s="27"/>
      <c r="AH277" s="27"/>
      <c r="AI277" s="16"/>
      <c r="AJ277" s="16"/>
      <c r="AK277" s="27"/>
      <c r="AM277" s="27"/>
      <c r="AN277" s="16"/>
      <c r="AO277" s="16"/>
      <c r="AP277" s="27"/>
      <c r="AR277" s="27"/>
      <c r="AS277" s="16"/>
      <c r="AT277" s="16"/>
      <c r="AU277" s="27"/>
      <c r="AW277" s="27"/>
      <c r="AX277" s="16"/>
      <c r="AY277" s="16"/>
      <c r="AZ277" s="27"/>
      <c r="BB277" s="27"/>
      <c r="BC277" s="16"/>
      <c r="BD277" s="16"/>
      <c r="BE277" s="27"/>
      <c r="BG277" s="27"/>
      <c r="BH277" s="16"/>
      <c r="BI277" s="16"/>
      <c r="BJ277" s="27"/>
      <c r="BL277" s="27"/>
      <c r="BM277" s="16"/>
      <c r="BN277" s="16"/>
      <c r="BO277" s="27"/>
      <c r="BQ277" s="27"/>
      <c r="BR277" s="16"/>
      <c r="BS277" s="16"/>
      <c r="BT277" s="27"/>
      <c r="BV277" s="27"/>
      <c r="BW277" s="16"/>
      <c r="BX277" s="16"/>
      <c r="BY277" s="27"/>
      <c r="CA277" s="27"/>
      <c r="CB277" s="16"/>
      <c r="CC277" s="16"/>
      <c r="CD277" s="27"/>
      <c r="CF277" s="27"/>
      <c r="CG277" s="16"/>
      <c r="CH277" s="16"/>
      <c r="CI277" s="27"/>
      <c r="CK277" s="27"/>
      <c r="CL277" s="16"/>
      <c r="CM277" s="16"/>
      <c r="CN277" s="27"/>
      <c r="CP277" s="27"/>
      <c r="CQ277" s="16"/>
      <c r="CR277" s="16"/>
      <c r="CS277" s="27"/>
      <c r="CU277" s="27"/>
      <c r="CV277" s="16"/>
      <c r="CW277" s="16"/>
      <c r="CX277" s="27"/>
      <c r="CZ277" s="27"/>
      <c r="DA277" s="16"/>
      <c r="DB277" s="16"/>
      <c r="DC277" s="27"/>
      <c r="DE277" s="27"/>
      <c r="DF277" s="16"/>
      <c r="DG277" s="16"/>
      <c r="DH277" s="27"/>
      <c r="DJ277" s="27"/>
      <c r="DK277" s="16"/>
      <c r="DL277" s="16"/>
      <c r="DM277" s="27"/>
      <c r="DO277" s="27"/>
      <c r="DP277" s="16"/>
      <c r="DQ277" s="16"/>
      <c r="DR277" s="27"/>
      <c r="DT277" s="27"/>
      <c r="DU277" s="16"/>
      <c r="DV277" s="16"/>
      <c r="DW277" s="27"/>
      <c r="DY277" s="27"/>
      <c r="DZ277" s="16"/>
      <c r="EA277" s="16"/>
      <c r="EB277" s="302"/>
    </row>
    <row r="278" spans="1:132" s="14" customFormat="1" ht="21" x14ac:dyDescent="0.4">
      <c r="A278" s="27"/>
      <c r="B278" s="27"/>
      <c r="C278" s="27"/>
      <c r="E278" s="16"/>
      <c r="F278" s="27"/>
      <c r="G278" s="27"/>
      <c r="I278" s="27"/>
      <c r="J278" s="16"/>
      <c r="K278" s="16"/>
      <c r="L278" s="27"/>
      <c r="N278" s="27"/>
      <c r="O278" s="16"/>
      <c r="P278" s="16"/>
      <c r="Q278" s="27"/>
      <c r="S278" s="27"/>
      <c r="T278" s="16"/>
      <c r="U278" s="16"/>
      <c r="V278" s="27"/>
      <c r="X278" s="27"/>
      <c r="Y278" s="16"/>
      <c r="Z278" s="16"/>
      <c r="AA278" s="27"/>
      <c r="AC278" s="27"/>
      <c r="AD278" s="16"/>
      <c r="AE278" s="16"/>
      <c r="AF278" s="27"/>
      <c r="AH278" s="27"/>
      <c r="AI278" s="16"/>
      <c r="AJ278" s="16"/>
      <c r="AK278" s="27"/>
      <c r="AM278" s="27"/>
      <c r="AN278" s="16"/>
      <c r="AO278" s="16"/>
      <c r="AP278" s="27"/>
      <c r="AR278" s="27"/>
      <c r="AS278" s="16"/>
      <c r="AT278" s="16"/>
      <c r="AU278" s="27"/>
      <c r="AW278" s="27"/>
      <c r="AX278" s="16"/>
      <c r="AY278" s="16"/>
      <c r="AZ278" s="27"/>
      <c r="BB278" s="27"/>
      <c r="BC278" s="16"/>
      <c r="BD278" s="16"/>
      <c r="BE278" s="27"/>
      <c r="BG278" s="27"/>
      <c r="BH278" s="16"/>
      <c r="BI278" s="16"/>
      <c r="BJ278" s="27"/>
      <c r="BL278" s="27"/>
      <c r="BM278" s="16"/>
      <c r="BN278" s="16"/>
      <c r="BO278" s="27"/>
      <c r="BQ278" s="27"/>
      <c r="BR278" s="16"/>
      <c r="BS278" s="16"/>
      <c r="BT278" s="27"/>
      <c r="BV278" s="27"/>
      <c r="BW278" s="16"/>
      <c r="BX278" s="16"/>
      <c r="BY278" s="27"/>
      <c r="CA278" s="27"/>
      <c r="CB278" s="16"/>
      <c r="CC278" s="16"/>
      <c r="CD278" s="27"/>
      <c r="CF278" s="27"/>
      <c r="CG278" s="16"/>
      <c r="CH278" s="16"/>
      <c r="CI278" s="27"/>
      <c r="CK278" s="27"/>
      <c r="CL278" s="16"/>
      <c r="CM278" s="16"/>
      <c r="CN278" s="27"/>
      <c r="CP278" s="27"/>
      <c r="CQ278" s="16"/>
      <c r="CR278" s="16"/>
      <c r="CS278" s="27"/>
      <c r="CU278" s="27"/>
      <c r="CV278" s="16"/>
      <c r="CW278" s="16"/>
      <c r="CX278" s="27"/>
      <c r="CZ278" s="27"/>
      <c r="DA278" s="16"/>
      <c r="DB278" s="16"/>
      <c r="DC278" s="27"/>
      <c r="DE278" s="27"/>
      <c r="DF278" s="16"/>
      <c r="DG278" s="16"/>
      <c r="DH278" s="27"/>
      <c r="DJ278" s="27"/>
      <c r="DK278" s="16"/>
      <c r="DL278" s="16"/>
      <c r="DM278" s="27"/>
      <c r="DO278" s="27"/>
      <c r="DP278" s="16"/>
      <c r="DQ278" s="16"/>
      <c r="DR278" s="27"/>
      <c r="DT278" s="27"/>
      <c r="DU278" s="16"/>
      <c r="DV278" s="16"/>
      <c r="DW278" s="27"/>
      <c r="DY278" s="27"/>
      <c r="DZ278" s="16"/>
      <c r="EA278" s="16"/>
      <c r="EB278" s="302"/>
    </row>
    <row r="279" spans="1:132" s="14" customFormat="1" ht="21" x14ac:dyDescent="0.4">
      <c r="A279" s="27"/>
      <c r="B279" s="27"/>
      <c r="C279" s="27"/>
      <c r="E279" s="16"/>
      <c r="F279" s="27"/>
      <c r="G279" s="27"/>
      <c r="I279" s="27"/>
      <c r="J279" s="16"/>
      <c r="K279" s="16"/>
      <c r="L279" s="27"/>
      <c r="N279" s="27"/>
      <c r="O279" s="16"/>
      <c r="P279" s="16"/>
      <c r="Q279" s="27"/>
      <c r="S279" s="27"/>
      <c r="T279" s="16"/>
      <c r="U279" s="16"/>
      <c r="V279" s="27"/>
      <c r="X279" s="27"/>
      <c r="Y279" s="16"/>
      <c r="Z279" s="16"/>
      <c r="AA279" s="27"/>
      <c r="AC279" s="27"/>
      <c r="AD279" s="16"/>
      <c r="AE279" s="16"/>
      <c r="AF279" s="27"/>
      <c r="AH279" s="27"/>
      <c r="AI279" s="16"/>
      <c r="AJ279" s="16"/>
      <c r="AK279" s="27"/>
      <c r="AM279" s="27"/>
      <c r="AN279" s="16"/>
      <c r="AO279" s="16"/>
      <c r="AP279" s="27"/>
      <c r="AR279" s="27"/>
      <c r="AS279" s="16"/>
      <c r="AT279" s="16"/>
      <c r="AU279" s="27"/>
      <c r="AW279" s="27"/>
      <c r="AX279" s="16"/>
      <c r="AY279" s="16"/>
      <c r="AZ279" s="27"/>
      <c r="BB279" s="27"/>
      <c r="BC279" s="16"/>
      <c r="BD279" s="16"/>
      <c r="BE279" s="27"/>
      <c r="BG279" s="27"/>
      <c r="BH279" s="16"/>
      <c r="BI279" s="16"/>
      <c r="BJ279" s="27"/>
      <c r="BL279" s="27"/>
      <c r="BM279" s="16"/>
      <c r="BN279" s="16"/>
      <c r="BO279" s="27"/>
      <c r="BQ279" s="27"/>
      <c r="BR279" s="16"/>
      <c r="BS279" s="16"/>
      <c r="BT279" s="27"/>
      <c r="BV279" s="27"/>
      <c r="BW279" s="16"/>
      <c r="BX279" s="16"/>
      <c r="BY279" s="27"/>
      <c r="CA279" s="27"/>
      <c r="CB279" s="16"/>
      <c r="CC279" s="16"/>
      <c r="CD279" s="27"/>
      <c r="CF279" s="27"/>
      <c r="CG279" s="16"/>
      <c r="CH279" s="16"/>
      <c r="CI279" s="27"/>
      <c r="CK279" s="27"/>
      <c r="CL279" s="16"/>
      <c r="CM279" s="16"/>
      <c r="CN279" s="27"/>
      <c r="CP279" s="27"/>
      <c r="CQ279" s="16"/>
      <c r="CR279" s="16"/>
      <c r="CS279" s="27"/>
      <c r="CU279" s="27"/>
      <c r="CV279" s="16"/>
      <c r="CW279" s="16"/>
      <c r="CX279" s="27"/>
      <c r="CZ279" s="27"/>
      <c r="DA279" s="16"/>
      <c r="DB279" s="16"/>
      <c r="DC279" s="27"/>
      <c r="DE279" s="27"/>
      <c r="DF279" s="16"/>
      <c r="DG279" s="16"/>
      <c r="DH279" s="27"/>
      <c r="DJ279" s="27"/>
      <c r="DK279" s="16"/>
      <c r="DL279" s="16"/>
      <c r="DM279" s="27"/>
      <c r="DO279" s="27"/>
      <c r="DP279" s="16"/>
      <c r="DQ279" s="16"/>
      <c r="DR279" s="27"/>
      <c r="DT279" s="27"/>
      <c r="DU279" s="16"/>
      <c r="DV279" s="16"/>
      <c r="DW279" s="27"/>
      <c r="DY279" s="27"/>
      <c r="DZ279" s="16"/>
      <c r="EA279" s="16"/>
      <c r="EB279" s="302"/>
    </row>
    <row r="280" spans="1:132" s="14" customFormat="1" ht="21" x14ac:dyDescent="0.4">
      <c r="A280" s="27"/>
      <c r="B280" s="27"/>
      <c r="C280" s="27"/>
      <c r="E280" s="16"/>
      <c r="F280" s="27"/>
      <c r="G280" s="27"/>
      <c r="I280" s="27"/>
      <c r="J280" s="16"/>
      <c r="K280" s="16"/>
      <c r="L280" s="27"/>
      <c r="N280" s="27"/>
      <c r="O280" s="16"/>
      <c r="P280" s="16"/>
      <c r="Q280" s="27"/>
      <c r="S280" s="27"/>
      <c r="T280" s="16"/>
      <c r="U280" s="16"/>
      <c r="V280" s="27"/>
      <c r="X280" s="27"/>
      <c r="Y280" s="16"/>
      <c r="Z280" s="16"/>
      <c r="AA280" s="27"/>
      <c r="AC280" s="27"/>
      <c r="AD280" s="16"/>
      <c r="AE280" s="16"/>
      <c r="AF280" s="27"/>
      <c r="AH280" s="27"/>
      <c r="AI280" s="16"/>
      <c r="AJ280" s="16"/>
      <c r="AK280" s="27"/>
      <c r="AM280" s="27"/>
      <c r="AN280" s="16"/>
      <c r="AO280" s="16"/>
      <c r="AP280" s="27"/>
      <c r="AR280" s="27"/>
      <c r="AS280" s="16"/>
      <c r="AT280" s="16"/>
      <c r="AU280" s="27"/>
      <c r="AW280" s="27"/>
      <c r="AX280" s="16"/>
      <c r="AY280" s="16"/>
      <c r="AZ280" s="27"/>
      <c r="BB280" s="27"/>
      <c r="BC280" s="16"/>
      <c r="BD280" s="16"/>
      <c r="BE280" s="27"/>
      <c r="BG280" s="27"/>
      <c r="BH280" s="16"/>
      <c r="BI280" s="16"/>
      <c r="BJ280" s="27"/>
      <c r="BL280" s="27"/>
      <c r="BM280" s="16"/>
      <c r="BN280" s="16"/>
      <c r="BO280" s="27"/>
      <c r="BQ280" s="27"/>
      <c r="BR280" s="16"/>
      <c r="BS280" s="16"/>
      <c r="BT280" s="27"/>
      <c r="BV280" s="27"/>
      <c r="BW280" s="16"/>
      <c r="BX280" s="16"/>
      <c r="BY280" s="27"/>
      <c r="CA280" s="27"/>
      <c r="CB280" s="16"/>
      <c r="CC280" s="16"/>
      <c r="CD280" s="27"/>
      <c r="CF280" s="27"/>
      <c r="CG280" s="16"/>
      <c r="CH280" s="16"/>
      <c r="CI280" s="27"/>
      <c r="CK280" s="27"/>
      <c r="CL280" s="16"/>
      <c r="CM280" s="16"/>
      <c r="CN280" s="27"/>
      <c r="CP280" s="27"/>
      <c r="CQ280" s="16"/>
      <c r="CR280" s="16"/>
      <c r="CS280" s="27"/>
      <c r="CU280" s="27"/>
      <c r="CV280" s="16"/>
      <c r="CW280" s="16"/>
      <c r="CX280" s="27"/>
      <c r="CZ280" s="27"/>
      <c r="DA280" s="16"/>
      <c r="DB280" s="16"/>
      <c r="DC280" s="27"/>
      <c r="DE280" s="27"/>
      <c r="DF280" s="16"/>
      <c r="DG280" s="16"/>
      <c r="DH280" s="27"/>
      <c r="DJ280" s="27"/>
      <c r="DK280" s="16"/>
      <c r="DL280" s="16"/>
      <c r="DM280" s="27"/>
      <c r="DO280" s="27"/>
      <c r="DP280" s="16"/>
      <c r="DQ280" s="16"/>
      <c r="DR280" s="27"/>
      <c r="DT280" s="27"/>
      <c r="DU280" s="16"/>
      <c r="DV280" s="16"/>
      <c r="DW280" s="27"/>
      <c r="DY280" s="27"/>
      <c r="DZ280" s="16"/>
      <c r="EA280" s="16"/>
      <c r="EB280" s="302"/>
    </row>
    <row r="281" spans="1:132" s="14" customFormat="1" ht="21" x14ac:dyDescent="0.4">
      <c r="A281" s="27"/>
      <c r="B281" s="27"/>
      <c r="C281" s="27"/>
      <c r="E281" s="16"/>
      <c r="F281" s="27"/>
      <c r="G281" s="27"/>
      <c r="I281" s="27"/>
      <c r="J281" s="16"/>
      <c r="K281" s="16"/>
      <c r="L281" s="27"/>
      <c r="N281" s="27"/>
      <c r="O281" s="16"/>
      <c r="P281" s="16"/>
      <c r="Q281" s="27"/>
      <c r="S281" s="27"/>
      <c r="T281" s="16"/>
      <c r="U281" s="16"/>
      <c r="V281" s="27"/>
      <c r="X281" s="27"/>
      <c r="Y281" s="16"/>
      <c r="Z281" s="16"/>
      <c r="AA281" s="27"/>
      <c r="AC281" s="27"/>
      <c r="AD281" s="16"/>
      <c r="AE281" s="16"/>
      <c r="AF281" s="27"/>
      <c r="AH281" s="27"/>
      <c r="AI281" s="16"/>
      <c r="AJ281" s="16"/>
      <c r="AK281" s="27"/>
      <c r="AM281" s="27"/>
      <c r="AN281" s="16"/>
      <c r="AO281" s="16"/>
      <c r="AP281" s="27"/>
      <c r="AR281" s="27"/>
      <c r="AS281" s="16"/>
      <c r="AT281" s="16"/>
      <c r="AU281" s="27"/>
      <c r="AW281" s="27"/>
      <c r="AX281" s="16"/>
      <c r="AY281" s="16"/>
      <c r="AZ281" s="27"/>
      <c r="BB281" s="27"/>
      <c r="BC281" s="16"/>
      <c r="BD281" s="16"/>
      <c r="BE281" s="27"/>
      <c r="BG281" s="27"/>
      <c r="BH281" s="16"/>
      <c r="BI281" s="16"/>
      <c r="BJ281" s="27"/>
      <c r="BL281" s="27"/>
      <c r="BM281" s="16"/>
      <c r="BN281" s="16"/>
      <c r="BO281" s="27"/>
      <c r="BQ281" s="27"/>
      <c r="BR281" s="16"/>
      <c r="BS281" s="16"/>
      <c r="BT281" s="27"/>
      <c r="BV281" s="27"/>
      <c r="BW281" s="16"/>
      <c r="BX281" s="16"/>
      <c r="BY281" s="27"/>
      <c r="CA281" s="27"/>
      <c r="CB281" s="16"/>
      <c r="CC281" s="16"/>
      <c r="CD281" s="27"/>
      <c r="CF281" s="27"/>
      <c r="CG281" s="16"/>
      <c r="CH281" s="16"/>
      <c r="CI281" s="27"/>
      <c r="CK281" s="27"/>
      <c r="CL281" s="16"/>
      <c r="CM281" s="16"/>
      <c r="CN281" s="27"/>
      <c r="CP281" s="27"/>
      <c r="CQ281" s="16"/>
      <c r="CR281" s="16"/>
      <c r="CS281" s="27"/>
      <c r="CU281" s="27"/>
      <c r="CV281" s="16"/>
      <c r="CW281" s="16"/>
      <c r="CX281" s="27"/>
      <c r="CZ281" s="27"/>
      <c r="DA281" s="16"/>
      <c r="DB281" s="16"/>
      <c r="DC281" s="27"/>
      <c r="DE281" s="27"/>
      <c r="DF281" s="16"/>
      <c r="DG281" s="16"/>
      <c r="DH281" s="27"/>
      <c r="DJ281" s="27"/>
      <c r="DK281" s="16"/>
      <c r="DL281" s="16"/>
      <c r="DM281" s="27"/>
      <c r="DO281" s="27"/>
      <c r="DP281" s="16"/>
      <c r="DQ281" s="16"/>
      <c r="DR281" s="27"/>
      <c r="DT281" s="27"/>
      <c r="DU281" s="16"/>
      <c r="DV281" s="16"/>
      <c r="DW281" s="27"/>
      <c r="DY281" s="27"/>
      <c r="DZ281" s="16"/>
      <c r="EA281" s="16"/>
      <c r="EB281" s="302"/>
    </row>
    <row r="282" spans="1:132" s="14" customFormat="1" ht="21" x14ac:dyDescent="0.4">
      <c r="A282" s="27"/>
      <c r="B282" s="27"/>
      <c r="C282" s="27"/>
      <c r="E282" s="16"/>
      <c r="F282" s="27"/>
      <c r="G282" s="27"/>
      <c r="I282" s="27"/>
      <c r="J282" s="16"/>
      <c r="K282" s="16"/>
      <c r="L282" s="27"/>
      <c r="N282" s="27"/>
      <c r="O282" s="16"/>
      <c r="P282" s="16"/>
      <c r="Q282" s="27"/>
      <c r="S282" s="27"/>
      <c r="T282" s="16"/>
      <c r="U282" s="16"/>
      <c r="V282" s="27"/>
      <c r="X282" s="27"/>
      <c r="Y282" s="16"/>
      <c r="Z282" s="16"/>
      <c r="AA282" s="27"/>
      <c r="AC282" s="27"/>
      <c r="AD282" s="16"/>
      <c r="AE282" s="16"/>
      <c r="AF282" s="27"/>
      <c r="AH282" s="27"/>
      <c r="AI282" s="16"/>
      <c r="AJ282" s="16"/>
      <c r="AK282" s="27"/>
      <c r="AM282" s="27"/>
      <c r="AN282" s="16"/>
      <c r="AO282" s="16"/>
      <c r="AP282" s="27"/>
      <c r="AR282" s="27"/>
      <c r="AS282" s="16"/>
      <c r="AT282" s="16"/>
      <c r="AU282" s="27"/>
      <c r="AW282" s="27"/>
      <c r="AX282" s="16"/>
      <c r="AY282" s="16"/>
      <c r="AZ282" s="27"/>
      <c r="BB282" s="27"/>
      <c r="BC282" s="16"/>
      <c r="BD282" s="16"/>
      <c r="BE282" s="27"/>
      <c r="BG282" s="27"/>
      <c r="BH282" s="16"/>
      <c r="BI282" s="16"/>
      <c r="BJ282" s="27"/>
      <c r="BL282" s="27"/>
      <c r="BM282" s="16"/>
      <c r="BN282" s="16"/>
      <c r="BO282" s="27"/>
      <c r="BQ282" s="27"/>
      <c r="BR282" s="16"/>
      <c r="BS282" s="16"/>
      <c r="BT282" s="27"/>
      <c r="BV282" s="27"/>
      <c r="BW282" s="16"/>
      <c r="BX282" s="16"/>
      <c r="BY282" s="27"/>
      <c r="CA282" s="27"/>
      <c r="CB282" s="16"/>
      <c r="CC282" s="16"/>
      <c r="CD282" s="27"/>
      <c r="CF282" s="27"/>
      <c r="CG282" s="16"/>
      <c r="CH282" s="16"/>
      <c r="CI282" s="27"/>
      <c r="CK282" s="27"/>
      <c r="CL282" s="16"/>
      <c r="CM282" s="16"/>
      <c r="CN282" s="27"/>
      <c r="CP282" s="27"/>
      <c r="CQ282" s="16"/>
      <c r="CR282" s="16"/>
      <c r="CS282" s="27"/>
      <c r="CU282" s="27"/>
      <c r="CV282" s="16"/>
      <c r="CW282" s="16"/>
      <c r="CX282" s="27"/>
      <c r="CZ282" s="27"/>
      <c r="DA282" s="16"/>
      <c r="DB282" s="16"/>
      <c r="DC282" s="27"/>
      <c r="DE282" s="27"/>
      <c r="DF282" s="16"/>
      <c r="DG282" s="16"/>
      <c r="DH282" s="27"/>
      <c r="DJ282" s="27"/>
      <c r="DK282" s="16"/>
      <c r="DL282" s="16"/>
      <c r="DM282" s="27"/>
      <c r="DO282" s="27"/>
      <c r="DP282" s="16"/>
      <c r="DQ282" s="16"/>
      <c r="DR282" s="27"/>
      <c r="DT282" s="27"/>
      <c r="DU282" s="16"/>
      <c r="DV282" s="16"/>
      <c r="DW282" s="27"/>
      <c r="DY282" s="27"/>
      <c r="DZ282" s="16"/>
      <c r="EA282" s="16"/>
      <c r="EB282" s="302"/>
    </row>
    <row r="283" spans="1:132" s="14" customFormat="1" ht="21" x14ac:dyDescent="0.4">
      <c r="A283" s="27"/>
      <c r="B283" s="27"/>
      <c r="C283" s="27"/>
      <c r="E283" s="16"/>
      <c r="F283" s="27"/>
      <c r="G283" s="27"/>
      <c r="I283" s="27"/>
      <c r="J283" s="16"/>
      <c r="K283" s="16"/>
      <c r="L283" s="27"/>
      <c r="N283" s="27"/>
      <c r="O283" s="16"/>
      <c r="P283" s="16"/>
      <c r="Q283" s="27"/>
      <c r="S283" s="27"/>
      <c r="T283" s="16"/>
      <c r="U283" s="16"/>
      <c r="V283" s="27"/>
      <c r="X283" s="27"/>
      <c r="Y283" s="16"/>
      <c r="Z283" s="16"/>
      <c r="AA283" s="27"/>
      <c r="AC283" s="27"/>
      <c r="AD283" s="16"/>
      <c r="AE283" s="16"/>
      <c r="AF283" s="27"/>
      <c r="AH283" s="27"/>
      <c r="AI283" s="16"/>
      <c r="AJ283" s="16"/>
      <c r="AK283" s="27"/>
      <c r="AM283" s="27"/>
      <c r="AN283" s="16"/>
      <c r="AO283" s="16"/>
      <c r="AP283" s="27"/>
      <c r="AR283" s="27"/>
      <c r="AS283" s="16"/>
      <c r="AT283" s="16"/>
      <c r="AU283" s="27"/>
      <c r="AW283" s="27"/>
      <c r="AX283" s="16"/>
      <c r="AY283" s="16"/>
      <c r="AZ283" s="27"/>
      <c r="BB283" s="27"/>
      <c r="BC283" s="16"/>
      <c r="BD283" s="16"/>
      <c r="BE283" s="27"/>
      <c r="BG283" s="27"/>
      <c r="BH283" s="16"/>
      <c r="BI283" s="16"/>
      <c r="BJ283" s="27"/>
      <c r="BL283" s="27"/>
      <c r="BM283" s="16"/>
      <c r="BN283" s="16"/>
      <c r="BO283" s="27"/>
      <c r="BQ283" s="27"/>
      <c r="BR283" s="16"/>
      <c r="BS283" s="16"/>
      <c r="BT283" s="27"/>
      <c r="BV283" s="27"/>
      <c r="BW283" s="16"/>
      <c r="BX283" s="16"/>
      <c r="BY283" s="27"/>
      <c r="CA283" s="27"/>
      <c r="CB283" s="16"/>
      <c r="CC283" s="16"/>
      <c r="CD283" s="27"/>
      <c r="CF283" s="27"/>
      <c r="CG283" s="16"/>
      <c r="CH283" s="16"/>
      <c r="CI283" s="27"/>
      <c r="CK283" s="27"/>
      <c r="CL283" s="16"/>
      <c r="CM283" s="16"/>
      <c r="CN283" s="27"/>
      <c r="CP283" s="27"/>
      <c r="CQ283" s="16"/>
      <c r="CR283" s="16"/>
      <c r="CS283" s="27"/>
      <c r="CU283" s="27"/>
      <c r="CV283" s="16"/>
      <c r="CW283" s="16"/>
      <c r="CX283" s="27"/>
      <c r="CZ283" s="27"/>
      <c r="DA283" s="16"/>
      <c r="DB283" s="16"/>
      <c r="DC283" s="27"/>
      <c r="DE283" s="27"/>
      <c r="DF283" s="16"/>
      <c r="DG283" s="16"/>
      <c r="DH283" s="27"/>
      <c r="DJ283" s="27"/>
      <c r="DK283" s="16"/>
      <c r="DL283" s="16"/>
      <c r="DM283" s="27"/>
      <c r="DO283" s="27"/>
      <c r="DP283" s="16"/>
      <c r="DQ283" s="16"/>
      <c r="DR283" s="27"/>
      <c r="DT283" s="27"/>
      <c r="DU283" s="16"/>
      <c r="DV283" s="16"/>
      <c r="DW283" s="27"/>
      <c r="DY283" s="27"/>
      <c r="DZ283" s="16"/>
      <c r="EA283" s="16"/>
      <c r="EB283" s="302"/>
    </row>
    <row r="284" spans="1:132" s="14" customFormat="1" ht="21" x14ac:dyDescent="0.4">
      <c r="A284" s="27"/>
      <c r="B284" s="27"/>
      <c r="C284" s="27"/>
      <c r="E284" s="16"/>
      <c r="F284" s="27"/>
      <c r="G284" s="27"/>
      <c r="I284" s="27"/>
      <c r="J284" s="16"/>
      <c r="K284" s="16"/>
      <c r="L284" s="27"/>
      <c r="N284" s="27"/>
      <c r="O284" s="16"/>
      <c r="P284" s="16"/>
      <c r="Q284" s="27"/>
      <c r="S284" s="27"/>
      <c r="T284" s="16"/>
      <c r="U284" s="16"/>
      <c r="V284" s="27"/>
      <c r="X284" s="27"/>
      <c r="Y284" s="16"/>
      <c r="Z284" s="16"/>
      <c r="AA284" s="27"/>
      <c r="AC284" s="27"/>
      <c r="AD284" s="16"/>
      <c r="AE284" s="16"/>
      <c r="AF284" s="27"/>
      <c r="AH284" s="27"/>
      <c r="AI284" s="16"/>
      <c r="AJ284" s="16"/>
      <c r="AK284" s="27"/>
      <c r="AM284" s="27"/>
      <c r="AN284" s="16"/>
      <c r="AO284" s="16"/>
      <c r="AP284" s="27"/>
      <c r="AR284" s="27"/>
      <c r="AS284" s="16"/>
      <c r="AT284" s="16"/>
      <c r="AU284" s="27"/>
      <c r="AW284" s="27"/>
      <c r="AX284" s="16"/>
      <c r="AY284" s="16"/>
      <c r="AZ284" s="27"/>
      <c r="BB284" s="27"/>
      <c r="BC284" s="16"/>
      <c r="BD284" s="16"/>
      <c r="BE284" s="27"/>
      <c r="BG284" s="27"/>
      <c r="BH284" s="16"/>
      <c r="BI284" s="16"/>
      <c r="BJ284" s="27"/>
      <c r="BL284" s="27"/>
      <c r="BM284" s="16"/>
      <c r="BN284" s="16"/>
      <c r="BO284" s="27"/>
      <c r="BQ284" s="27"/>
      <c r="BR284" s="16"/>
      <c r="BS284" s="16"/>
      <c r="BT284" s="27"/>
      <c r="BV284" s="27"/>
      <c r="BW284" s="16"/>
      <c r="BX284" s="16"/>
      <c r="BY284" s="27"/>
      <c r="CA284" s="27"/>
      <c r="CB284" s="16"/>
      <c r="CC284" s="16"/>
      <c r="CD284" s="27"/>
      <c r="CF284" s="27"/>
      <c r="CG284" s="16"/>
      <c r="CH284" s="16"/>
      <c r="CI284" s="27"/>
      <c r="CK284" s="27"/>
      <c r="CL284" s="16"/>
      <c r="CM284" s="16"/>
      <c r="CN284" s="27"/>
      <c r="CP284" s="27"/>
      <c r="CQ284" s="16"/>
      <c r="CR284" s="16"/>
      <c r="CS284" s="27"/>
      <c r="CU284" s="27"/>
      <c r="CV284" s="16"/>
      <c r="CW284" s="16"/>
      <c r="CX284" s="27"/>
      <c r="CZ284" s="27"/>
      <c r="DA284" s="16"/>
      <c r="DB284" s="16"/>
      <c r="DC284" s="27"/>
      <c r="DE284" s="27"/>
      <c r="DF284" s="16"/>
      <c r="DG284" s="16"/>
      <c r="DH284" s="27"/>
      <c r="DJ284" s="27"/>
      <c r="DK284" s="16"/>
      <c r="DL284" s="16"/>
      <c r="DM284" s="27"/>
      <c r="DO284" s="27"/>
      <c r="DP284" s="16"/>
      <c r="DQ284" s="16"/>
      <c r="DR284" s="27"/>
      <c r="DT284" s="27"/>
      <c r="DU284" s="16"/>
      <c r="DV284" s="16"/>
      <c r="DW284" s="27"/>
      <c r="DY284" s="27"/>
      <c r="DZ284" s="16"/>
      <c r="EA284" s="16"/>
      <c r="EB284" s="302"/>
    </row>
    <row r="285" spans="1:132" s="14" customFormat="1" ht="21" x14ac:dyDescent="0.4">
      <c r="A285" s="27"/>
      <c r="B285" s="27"/>
      <c r="C285" s="27"/>
      <c r="E285" s="16"/>
      <c r="F285" s="27"/>
      <c r="G285" s="27"/>
      <c r="I285" s="27"/>
      <c r="J285" s="16"/>
      <c r="K285" s="16"/>
      <c r="L285" s="27"/>
      <c r="N285" s="27"/>
      <c r="O285" s="16"/>
      <c r="P285" s="16"/>
      <c r="Q285" s="27"/>
      <c r="S285" s="27"/>
      <c r="T285" s="16"/>
      <c r="U285" s="16"/>
      <c r="V285" s="27"/>
      <c r="X285" s="27"/>
      <c r="Y285" s="16"/>
      <c r="Z285" s="16"/>
      <c r="AA285" s="27"/>
      <c r="AC285" s="27"/>
      <c r="AD285" s="16"/>
      <c r="AE285" s="16"/>
      <c r="AF285" s="27"/>
      <c r="AH285" s="27"/>
      <c r="AI285" s="16"/>
      <c r="AJ285" s="16"/>
      <c r="AK285" s="27"/>
      <c r="AM285" s="27"/>
      <c r="AN285" s="16"/>
      <c r="AO285" s="16"/>
      <c r="AP285" s="27"/>
      <c r="AR285" s="27"/>
      <c r="AS285" s="16"/>
      <c r="AT285" s="16"/>
      <c r="AU285" s="27"/>
      <c r="AW285" s="27"/>
      <c r="AX285" s="16"/>
      <c r="AY285" s="16"/>
      <c r="AZ285" s="27"/>
      <c r="BB285" s="27"/>
      <c r="BC285" s="16"/>
      <c r="BD285" s="16"/>
      <c r="BE285" s="27"/>
      <c r="BG285" s="27"/>
      <c r="BH285" s="16"/>
      <c r="BI285" s="16"/>
      <c r="BJ285" s="27"/>
      <c r="BL285" s="27"/>
      <c r="BM285" s="16"/>
      <c r="BN285" s="16"/>
      <c r="BO285" s="27"/>
      <c r="BQ285" s="27"/>
      <c r="BR285" s="16"/>
      <c r="BS285" s="16"/>
      <c r="BT285" s="27"/>
      <c r="BV285" s="27"/>
      <c r="BW285" s="16"/>
      <c r="BX285" s="16"/>
      <c r="BY285" s="27"/>
      <c r="CA285" s="27"/>
      <c r="CB285" s="16"/>
      <c r="CC285" s="16"/>
      <c r="CD285" s="27"/>
      <c r="CF285" s="27"/>
      <c r="CG285" s="16"/>
      <c r="CH285" s="16"/>
      <c r="CI285" s="27"/>
      <c r="CK285" s="27"/>
      <c r="CL285" s="16"/>
      <c r="CM285" s="16"/>
      <c r="CN285" s="27"/>
      <c r="CP285" s="27"/>
      <c r="CQ285" s="16"/>
      <c r="CR285" s="16"/>
      <c r="CS285" s="27"/>
      <c r="CU285" s="27"/>
      <c r="CV285" s="16"/>
      <c r="CW285" s="16"/>
      <c r="CX285" s="27"/>
      <c r="CZ285" s="27"/>
      <c r="DA285" s="16"/>
      <c r="DB285" s="16"/>
      <c r="DC285" s="27"/>
      <c r="DE285" s="27"/>
      <c r="DF285" s="16"/>
      <c r="DG285" s="16"/>
      <c r="DH285" s="27"/>
      <c r="DJ285" s="27"/>
      <c r="DK285" s="16"/>
      <c r="DL285" s="16"/>
      <c r="DM285" s="27"/>
      <c r="DO285" s="27"/>
      <c r="DP285" s="16"/>
      <c r="DQ285" s="16"/>
      <c r="DR285" s="27"/>
      <c r="DT285" s="27"/>
      <c r="DU285" s="16"/>
      <c r="DV285" s="16"/>
      <c r="DW285" s="27"/>
      <c r="DY285" s="27"/>
      <c r="DZ285" s="16"/>
      <c r="EA285" s="16"/>
      <c r="EB285" s="302"/>
    </row>
    <row r="286" spans="1:132" s="14" customFormat="1" ht="21" x14ac:dyDescent="0.4">
      <c r="A286" s="27"/>
      <c r="B286" s="27"/>
      <c r="C286" s="27"/>
      <c r="E286" s="16"/>
      <c r="F286" s="27"/>
      <c r="G286" s="27"/>
      <c r="I286" s="27"/>
      <c r="J286" s="16"/>
      <c r="K286" s="16"/>
      <c r="L286" s="27"/>
      <c r="N286" s="27"/>
      <c r="O286" s="16"/>
      <c r="P286" s="16"/>
      <c r="Q286" s="27"/>
      <c r="S286" s="27"/>
      <c r="T286" s="16"/>
      <c r="U286" s="16"/>
      <c r="V286" s="27"/>
      <c r="X286" s="27"/>
      <c r="Y286" s="16"/>
      <c r="Z286" s="16"/>
      <c r="AA286" s="27"/>
      <c r="AC286" s="27"/>
      <c r="AD286" s="16"/>
      <c r="AE286" s="16"/>
      <c r="AF286" s="27"/>
      <c r="AH286" s="27"/>
      <c r="AI286" s="16"/>
      <c r="AJ286" s="16"/>
      <c r="AK286" s="27"/>
      <c r="AM286" s="27"/>
      <c r="AN286" s="16"/>
      <c r="AO286" s="16"/>
      <c r="AP286" s="27"/>
      <c r="AR286" s="27"/>
      <c r="AS286" s="16"/>
      <c r="AT286" s="16"/>
      <c r="AU286" s="27"/>
      <c r="AW286" s="27"/>
      <c r="AX286" s="16"/>
      <c r="AY286" s="16"/>
      <c r="AZ286" s="27"/>
      <c r="BB286" s="27"/>
      <c r="BC286" s="16"/>
      <c r="BD286" s="16"/>
      <c r="BE286" s="27"/>
      <c r="BG286" s="27"/>
      <c r="BH286" s="16"/>
      <c r="BI286" s="16"/>
      <c r="BJ286" s="27"/>
      <c r="BL286" s="27"/>
      <c r="BM286" s="16"/>
      <c r="BN286" s="16"/>
      <c r="BO286" s="27"/>
      <c r="BQ286" s="27"/>
      <c r="BR286" s="16"/>
      <c r="BS286" s="16"/>
      <c r="BT286" s="27"/>
      <c r="BV286" s="27"/>
      <c r="BW286" s="16"/>
      <c r="BX286" s="16"/>
      <c r="BY286" s="27"/>
      <c r="CA286" s="27"/>
      <c r="CB286" s="16"/>
      <c r="CC286" s="16"/>
      <c r="CD286" s="27"/>
      <c r="CF286" s="27"/>
      <c r="CG286" s="16"/>
      <c r="CH286" s="16"/>
      <c r="CI286" s="27"/>
      <c r="CK286" s="27"/>
      <c r="CL286" s="16"/>
      <c r="CM286" s="16"/>
      <c r="CN286" s="27"/>
      <c r="CP286" s="27"/>
      <c r="CQ286" s="16"/>
      <c r="CR286" s="16"/>
      <c r="CS286" s="27"/>
      <c r="CU286" s="27"/>
      <c r="CV286" s="16"/>
      <c r="CW286" s="16"/>
      <c r="CX286" s="27"/>
      <c r="CZ286" s="27"/>
      <c r="DA286" s="16"/>
      <c r="DB286" s="16"/>
      <c r="DC286" s="27"/>
      <c r="DE286" s="27"/>
      <c r="DF286" s="16"/>
      <c r="DG286" s="16"/>
      <c r="DH286" s="27"/>
      <c r="DJ286" s="27"/>
      <c r="DK286" s="16"/>
      <c r="DL286" s="16"/>
      <c r="DM286" s="27"/>
      <c r="DO286" s="27"/>
      <c r="DP286" s="16"/>
      <c r="DQ286" s="16"/>
      <c r="DR286" s="27"/>
      <c r="DT286" s="27"/>
      <c r="DU286" s="16"/>
      <c r="DV286" s="16"/>
      <c r="DW286" s="27"/>
      <c r="DY286" s="27"/>
      <c r="DZ286" s="16"/>
      <c r="EA286" s="16"/>
      <c r="EB286" s="302"/>
    </row>
    <row r="287" spans="1:132" s="14" customFormat="1" ht="21" x14ac:dyDescent="0.4">
      <c r="A287" s="27"/>
      <c r="B287" s="27"/>
      <c r="C287" s="27"/>
      <c r="E287" s="16"/>
      <c r="F287" s="27"/>
      <c r="G287" s="27"/>
      <c r="I287" s="27"/>
      <c r="J287" s="16"/>
      <c r="K287" s="16"/>
      <c r="L287" s="27"/>
      <c r="N287" s="27"/>
      <c r="O287" s="16"/>
      <c r="P287" s="16"/>
      <c r="Q287" s="27"/>
      <c r="S287" s="27"/>
      <c r="T287" s="16"/>
      <c r="U287" s="16"/>
      <c r="V287" s="27"/>
      <c r="X287" s="27"/>
      <c r="Y287" s="16"/>
      <c r="Z287" s="16"/>
      <c r="AA287" s="27"/>
      <c r="AC287" s="27"/>
      <c r="AD287" s="16"/>
      <c r="AE287" s="16"/>
      <c r="AF287" s="27"/>
      <c r="AH287" s="27"/>
      <c r="AI287" s="16"/>
      <c r="AJ287" s="16"/>
      <c r="AK287" s="27"/>
      <c r="AM287" s="27"/>
      <c r="AN287" s="16"/>
      <c r="AO287" s="16"/>
      <c r="AP287" s="27"/>
      <c r="AR287" s="27"/>
      <c r="AS287" s="16"/>
      <c r="AT287" s="16"/>
      <c r="AU287" s="27"/>
      <c r="AW287" s="27"/>
      <c r="AX287" s="16"/>
      <c r="AY287" s="16"/>
      <c r="AZ287" s="27"/>
      <c r="BB287" s="27"/>
      <c r="BC287" s="16"/>
      <c r="BD287" s="16"/>
      <c r="BE287" s="27"/>
      <c r="BG287" s="27"/>
      <c r="BH287" s="16"/>
      <c r="BI287" s="16"/>
      <c r="BJ287" s="27"/>
      <c r="BL287" s="27"/>
      <c r="BM287" s="16"/>
      <c r="BN287" s="16"/>
      <c r="BO287" s="27"/>
      <c r="BQ287" s="27"/>
      <c r="BR287" s="16"/>
      <c r="BS287" s="16"/>
      <c r="BT287" s="27"/>
      <c r="BV287" s="27"/>
      <c r="BW287" s="16"/>
      <c r="BX287" s="16"/>
      <c r="BY287" s="27"/>
      <c r="CA287" s="27"/>
      <c r="CB287" s="16"/>
      <c r="CC287" s="16"/>
      <c r="CD287" s="27"/>
      <c r="CF287" s="27"/>
      <c r="CG287" s="16"/>
      <c r="CH287" s="16"/>
      <c r="CI287" s="27"/>
      <c r="CK287" s="27"/>
      <c r="CL287" s="16"/>
      <c r="CM287" s="16"/>
      <c r="CN287" s="27"/>
      <c r="CP287" s="27"/>
      <c r="CQ287" s="16"/>
      <c r="CR287" s="16"/>
      <c r="CS287" s="27"/>
      <c r="CU287" s="27"/>
      <c r="CV287" s="16"/>
      <c r="CW287" s="16"/>
      <c r="CX287" s="27"/>
      <c r="CZ287" s="27"/>
      <c r="DA287" s="16"/>
      <c r="DB287" s="16"/>
      <c r="DC287" s="27"/>
      <c r="DE287" s="27"/>
      <c r="DF287" s="16"/>
      <c r="DG287" s="16"/>
      <c r="DH287" s="27"/>
      <c r="DJ287" s="27"/>
      <c r="DK287" s="16"/>
      <c r="DL287" s="16"/>
      <c r="DM287" s="27"/>
      <c r="DO287" s="27"/>
      <c r="DP287" s="16"/>
      <c r="DQ287" s="16"/>
      <c r="DR287" s="27"/>
      <c r="DT287" s="27"/>
      <c r="DU287" s="16"/>
      <c r="DV287" s="16"/>
      <c r="DW287" s="27"/>
      <c r="DY287" s="27"/>
      <c r="DZ287" s="16"/>
      <c r="EA287" s="16"/>
      <c r="EB287" s="302"/>
    </row>
    <row r="288" spans="1:132" s="14" customFormat="1" ht="21" x14ac:dyDescent="0.4">
      <c r="A288" s="27"/>
      <c r="B288" s="27"/>
      <c r="C288" s="27"/>
      <c r="E288" s="16"/>
      <c r="F288" s="27"/>
      <c r="G288" s="27"/>
      <c r="I288" s="27"/>
      <c r="J288" s="16"/>
      <c r="K288" s="16"/>
      <c r="L288" s="27"/>
      <c r="N288" s="27"/>
      <c r="O288" s="16"/>
      <c r="P288" s="16"/>
      <c r="Q288" s="27"/>
      <c r="S288" s="27"/>
      <c r="T288" s="16"/>
      <c r="U288" s="16"/>
      <c r="V288" s="27"/>
      <c r="X288" s="27"/>
      <c r="Y288" s="16"/>
      <c r="Z288" s="16"/>
      <c r="AA288" s="27"/>
      <c r="AC288" s="27"/>
      <c r="AD288" s="16"/>
      <c r="AE288" s="16"/>
      <c r="AF288" s="27"/>
      <c r="AH288" s="27"/>
      <c r="AI288" s="16"/>
      <c r="AJ288" s="16"/>
      <c r="AK288" s="27"/>
      <c r="AM288" s="27"/>
      <c r="AN288" s="16"/>
      <c r="AO288" s="16"/>
      <c r="AP288" s="27"/>
      <c r="AR288" s="27"/>
      <c r="AS288" s="16"/>
      <c r="AT288" s="16"/>
      <c r="AU288" s="27"/>
      <c r="AW288" s="27"/>
      <c r="AX288" s="16"/>
      <c r="AY288" s="16"/>
      <c r="AZ288" s="27"/>
      <c r="BB288" s="27"/>
      <c r="BC288" s="16"/>
      <c r="BD288" s="16"/>
      <c r="BE288" s="27"/>
      <c r="BG288" s="27"/>
      <c r="BH288" s="16"/>
      <c r="BI288" s="16"/>
      <c r="BJ288" s="27"/>
      <c r="BL288" s="27"/>
      <c r="BM288" s="16"/>
      <c r="BN288" s="16"/>
      <c r="BO288" s="27"/>
      <c r="BQ288" s="27"/>
      <c r="BR288" s="16"/>
      <c r="BS288" s="16"/>
      <c r="BT288" s="27"/>
      <c r="BV288" s="27"/>
      <c r="BW288" s="16"/>
      <c r="BX288" s="16"/>
      <c r="BY288" s="27"/>
      <c r="CA288" s="27"/>
      <c r="CB288" s="16"/>
      <c r="CC288" s="16"/>
      <c r="CD288" s="27"/>
      <c r="CF288" s="27"/>
      <c r="CG288" s="16"/>
      <c r="CH288" s="16"/>
      <c r="CI288" s="27"/>
      <c r="CK288" s="27"/>
      <c r="CL288" s="16"/>
      <c r="CM288" s="16"/>
      <c r="CN288" s="27"/>
      <c r="CP288" s="27"/>
      <c r="CQ288" s="16"/>
      <c r="CR288" s="16"/>
      <c r="CS288" s="27"/>
      <c r="CU288" s="27"/>
      <c r="CV288" s="16"/>
      <c r="CW288" s="16"/>
      <c r="CX288" s="27"/>
      <c r="CZ288" s="27"/>
      <c r="DA288" s="16"/>
      <c r="DB288" s="16"/>
      <c r="DC288" s="27"/>
      <c r="DE288" s="27"/>
      <c r="DF288" s="16"/>
      <c r="DG288" s="16"/>
      <c r="DH288" s="27"/>
      <c r="DJ288" s="27"/>
      <c r="DK288" s="16"/>
      <c r="DL288" s="16"/>
      <c r="DM288" s="27"/>
      <c r="DO288" s="27"/>
      <c r="DP288" s="16"/>
      <c r="DQ288" s="16"/>
      <c r="DR288" s="27"/>
      <c r="DT288" s="27"/>
      <c r="DU288" s="16"/>
      <c r="DV288" s="16"/>
      <c r="DW288" s="27"/>
      <c r="DY288" s="27"/>
      <c r="DZ288" s="16"/>
      <c r="EA288" s="16"/>
      <c r="EB288" s="302"/>
    </row>
    <row r="289" spans="1:132" s="14" customFormat="1" ht="21" x14ac:dyDescent="0.4">
      <c r="A289" s="27"/>
      <c r="B289" s="27"/>
      <c r="C289" s="27"/>
      <c r="E289" s="16"/>
      <c r="F289" s="27"/>
      <c r="G289" s="27"/>
      <c r="I289" s="27"/>
      <c r="J289" s="16"/>
      <c r="K289" s="16"/>
      <c r="L289" s="27"/>
      <c r="N289" s="27"/>
      <c r="O289" s="16"/>
      <c r="P289" s="16"/>
      <c r="Q289" s="27"/>
      <c r="S289" s="27"/>
      <c r="T289" s="16"/>
      <c r="U289" s="16"/>
      <c r="V289" s="27"/>
      <c r="X289" s="27"/>
      <c r="Y289" s="16"/>
      <c r="Z289" s="16"/>
      <c r="AA289" s="27"/>
      <c r="AC289" s="27"/>
      <c r="AD289" s="16"/>
      <c r="AE289" s="16"/>
      <c r="AF289" s="27"/>
      <c r="AH289" s="27"/>
      <c r="AI289" s="16"/>
      <c r="AJ289" s="16"/>
      <c r="AK289" s="27"/>
      <c r="AM289" s="27"/>
      <c r="AN289" s="16"/>
      <c r="AO289" s="16"/>
      <c r="AP289" s="27"/>
      <c r="AR289" s="27"/>
      <c r="AS289" s="16"/>
      <c r="AT289" s="16"/>
      <c r="AU289" s="27"/>
      <c r="AW289" s="27"/>
      <c r="AX289" s="16"/>
      <c r="AY289" s="16"/>
      <c r="AZ289" s="27"/>
      <c r="BB289" s="27"/>
      <c r="BC289" s="16"/>
      <c r="BD289" s="16"/>
      <c r="BE289" s="27"/>
      <c r="BG289" s="27"/>
      <c r="BH289" s="16"/>
      <c r="BI289" s="16"/>
      <c r="BJ289" s="27"/>
      <c r="BL289" s="27"/>
      <c r="BM289" s="16"/>
      <c r="BN289" s="16"/>
      <c r="BO289" s="27"/>
      <c r="BQ289" s="27"/>
      <c r="BR289" s="16"/>
      <c r="BS289" s="16"/>
      <c r="BT289" s="27"/>
      <c r="BV289" s="27"/>
      <c r="BW289" s="16"/>
      <c r="BX289" s="16"/>
      <c r="BY289" s="27"/>
      <c r="CA289" s="27"/>
      <c r="CB289" s="16"/>
      <c r="CC289" s="16"/>
      <c r="CD289" s="27"/>
      <c r="CF289" s="27"/>
      <c r="CG289" s="16"/>
      <c r="CH289" s="16"/>
      <c r="CI289" s="27"/>
      <c r="CK289" s="27"/>
      <c r="CL289" s="16"/>
      <c r="CM289" s="16"/>
      <c r="CN289" s="27"/>
      <c r="CP289" s="27"/>
      <c r="CQ289" s="16"/>
      <c r="CR289" s="16"/>
      <c r="CS289" s="27"/>
      <c r="CU289" s="27"/>
      <c r="CV289" s="16"/>
      <c r="CW289" s="16"/>
      <c r="CX289" s="27"/>
      <c r="CZ289" s="27"/>
      <c r="DA289" s="16"/>
      <c r="DB289" s="16"/>
      <c r="DC289" s="27"/>
      <c r="DE289" s="27"/>
      <c r="DF289" s="16"/>
      <c r="DG289" s="16"/>
      <c r="DH289" s="27"/>
      <c r="DJ289" s="27"/>
      <c r="DK289" s="16"/>
      <c r="DL289" s="16"/>
      <c r="DM289" s="27"/>
      <c r="DO289" s="27"/>
      <c r="DP289" s="16"/>
      <c r="DQ289" s="16"/>
      <c r="DR289" s="27"/>
      <c r="DT289" s="27"/>
      <c r="DU289" s="16"/>
      <c r="DV289" s="16"/>
      <c r="DW289" s="27"/>
      <c r="DY289" s="27"/>
      <c r="DZ289" s="16"/>
      <c r="EA289" s="16"/>
      <c r="EB289" s="302"/>
    </row>
    <row r="290" spans="1:132" s="14" customFormat="1" ht="21" x14ac:dyDescent="0.4">
      <c r="A290" s="27"/>
      <c r="B290" s="27"/>
      <c r="C290" s="27"/>
      <c r="E290" s="16"/>
      <c r="F290" s="27"/>
      <c r="G290" s="27"/>
      <c r="I290" s="27"/>
      <c r="J290" s="16"/>
      <c r="K290" s="16"/>
      <c r="L290" s="27"/>
      <c r="N290" s="27"/>
      <c r="O290" s="16"/>
      <c r="P290" s="16"/>
      <c r="Q290" s="27"/>
      <c r="S290" s="27"/>
      <c r="T290" s="16"/>
      <c r="U290" s="16"/>
      <c r="V290" s="27"/>
      <c r="X290" s="27"/>
      <c r="Y290" s="16"/>
      <c r="Z290" s="16"/>
      <c r="AA290" s="27"/>
      <c r="AC290" s="27"/>
      <c r="AD290" s="16"/>
      <c r="AE290" s="16"/>
      <c r="AF290" s="27"/>
      <c r="AH290" s="27"/>
      <c r="AI290" s="16"/>
      <c r="AJ290" s="16"/>
      <c r="AK290" s="27"/>
      <c r="AM290" s="27"/>
      <c r="AN290" s="16"/>
      <c r="AO290" s="16"/>
      <c r="AP290" s="27"/>
      <c r="AR290" s="27"/>
      <c r="AS290" s="16"/>
      <c r="AT290" s="16"/>
      <c r="AU290" s="27"/>
      <c r="AW290" s="27"/>
      <c r="AX290" s="16"/>
      <c r="AY290" s="16"/>
      <c r="AZ290" s="27"/>
      <c r="BB290" s="27"/>
      <c r="BC290" s="16"/>
      <c r="BD290" s="16"/>
      <c r="BE290" s="27"/>
      <c r="BG290" s="27"/>
      <c r="BH290" s="16"/>
      <c r="BI290" s="16"/>
      <c r="BJ290" s="27"/>
      <c r="BL290" s="27"/>
      <c r="BM290" s="16"/>
      <c r="BN290" s="16"/>
      <c r="BO290" s="27"/>
      <c r="BQ290" s="27"/>
      <c r="BR290" s="16"/>
      <c r="BS290" s="16"/>
      <c r="BT290" s="27"/>
      <c r="BV290" s="27"/>
      <c r="BW290" s="16"/>
      <c r="BX290" s="16"/>
      <c r="BY290" s="27"/>
      <c r="CA290" s="27"/>
      <c r="CB290" s="16"/>
      <c r="CC290" s="16"/>
      <c r="CD290" s="27"/>
      <c r="CF290" s="27"/>
      <c r="CG290" s="16"/>
      <c r="CH290" s="16"/>
      <c r="CI290" s="27"/>
      <c r="CK290" s="27"/>
      <c r="CL290" s="16"/>
      <c r="CM290" s="16"/>
      <c r="CN290" s="27"/>
      <c r="CP290" s="27"/>
      <c r="CQ290" s="16"/>
      <c r="CR290" s="16"/>
      <c r="CS290" s="27"/>
      <c r="CU290" s="27"/>
      <c r="CV290" s="16"/>
      <c r="CW290" s="16"/>
      <c r="CX290" s="27"/>
      <c r="CZ290" s="27"/>
      <c r="DA290" s="16"/>
      <c r="DB290" s="16"/>
      <c r="DC290" s="27"/>
      <c r="DE290" s="27"/>
      <c r="DF290" s="16"/>
      <c r="DG290" s="16"/>
      <c r="DH290" s="27"/>
      <c r="DJ290" s="27"/>
      <c r="DK290" s="16"/>
      <c r="DL290" s="16"/>
      <c r="DM290" s="27"/>
      <c r="DO290" s="27"/>
      <c r="DP290" s="16"/>
      <c r="DQ290" s="16"/>
      <c r="DR290" s="27"/>
      <c r="DT290" s="27"/>
      <c r="DU290" s="16"/>
      <c r="DV290" s="16"/>
      <c r="DW290" s="27"/>
      <c r="DY290" s="27"/>
      <c r="DZ290" s="16"/>
      <c r="EA290" s="16"/>
      <c r="EB290" s="302"/>
    </row>
    <row r="291" spans="1:132" s="14" customFormat="1" ht="21" x14ac:dyDescent="0.4">
      <c r="A291" s="27"/>
      <c r="B291" s="27"/>
      <c r="C291" s="27"/>
      <c r="E291" s="16"/>
      <c r="F291" s="27"/>
      <c r="G291" s="27"/>
      <c r="I291" s="27"/>
      <c r="J291" s="16"/>
      <c r="K291" s="16"/>
      <c r="L291" s="27"/>
      <c r="N291" s="27"/>
      <c r="O291" s="16"/>
      <c r="P291" s="16"/>
      <c r="Q291" s="27"/>
      <c r="S291" s="27"/>
      <c r="T291" s="16"/>
      <c r="U291" s="16"/>
      <c r="V291" s="27"/>
      <c r="X291" s="27"/>
      <c r="Y291" s="16"/>
      <c r="Z291" s="16"/>
      <c r="AA291" s="27"/>
      <c r="AC291" s="27"/>
      <c r="AD291" s="16"/>
      <c r="AE291" s="16"/>
      <c r="AF291" s="27"/>
      <c r="AH291" s="27"/>
      <c r="AI291" s="16"/>
      <c r="AJ291" s="16"/>
      <c r="AK291" s="27"/>
      <c r="AM291" s="27"/>
      <c r="AN291" s="16"/>
      <c r="AO291" s="16"/>
      <c r="AP291" s="27"/>
      <c r="AR291" s="27"/>
      <c r="AS291" s="16"/>
      <c r="AT291" s="16"/>
      <c r="AU291" s="27"/>
      <c r="AW291" s="27"/>
      <c r="AX291" s="16"/>
      <c r="AY291" s="16"/>
      <c r="AZ291" s="27"/>
      <c r="BB291" s="27"/>
      <c r="BC291" s="16"/>
      <c r="BD291" s="16"/>
      <c r="BE291" s="27"/>
      <c r="BG291" s="27"/>
      <c r="BH291" s="16"/>
      <c r="BI291" s="16"/>
      <c r="BJ291" s="27"/>
      <c r="BL291" s="27"/>
      <c r="BM291" s="16"/>
      <c r="BN291" s="16"/>
      <c r="BO291" s="27"/>
      <c r="BQ291" s="27"/>
      <c r="BR291" s="16"/>
      <c r="BS291" s="16"/>
      <c r="BT291" s="27"/>
      <c r="BV291" s="27"/>
      <c r="BW291" s="16"/>
      <c r="BX291" s="16"/>
      <c r="BY291" s="27"/>
      <c r="CA291" s="27"/>
      <c r="CB291" s="16"/>
      <c r="CC291" s="16"/>
      <c r="CD291" s="27"/>
      <c r="CF291" s="27"/>
      <c r="CG291" s="16"/>
      <c r="CH291" s="16"/>
      <c r="CI291" s="27"/>
      <c r="CK291" s="27"/>
      <c r="CL291" s="16"/>
      <c r="CM291" s="16"/>
      <c r="CN291" s="27"/>
      <c r="CP291" s="27"/>
      <c r="CQ291" s="16"/>
      <c r="CR291" s="16"/>
      <c r="CS291" s="27"/>
      <c r="CU291" s="27"/>
      <c r="CV291" s="16"/>
      <c r="CW291" s="16"/>
      <c r="CX291" s="27"/>
      <c r="CZ291" s="27"/>
      <c r="DA291" s="16"/>
      <c r="DB291" s="16"/>
      <c r="DC291" s="27"/>
      <c r="DE291" s="27"/>
      <c r="DF291" s="16"/>
      <c r="DG291" s="16"/>
      <c r="DH291" s="27"/>
      <c r="DJ291" s="27"/>
      <c r="DK291" s="16"/>
      <c r="DL291" s="16"/>
      <c r="DM291" s="27"/>
      <c r="DO291" s="27"/>
      <c r="DP291" s="16"/>
      <c r="DQ291" s="16"/>
      <c r="DR291" s="27"/>
      <c r="DT291" s="27"/>
      <c r="DU291" s="16"/>
      <c r="DV291" s="16"/>
      <c r="DW291" s="27"/>
      <c r="DY291" s="27"/>
      <c r="DZ291" s="16"/>
      <c r="EA291" s="16"/>
      <c r="EB291" s="302"/>
    </row>
    <row r="292" spans="1:132" s="14" customFormat="1" ht="21" x14ac:dyDescent="0.4">
      <c r="A292" s="27"/>
      <c r="B292" s="27"/>
      <c r="C292" s="27"/>
      <c r="E292" s="16"/>
      <c r="F292" s="27"/>
      <c r="G292" s="27"/>
      <c r="I292" s="27"/>
      <c r="J292" s="16"/>
      <c r="K292" s="16"/>
      <c r="L292" s="27"/>
      <c r="N292" s="27"/>
      <c r="O292" s="16"/>
      <c r="P292" s="16"/>
      <c r="Q292" s="27"/>
      <c r="S292" s="27"/>
      <c r="T292" s="16"/>
      <c r="U292" s="16"/>
      <c r="V292" s="27"/>
      <c r="X292" s="27"/>
      <c r="Y292" s="16"/>
      <c r="Z292" s="16"/>
      <c r="AA292" s="27"/>
      <c r="AC292" s="27"/>
      <c r="AD292" s="16"/>
      <c r="AE292" s="16"/>
      <c r="AF292" s="27"/>
      <c r="AH292" s="27"/>
      <c r="AI292" s="16"/>
      <c r="AJ292" s="16"/>
      <c r="AK292" s="27"/>
      <c r="AM292" s="27"/>
      <c r="AN292" s="16"/>
      <c r="AO292" s="16"/>
      <c r="AP292" s="27"/>
      <c r="AR292" s="27"/>
      <c r="AS292" s="16"/>
      <c r="AT292" s="16"/>
      <c r="AU292" s="27"/>
      <c r="AW292" s="27"/>
      <c r="AX292" s="16"/>
      <c r="AY292" s="16"/>
      <c r="AZ292" s="27"/>
      <c r="BB292" s="27"/>
      <c r="BC292" s="16"/>
      <c r="BD292" s="16"/>
      <c r="BE292" s="27"/>
      <c r="BG292" s="27"/>
      <c r="BH292" s="16"/>
      <c r="BI292" s="16"/>
      <c r="BJ292" s="27"/>
      <c r="BL292" s="27"/>
      <c r="BM292" s="16"/>
      <c r="BN292" s="16"/>
      <c r="BO292" s="27"/>
      <c r="BQ292" s="27"/>
      <c r="BR292" s="16"/>
      <c r="BS292" s="16"/>
      <c r="BT292" s="27"/>
      <c r="BV292" s="27"/>
      <c r="BW292" s="16"/>
      <c r="BX292" s="16"/>
      <c r="BY292" s="27"/>
      <c r="CA292" s="27"/>
      <c r="CB292" s="16"/>
      <c r="CC292" s="16"/>
      <c r="CD292" s="27"/>
      <c r="CF292" s="27"/>
      <c r="CG292" s="16"/>
      <c r="CH292" s="16"/>
      <c r="CI292" s="27"/>
      <c r="CK292" s="27"/>
      <c r="CL292" s="16"/>
      <c r="CM292" s="16"/>
      <c r="CN292" s="27"/>
      <c r="CP292" s="27"/>
      <c r="CQ292" s="16"/>
      <c r="CR292" s="16"/>
      <c r="CS292" s="27"/>
      <c r="CU292" s="27"/>
      <c r="CV292" s="16"/>
      <c r="CW292" s="16"/>
      <c r="CX292" s="27"/>
      <c r="CZ292" s="27"/>
      <c r="DA292" s="16"/>
      <c r="DB292" s="16"/>
      <c r="DC292" s="27"/>
      <c r="DE292" s="27"/>
      <c r="DF292" s="16"/>
      <c r="DG292" s="16"/>
      <c r="DH292" s="27"/>
      <c r="DJ292" s="27"/>
      <c r="DK292" s="16"/>
      <c r="DL292" s="16"/>
      <c r="DM292" s="27"/>
      <c r="DO292" s="27"/>
      <c r="DP292" s="16"/>
      <c r="DQ292" s="16"/>
      <c r="DR292" s="27"/>
      <c r="DT292" s="27"/>
      <c r="DU292" s="16"/>
      <c r="DV292" s="16"/>
      <c r="DW292" s="27"/>
      <c r="DY292" s="27"/>
      <c r="DZ292" s="16"/>
      <c r="EA292" s="16"/>
      <c r="EB292" s="302"/>
    </row>
    <row r="293" spans="1:132" s="14" customFormat="1" ht="21" x14ac:dyDescent="0.4">
      <c r="A293" s="27"/>
      <c r="B293" s="27"/>
      <c r="C293" s="27"/>
      <c r="E293" s="16"/>
      <c r="F293" s="27"/>
      <c r="G293" s="27"/>
      <c r="I293" s="27"/>
      <c r="J293" s="16"/>
      <c r="K293" s="16"/>
      <c r="L293" s="27"/>
      <c r="N293" s="27"/>
      <c r="O293" s="16"/>
      <c r="P293" s="16"/>
      <c r="Q293" s="27"/>
      <c r="S293" s="27"/>
      <c r="T293" s="16"/>
      <c r="U293" s="16"/>
      <c r="V293" s="27"/>
      <c r="X293" s="27"/>
      <c r="Y293" s="16"/>
      <c r="Z293" s="16"/>
      <c r="AA293" s="27"/>
      <c r="AC293" s="27"/>
      <c r="AD293" s="16"/>
      <c r="AE293" s="16"/>
      <c r="AF293" s="27"/>
      <c r="AH293" s="27"/>
      <c r="AI293" s="16"/>
      <c r="AJ293" s="16"/>
      <c r="AK293" s="27"/>
      <c r="AM293" s="27"/>
      <c r="AN293" s="16"/>
      <c r="AO293" s="16"/>
      <c r="AP293" s="27"/>
      <c r="AR293" s="27"/>
      <c r="AS293" s="16"/>
      <c r="AT293" s="16"/>
      <c r="AU293" s="27"/>
      <c r="AW293" s="27"/>
      <c r="AX293" s="16"/>
      <c r="AY293" s="16"/>
      <c r="AZ293" s="27"/>
      <c r="BB293" s="27"/>
      <c r="BC293" s="16"/>
      <c r="BD293" s="16"/>
      <c r="BE293" s="27"/>
      <c r="BG293" s="27"/>
      <c r="BH293" s="16"/>
      <c r="BI293" s="16"/>
      <c r="BJ293" s="27"/>
      <c r="BL293" s="27"/>
      <c r="BM293" s="16"/>
      <c r="BN293" s="16"/>
      <c r="BO293" s="27"/>
      <c r="BQ293" s="27"/>
      <c r="BR293" s="16"/>
      <c r="BS293" s="16"/>
      <c r="BT293" s="27"/>
      <c r="BV293" s="27"/>
      <c r="BW293" s="16"/>
      <c r="BX293" s="16"/>
      <c r="BY293" s="27"/>
      <c r="CA293" s="27"/>
      <c r="CB293" s="16"/>
      <c r="CC293" s="16"/>
      <c r="CD293" s="27"/>
      <c r="CF293" s="27"/>
      <c r="CG293" s="16"/>
      <c r="CH293" s="16"/>
      <c r="CI293" s="27"/>
      <c r="CK293" s="27"/>
      <c r="CL293" s="16"/>
      <c r="CM293" s="16"/>
      <c r="CN293" s="27"/>
      <c r="CP293" s="27"/>
      <c r="CQ293" s="16"/>
      <c r="CR293" s="16"/>
      <c r="CS293" s="27"/>
      <c r="CU293" s="27"/>
      <c r="CV293" s="16"/>
      <c r="CW293" s="16"/>
      <c r="CX293" s="27"/>
      <c r="CZ293" s="27"/>
      <c r="DA293" s="16"/>
      <c r="DB293" s="16"/>
      <c r="DC293" s="27"/>
      <c r="DE293" s="27"/>
      <c r="DF293" s="16"/>
      <c r="DG293" s="16"/>
      <c r="DH293" s="27"/>
      <c r="DJ293" s="27"/>
      <c r="DK293" s="16"/>
      <c r="DL293" s="16"/>
      <c r="DM293" s="27"/>
      <c r="DO293" s="27"/>
      <c r="DP293" s="16"/>
      <c r="DQ293" s="16"/>
      <c r="DR293" s="27"/>
      <c r="DT293" s="27"/>
      <c r="DU293" s="16"/>
      <c r="DV293" s="16"/>
      <c r="DW293" s="27"/>
      <c r="DY293" s="27"/>
      <c r="DZ293" s="16"/>
      <c r="EA293" s="16"/>
      <c r="EB293" s="302"/>
    </row>
    <row r="294" spans="1:132" s="14" customFormat="1" ht="21" x14ac:dyDescent="0.4">
      <c r="A294" s="27"/>
      <c r="B294" s="27"/>
      <c r="C294" s="27"/>
      <c r="E294" s="16"/>
      <c r="F294" s="27"/>
      <c r="G294" s="27"/>
      <c r="I294" s="27"/>
      <c r="J294" s="16"/>
      <c r="K294" s="16"/>
      <c r="L294" s="27"/>
      <c r="N294" s="27"/>
      <c r="O294" s="16"/>
      <c r="P294" s="16"/>
      <c r="Q294" s="27"/>
      <c r="S294" s="27"/>
      <c r="T294" s="16"/>
      <c r="U294" s="16"/>
      <c r="V294" s="27"/>
      <c r="X294" s="27"/>
      <c r="Y294" s="16"/>
      <c r="Z294" s="16"/>
      <c r="AA294" s="27"/>
      <c r="AC294" s="27"/>
      <c r="AD294" s="16"/>
      <c r="AE294" s="16"/>
      <c r="AF294" s="27"/>
      <c r="AH294" s="27"/>
      <c r="AI294" s="16"/>
      <c r="AJ294" s="16"/>
      <c r="AK294" s="27"/>
      <c r="AM294" s="27"/>
      <c r="AN294" s="16"/>
      <c r="AO294" s="16"/>
      <c r="AP294" s="27"/>
      <c r="AR294" s="27"/>
      <c r="AS294" s="16"/>
      <c r="AT294" s="16"/>
      <c r="AU294" s="27"/>
      <c r="AW294" s="27"/>
      <c r="AX294" s="16"/>
      <c r="AY294" s="16"/>
      <c r="AZ294" s="27"/>
      <c r="BB294" s="27"/>
      <c r="BC294" s="16"/>
      <c r="BD294" s="16"/>
      <c r="BE294" s="27"/>
      <c r="BG294" s="27"/>
      <c r="BH294" s="16"/>
      <c r="BI294" s="16"/>
      <c r="BJ294" s="27"/>
      <c r="BL294" s="27"/>
      <c r="BM294" s="16"/>
      <c r="BN294" s="16"/>
      <c r="BO294" s="27"/>
      <c r="BQ294" s="27"/>
      <c r="BR294" s="16"/>
      <c r="BS294" s="16"/>
      <c r="BT294" s="27"/>
      <c r="BV294" s="27"/>
      <c r="BW294" s="16"/>
      <c r="BX294" s="16"/>
      <c r="BY294" s="27"/>
      <c r="CA294" s="27"/>
      <c r="CB294" s="16"/>
      <c r="CC294" s="16"/>
      <c r="CD294" s="27"/>
      <c r="CF294" s="27"/>
      <c r="CG294" s="16"/>
      <c r="CH294" s="16"/>
      <c r="CI294" s="27"/>
      <c r="CK294" s="27"/>
      <c r="CL294" s="16"/>
      <c r="CM294" s="16"/>
      <c r="CN294" s="27"/>
      <c r="CP294" s="27"/>
      <c r="CQ294" s="16"/>
      <c r="CR294" s="16"/>
      <c r="CS294" s="27"/>
      <c r="CU294" s="27"/>
      <c r="CV294" s="16"/>
      <c r="CW294" s="16"/>
      <c r="CX294" s="27"/>
      <c r="CZ294" s="27"/>
      <c r="DA294" s="16"/>
      <c r="DB294" s="16"/>
      <c r="DC294" s="27"/>
      <c r="DE294" s="27"/>
      <c r="DF294" s="16"/>
      <c r="DG294" s="16"/>
      <c r="DH294" s="27"/>
      <c r="DJ294" s="27"/>
      <c r="DK294" s="16"/>
      <c r="DL294" s="16"/>
      <c r="DM294" s="27"/>
      <c r="DO294" s="27"/>
      <c r="DP294" s="16"/>
      <c r="DQ294" s="16"/>
      <c r="DR294" s="27"/>
      <c r="DT294" s="27"/>
      <c r="DU294" s="16"/>
      <c r="DV294" s="16"/>
      <c r="DW294" s="27"/>
      <c r="DY294" s="27"/>
      <c r="DZ294" s="16"/>
      <c r="EA294" s="16"/>
      <c r="EB294" s="302"/>
    </row>
    <row r="295" spans="1:132" s="14" customFormat="1" ht="21" x14ac:dyDescent="0.4">
      <c r="A295" s="27"/>
      <c r="B295" s="27"/>
      <c r="C295" s="27"/>
      <c r="E295" s="16"/>
      <c r="F295" s="27"/>
      <c r="G295" s="27"/>
      <c r="I295" s="27"/>
      <c r="J295" s="16"/>
      <c r="K295" s="16"/>
      <c r="L295" s="27"/>
      <c r="N295" s="27"/>
      <c r="O295" s="16"/>
      <c r="P295" s="16"/>
      <c r="Q295" s="27"/>
      <c r="S295" s="27"/>
      <c r="T295" s="16"/>
      <c r="U295" s="16"/>
      <c r="V295" s="27"/>
      <c r="X295" s="27"/>
      <c r="Y295" s="16"/>
      <c r="Z295" s="16"/>
      <c r="AA295" s="27"/>
      <c r="AC295" s="27"/>
      <c r="AD295" s="16"/>
      <c r="AE295" s="16"/>
      <c r="AF295" s="27"/>
      <c r="AH295" s="27"/>
      <c r="AI295" s="16"/>
      <c r="AJ295" s="16"/>
      <c r="AK295" s="27"/>
      <c r="AM295" s="27"/>
      <c r="AN295" s="16"/>
      <c r="AO295" s="16"/>
      <c r="AP295" s="27"/>
      <c r="AR295" s="27"/>
      <c r="AS295" s="16"/>
      <c r="AT295" s="16"/>
      <c r="AU295" s="27"/>
      <c r="AW295" s="27"/>
      <c r="AX295" s="16"/>
      <c r="AY295" s="16"/>
      <c r="AZ295" s="27"/>
      <c r="BB295" s="27"/>
      <c r="BC295" s="16"/>
      <c r="BD295" s="16"/>
      <c r="BE295" s="27"/>
      <c r="BG295" s="27"/>
      <c r="BH295" s="16"/>
      <c r="BI295" s="16"/>
      <c r="BJ295" s="27"/>
      <c r="BL295" s="27"/>
      <c r="BM295" s="16"/>
      <c r="BN295" s="16"/>
      <c r="BO295" s="27"/>
      <c r="BQ295" s="27"/>
      <c r="BR295" s="16"/>
      <c r="BS295" s="16"/>
      <c r="BT295" s="27"/>
      <c r="BV295" s="27"/>
      <c r="BW295" s="16"/>
      <c r="BX295" s="16"/>
      <c r="BY295" s="27"/>
      <c r="CA295" s="27"/>
      <c r="CB295" s="16"/>
      <c r="CC295" s="16"/>
      <c r="CD295" s="27"/>
      <c r="CF295" s="27"/>
      <c r="CG295" s="16"/>
      <c r="CH295" s="16"/>
      <c r="CI295" s="27"/>
      <c r="CK295" s="27"/>
      <c r="CL295" s="16"/>
      <c r="CM295" s="16"/>
      <c r="CN295" s="27"/>
      <c r="CP295" s="27"/>
      <c r="CQ295" s="16"/>
      <c r="CR295" s="16"/>
      <c r="CS295" s="27"/>
      <c r="CU295" s="27"/>
      <c r="CV295" s="16"/>
      <c r="CW295" s="16"/>
      <c r="CX295" s="27"/>
      <c r="CZ295" s="27"/>
      <c r="DA295" s="16"/>
      <c r="DB295" s="16"/>
      <c r="DC295" s="27"/>
      <c r="DE295" s="27"/>
      <c r="DF295" s="16"/>
      <c r="DG295" s="16"/>
      <c r="DH295" s="27"/>
      <c r="DJ295" s="27"/>
      <c r="DK295" s="16"/>
      <c r="DL295" s="16"/>
      <c r="DM295" s="27"/>
      <c r="DO295" s="27"/>
      <c r="DP295" s="16"/>
      <c r="DQ295" s="16"/>
      <c r="DR295" s="27"/>
      <c r="DT295" s="27"/>
      <c r="DU295" s="16"/>
      <c r="DV295" s="16"/>
      <c r="DW295" s="27"/>
      <c r="DY295" s="27"/>
      <c r="DZ295" s="16"/>
      <c r="EA295" s="16"/>
      <c r="EB295" s="302"/>
    </row>
    <row r="296" spans="1:132" s="14" customFormat="1" ht="21" x14ac:dyDescent="0.4">
      <c r="A296" s="27"/>
      <c r="B296" s="27"/>
      <c r="C296" s="27"/>
      <c r="E296" s="16"/>
      <c r="F296" s="27"/>
      <c r="G296" s="27"/>
      <c r="I296" s="27"/>
      <c r="J296" s="16"/>
      <c r="K296" s="16"/>
      <c r="L296" s="27"/>
      <c r="N296" s="27"/>
      <c r="O296" s="16"/>
      <c r="P296" s="16"/>
      <c r="Q296" s="27"/>
      <c r="S296" s="27"/>
      <c r="T296" s="16"/>
      <c r="U296" s="16"/>
      <c r="V296" s="27"/>
      <c r="X296" s="27"/>
      <c r="Y296" s="16"/>
      <c r="Z296" s="16"/>
      <c r="AA296" s="27"/>
      <c r="AC296" s="27"/>
      <c r="AD296" s="16"/>
      <c r="AE296" s="16"/>
      <c r="AF296" s="27"/>
      <c r="AH296" s="27"/>
      <c r="AI296" s="16"/>
      <c r="AJ296" s="16"/>
      <c r="AK296" s="27"/>
      <c r="AM296" s="27"/>
      <c r="AN296" s="16"/>
      <c r="AO296" s="16"/>
      <c r="AP296" s="27"/>
      <c r="AR296" s="27"/>
      <c r="AS296" s="16"/>
      <c r="AT296" s="16"/>
      <c r="AU296" s="27"/>
      <c r="AW296" s="27"/>
      <c r="AX296" s="16"/>
      <c r="AY296" s="16"/>
      <c r="AZ296" s="27"/>
      <c r="BB296" s="27"/>
      <c r="BC296" s="16"/>
      <c r="BD296" s="16"/>
      <c r="BE296" s="27"/>
      <c r="BG296" s="27"/>
      <c r="BH296" s="16"/>
      <c r="BI296" s="16"/>
      <c r="BJ296" s="27"/>
      <c r="BL296" s="27"/>
      <c r="BM296" s="16"/>
      <c r="BN296" s="16"/>
      <c r="BO296" s="27"/>
      <c r="BQ296" s="27"/>
      <c r="BR296" s="16"/>
      <c r="BS296" s="16"/>
      <c r="BT296" s="27"/>
      <c r="BV296" s="27"/>
      <c r="BW296" s="16"/>
      <c r="BX296" s="16"/>
      <c r="BY296" s="27"/>
      <c r="CA296" s="27"/>
      <c r="CB296" s="16"/>
      <c r="CC296" s="16"/>
      <c r="CD296" s="27"/>
      <c r="CF296" s="27"/>
      <c r="CG296" s="16"/>
      <c r="CH296" s="16"/>
      <c r="CI296" s="27"/>
      <c r="CK296" s="27"/>
      <c r="CL296" s="16"/>
      <c r="CM296" s="16"/>
      <c r="CN296" s="27"/>
      <c r="CP296" s="27"/>
      <c r="CQ296" s="16"/>
      <c r="CR296" s="16"/>
      <c r="CS296" s="27"/>
      <c r="CU296" s="27"/>
      <c r="CV296" s="16"/>
      <c r="CW296" s="16"/>
      <c r="CX296" s="27"/>
      <c r="CZ296" s="27"/>
      <c r="DA296" s="16"/>
      <c r="DB296" s="16"/>
      <c r="DC296" s="27"/>
      <c r="DE296" s="27"/>
      <c r="DF296" s="16"/>
      <c r="DG296" s="16"/>
      <c r="DH296" s="27"/>
      <c r="DJ296" s="27"/>
      <c r="DK296" s="16"/>
      <c r="DL296" s="16"/>
      <c r="DM296" s="27"/>
      <c r="DO296" s="27"/>
      <c r="DP296" s="16"/>
      <c r="DQ296" s="16"/>
      <c r="DR296" s="27"/>
      <c r="DT296" s="27"/>
      <c r="DU296" s="16"/>
      <c r="DV296" s="16"/>
      <c r="DW296" s="27"/>
      <c r="DY296" s="27"/>
      <c r="DZ296" s="16"/>
      <c r="EA296" s="16"/>
      <c r="EB296" s="302"/>
    </row>
    <row r="297" spans="1:132" s="14" customFormat="1" ht="21" x14ac:dyDescent="0.4">
      <c r="A297" s="27"/>
      <c r="B297" s="27"/>
      <c r="C297" s="27"/>
      <c r="E297" s="16"/>
      <c r="F297" s="27"/>
      <c r="G297" s="27"/>
      <c r="I297" s="27"/>
      <c r="J297" s="16"/>
      <c r="K297" s="16"/>
      <c r="L297" s="27"/>
      <c r="N297" s="27"/>
      <c r="O297" s="16"/>
      <c r="P297" s="16"/>
      <c r="Q297" s="27"/>
      <c r="S297" s="27"/>
      <c r="T297" s="16"/>
      <c r="U297" s="16"/>
      <c r="V297" s="27"/>
      <c r="X297" s="27"/>
      <c r="Y297" s="16"/>
      <c r="Z297" s="16"/>
      <c r="AA297" s="27"/>
      <c r="AC297" s="27"/>
      <c r="AD297" s="16"/>
      <c r="AE297" s="16"/>
      <c r="AF297" s="27"/>
      <c r="AH297" s="27"/>
      <c r="AI297" s="16"/>
      <c r="AJ297" s="16"/>
      <c r="AK297" s="27"/>
      <c r="AM297" s="27"/>
      <c r="AN297" s="16"/>
      <c r="AO297" s="16"/>
      <c r="AP297" s="27"/>
      <c r="AR297" s="27"/>
      <c r="AS297" s="16"/>
      <c r="AT297" s="16"/>
      <c r="AU297" s="27"/>
      <c r="AW297" s="27"/>
      <c r="AX297" s="16"/>
      <c r="AY297" s="16"/>
      <c r="AZ297" s="27"/>
      <c r="BB297" s="27"/>
      <c r="BC297" s="16"/>
      <c r="BD297" s="16"/>
      <c r="BE297" s="27"/>
      <c r="BG297" s="27"/>
      <c r="BH297" s="16"/>
      <c r="BI297" s="16"/>
      <c r="BJ297" s="27"/>
      <c r="BL297" s="27"/>
      <c r="BM297" s="16"/>
      <c r="BN297" s="16"/>
      <c r="BO297" s="27"/>
      <c r="BQ297" s="27"/>
      <c r="BR297" s="16"/>
      <c r="BS297" s="16"/>
      <c r="BT297" s="27"/>
      <c r="BV297" s="27"/>
      <c r="BW297" s="16"/>
      <c r="BX297" s="16"/>
      <c r="BY297" s="27"/>
      <c r="CA297" s="27"/>
      <c r="CB297" s="16"/>
      <c r="CC297" s="16"/>
      <c r="CD297" s="27"/>
      <c r="CF297" s="27"/>
      <c r="CG297" s="16"/>
      <c r="CH297" s="16"/>
      <c r="CI297" s="27"/>
      <c r="CK297" s="27"/>
      <c r="CL297" s="16"/>
      <c r="CM297" s="16"/>
      <c r="CN297" s="27"/>
      <c r="CP297" s="27"/>
      <c r="CQ297" s="16"/>
      <c r="CR297" s="16"/>
      <c r="CS297" s="27"/>
      <c r="CU297" s="27"/>
      <c r="CV297" s="16"/>
      <c r="CW297" s="16"/>
      <c r="CX297" s="27"/>
      <c r="CZ297" s="27"/>
      <c r="DA297" s="16"/>
      <c r="DB297" s="16"/>
      <c r="DC297" s="27"/>
      <c r="DE297" s="27"/>
      <c r="DF297" s="16"/>
      <c r="DG297" s="16"/>
      <c r="DH297" s="27"/>
      <c r="DJ297" s="27"/>
      <c r="DK297" s="16"/>
      <c r="DL297" s="16"/>
      <c r="DM297" s="27"/>
      <c r="DO297" s="27"/>
      <c r="DP297" s="16"/>
      <c r="DQ297" s="16"/>
      <c r="DR297" s="27"/>
      <c r="DT297" s="27"/>
      <c r="DU297" s="16"/>
      <c r="DV297" s="16"/>
      <c r="DW297" s="27"/>
      <c r="DY297" s="27"/>
      <c r="DZ297" s="16"/>
      <c r="EA297" s="16"/>
      <c r="EB297" s="302"/>
    </row>
    <row r="298" spans="1:132" s="14" customFormat="1" ht="21" x14ac:dyDescent="0.4">
      <c r="A298" s="27"/>
      <c r="B298" s="27"/>
      <c r="C298" s="27"/>
      <c r="E298" s="16"/>
      <c r="F298" s="27"/>
      <c r="G298" s="27"/>
      <c r="I298" s="27"/>
      <c r="J298" s="16"/>
      <c r="K298" s="16"/>
      <c r="L298" s="27"/>
      <c r="N298" s="27"/>
      <c r="O298" s="16"/>
      <c r="P298" s="16"/>
      <c r="Q298" s="27"/>
      <c r="S298" s="27"/>
      <c r="T298" s="16"/>
      <c r="U298" s="16"/>
      <c r="V298" s="27"/>
      <c r="X298" s="27"/>
      <c r="Y298" s="16"/>
      <c r="Z298" s="16"/>
      <c r="AA298" s="27"/>
      <c r="AC298" s="27"/>
      <c r="AD298" s="16"/>
      <c r="AE298" s="16"/>
      <c r="AF298" s="27"/>
      <c r="AH298" s="27"/>
      <c r="AI298" s="16"/>
      <c r="AJ298" s="16"/>
      <c r="AK298" s="27"/>
      <c r="AM298" s="27"/>
      <c r="AN298" s="16"/>
      <c r="AO298" s="16"/>
      <c r="AP298" s="27"/>
      <c r="AR298" s="27"/>
      <c r="AS298" s="16"/>
      <c r="AT298" s="16"/>
      <c r="AU298" s="27"/>
      <c r="AW298" s="27"/>
      <c r="AX298" s="16"/>
      <c r="AY298" s="16"/>
      <c r="AZ298" s="27"/>
      <c r="BB298" s="27"/>
      <c r="BC298" s="16"/>
      <c r="BD298" s="16"/>
      <c r="BE298" s="27"/>
      <c r="BG298" s="27"/>
      <c r="BH298" s="16"/>
      <c r="BI298" s="16"/>
      <c r="BJ298" s="27"/>
      <c r="BL298" s="27"/>
      <c r="BM298" s="16"/>
      <c r="BN298" s="16"/>
      <c r="BO298" s="27"/>
      <c r="BQ298" s="27"/>
      <c r="BR298" s="16"/>
      <c r="BS298" s="16"/>
      <c r="BT298" s="27"/>
      <c r="BV298" s="27"/>
      <c r="BW298" s="16"/>
      <c r="BX298" s="16"/>
      <c r="BY298" s="27"/>
      <c r="CA298" s="27"/>
      <c r="CB298" s="16"/>
      <c r="CC298" s="16"/>
      <c r="CD298" s="27"/>
      <c r="CF298" s="27"/>
      <c r="CG298" s="16"/>
      <c r="CH298" s="16"/>
      <c r="CI298" s="27"/>
      <c r="CK298" s="27"/>
      <c r="CL298" s="16"/>
      <c r="CM298" s="16"/>
      <c r="CN298" s="27"/>
      <c r="CP298" s="27"/>
      <c r="CQ298" s="16"/>
      <c r="CR298" s="16"/>
      <c r="CS298" s="27"/>
      <c r="CU298" s="27"/>
      <c r="CV298" s="16"/>
      <c r="CW298" s="16"/>
      <c r="CX298" s="27"/>
      <c r="CZ298" s="27"/>
      <c r="DA298" s="16"/>
      <c r="DB298" s="16"/>
      <c r="DC298" s="27"/>
      <c r="DE298" s="27"/>
      <c r="DF298" s="16"/>
      <c r="DG298" s="16"/>
      <c r="DH298" s="27"/>
      <c r="DJ298" s="27"/>
      <c r="DK298" s="16"/>
      <c r="DL298" s="16"/>
      <c r="DM298" s="27"/>
      <c r="DO298" s="27"/>
      <c r="DP298" s="16"/>
      <c r="DQ298" s="16"/>
      <c r="DR298" s="27"/>
      <c r="DT298" s="27"/>
      <c r="DU298" s="16"/>
      <c r="DV298" s="16"/>
      <c r="DW298" s="27"/>
      <c r="DY298" s="27"/>
      <c r="DZ298" s="16"/>
      <c r="EA298" s="16"/>
      <c r="EB298" s="302"/>
    </row>
    <row r="299" spans="1:132" s="14" customFormat="1" ht="21" x14ac:dyDescent="0.4">
      <c r="A299" s="27"/>
      <c r="B299" s="27"/>
      <c r="C299" s="27"/>
      <c r="E299" s="16"/>
      <c r="F299" s="27"/>
      <c r="G299" s="27"/>
      <c r="I299" s="27"/>
      <c r="J299" s="16"/>
      <c r="K299" s="16"/>
      <c r="L299" s="27"/>
      <c r="N299" s="27"/>
      <c r="O299" s="16"/>
      <c r="P299" s="16"/>
      <c r="Q299" s="27"/>
      <c r="S299" s="27"/>
      <c r="T299" s="16"/>
      <c r="U299" s="16"/>
      <c r="V299" s="27"/>
      <c r="X299" s="27"/>
      <c r="Y299" s="16"/>
      <c r="Z299" s="16"/>
      <c r="AA299" s="27"/>
      <c r="AC299" s="27"/>
      <c r="AD299" s="16"/>
      <c r="AE299" s="16"/>
      <c r="AF299" s="27"/>
      <c r="AH299" s="27"/>
      <c r="AI299" s="16"/>
      <c r="AJ299" s="16"/>
      <c r="AK299" s="27"/>
      <c r="AM299" s="27"/>
      <c r="AN299" s="16"/>
      <c r="AO299" s="16"/>
      <c r="AP299" s="27"/>
      <c r="AR299" s="27"/>
      <c r="AS299" s="16"/>
      <c r="AT299" s="16"/>
      <c r="AU299" s="27"/>
      <c r="AW299" s="27"/>
      <c r="AX299" s="16"/>
      <c r="AY299" s="16"/>
      <c r="AZ299" s="27"/>
      <c r="BB299" s="27"/>
      <c r="BC299" s="16"/>
      <c r="BD299" s="16"/>
      <c r="BE299" s="27"/>
      <c r="BG299" s="27"/>
      <c r="BH299" s="16"/>
      <c r="BI299" s="16"/>
      <c r="BJ299" s="27"/>
      <c r="BL299" s="27"/>
      <c r="BM299" s="16"/>
      <c r="BN299" s="16"/>
      <c r="BO299" s="27"/>
      <c r="BQ299" s="27"/>
      <c r="BR299" s="16"/>
      <c r="BS299" s="16"/>
      <c r="BT299" s="27"/>
      <c r="BV299" s="27"/>
      <c r="BW299" s="16"/>
      <c r="BX299" s="16"/>
      <c r="BY299" s="27"/>
      <c r="CA299" s="27"/>
      <c r="CB299" s="16"/>
      <c r="CC299" s="16"/>
      <c r="CD299" s="27"/>
      <c r="CF299" s="27"/>
      <c r="CG299" s="16"/>
      <c r="CH299" s="16"/>
      <c r="CI299" s="27"/>
      <c r="CK299" s="27"/>
      <c r="CL299" s="16"/>
      <c r="CM299" s="16"/>
      <c r="CN299" s="27"/>
      <c r="CP299" s="27"/>
      <c r="CQ299" s="16"/>
      <c r="CR299" s="16"/>
      <c r="CS299" s="27"/>
      <c r="CU299" s="27"/>
      <c r="CV299" s="16"/>
      <c r="CW299" s="16"/>
      <c r="CX299" s="27"/>
      <c r="CZ299" s="27"/>
      <c r="DA299" s="16"/>
      <c r="DB299" s="16"/>
      <c r="DC299" s="27"/>
      <c r="DE299" s="27"/>
      <c r="DF299" s="16"/>
      <c r="DG299" s="16"/>
      <c r="DH299" s="27"/>
      <c r="DJ299" s="27"/>
      <c r="DK299" s="16"/>
      <c r="DL299" s="16"/>
      <c r="DM299" s="27"/>
      <c r="DO299" s="27"/>
      <c r="DP299" s="16"/>
      <c r="DQ299" s="16"/>
      <c r="DR299" s="27"/>
      <c r="DT299" s="27"/>
      <c r="DU299" s="16"/>
      <c r="DV299" s="16"/>
      <c r="DW299" s="27"/>
      <c r="DY299" s="27"/>
      <c r="DZ299" s="16"/>
      <c r="EA299" s="16"/>
      <c r="EB299" s="302"/>
    </row>
    <row r="300" spans="1:132" s="14" customFormat="1" ht="21" x14ac:dyDescent="0.4">
      <c r="A300" s="27"/>
      <c r="B300" s="27"/>
      <c r="C300" s="27"/>
      <c r="E300" s="16"/>
      <c r="F300" s="27"/>
      <c r="G300" s="27"/>
      <c r="I300" s="27"/>
      <c r="J300" s="16"/>
      <c r="K300" s="16"/>
      <c r="L300" s="27"/>
      <c r="N300" s="27"/>
      <c r="O300" s="16"/>
      <c r="P300" s="16"/>
      <c r="Q300" s="27"/>
      <c r="S300" s="27"/>
      <c r="T300" s="16"/>
      <c r="U300" s="16"/>
      <c r="V300" s="27"/>
      <c r="X300" s="27"/>
      <c r="Y300" s="16"/>
      <c r="Z300" s="16"/>
      <c r="AA300" s="27"/>
      <c r="AC300" s="27"/>
      <c r="AD300" s="16"/>
      <c r="AE300" s="16"/>
      <c r="AF300" s="27"/>
      <c r="AH300" s="27"/>
      <c r="AI300" s="16"/>
      <c r="AJ300" s="16"/>
      <c r="AK300" s="27"/>
      <c r="AM300" s="27"/>
      <c r="AN300" s="16"/>
      <c r="AO300" s="16"/>
      <c r="AP300" s="27"/>
      <c r="AR300" s="27"/>
      <c r="AS300" s="16"/>
      <c r="AT300" s="16"/>
      <c r="AU300" s="27"/>
      <c r="AW300" s="27"/>
      <c r="AX300" s="16"/>
      <c r="AY300" s="16"/>
      <c r="AZ300" s="27"/>
      <c r="BB300" s="27"/>
      <c r="BC300" s="16"/>
      <c r="BD300" s="16"/>
      <c r="BE300" s="27"/>
      <c r="BG300" s="27"/>
      <c r="BH300" s="16"/>
      <c r="BI300" s="16"/>
      <c r="BJ300" s="27"/>
      <c r="BL300" s="27"/>
      <c r="BM300" s="16"/>
      <c r="BN300" s="16"/>
      <c r="BO300" s="27"/>
      <c r="BQ300" s="27"/>
      <c r="BR300" s="16"/>
      <c r="BS300" s="16"/>
      <c r="BT300" s="27"/>
      <c r="BV300" s="27"/>
      <c r="BW300" s="16"/>
      <c r="BX300" s="16"/>
      <c r="BY300" s="27"/>
      <c r="CA300" s="27"/>
      <c r="CB300" s="16"/>
      <c r="CC300" s="16"/>
      <c r="CD300" s="27"/>
      <c r="CF300" s="27"/>
      <c r="CG300" s="16"/>
      <c r="CH300" s="16"/>
      <c r="CI300" s="27"/>
      <c r="CK300" s="27"/>
      <c r="CL300" s="16"/>
      <c r="CM300" s="16"/>
      <c r="CN300" s="27"/>
      <c r="CP300" s="27"/>
      <c r="CQ300" s="16"/>
      <c r="CR300" s="16"/>
      <c r="CS300" s="27"/>
      <c r="CU300" s="27"/>
      <c r="CV300" s="16"/>
      <c r="CW300" s="16"/>
      <c r="CX300" s="27"/>
      <c r="CZ300" s="27"/>
      <c r="DA300" s="16"/>
      <c r="DB300" s="16"/>
      <c r="DC300" s="27"/>
      <c r="DE300" s="27"/>
      <c r="DF300" s="16"/>
      <c r="DG300" s="16"/>
      <c r="DH300" s="27"/>
      <c r="DJ300" s="27"/>
      <c r="DK300" s="16"/>
      <c r="DL300" s="16"/>
      <c r="DM300" s="27"/>
      <c r="DO300" s="27"/>
      <c r="DP300" s="16"/>
      <c r="DQ300" s="16"/>
      <c r="DR300" s="27"/>
      <c r="DT300" s="27"/>
      <c r="DU300" s="16"/>
      <c r="DV300" s="16"/>
      <c r="DW300" s="27"/>
      <c r="DY300" s="27"/>
      <c r="DZ300" s="16"/>
      <c r="EA300" s="16"/>
      <c r="EB300" s="302"/>
    </row>
    <row r="301" spans="1:132" s="14" customFormat="1" ht="21" x14ac:dyDescent="0.4">
      <c r="A301" s="27"/>
      <c r="B301" s="27"/>
      <c r="C301" s="27"/>
      <c r="E301" s="16"/>
      <c r="F301" s="27"/>
      <c r="G301" s="27"/>
      <c r="I301" s="27"/>
      <c r="J301" s="16"/>
      <c r="K301" s="16"/>
      <c r="L301" s="27"/>
      <c r="N301" s="27"/>
      <c r="O301" s="16"/>
      <c r="P301" s="16"/>
      <c r="Q301" s="27"/>
      <c r="S301" s="27"/>
      <c r="T301" s="16"/>
      <c r="U301" s="16"/>
      <c r="V301" s="27"/>
      <c r="X301" s="27"/>
      <c r="Y301" s="16"/>
      <c r="Z301" s="16"/>
      <c r="AA301" s="27"/>
      <c r="AC301" s="27"/>
      <c r="AD301" s="16"/>
      <c r="AE301" s="16"/>
      <c r="AF301" s="27"/>
      <c r="AH301" s="27"/>
      <c r="AI301" s="16"/>
      <c r="AJ301" s="16"/>
      <c r="AK301" s="27"/>
      <c r="AM301" s="27"/>
      <c r="AN301" s="16"/>
      <c r="AO301" s="16"/>
      <c r="AP301" s="27"/>
      <c r="AR301" s="27"/>
      <c r="AS301" s="16"/>
      <c r="AT301" s="16"/>
      <c r="AU301" s="27"/>
      <c r="AW301" s="27"/>
      <c r="AX301" s="16"/>
      <c r="AY301" s="16"/>
      <c r="AZ301" s="27"/>
      <c r="BB301" s="27"/>
      <c r="BC301" s="16"/>
      <c r="BD301" s="16"/>
      <c r="BE301" s="27"/>
      <c r="BG301" s="27"/>
      <c r="BH301" s="16"/>
      <c r="BI301" s="16"/>
      <c r="BJ301" s="27"/>
      <c r="BL301" s="27"/>
      <c r="BM301" s="16"/>
      <c r="BN301" s="16"/>
      <c r="BO301" s="27"/>
      <c r="BQ301" s="27"/>
      <c r="BR301" s="16"/>
      <c r="BS301" s="16"/>
      <c r="BT301" s="27"/>
      <c r="BV301" s="27"/>
      <c r="BW301" s="16"/>
      <c r="BX301" s="16"/>
      <c r="BY301" s="27"/>
      <c r="CA301" s="27"/>
      <c r="CB301" s="16"/>
      <c r="CC301" s="16"/>
      <c r="CD301" s="27"/>
      <c r="CF301" s="27"/>
      <c r="CG301" s="16"/>
      <c r="CH301" s="16"/>
      <c r="CI301" s="27"/>
      <c r="CK301" s="27"/>
      <c r="CL301" s="16"/>
      <c r="CM301" s="16"/>
      <c r="CN301" s="27"/>
      <c r="CP301" s="27"/>
      <c r="CQ301" s="16"/>
      <c r="CR301" s="16"/>
      <c r="CS301" s="27"/>
      <c r="CU301" s="27"/>
      <c r="CV301" s="16"/>
      <c r="CW301" s="16"/>
      <c r="CX301" s="27"/>
      <c r="CZ301" s="27"/>
      <c r="DA301" s="16"/>
      <c r="DB301" s="16"/>
      <c r="DC301" s="27"/>
      <c r="DE301" s="27"/>
      <c r="DF301" s="16"/>
      <c r="DG301" s="16"/>
      <c r="DH301" s="27"/>
      <c r="DJ301" s="27"/>
      <c r="DK301" s="16"/>
      <c r="DL301" s="16"/>
      <c r="DM301" s="27"/>
      <c r="DO301" s="27"/>
      <c r="DP301" s="16"/>
      <c r="DQ301" s="16"/>
      <c r="DR301" s="27"/>
      <c r="DT301" s="27"/>
      <c r="DU301" s="16"/>
      <c r="DV301" s="16"/>
      <c r="DW301" s="27"/>
      <c r="DY301" s="27"/>
      <c r="DZ301" s="16"/>
      <c r="EA301" s="16"/>
      <c r="EB301" s="302"/>
    </row>
    <row r="302" spans="1:132" s="14" customFormat="1" ht="21" x14ac:dyDescent="0.4">
      <c r="A302" s="27"/>
      <c r="B302" s="27"/>
      <c r="C302" s="27"/>
      <c r="E302" s="16"/>
      <c r="F302" s="27"/>
      <c r="G302" s="27"/>
      <c r="I302" s="27"/>
      <c r="J302" s="16"/>
      <c r="K302" s="16"/>
      <c r="L302" s="27"/>
      <c r="N302" s="27"/>
      <c r="O302" s="16"/>
      <c r="P302" s="16"/>
      <c r="Q302" s="27"/>
      <c r="S302" s="27"/>
      <c r="T302" s="16"/>
      <c r="U302" s="16"/>
      <c r="V302" s="27"/>
      <c r="X302" s="27"/>
      <c r="Y302" s="16"/>
      <c r="Z302" s="16"/>
      <c r="AA302" s="27"/>
      <c r="AC302" s="27"/>
      <c r="AD302" s="16"/>
      <c r="AE302" s="16"/>
      <c r="AF302" s="27"/>
      <c r="AH302" s="27"/>
      <c r="AI302" s="16"/>
      <c r="AJ302" s="16"/>
      <c r="AK302" s="27"/>
      <c r="AM302" s="27"/>
      <c r="AN302" s="16"/>
      <c r="AO302" s="16"/>
      <c r="AP302" s="27"/>
      <c r="AR302" s="27"/>
      <c r="AS302" s="16"/>
      <c r="AT302" s="16"/>
      <c r="AU302" s="27"/>
      <c r="AW302" s="27"/>
      <c r="AX302" s="16"/>
      <c r="AY302" s="16"/>
      <c r="AZ302" s="27"/>
      <c r="BB302" s="27"/>
      <c r="BC302" s="16"/>
      <c r="BD302" s="16"/>
      <c r="BE302" s="27"/>
      <c r="BG302" s="27"/>
      <c r="BH302" s="16"/>
      <c r="BI302" s="16"/>
      <c r="BJ302" s="27"/>
      <c r="BL302" s="27"/>
      <c r="BM302" s="16"/>
      <c r="BN302" s="16"/>
      <c r="BO302" s="27"/>
      <c r="BQ302" s="27"/>
      <c r="BR302" s="16"/>
      <c r="BS302" s="16"/>
      <c r="BT302" s="27"/>
      <c r="BV302" s="27"/>
      <c r="BW302" s="16"/>
      <c r="BX302" s="16"/>
      <c r="BY302" s="27"/>
      <c r="CA302" s="27"/>
      <c r="CB302" s="16"/>
      <c r="CC302" s="16"/>
      <c r="CD302" s="27"/>
      <c r="CF302" s="27"/>
      <c r="CG302" s="16"/>
      <c r="CH302" s="16"/>
      <c r="CI302" s="27"/>
      <c r="CK302" s="27"/>
      <c r="CL302" s="16"/>
      <c r="CM302" s="16"/>
      <c r="CN302" s="27"/>
      <c r="CP302" s="27"/>
      <c r="CQ302" s="16"/>
      <c r="CR302" s="16"/>
      <c r="CS302" s="27"/>
      <c r="CU302" s="27"/>
      <c r="CV302" s="16"/>
      <c r="CW302" s="16"/>
      <c r="CX302" s="27"/>
      <c r="CZ302" s="27"/>
      <c r="DA302" s="16"/>
      <c r="DB302" s="16"/>
      <c r="DC302" s="27"/>
      <c r="DE302" s="27"/>
      <c r="DF302" s="16"/>
      <c r="DG302" s="16"/>
      <c r="DH302" s="27"/>
      <c r="DJ302" s="27"/>
      <c r="DK302" s="16"/>
      <c r="DL302" s="16"/>
      <c r="DM302" s="27"/>
      <c r="DO302" s="27"/>
      <c r="DP302" s="16"/>
      <c r="DQ302" s="16"/>
      <c r="DR302" s="27"/>
      <c r="DT302" s="27"/>
      <c r="DU302" s="16"/>
      <c r="DV302" s="16"/>
      <c r="DW302" s="27"/>
      <c r="DY302" s="27"/>
      <c r="DZ302" s="16"/>
      <c r="EA302" s="16"/>
      <c r="EB302" s="302"/>
    </row>
    <row r="303" spans="1:132" s="14" customFormat="1" ht="21" x14ac:dyDescent="0.4">
      <c r="A303" s="27"/>
      <c r="B303" s="27"/>
      <c r="C303" s="27"/>
      <c r="E303" s="16"/>
      <c r="F303" s="27"/>
      <c r="G303" s="27"/>
      <c r="I303" s="27"/>
      <c r="J303" s="16"/>
      <c r="K303" s="16"/>
      <c r="L303" s="27"/>
      <c r="N303" s="27"/>
      <c r="O303" s="16"/>
      <c r="P303" s="16"/>
      <c r="Q303" s="27"/>
      <c r="S303" s="27"/>
      <c r="T303" s="16"/>
      <c r="U303" s="16"/>
      <c r="V303" s="27"/>
      <c r="X303" s="27"/>
      <c r="Y303" s="16"/>
      <c r="Z303" s="16"/>
      <c r="AA303" s="27"/>
      <c r="AC303" s="27"/>
      <c r="AD303" s="16"/>
      <c r="AE303" s="16"/>
      <c r="AF303" s="27"/>
      <c r="AH303" s="27"/>
      <c r="AI303" s="16"/>
      <c r="AJ303" s="16"/>
      <c r="AK303" s="27"/>
      <c r="AM303" s="27"/>
      <c r="AN303" s="16"/>
      <c r="AO303" s="16"/>
      <c r="AP303" s="27"/>
      <c r="AR303" s="27"/>
      <c r="AS303" s="16"/>
      <c r="AT303" s="16"/>
      <c r="AU303" s="27"/>
      <c r="AW303" s="27"/>
      <c r="AX303" s="16"/>
      <c r="AY303" s="16"/>
      <c r="AZ303" s="27"/>
      <c r="BB303" s="27"/>
      <c r="BC303" s="16"/>
      <c r="BD303" s="16"/>
      <c r="BE303" s="27"/>
      <c r="BG303" s="27"/>
      <c r="BH303" s="16"/>
      <c r="BI303" s="16"/>
      <c r="BJ303" s="27"/>
      <c r="BL303" s="27"/>
      <c r="BM303" s="16"/>
      <c r="BN303" s="16"/>
      <c r="BO303" s="27"/>
      <c r="BQ303" s="27"/>
      <c r="BR303" s="16"/>
      <c r="BS303" s="16"/>
      <c r="BT303" s="27"/>
      <c r="BV303" s="27"/>
      <c r="BW303" s="16"/>
      <c r="BX303" s="16"/>
      <c r="BY303" s="27"/>
      <c r="CA303" s="27"/>
      <c r="CB303" s="16"/>
      <c r="CC303" s="16"/>
      <c r="CD303" s="27"/>
      <c r="CF303" s="27"/>
      <c r="CG303" s="16"/>
      <c r="CH303" s="16"/>
      <c r="CI303" s="27"/>
      <c r="CK303" s="27"/>
      <c r="CL303" s="16"/>
      <c r="CM303" s="16"/>
      <c r="CN303" s="27"/>
      <c r="CP303" s="27"/>
      <c r="CQ303" s="16"/>
      <c r="CR303" s="16"/>
      <c r="CS303" s="27"/>
      <c r="CU303" s="27"/>
      <c r="CV303" s="16"/>
      <c r="CW303" s="16"/>
      <c r="CX303" s="27"/>
      <c r="CZ303" s="27"/>
      <c r="DA303" s="16"/>
      <c r="DB303" s="16"/>
      <c r="DC303" s="27"/>
      <c r="DE303" s="27"/>
      <c r="DF303" s="16"/>
      <c r="DG303" s="16"/>
      <c r="DH303" s="27"/>
      <c r="DJ303" s="27"/>
      <c r="DK303" s="16"/>
      <c r="DL303" s="16"/>
      <c r="DM303" s="27"/>
      <c r="DO303" s="27"/>
      <c r="DP303" s="16"/>
      <c r="DQ303" s="16"/>
      <c r="DR303" s="27"/>
      <c r="DT303" s="27"/>
      <c r="DU303" s="16"/>
      <c r="DV303" s="16"/>
      <c r="DW303" s="27"/>
      <c r="DY303" s="27"/>
      <c r="DZ303" s="16"/>
      <c r="EA303" s="16"/>
      <c r="EB303" s="302"/>
    </row>
    <row r="304" spans="1:132" s="14" customFormat="1" ht="21" x14ac:dyDescent="0.4">
      <c r="A304" s="27"/>
      <c r="B304" s="27"/>
      <c r="C304" s="27"/>
      <c r="E304" s="16"/>
      <c r="F304" s="27"/>
      <c r="G304" s="27"/>
      <c r="I304" s="27"/>
      <c r="J304" s="16"/>
      <c r="K304" s="16"/>
      <c r="L304" s="27"/>
      <c r="N304" s="27"/>
      <c r="O304" s="16"/>
      <c r="P304" s="16"/>
      <c r="Q304" s="27"/>
      <c r="S304" s="27"/>
      <c r="T304" s="16"/>
      <c r="U304" s="16"/>
      <c r="V304" s="27"/>
      <c r="X304" s="27"/>
      <c r="Y304" s="16"/>
      <c r="Z304" s="16"/>
      <c r="AA304" s="27"/>
      <c r="AC304" s="27"/>
      <c r="AD304" s="16"/>
      <c r="AE304" s="16"/>
      <c r="AF304" s="27"/>
      <c r="AH304" s="27"/>
      <c r="AI304" s="16"/>
      <c r="AJ304" s="16"/>
      <c r="AK304" s="27"/>
      <c r="AM304" s="27"/>
      <c r="AN304" s="16"/>
      <c r="AO304" s="16"/>
      <c r="AP304" s="27"/>
      <c r="AR304" s="27"/>
      <c r="AS304" s="16"/>
      <c r="AT304" s="16"/>
      <c r="AU304" s="27"/>
      <c r="AW304" s="27"/>
      <c r="AX304" s="16"/>
      <c r="AY304" s="16"/>
      <c r="AZ304" s="27"/>
      <c r="BB304" s="27"/>
      <c r="BC304" s="16"/>
      <c r="BD304" s="16"/>
      <c r="BE304" s="27"/>
      <c r="BG304" s="27"/>
      <c r="BH304" s="16"/>
      <c r="BI304" s="16"/>
      <c r="BJ304" s="27"/>
      <c r="BL304" s="27"/>
      <c r="BM304" s="16"/>
      <c r="BN304" s="16"/>
      <c r="BO304" s="27"/>
      <c r="BQ304" s="27"/>
      <c r="BR304" s="16"/>
      <c r="BS304" s="16"/>
      <c r="BT304" s="27"/>
      <c r="BV304" s="27"/>
      <c r="BW304" s="16"/>
      <c r="BX304" s="16"/>
      <c r="BY304" s="27"/>
      <c r="CA304" s="27"/>
      <c r="CB304" s="16"/>
      <c r="CC304" s="16"/>
      <c r="CD304" s="27"/>
      <c r="CF304" s="27"/>
      <c r="CG304" s="16"/>
      <c r="CH304" s="16"/>
      <c r="CI304" s="27"/>
      <c r="CK304" s="27"/>
      <c r="CL304" s="16"/>
      <c r="CM304" s="16"/>
      <c r="CN304" s="27"/>
      <c r="CP304" s="27"/>
      <c r="CQ304" s="16"/>
      <c r="CR304" s="16"/>
      <c r="CS304" s="27"/>
      <c r="CU304" s="27"/>
      <c r="CV304" s="16"/>
      <c r="CW304" s="16"/>
      <c r="CX304" s="27"/>
      <c r="CZ304" s="27"/>
      <c r="DA304" s="16"/>
      <c r="DB304" s="16"/>
      <c r="DC304" s="27"/>
      <c r="DE304" s="27"/>
      <c r="DF304" s="16"/>
      <c r="DG304" s="16"/>
      <c r="DH304" s="27"/>
      <c r="DJ304" s="27"/>
      <c r="DK304" s="16"/>
      <c r="DL304" s="16"/>
      <c r="DM304" s="27"/>
      <c r="DO304" s="27"/>
      <c r="DP304" s="16"/>
      <c r="DQ304" s="16"/>
      <c r="DR304" s="27"/>
      <c r="DT304" s="27"/>
      <c r="DU304" s="16"/>
      <c r="DV304" s="16"/>
      <c r="DW304" s="27"/>
      <c r="DY304" s="27"/>
      <c r="DZ304" s="16"/>
      <c r="EA304" s="16"/>
      <c r="EB304" s="302"/>
    </row>
    <row r="305" spans="1:132" s="14" customFormat="1" ht="21" x14ac:dyDescent="0.4">
      <c r="A305" s="27"/>
      <c r="B305" s="27"/>
      <c r="C305" s="27"/>
      <c r="E305" s="16"/>
      <c r="F305" s="27"/>
      <c r="G305" s="27"/>
      <c r="I305" s="27"/>
      <c r="J305" s="16"/>
      <c r="K305" s="16"/>
      <c r="L305" s="27"/>
      <c r="N305" s="27"/>
      <c r="O305" s="16"/>
      <c r="P305" s="16"/>
      <c r="Q305" s="27"/>
      <c r="S305" s="27"/>
      <c r="T305" s="16"/>
      <c r="U305" s="16"/>
      <c r="V305" s="27"/>
      <c r="X305" s="27"/>
      <c r="Y305" s="16"/>
      <c r="Z305" s="16"/>
      <c r="AA305" s="27"/>
      <c r="AC305" s="27"/>
      <c r="AD305" s="16"/>
      <c r="AE305" s="16"/>
      <c r="AF305" s="27"/>
      <c r="AH305" s="27"/>
      <c r="AI305" s="16"/>
      <c r="AJ305" s="16"/>
      <c r="AK305" s="27"/>
      <c r="AM305" s="27"/>
      <c r="AN305" s="16"/>
      <c r="AO305" s="16"/>
      <c r="AP305" s="27"/>
      <c r="AR305" s="27"/>
      <c r="AS305" s="16"/>
      <c r="AT305" s="16"/>
      <c r="AU305" s="27"/>
      <c r="AW305" s="27"/>
      <c r="AX305" s="16"/>
      <c r="AY305" s="16"/>
      <c r="AZ305" s="27"/>
      <c r="BB305" s="27"/>
      <c r="BC305" s="16"/>
      <c r="BD305" s="16"/>
      <c r="BE305" s="27"/>
      <c r="BG305" s="27"/>
      <c r="BH305" s="16"/>
      <c r="BI305" s="16"/>
      <c r="BJ305" s="27"/>
      <c r="BL305" s="27"/>
      <c r="BM305" s="16"/>
      <c r="BN305" s="16"/>
      <c r="BO305" s="27"/>
      <c r="BQ305" s="27"/>
      <c r="BR305" s="16"/>
      <c r="BS305" s="16"/>
      <c r="BT305" s="27"/>
      <c r="BV305" s="27"/>
      <c r="BW305" s="16"/>
      <c r="BX305" s="16"/>
      <c r="BY305" s="27"/>
      <c r="CA305" s="27"/>
      <c r="CB305" s="16"/>
      <c r="CC305" s="16"/>
      <c r="CD305" s="27"/>
      <c r="CF305" s="27"/>
      <c r="CG305" s="16"/>
      <c r="CH305" s="16"/>
      <c r="CI305" s="27"/>
      <c r="CK305" s="27"/>
      <c r="CL305" s="16"/>
      <c r="CM305" s="16"/>
      <c r="CN305" s="27"/>
      <c r="CP305" s="27"/>
      <c r="CQ305" s="16"/>
      <c r="CR305" s="16"/>
      <c r="CS305" s="27"/>
      <c r="CU305" s="27"/>
      <c r="CV305" s="16"/>
      <c r="CW305" s="16"/>
      <c r="CX305" s="27"/>
      <c r="CZ305" s="27"/>
      <c r="DA305" s="16"/>
      <c r="DB305" s="16"/>
      <c r="DC305" s="27"/>
      <c r="DE305" s="27"/>
      <c r="DF305" s="16"/>
      <c r="DG305" s="16"/>
      <c r="DH305" s="27"/>
      <c r="DJ305" s="27"/>
      <c r="DK305" s="16"/>
      <c r="DL305" s="16"/>
      <c r="DM305" s="27"/>
      <c r="DO305" s="27"/>
      <c r="DP305" s="16"/>
      <c r="DQ305" s="16"/>
      <c r="DR305" s="27"/>
      <c r="DT305" s="27"/>
      <c r="DU305" s="16"/>
      <c r="DV305" s="16"/>
      <c r="DW305" s="27"/>
      <c r="DY305" s="27"/>
      <c r="DZ305" s="16"/>
      <c r="EA305" s="16"/>
      <c r="EB305" s="302"/>
    </row>
    <row r="306" spans="1:132" s="14" customFormat="1" ht="21" x14ac:dyDescent="0.4">
      <c r="A306" s="27"/>
      <c r="B306" s="27"/>
      <c r="C306" s="27"/>
      <c r="E306" s="16"/>
      <c r="F306" s="27"/>
      <c r="G306" s="27"/>
      <c r="I306" s="27"/>
      <c r="J306" s="16"/>
      <c r="K306" s="16"/>
      <c r="L306" s="27"/>
      <c r="N306" s="27"/>
      <c r="O306" s="16"/>
      <c r="P306" s="16"/>
      <c r="Q306" s="27"/>
      <c r="S306" s="27"/>
      <c r="T306" s="16"/>
      <c r="U306" s="16"/>
      <c r="V306" s="27"/>
      <c r="X306" s="27"/>
      <c r="Y306" s="16"/>
      <c r="Z306" s="16"/>
      <c r="AA306" s="27"/>
      <c r="AC306" s="27"/>
      <c r="AD306" s="16"/>
      <c r="AE306" s="16"/>
      <c r="AF306" s="27"/>
      <c r="AH306" s="27"/>
      <c r="AI306" s="16"/>
      <c r="AJ306" s="16"/>
      <c r="AK306" s="27"/>
      <c r="AM306" s="27"/>
      <c r="AN306" s="16"/>
      <c r="AO306" s="16"/>
      <c r="AP306" s="27"/>
      <c r="AR306" s="27"/>
      <c r="AS306" s="16"/>
      <c r="AT306" s="16"/>
      <c r="AU306" s="27"/>
      <c r="AW306" s="27"/>
      <c r="AX306" s="16"/>
      <c r="AY306" s="16"/>
      <c r="AZ306" s="27"/>
      <c r="BB306" s="27"/>
      <c r="BC306" s="16"/>
      <c r="BD306" s="16"/>
      <c r="BE306" s="27"/>
      <c r="BG306" s="27"/>
      <c r="BH306" s="16"/>
      <c r="BI306" s="16"/>
      <c r="BJ306" s="27"/>
      <c r="BL306" s="27"/>
      <c r="BM306" s="16"/>
      <c r="BN306" s="16"/>
      <c r="BO306" s="27"/>
      <c r="BQ306" s="27"/>
      <c r="BR306" s="16"/>
      <c r="BS306" s="16"/>
      <c r="BT306" s="27"/>
      <c r="BV306" s="27"/>
      <c r="BW306" s="16"/>
      <c r="BX306" s="16"/>
      <c r="BY306" s="27"/>
      <c r="CA306" s="27"/>
      <c r="CB306" s="16"/>
      <c r="CC306" s="16"/>
      <c r="CD306" s="27"/>
      <c r="CF306" s="27"/>
      <c r="CG306" s="16"/>
      <c r="CH306" s="16"/>
      <c r="CI306" s="27"/>
      <c r="CK306" s="27"/>
      <c r="CL306" s="16"/>
      <c r="CM306" s="16"/>
      <c r="CN306" s="27"/>
      <c r="CP306" s="27"/>
      <c r="CQ306" s="16"/>
      <c r="CR306" s="16"/>
      <c r="CS306" s="27"/>
      <c r="CU306" s="27"/>
      <c r="CV306" s="16"/>
      <c r="CW306" s="16"/>
      <c r="CX306" s="27"/>
      <c r="CZ306" s="27"/>
      <c r="DA306" s="16"/>
      <c r="DB306" s="16"/>
      <c r="DC306" s="27"/>
      <c r="DE306" s="27"/>
      <c r="DF306" s="16"/>
      <c r="DG306" s="16"/>
      <c r="DH306" s="27"/>
      <c r="DJ306" s="27"/>
      <c r="DK306" s="16"/>
      <c r="DL306" s="16"/>
      <c r="DM306" s="27"/>
      <c r="DO306" s="27"/>
      <c r="DP306" s="16"/>
      <c r="DQ306" s="16"/>
      <c r="DR306" s="27"/>
      <c r="DT306" s="27"/>
      <c r="DU306" s="16"/>
      <c r="DV306" s="16"/>
      <c r="DW306" s="27"/>
      <c r="DY306" s="27"/>
      <c r="DZ306" s="16"/>
      <c r="EA306" s="16"/>
      <c r="EB306" s="302"/>
    </row>
    <row r="307" spans="1:132" s="14" customFormat="1" ht="21" x14ac:dyDescent="0.4">
      <c r="A307" s="27"/>
      <c r="B307" s="27"/>
      <c r="C307" s="27"/>
      <c r="E307" s="16"/>
      <c r="F307" s="27"/>
      <c r="G307" s="27"/>
      <c r="I307" s="27"/>
      <c r="J307" s="16"/>
      <c r="K307" s="16"/>
      <c r="L307" s="27"/>
      <c r="N307" s="27"/>
      <c r="O307" s="16"/>
      <c r="P307" s="16"/>
      <c r="Q307" s="27"/>
      <c r="S307" s="27"/>
      <c r="T307" s="16"/>
      <c r="U307" s="16"/>
      <c r="V307" s="27"/>
      <c r="X307" s="27"/>
      <c r="Y307" s="16"/>
      <c r="Z307" s="16"/>
      <c r="AA307" s="27"/>
      <c r="AC307" s="27"/>
      <c r="AD307" s="16"/>
      <c r="AE307" s="16"/>
      <c r="AF307" s="27"/>
      <c r="AH307" s="27"/>
      <c r="AI307" s="16"/>
      <c r="AJ307" s="16"/>
      <c r="AK307" s="27"/>
      <c r="AM307" s="27"/>
      <c r="AN307" s="16"/>
      <c r="AO307" s="16"/>
      <c r="AP307" s="27"/>
      <c r="AR307" s="27"/>
      <c r="AS307" s="16"/>
      <c r="AT307" s="16"/>
      <c r="AU307" s="27"/>
      <c r="AW307" s="27"/>
      <c r="AX307" s="16"/>
      <c r="AY307" s="16"/>
      <c r="AZ307" s="27"/>
      <c r="BB307" s="27"/>
      <c r="BC307" s="16"/>
      <c r="BD307" s="16"/>
      <c r="BE307" s="27"/>
      <c r="BG307" s="27"/>
      <c r="BH307" s="16"/>
      <c r="BI307" s="16"/>
      <c r="BJ307" s="27"/>
      <c r="BL307" s="27"/>
      <c r="BM307" s="16"/>
      <c r="BN307" s="16"/>
      <c r="BO307" s="27"/>
      <c r="BQ307" s="27"/>
      <c r="BR307" s="16"/>
      <c r="BS307" s="16"/>
      <c r="BT307" s="27"/>
      <c r="BV307" s="27"/>
      <c r="BW307" s="16"/>
      <c r="BX307" s="16"/>
      <c r="BY307" s="27"/>
      <c r="CA307" s="27"/>
      <c r="CB307" s="16"/>
      <c r="CC307" s="16"/>
      <c r="CD307" s="27"/>
      <c r="CF307" s="27"/>
      <c r="CG307" s="16"/>
      <c r="CH307" s="16"/>
      <c r="CI307" s="27"/>
      <c r="CK307" s="27"/>
      <c r="CL307" s="16"/>
      <c r="CM307" s="16"/>
      <c r="CN307" s="27"/>
      <c r="CP307" s="27"/>
      <c r="CQ307" s="16"/>
      <c r="CR307" s="16"/>
      <c r="CS307" s="27"/>
      <c r="CU307" s="27"/>
      <c r="CV307" s="16"/>
      <c r="CW307" s="16"/>
      <c r="CX307" s="27"/>
      <c r="CZ307" s="27"/>
      <c r="DA307" s="16"/>
      <c r="DB307" s="16"/>
      <c r="DC307" s="27"/>
      <c r="DE307" s="27"/>
      <c r="DF307" s="16"/>
      <c r="DG307" s="16"/>
      <c r="DH307" s="27"/>
      <c r="DJ307" s="27"/>
      <c r="DK307" s="16"/>
      <c r="DL307" s="16"/>
      <c r="DM307" s="27"/>
      <c r="DO307" s="27"/>
      <c r="DP307" s="16"/>
      <c r="DQ307" s="16"/>
      <c r="DR307" s="27"/>
      <c r="DT307" s="27"/>
      <c r="DU307" s="16"/>
      <c r="DV307" s="16"/>
      <c r="DW307" s="27"/>
      <c r="DY307" s="27"/>
      <c r="DZ307" s="16"/>
      <c r="EA307" s="16"/>
      <c r="EB307" s="302"/>
    </row>
    <row r="308" spans="1:132" s="14" customFormat="1" ht="21" x14ac:dyDescent="0.4">
      <c r="A308" s="27"/>
      <c r="B308" s="27"/>
      <c r="C308" s="27"/>
      <c r="E308" s="16"/>
      <c r="F308" s="27"/>
      <c r="G308" s="27"/>
      <c r="I308" s="27"/>
      <c r="J308" s="16"/>
      <c r="K308" s="16"/>
      <c r="L308" s="27"/>
      <c r="N308" s="27"/>
      <c r="O308" s="16"/>
      <c r="P308" s="16"/>
      <c r="Q308" s="27"/>
      <c r="S308" s="27"/>
      <c r="T308" s="16"/>
      <c r="U308" s="16"/>
      <c r="V308" s="27"/>
      <c r="X308" s="27"/>
      <c r="Y308" s="16"/>
      <c r="Z308" s="16"/>
      <c r="AA308" s="27"/>
      <c r="AC308" s="27"/>
      <c r="AD308" s="16"/>
      <c r="AE308" s="16"/>
      <c r="AF308" s="27"/>
      <c r="AH308" s="27"/>
      <c r="AI308" s="16"/>
      <c r="AJ308" s="16"/>
      <c r="AK308" s="27"/>
      <c r="AM308" s="27"/>
      <c r="AN308" s="16"/>
      <c r="AO308" s="16"/>
      <c r="AP308" s="27"/>
      <c r="AR308" s="27"/>
      <c r="AS308" s="16"/>
      <c r="AT308" s="16"/>
      <c r="AU308" s="27"/>
      <c r="AW308" s="27"/>
      <c r="AX308" s="16"/>
      <c r="AY308" s="16"/>
      <c r="AZ308" s="27"/>
      <c r="BB308" s="27"/>
      <c r="BC308" s="16"/>
      <c r="BD308" s="16"/>
      <c r="BE308" s="27"/>
      <c r="BG308" s="27"/>
      <c r="BH308" s="16"/>
      <c r="BI308" s="16"/>
      <c r="BJ308" s="27"/>
      <c r="BL308" s="27"/>
      <c r="BM308" s="16"/>
      <c r="BN308" s="16"/>
      <c r="BO308" s="27"/>
      <c r="BQ308" s="27"/>
      <c r="BR308" s="16"/>
      <c r="BS308" s="16"/>
      <c r="BT308" s="27"/>
      <c r="BV308" s="27"/>
      <c r="BW308" s="16"/>
      <c r="BX308" s="16"/>
      <c r="BY308" s="27"/>
      <c r="CA308" s="27"/>
      <c r="CB308" s="16"/>
      <c r="CC308" s="16"/>
      <c r="CD308" s="27"/>
      <c r="CF308" s="27"/>
      <c r="CG308" s="16"/>
      <c r="CH308" s="16"/>
      <c r="CI308" s="27"/>
      <c r="CK308" s="27"/>
      <c r="CL308" s="16"/>
      <c r="CM308" s="16"/>
      <c r="CN308" s="27"/>
      <c r="CP308" s="27"/>
      <c r="CQ308" s="16"/>
      <c r="CR308" s="16"/>
      <c r="CS308" s="27"/>
      <c r="CU308" s="27"/>
      <c r="CV308" s="16"/>
      <c r="CW308" s="16"/>
      <c r="CX308" s="27"/>
      <c r="CZ308" s="27"/>
      <c r="DA308" s="16"/>
      <c r="DB308" s="16"/>
      <c r="DC308" s="27"/>
      <c r="DE308" s="27"/>
      <c r="DF308" s="16"/>
      <c r="DG308" s="16"/>
      <c r="DH308" s="27"/>
      <c r="DJ308" s="27"/>
      <c r="DK308" s="16"/>
      <c r="DL308" s="16"/>
      <c r="DM308" s="27"/>
      <c r="DO308" s="27"/>
      <c r="DP308" s="16"/>
      <c r="DQ308" s="16"/>
      <c r="DR308" s="27"/>
      <c r="DT308" s="27"/>
      <c r="DU308" s="16"/>
      <c r="DV308" s="16"/>
      <c r="DW308" s="27"/>
      <c r="DY308" s="27"/>
      <c r="DZ308" s="16"/>
      <c r="EA308" s="16"/>
      <c r="EB308" s="302"/>
    </row>
    <row r="309" spans="1:132" s="14" customFormat="1" ht="21" x14ac:dyDescent="0.4">
      <c r="A309" s="27"/>
      <c r="B309" s="27"/>
      <c r="C309" s="27"/>
      <c r="E309" s="16"/>
      <c r="F309" s="27"/>
      <c r="G309" s="27"/>
      <c r="I309" s="27"/>
      <c r="J309" s="16"/>
      <c r="K309" s="16"/>
      <c r="L309" s="27"/>
      <c r="N309" s="27"/>
      <c r="O309" s="16"/>
      <c r="P309" s="16"/>
      <c r="Q309" s="27"/>
      <c r="S309" s="27"/>
      <c r="T309" s="16"/>
      <c r="U309" s="16"/>
      <c r="V309" s="27"/>
      <c r="X309" s="27"/>
      <c r="Y309" s="16"/>
      <c r="Z309" s="16"/>
      <c r="AA309" s="27"/>
      <c r="AC309" s="27"/>
      <c r="AD309" s="16"/>
      <c r="AE309" s="16"/>
      <c r="AF309" s="27"/>
      <c r="AH309" s="27"/>
      <c r="AI309" s="16"/>
      <c r="AJ309" s="16"/>
      <c r="AK309" s="27"/>
      <c r="AM309" s="27"/>
      <c r="AN309" s="16"/>
      <c r="AO309" s="16"/>
      <c r="AP309" s="27"/>
      <c r="AR309" s="27"/>
      <c r="AS309" s="16"/>
      <c r="AT309" s="16"/>
      <c r="AU309" s="27"/>
      <c r="AW309" s="27"/>
      <c r="AX309" s="16"/>
      <c r="AY309" s="16"/>
      <c r="AZ309" s="27"/>
      <c r="BB309" s="27"/>
      <c r="BC309" s="16"/>
      <c r="BD309" s="16"/>
      <c r="BE309" s="27"/>
      <c r="BG309" s="27"/>
      <c r="BH309" s="16"/>
      <c r="BI309" s="16"/>
      <c r="BJ309" s="27"/>
      <c r="BL309" s="27"/>
      <c r="BM309" s="16"/>
      <c r="BN309" s="16"/>
      <c r="BO309" s="27"/>
      <c r="BQ309" s="27"/>
      <c r="BR309" s="16"/>
      <c r="BS309" s="16"/>
      <c r="BT309" s="27"/>
      <c r="BV309" s="27"/>
      <c r="BW309" s="16"/>
      <c r="BX309" s="16"/>
      <c r="BY309" s="27"/>
      <c r="CA309" s="27"/>
      <c r="CB309" s="16"/>
      <c r="CC309" s="16"/>
      <c r="CD309" s="27"/>
      <c r="CF309" s="27"/>
      <c r="CG309" s="16"/>
      <c r="CH309" s="16"/>
      <c r="CI309" s="27"/>
      <c r="CK309" s="27"/>
      <c r="CL309" s="16"/>
      <c r="CM309" s="16"/>
      <c r="CN309" s="27"/>
      <c r="CP309" s="27"/>
      <c r="CQ309" s="16"/>
      <c r="CR309" s="16"/>
      <c r="CS309" s="27"/>
      <c r="CU309" s="27"/>
      <c r="CV309" s="16"/>
      <c r="CW309" s="16"/>
      <c r="CX309" s="27"/>
      <c r="CZ309" s="27"/>
      <c r="DA309" s="16"/>
      <c r="DB309" s="16"/>
      <c r="DC309" s="27"/>
      <c r="DE309" s="27"/>
      <c r="DF309" s="16"/>
      <c r="DG309" s="16"/>
      <c r="DH309" s="27"/>
      <c r="DJ309" s="27"/>
      <c r="DK309" s="16"/>
      <c r="DL309" s="16"/>
      <c r="DM309" s="27"/>
      <c r="DO309" s="27"/>
      <c r="DP309" s="16"/>
      <c r="DQ309" s="16"/>
      <c r="DR309" s="27"/>
      <c r="DT309" s="27"/>
      <c r="DU309" s="16"/>
      <c r="DV309" s="16"/>
      <c r="DW309" s="27"/>
      <c r="DY309" s="27"/>
      <c r="DZ309" s="16"/>
      <c r="EA309" s="16"/>
      <c r="EB309" s="302"/>
    </row>
    <row r="310" spans="1:132" s="14" customFormat="1" ht="21" x14ac:dyDescent="0.4">
      <c r="A310" s="27"/>
      <c r="B310" s="27"/>
      <c r="C310" s="27"/>
      <c r="E310" s="16"/>
      <c r="F310" s="27"/>
      <c r="G310" s="27"/>
      <c r="I310" s="27"/>
      <c r="J310" s="16"/>
      <c r="K310" s="16"/>
      <c r="L310" s="27"/>
      <c r="N310" s="27"/>
      <c r="O310" s="16"/>
      <c r="P310" s="16"/>
      <c r="Q310" s="27"/>
      <c r="S310" s="27"/>
      <c r="T310" s="16"/>
      <c r="U310" s="16"/>
      <c r="V310" s="27"/>
      <c r="X310" s="27"/>
      <c r="Y310" s="16"/>
      <c r="Z310" s="16"/>
      <c r="AA310" s="27"/>
      <c r="AC310" s="27"/>
      <c r="AD310" s="16"/>
      <c r="AE310" s="16"/>
      <c r="AF310" s="27"/>
      <c r="AH310" s="27"/>
      <c r="AI310" s="16"/>
      <c r="AJ310" s="16"/>
      <c r="AK310" s="27"/>
      <c r="AM310" s="27"/>
      <c r="AN310" s="16"/>
      <c r="AO310" s="16"/>
      <c r="AP310" s="27"/>
      <c r="AR310" s="27"/>
      <c r="AS310" s="16"/>
      <c r="AT310" s="16"/>
      <c r="AU310" s="27"/>
      <c r="AW310" s="27"/>
      <c r="AX310" s="16"/>
      <c r="AY310" s="16"/>
      <c r="AZ310" s="27"/>
      <c r="BB310" s="27"/>
      <c r="BC310" s="16"/>
      <c r="BD310" s="16"/>
      <c r="BE310" s="27"/>
      <c r="BG310" s="27"/>
      <c r="BH310" s="16"/>
      <c r="BI310" s="16"/>
      <c r="BJ310" s="27"/>
      <c r="BL310" s="27"/>
      <c r="BM310" s="16"/>
      <c r="BN310" s="16"/>
      <c r="BO310" s="27"/>
      <c r="BQ310" s="27"/>
      <c r="BR310" s="16"/>
      <c r="BS310" s="16"/>
      <c r="BT310" s="27"/>
      <c r="BV310" s="27"/>
      <c r="BW310" s="16"/>
      <c r="BX310" s="16"/>
      <c r="BY310" s="27"/>
      <c r="CA310" s="27"/>
      <c r="CB310" s="16"/>
      <c r="CC310" s="16"/>
      <c r="CD310" s="27"/>
      <c r="CF310" s="27"/>
      <c r="CG310" s="16"/>
      <c r="CH310" s="16"/>
      <c r="CI310" s="27"/>
      <c r="CK310" s="27"/>
      <c r="CL310" s="16"/>
      <c r="CM310" s="16"/>
      <c r="CN310" s="27"/>
      <c r="CP310" s="27"/>
      <c r="CQ310" s="16"/>
      <c r="CR310" s="16"/>
      <c r="CS310" s="27"/>
      <c r="CU310" s="27"/>
      <c r="CV310" s="16"/>
      <c r="CW310" s="16"/>
      <c r="CX310" s="27"/>
      <c r="CZ310" s="27"/>
      <c r="DA310" s="16"/>
      <c r="DB310" s="16"/>
      <c r="DC310" s="27"/>
      <c r="DE310" s="27"/>
      <c r="DF310" s="16"/>
      <c r="DG310" s="16"/>
      <c r="DH310" s="27"/>
      <c r="DJ310" s="27"/>
      <c r="DK310" s="16"/>
      <c r="DL310" s="16"/>
      <c r="DM310" s="27"/>
      <c r="DO310" s="27"/>
      <c r="DP310" s="16"/>
      <c r="DQ310" s="16"/>
      <c r="DR310" s="27"/>
      <c r="DT310" s="27"/>
      <c r="DU310" s="16"/>
      <c r="DV310" s="16"/>
      <c r="DW310" s="27"/>
      <c r="DY310" s="27"/>
      <c r="DZ310" s="16"/>
      <c r="EA310" s="16"/>
      <c r="EB310" s="302"/>
    </row>
    <row r="311" spans="1:132" s="14" customFormat="1" ht="21" x14ac:dyDescent="0.4">
      <c r="A311" s="27"/>
      <c r="B311" s="27"/>
      <c r="C311" s="27"/>
      <c r="E311" s="16"/>
      <c r="F311" s="27"/>
      <c r="G311" s="27"/>
      <c r="I311" s="27"/>
      <c r="J311" s="16"/>
      <c r="K311" s="16"/>
      <c r="L311" s="27"/>
      <c r="N311" s="27"/>
      <c r="O311" s="16"/>
      <c r="P311" s="16"/>
      <c r="Q311" s="27"/>
      <c r="S311" s="27"/>
      <c r="T311" s="16"/>
      <c r="U311" s="16"/>
      <c r="V311" s="27"/>
      <c r="X311" s="27"/>
      <c r="Y311" s="16"/>
      <c r="Z311" s="16"/>
      <c r="AA311" s="27"/>
      <c r="AC311" s="27"/>
      <c r="AD311" s="16"/>
      <c r="AE311" s="16"/>
      <c r="AF311" s="27"/>
      <c r="AH311" s="27"/>
      <c r="AI311" s="16"/>
      <c r="AJ311" s="16"/>
      <c r="AK311" s="27"/>
      <c r="AM311" s="27"/>
      <c r="AN311" s="16"/>
      <c r="AO311" s="16"/>
      <c r="AP311" s="27"/>
      <c r="AR311" s="27"/>
      <c r="AS311" s="16"/>
      <c r="AT311" s="16"/>
      <c r="AU311" s="27"/>
      <c r="AW311" s="27"/>
      <c r="AX311" s="16"/>
      <c r="AY311" s="16"/>
      <c r="AZ311" s="27"/>
      <c r="BB311" s="27"/>
      <c r="BC311" s="16"/>
      <c r="BD311" s="16"/>
      <c r="BE311" s="27"/>
      <c r="BG311" s="27"/>
      <c r="BH311" s="16"/>
      <c r="BI311" s="16"/>
      <c r="BJ311" s="27"/>
      <c r="BL311" s="27"/>
      <c r="BM311" s="16"/>
      <c r="BN311" s="16"/>
      <c r="BO311" s="27"/>
      <c r="BQ311" s="27"/>
      <c r="BR311" s="16"/>
      <c r="BS311" s="16"/>
      <c r="BT311" s="27"/>
      <c r="BV311" s="27"/>
      <c r="BW311" s="16"/>
      <c r="BX311" s="16"/>
      <c r="BY311" s="27"/>
      <c r="CA311" s="27"/>
      <c r="CB311" s="16"/>
      <c r="CC311" s="16"/>
      <c r="CD311" s="27"/>
      <c r="CF311" s="27"/>
      <c r="CG311" s="16"/>
      <c r="CH311" s="16"/>
      <c r="CI311" s="27"/>
      <c r="CK311" s="27"/>
      <c r="CL311" s="16"/>
      <c r="CM311" s="16"/>
      <c r="CN311" s="27"/>
      <c r="CP311" s="27"/>
      <c r="CQ311" s="16"/>
      <c r="CR311" s="16"/>
      <c r="CS311" s="27"/>
      <c r="CU311" s="27"/>
      <c r="CV311" s="16"/>
      <c r="CW311" s="16"/>
      <c r="CX311" s="27"/>
      <c r="CZ311" s="27"/>
      <c r="DA311" s="16"/>
      <c r="DB311" s="16"/>
      <c r="DC311" s="27"/>
      <c r="DE311" s="27"/>
      <c r="DF311" s="16"/>
      <c r="DG311" s="16"/>
      <c r="DH311" s="27"/>
      <c r="DJ311" s="27"/>
      <c r="DK311" s="16"/>
      <c r="DL311" s="16"/>
      <c r="DM311" s="27"/>
      <c r="DO311" s="27"/>
      <c r="DP311" s="16"/>
      <c r="DQ311" s="16"/>
      <c r="DR311" s="27"/>
      <c r="DT311" s="27"/>
      <c r="DU311" s="16"/>
      <c r="DV311" s="16"/>
      <c r="DW311" s="27"/>
      <c r="DY311" s="27"/>
      <c r="DZ311" s="16"/>
      <c r="EA311" s="16"/>
      <c r="EB311" s="302"/>
    </row>
    <row r="312" spans="1:132" s="14" customFormat="1" ht="21" x14ac:dyDescent="0.4">
      <c r="A312" s="27"/>
      <c r="B312" s="27"/>
      <c r="C312" s="27"/>
      <c r="E312" s="16"/>
      <c r="F312" s="27"/>
      <c r="G312" s="27"/>
      <c r="I312" s="27"/>
      <c r="J312" s="16"/>
      <c r="K312" s="16"/>
      <c r="L312" s="27"/>
      <c r="N312" s="27"/>
      <c r="O312" s="16"/>
      <c r="P312" s="16"/>
      <c r="Q312" s="27"/>
      <c r="S312" s="27"/>
      <c r="T312" s="16"/>
      <c r="U312" s="16"/>
      <c r="V312" s="27"/>
      <c r="X312" s="27"/>
      <c r="Y312" s="16"/>
      <c r="Z312" s="16"/>
      <c r="AA312" s="27"/>
      <c r="AC312" s="27"/>
      <c r="AD312" s="16"/>
      <c r="AE312" s="16"/>
      <c r="AF312" s="27"/>
      <c r="AH312" s="27"/>
      <c r="AI312" s="16"/>
      <c r="AJ312" s="16"/>
      <c r="AK312" s="27"/>
      <c r="AM312" s="27"/>
      <c r="AN312" s="16"/>
      <c r="AO312" s="16"/>
      <c r="AP312" s="27"/>
      <c r="AR312" s="27"/>
      <c r="AS312" s="16"/>
      <c r="AT312" s="16"/>
      <c r="AU312" s="27"/>
      <c r="AW312" s="27"/>
      <c r="AX312" s="16"/>
      <c r="AY312" s="16"/>
      <c r="AZ312" s="27"/>
      <c r="BB312" s="27"/>
      <c r="BC312" s="16"/>
      <c r="BD312" s="16"/>
      <c r="BE312" s="27"/>
      <c r="BG312" s="27"/>
      <c r="BH312" s="16"/>
      <c r="BI312" s="16"/>
      <c r="BJ312" s="27"/>
      <c r="BL312" s="27"/>
      <c r="BM312" s="16"/>
      <c r="BN312" s="16"/>
      <c r="BO312" s="27"/>
      <c r="BQ312" s="27"/>
      <c r="BR312" s="16"/>
      <c r="BS312" s="16"/>
      <c r="BT312" s="27"/>
      <c r="BV312" s="27"/>
      <c r="BW312" s="16"/>
      <c r="BX312" s="16"/>
      <c r="BY312" s="27"/>
      <c r="CA312" s="27"/>
      <c r="CB312" s="16"/>
      <c r="CC312" s="16"/>
      <c r="CD312" s="27"/>
      <c r="CF312" s="27"/>
      <c r="CG312" s="16"/>
      <c r="CH312" s="16"/>
      <c r="CI312" s="27"/>
      <c r="CK312" s="27"/>
      <c r="CL312" s="16"/>
      <c r="CM312" s="16"/>
      <c r="CN312" s="27"/>
      <c r="CP312" s="27"/>
      <c r="CQ312" s="16"/>
      <c r="CR312" s="16"/>
      <c r="CS312" s="27"/>
      <c r="CU312" s="27"/>
      <c r="CV312" s="16"/>
      <c r="CW312" s="16"/>
      <c r="CX312" s="27"/>
      <c r="CZ312" s="27"/>
      <c r="DA312" s="16"/>
      <c r="DB312" s="16"/>
      <c r="DC312" s="27"/>
      <c r="DE312" s="27"/>
      <c r="DF312" s="16"/>
      <c r="DG312" s="16"/>
      <c r="DH312" s="27"/>
      <c r="DJ312" s="27"/>
      <c r="DK312" s="16"/>
      <c r="DL312" s="16"/>
      <c r="DM312" s="27"/>
      <c r="DO312" s="27"/>
      <c r="DP312" s="16"/>
      <c r="DQ312" s="16"/>
      <c r="DR312" s="27"/>
      <c r="DT312" s="27"/>
      <c r="DU312" s="16"/>
      <c r="DV312" s="16"/>
      <c r="DW312" s="27"/>
      <c r="DY312" s="27"/>
      <c r="DZ312" s="16"/>
      <c r="EA312" s="16"/>
      <c r="EB312" s="302"/>
    </row>
    <row r="313" spans="1:132" s="14" customFormat="1" ht="21" x14ac:dyDescent="0.4">
      <c r="A313" s="27"/>
      <c r="B313" s="27"/>
      <c r="C313" s="27"/>
      <c r="E313" s="16"/>
      <c r="F313" s="27"/>
      <c r="G313" s="27"/>
      <c r="I313" s="27"/>
      <c r="J313" s="16"/>
      <c r="K313" s="16"/>
      <c r="L313" s="27"/>
      <c r="N313" s="27"/>
      <c r="O313" s="16"/>
      <c r="P313" s="16"/>
      <c r="Q313" s="27"/>
      <c r="S313" s="27"/>
      <c r="T313" s="16"/>
      <c r="U313" s="16"/>
      <c r="V313" s="27"/>
      <c r="X313" s="27"/>
      <c r="Y313" s="16"/>
      <c r="Z313" s="16"/>
      <c r="AA313" s="27"/>
      <c r="AC313" s="27"/>
      <c r="AD313" s="16"/>
      <c r="AE313" s="16"/>
      <c r="AF313" s="27"/>
      <c r="AH313" s="27"/>
      <c r="AI313" s="16"/>
      <c r="AJ313" s="16"/>
      <c r="AK313" s="27"/>
      <c r="AM313" s="27"/>
      <c r="AN313" s="16"/>
      <c r="AO313" s="16"/>
      <c r="AP313" s="27"/>
      <c r="AR313" s="27"/>
      <c r="AS313" s="16"/>
      <c r="AT313" s="16"/>
      <c r="AU313" s="27"/>
      <c r="AW313" s="27"/>
      <c r="AX313" s="16"/>
      <c r="AY313" s="16"/>
      <c r="AZ313" s="27"/>
      <c r="BB313" s="27"/>
      <c r="BC313" s="16"/>
      <c r="BD313" s="16"/>
      <c r="BE313" s="27"/>
      <c r="BG313" s="27"/>
      <c r="BH313" s="16"/>
      <c r="BI313" s="16"/>
      <c r="BJ313" s="27"/>
      <c r="BL313" s="27"/>
      <c r="BM313" s="16"/>
      <c r="BN313" s="16"/>
      <c r="BO313" s="27"/>
      <c r="BQ313" s="27"/>
      <c r="BR313" s="16"/>
      <c r="BS313" s="16"/>
      <c r="BT313" s="27"/>
      <c r="BV313" s="27"/>
      <c r="BW313" s="16"/>
      <c r="BX313" s="16"/>
      <c r="BY313" s="27"/>
      <c r="CA313" s="27"/>
      <c r="CB313" s="16"/>
      <c r="CC313" s="16"/>
      <c r="CD313" s="27"/>
      <c r="CF313" s="27"/>
      <c r="CG313" s="16"/>
      <c r="CH313" s="16"/>
      <c r="CI313" s="27"/>
      <c r="CK313" s="27"/>
      <c r="CL313" s="16"/>
      <c r="CM313" s="16"/>
      <c r="CN313" s="27"/>
      <c r="CP313" s="27"/>
      <c r="CQ313" s="16"/>
      <c r="CR313" s="16"/>
      <c r="CS313" s="27"/>
      <c r="CU313" s="27"/>
      <c r="CV313" s="16"/>
      <c r="CW313" s="16"/>
      <c r="CX313" s="27"/>
      <c r="CZ313" s="27"/>
      <c r="DA313" s="16"/>
      <c r="DB313" s="16"/>
      <c r="DC313" s="27"/>
      <c r="DE313" s="27"/>
      <c r="DF313" s="16"/>
      <c r="DG313" s="16"/>
      <c r="DH313" s="27"/>
      <c r="DJ313" s="27"/>
      <c r="DK313" s="16"/>
      <c r="DL313" s="16"/>
      <c r="DM313" s="27"/>
      <c r="DO313" s="27"/>
      <c r="DP313" s="16"/>
      <c r="DQ313" s="16"/>
      <c r="DR313" s="27"/>
      <c r="DT313" s="27"/>
      <c r="DU313" s="16"/>
      <c r="DV313" s="16"/>
      <c r="DW313" s="27"/>
      <c r="DY313" s="27"/>
      <c r="DZ313" s="16"/>
      <c r="EA313" s="16"/>
      <c r="EB313" s="302"/>
    </row>
    <row r="314" spans="1:132" s="14" customFormat="1" ht="21" x14ac:dyDescent="0.4">
      <c r="A314" s="27"/>
      <c r="B314" s="27"/>
      <c r="C314" s="27"/>
      <c r="E314" s="16"/>
      <c r="F314" s="27"/>
      <c r="G314" s="27"/>
      <c r="I314" s="27"/>
      <c r="J314" s="16"/>
      <c r="K314" s="16"/>
      <c r="L314" s="27"/>
      <c r="N314" s="27"/>
      <c r="O314" s="16"/>
      <c r="P314" s="16"/>
      <c r="Q314" s="27"/>
      <c r="S314" s="27"/>
      <c r="T314" s="16"/>
      <c r="U314" s="16"/>
      <c r="V314" s="27"/>
      <c r="X314" s="27"/>
      <c r="Y314" s="16"/>
      <c r="Z314" s="16"/>
      <c r="AA314" s="27"/>
      <c r="AC314" s="27"/>
      <c r="AD314" s="16"/>
      <c r="AE314" s="16"/>
      <c r="AF314" s="27"/>
      <c r="AH314" s="27"/>
      <c r="AI314" s="16"/>
      <c r="AJ314" s="16"/>
      <c r="AK314" s="27"/>
      <c r="AM314" s="27"/>
      <c r="AN314" s="16"/>
      <c r="AO314" s="16"/>
      <c r="AP314" s="27"/>
      <c r="AR314" s="27"/>
      <c r="AS314" s="16"/>
      <c r="AT314" s="16"/>
      <c r="AU314" s="27"/>
      <c r="AW314" s="27"/>
      <c r="AX314" s="16"/>
      <c r="AY314" s="16"/>
      <c r="AZ314" s="27"/>
      <c r="BB314" s="27"/>
      <c r="BC314" s="16"/>
      <c r="BD314" s="16"/>
      <c r="BE314" s="27"/>
      <c r="BG314" s="27"/>
      <c r="BH314" s="16"/>
      <c r="BI314" s="16"/>
      <c r="BJ314" s="27"/>
      <c r="BL314" s="27"/>
      <c r="BM314" s="16"/>
      <c r="BN314" s="16"/>
      <c r="BO314" s="27"/>
      <c r="BQ314" s="27"/>
      <c r="BR314" s="16"/>
      <c r="BS314" s="16"/>
      <c r="BT314" s="27"/>
      <c r="BV314" s="27"/>
      <c r="BW314" s="16"/>
      <c r="BX314" s="16"/>
      <c r="BY314" s="27"/>
      <c r="CA314" s="27"/>
      <c r="CB314" s="16"/>
      <c r="CC314" s="16"/>
      <c r="CD314" s="27"/>
      <c r="CF314" s="27"/>
      <c r="CG314" s="16"/>
      <c r="CH314" s="16"/>
      <c r="CI314" s="27"/>
      <c r="CK314" s="27"/>
      <c r="CL314" s="16"/>
      <c r="CM314" s="16"/>
      <c r="CN314" s="27"/>
      <c r="CP314" s="27"/>
      <c r="CQ314" s="16"/>
      <c r="CR314" s="16"/>
      <c r="CS314" s="27"/>
      <c r="CU314" s="27"/>
      <c r="CV314" s="16"/>
      <c r="CW314" s="16"/>
      <c r="CX314" s="27"/>
      <c r="CZ314" s="27"/>
      <c r="DA314" s="16"/>
      <c r="DB314" s="16"/>
      <c r="DC314" s="27"/>
      <c r="DE314" s="27"/>
      <c r="DF314" s="16"/>
      <c r="DG314" s="16"/>
      <c r="DH314" s="27"/>
      <c r="DJ314" s="27"/>
      <c r="DK314" s="16"/>
      <c r="DL314" s="16"/>
      <c r="DM314" s="27"/>
      <c r="DO314" s="27"/>
      <c r="DP314" s="16"/>
      <c r="DQ314" s="16"/>
      <c r="DR314" s="27"/>
      <c r="DT314" s="27"/>
      <c r="DU314" s="16"/>
      <c r="DV314" s="16"/>
      <c r="DW314" s="27"/>
      <c r="DY314" s="27"/>
      <c r="DZ314" s="16"/>
      <c r="EA314" s="16"/>
      <c r="EB314" s="302"/>
    </row>
    <row r="315" spans="1:132" s="14" customFormat="1" ht="21" x14ac:dyDescent="0.4">
      <c r="A315" s="27"/>
      <c r="B315" s="27"/>
      <c r="C315" s="27"/>
      <c r="E315" s="16"/>
      <c r="F315" s="27"/>
      <c r="G315" s="27"/>
      <c r="I315" s="27"/>
      <c r="J315" s="16"/>
      <c r="K315" s="16"/>
      <c r="L315" s="27"/>
      <c r="N315" s="27"/>
      <c r="O315" s="16"/>
      <c r="P315" s="16"/>
      <c r="Q315" s="27"/>
      <c r="S315" s="27"/>
      <c r="T315" s="16"/>
      <c r="U315" s="16"/>
      <c r="V315" s="27"/>
      <c r="X315" s="27"/>
      <c r="Y315" s="16"/>
      <c r="Z315" s="16"/>
      <c r="AA315" s="27"/>
      <c r="AC315" s="27"/>
      <c r="AD315" s="16"/>
      <c r="AE315" s="16"/>
      <c r="AF315" s="27"/>
      <c r="AH315" s="27"/>
      <c r="AI315" s="16"/>
      <c r="AJ315" s="16"/>
      <c r="AK315" s="27"/>
      <c r="AM315" s="27"/>
      <c r="AN315" s="16"/>
      <c r="AO315" s="16"/>
      <c r="AP315" s="27"/>
      <c r="AR315" s="27"/>
      <c r="AS315" s="16"/>
      <c r="AT315" s="16"/>
      <c r="AU315" s="27"/>
      <c r="AW315" s="27"/>
      <c r="AX315" s="16"/>
      <c r="AY315" s="16"/>
      <c r="AZ315" s="27"/>
      <c r="BB315" s="27"/>
      <c r="BC315" s="16"/>
      <c r="BD315" s="16"/>
      <c r="BE315" s="27"/>
      <c r="BG315" s="27"/>
      <c r="BH315" s="16"/>
      <c r="BI315" s="16"/>
      <c r="BJ315" s="27"/>
      <c r="BL315" s="27"/>
      <c r="BM315" s="16"/>
      <c r="BN315" s="16"/>
      <c r="BO315" s="27"/>
      <c r="BQ315" s="27"/>
      <c r="BR315" s="16"/>
      <c r="BS315" s="16"/>
      <c r="BT315" s="27"/>
      <c r="BV315" s="27"/>
      <c r="BW315" s="16"/>
      <c r="BX315" s="16"/>
      <c r="BY315" s="27"/>
      <c r="CA315" s="27"/>
      <c r="CB315" s="16"/>
      <c r="CC315" s="16"/>
      <c r="CD315" s="27"/>
      <c r="CF315" s="27"/>
      <c r="CG315" s="16"/>
      <c r="CH315" s="16"/>
      <c r="CI315" s="27"/>
      <c r="CK315" s="27"/>
      <c r="CL315" s="16"/>
      <c r="CM315" s="16"/>
      <c r="CN315" s="27"/>
      <c r="CP315" s="27"/>
      <c r="CQ315" s="16"/>
      <c r="CR315" s="16"/>
      <c r="CS315" s="27"/>
      <c r="CU315" s="27"/>
      <c r="CV315" s="16"/>
      <c r="CW315" s="16"/>
      <c r="CX315" s="27"/>
      <c r="CZ315" s="27"/>
      <c r="DA315" s="16"/>
      <c r="DB315" s="16"/>
      <c r="DC315" s="27"/>
      <c r="DE315" s="27"/>
      <c r="DF315" s="16"/>
      <c r="DG315" s="16"/>
      <c r="DH315" s="27"/>
      <c r="DJ315" s="27"/>
      <c r="DK315" s="16"/>
      <c r="DL315" s="16"/>
      <c r="DM315" s="27"/>
      <c r="DO315" s="27"/>
      <c r="DP315" s="16"/>
      <c r="DQ315" s="16"/>
      <c r="DR315" s="27"/>
      <c r="DT315" s="27"/>
      <c r="DU315" s="16"/>
      <c r="DV315" s="16"/>
      <c r="DW315" s="27"/>
      <c r="DY315" s="27"/>
      <c r="DZ315" s="16"/>
      <c r="EA315" s="16"/>
      <c r="EB315" s="302"/>
    </row>
    <row r="316" spans="1:132" s="14" customFormat="1" ht="21" x14ac:dyDescent="0.4">
      <c r="A316" s="27"/>
      <c r="B316" s="27"/>
      <c r="C316" s="27"/>
      <c r="E316" s="16"/>
      <c r="F316" s="27"/>
      <c r="G316" s="27"/>
      <c r="I316" s="27"/>
      <c r="J316" s="16"/>
      <c r="K316" s="16"/>
      <c r="L316" s="27"/>
      <c r="N316" s="27"/>
      <c r="O316" s="16"/>
      <c r="P316" s="16"/>
      <c r="Q316" s="27"/>
      <c r="S316" s="27"/>
      <c r="T316" s="16"/>
      <c r="U316" s="16"/>
      <c r="V316" s="27"/>
      <c r="X316" s="27"/>
      <c r="Y316" s="16"/>
      <c r="Z316" s="16"/>
      <c r="AA316" s="27"/>
      <c r="AC316" s="27"/>
      <c r="AD316" s="16"/>
      <c r="AE316" s="16"/>
      <c r="AF316" s="27"/>
      <c r="AH316" s="27"/>
      <c r="AI316" s="16"/>
      <c r="AJ316" s="16"/>
      <c r="AK316" s="27"/>
      <c r="AM316" s="27"/>
      <c r="AN316" s="16"/>
      <c r="AO316" s="16"/>
      <c r="AP316" s="27"/>
      <c r="AR316" s="27"/>
      <c r="AS316" s="16"/>
      <c r="AT316" s="16"/>
      <c r="AU316" s="27"/>
      <c r="AW316" s="27"/>
      <c r="AX316" s="16"/>
      <c r="AY316" s="16"/>
      <c r="AZ316" s="27"/>
      <c r="BB316" s="27"/>
      <c r="BC316" s="16"/>
      <c r="BD316" s="16"/>
      <c r="BE316" s="27"/>
      <c r="BG316" s="27"/>
      <c r="BH316" s="16"/>
      <c r="BI316" s="16"/>
      <c r="BJ316" s="27"/>
      <c r="BL316" s="27"/>
      <c r="BM316" s="16"/>
      <c r="BN316" s="16"/>
      <c r="BO316" s="27"/>
      <c r="BQ316" s="27"/>
      <c r="BR316" s="16"/>
      <c r="BS316" s="16"/>
      <c r="BT316" s="27"/>
      <c r="BV316" s="27"/>
      <c r="BW316" s="16"/>
      <c r="BX316" s="16"/>
      <c r="BY316" s="27"/>
      <c r="CA316" s="27"/>
      <c r="CB316" s="16"/>
      <c r="CC316" s="16"/>
      <c r="CD316" s="27"/>
      <c r="CF316" s="27"/>
      <c r="CG316" s="16"/>
      <c r="CH316" s="16"/>
      <c r="CI316" s="27"/>
      <c r="CK316" s="27"/>
      <c r="CL316" s="16"/>
      <c r="CM316" s="16"/>
      <c r="CN316" s="27"/>
      <c r="CP316" s="27"/>
      <c r="CQ316" s="16"/>
      <c r="CR316" s="16"/>
      <c r="CS316" s="27"/>
      <c r="CU316" s="27"/>
      <c r="CV316" s="16"/>
      <c r="CW316" s="16"/>
      <c r="CX316" s="27"/>
      <c r="CZ316" s="27"/>
      <c r="DA316" s="16"/>
      <c r="DB316" s="16"/>
      <c r="DC316" s="27"/>
      <c r="DE316" s="27"/>
      <c r="DF316" s="16"/>
      <c r="DG316" s="16"/>
      <c r="DH316" s="27"/>
      <c r="DJ316" s="27"/>
      <c r="DK316" s="16"/>
      <c r="DL316" s="16"/>
      <c r="DM316" s="27"/>
      <c r="DO316" s="27"/>
      <c r="DP316" s="16"/>
      <c r="DQ316" s="16"/>
      <c r="DR316" s="27"/>
      <c r="DT316" s="27"/>
      <c r="DU316" s="16"/>
      <c r="DV316" s="16"/>
      <c r="DW316" s="27"/>
      <c r="DY316" s="27"/>
      <c r="DZ316" s="16"/>
      <c r="EA316" s="16"/>
      <c r="EB316" s="302"/>
    </row>
    <row r="317" spans="1:132" s="14" customFormat="1" ht="21" x14ac:dyDescent="0.4">
      <c r="A317" s="27"/>
      <c r="B317" s="27"/>
      <c r="C317" s="27"/>
      <c r="E317" s="16"/>
      <c r="F317" s="27"/>
      <c r="G317" s="27"/>
      <c r="I317" s="27"/>
      <c r="J317" s="16"/>
      <c r="K317" s="16"/>
      <c r="L317" s="27"/>
      <c r="N317" s="27"/>
      <c r="O317" s="16"/>
      <c r="P317" s="16"/>
      <c r="Q317" s="27"/>
      <c r="S317" s="27"/>
      <c r="T317" s="16"/>
      <c r="U317" s="16"/>
      <c r="V317" s="27"/>
      <c r="X317" s="27"/>
      <c r="Y317" s="16"/>
      <c r="Z317" s="16"/>
      <c r="AA317" s="27"/>
      <c r="AC317" s="27"/>
      <c r="AD317" s="16"/>
      <c r="AE317" s="16"/>
      <c r="AF317" s="27"/>
      <c r="AH317" s="27"/>
      <c r="AI317" s="16"/>
      <c r="AJ317" s="16"/>
      <c r="AK317" s="27"/>
      <c r="AM317" s="27"/>
      <c r="AN317" s="16"/>
      <c r="AO317" s="16"/>
      <c r="AP317" s="27"/>
      <c r="AR317" s="27"/>
      <c r="AS317" s="16"/>
      <c r="AT317" s="16"/>
      <c r="AU317" s="27"/>
      <c r="AW317" s="27"/>
      <c r="AX317" s="16"/>
      <c r="AY317" s="16"/>
      <c r="AZ317" s="27"/>
      <c r="BB317" s="27"/>
      <c r="BC317" s="16"/>
      <c r="BD317" s="16"/>
      <c r="BE317" s="27"/>
      <c r="BG317" s="27"/>
      <c r="BH317" s="16"/>
      <c r="BI317" s="16"/>
      <c r="BJ317" s="27"/>
      <c r="BL317" s="27"/>
      <c r="BM317" s="16"/>
      <c r="BN317" s="16"/>
      <c r="BO317" s="27"/>
      <c r="BQ317" s="27"/>
      <c r="BR317" s="16"/>
      <c r="BS317" s="16"/>
      <c r="BT317" s="27"/>
      <c r="BV317" s="27"/>
      <c r="BW317" s="16"/>
      <c r="BX317" s="16"/>
      <c r="BY317" s="27"/>
      <c r="CA317" s="27"/>
      <c r="CB317" s="16"/>
      <c r="CC317" s="16"/>
      <c r="CD317" s="27"/>
      <c r="CF317" s="27"/>
      <c r="CG317" s="16"/>
      <c r="CH317" s="16"/>
      <c r="CI317" s="27"/>
      <c r="CK317" s="27"/>
      <c r="CL317" s="16"/>
      <c r="CM317" s="16"/>
      <c r="CN317" s="27"/>
      <c r="CP317" s="27"/>
      <c r="CQ317" s="16"/>
      <c r="CR317" s="16"/>
      <c r="CS317" s="27"/>
      <c r="CU317" s="27"/>
      <c r="CV317" s="16"/>
      <c r="CW317" s="16"/>
      <c r="CX317" s="27"/>
      <c r="CZ317" s="27"/>
      <c r="DA317" s="16"/>
      <c r="DB317" s="16"/>
      <c r="DC317" s="27"/>
      <c r="DE317" s="27"/>
      <c r="DF317" s="16"/>
      <c r="DG317" s="16"/>
      <c r="DH317" s="27"/>
      <c r="DJ317" s="27"/>
      <c r="DK317" s="16"/>
      <c r="DL317" s="16"/>
      <c r="DM317" s="27"/>
      <c r="DO317" s="27"/>
      <c r="DP317" s="16"/>
      <c r="DQ317" s="16"/>
      <c r="DR317" s="27"/>
      <c r="DT317" s="27"/>
      <c r="DU317" s="16"/>
      <c r="DV317" s="16"/>
      <c r="DW317" s="27"/>
      <c r="DY317" s="27"/>
      <c r="DZ317" s="16"/>
      <c r="EA317" s="16"/>
      <c r="EB317" s="302"/>
    </row>
    <row r="318" spans="1:132" s="14" customFormat="1" ht="21" x14ac:dyDescent="0.4">
      <c r="A318" s="27"/>
      <c r="B318" s="27"/>
      <c r="C318" s="27"/>
      <c r="E318" s="16"/>
      <c r="F318" s="27"/>
      <c r="G318" s="27"/>
      <c r="I318" s="27"/>
      <c r="J318" s="16"/>
      <c r="K318" s="16"/>
      <c r="L318" s="27"/>
      <c r="N318" s="27"/>
      <c r="O318" s="16"/>
      <c r="P318" s="16"/>
      <c r="Q318" s="27"/>
      <c r="S318" s="27"/>
      <c r="T318" s="16"/>
      <c r="U318" s="16"/>
      <c r="V318" s="27"/>
      <c r="X318" s="27"/>
      <c r="Y318" s="16"/>
      <c r="Z318" s="16"/>
      <c r="AA318" s="27"/>
      <c r="AC318" s="27"/>
      <c r="AD318" s="16"/>
      <c r="AE318" s="16"/>
      <c r="AF318" s="27"/>
      <c r="AH318" s="27"/>
      <c r="AI318" s="16"/>
      <c r="AJ318" s="16"/>
      <c r="AK318" s="27"/>
      <c r="AM318" s="27"/>
      <c r="AN318" s="16"/>
      <c r="AO318" s="16"/>
      <c r="AP318" s="27"/>
      <c r="AR318" s="27"/>
      <c r="AS318" s="16"/>
      <c r="AT318" s="16"/>
      <c r="AU318" s="27"/>
      <c r="AW318" s="27"/>
      <c r="AX318" s="16"/>
      <c r="AY318" s="16"/>
      <c r="AZ318" s="27"/>
      <c r="BB318" s="27"/>
      <c r="BC318" s="16"/>
      <c r="BD318" s="16"/>
      <c r="BE318" s="27"/>
      <c r="BG318" s="27"/>
      <c r="BH318" s="16"/>
      <c r="BI318" s="16"/>
      <c r="BJ318" s="27"/>
      <c r="BL318" s="27"/>
      <c r="BM318" s="16"/>
      <c r="BN318" s="16"/>
      <c r="BO318" s="27"/>
      <c r="BQ318" s="27"/>
      <c r="BR318" s="16"/>
      <c r="BS318" s="16"/>
      <c r="BT318" s="27"/>
      <c r="BV318" s="27"/>
      <c r="BW318" s="16"/>
      <c r="BX318" s="16"/>
      <c r="BY318" s="27"/>
      <c r="CA318" s="27"/>
      <c r="CB318" s="16"/>
      <c r="CC318" s="16"/>
      <c r="CD318" s="27"/>
      <c r="CF318" s="27"/>
      <c r="CG318" s="16"/>
      <c r="CH318" s="16"/>
      <c r="CI318" s="27"/>
      <c r="CK318" s="27"/>
      <c r="CL318" s="16"/>
      <c r="CM318" s="16"/>
      <c r="CN318" s="27"/>
      <c r="CP318" s="27"/>
      <c r="CQ318" s="16"/>
      <c r="CR318" s="16"/>
      <c r="CS318" s="27"/>
      <c r="CU318" s="27"/>
      <c r="CV318" s="16"/>
      <c r="CW318" s="16"/>
      <c r="CX318" s="27"/>
      <c r="CZ318" s="27"/>
      <c r="DA318" s="16"/>
      <c r="DB318" s="16"/>
      <c r="DC318" s="27"/>
      <c r="DE318" s="27"/>
      <c r="DF318" s="16"/>
      <c r="DG318" s="16"/>
      <c r="DH318" s="27"/>
      <c r="DJ318" s="27"/>
      <c r="DK318" s="16"/>
      <c r="DL318" s="16"/>
      <c r="DM318" s="27"/>
      <c r="DO318" s="27"/>
      <c r="DP318" s="16"/>
      <c r="DQ318" s="16"/>
      <c r="DR318" s="27"/>
      <c r="DT318" s="27"/>
      <c r="DU318" s="16"/>
      <c r="DV318" s="16"/>
      <c r="DW318" s="27"/>
      <c r="DY318" s="27"/>
      <c r="DZ318" s="16"/>
      <c r="EA318" s="16"/>
      <c r="EB318" s="302"/>
    </row>
    <row r="319" spans="1:132" s="14" customFormat="1" ht="21" x14ac:dyDescent="0.4">
      <c r="A319" s="27"/>
      <c r="B319" s="27"/>
      <c r="C319" s="27"/>
      <c r="E319" s="16"/>
      <c r="F319" s="27"/>
      <c r="G319" s="27"/>
      <c r="I319" s="27"/>
      <c r="J319" s="16"/>
      <c r="K319" s="16"/>
      <c r="L319" s="27"/>
      <c r="N319" s="27"/>
      <c r="O319" s="16"/>
      <c r="P319" s="16"/>
      <c r="Q319" s="27"/>
      <c r="S319" s="27"/>
      <c r="T319" s="16"/>
      <c r="U319" s="16"/>
      <c r="V319" s="27"/>
      <c r="X319" s="27"/>
      <c r="Y319" s="16"/>
      <c r="Z319" s="16"/>
      <c r="AA319" s="27"/>
      <c r="AC319" s="27"/>
      <c r="AD319" s="16"/>
      <c r="AE319" s="16"/>
      <c r="AF319" s="27"/>
      <c r="AH319" s="27"/>
      <c r="AI319" s="16"/>
      <c r="AJ319" s="16"/>
      <c r="AK319" s="27"/>
      <c r="AM319" s="27"/>
      <c r="AN319" s="16"/>
      <c r="AO319" s="16"/>
      <c r="AP319" s="27"/>
      <c r="AR319" s="27"/>
      <c r="AS319" s="16"/>
      <c r="AT319" s="16"/>
      <c r="AU319" s="27"/>
      <c r="AW319" s="27"/>
      <c r="AX319" s="16"/>
      <c r="AY319" s="16"/>
      <c r="AZ319" s="27"/>
      <c r="BB319" s="27"/>
      <c r="BC319" s="16"/>
      <c r="BD319" s="16"/>
      <c r="BE319" s="27"/>
      <c r="BG319" s="27"/>
      <c r="BH319" s="16"/>
      <c r="BI319" s="16"/>
      <c r="BJ319" s="27"/>
      <c r="BL319" s="27"/>
      <c r="BM319" s="16"/>
      <c r="BN319" s="16"/>
      <c r="BO319" s="27"/>
      <c r="BQ319" s="27"/>
      <c r="BR319" s="16"/>
      <c r="BS319" s="16"/>
      <c r="BT319" s="27"/>
      <c r="BV319" s="27"/>
      <c r="BW319" s="16"/>
      <c r="BX319" s="16"/>
      <c r="BY319" s="27"/>
      <c r="CA319" s="27"/>
      <c r="CB319" s="16"/>
      <c r="CC319" s="16"/>
      <c r="CD319" s="27"/>
      <c r="CF319" s="27"/>
      <c r="CG319" s="16"/>
      <c r="CH319" s="16"/>
      <c r="CI319" s="27"/>
      <c r="CK319" s="27"/>
      <c r="CL319" s="16"/>
      <c r="CM319" s="16"/>
      <c r="CN319" s="27"/>
      <c r="CP319" s="27"/>
      <c r="CQ319" s="16"/>
      <c r="CR319" s="16"/>
      <c r="CS319" s="27"/>
      <c r="CU319" s="27"/>
      <c r="CV319" s="16"/>
      <c r="CW319" s="16"/>
      <c r="CX319" s="27"/>
      <c r="CZ319" s="27"/>
      <c r="DA319" s="16"/>
      <c r="DB319" s="16"/>
      <c r="DC319" s="27"/>
      <c r="DE319" s="27"/>
      <c r="DF319" s="16"/>
      <c r="DG319" s="16"/>
      <c r="DH319" s="27"/>
      <c r="DJ319" s="27"/>
      <c r="DK319" s="16"/>
      <c r="DL319" s="16"/>
      <c r="DM319" s="27"/>
      <c r="DO319" s="27"/>
      <c r="DP319" s="16"/>
      <c r="DQ319" s="16"/>
      <c r="DR319" s="27"/>
      <c r="DT319" s="27"/>
      <c r="DU319" s="16"/>
      <c r="DV319" s="16"/>
      <c r="DW319" s="27"/>
      <c r="DY319" s="27"/>
      <c r="DZ319" s="16"/>
      <c r="EA319" s="16"/>
      <c r="EB319" s="302"/>
    </row>
    <row r="320" spans="1:132" s="14" customFormat="1" ht="21" x14ac:dyDescent="0.4">
      <c r="A320" s="27"/>
      <c r="B320" s="27"/>
      <c r="C320" s="27"/>
      <c r="E320" s="16"/>
      <c r="F320" s="27"/>
      <c r="G320" s="27"/>
      <c r="I320" s="27"/>
      <c r="J320" s="16"/>
      <c r="K320" s="16"/>
      <c r="L320" s="27"/>
      <c r="N320" s="27"/>
      <c r="O320" s="16"/>
      <c r="P320" s="16"/>
      <c r="Q320" s="27"/>
      <c r="S320" s="27"/>
      <c r="T320" s="16"/>
      <c r="U320" s="16"/>
      <c r="V320" s="27"/>
      <c r="X320" s="27"/>
      <c r="Y320" s="16"/>
      <c r="Z320" s="16"/>
      <c r="AA320" s="27"/>
      <c r="AC320" s="27"/>
      <c r="AD320" s="16"/>
      <c r="AE320" s="16"/>
      <c r="AF320" s="27"/>
      <c r="AH320" s="27"/>
      <c r="AI320" s="16"/>
      <c r="AJ320" s="16"/>
      <c r="AK320" s="27"/>
      <c r="AM320" s="27"/>
      <c r="AN320" s="16"/>
      <c r="AO320" s="16"/>
      <c r="AP320" s="27"/>
      <c r="AR320" s="27"/>
      <c r="AS320" s="16"/>
      <c r="AT320" s="16"/>
      <c r="AU320" s="27"/>
      <c r="AW320" s="27"/>
      <c r="AX320" s="16"/>
      <c r="AY320" s="16"/>
      <c r="AZ320" s="27"/>
      <c r="BB320" s="27"/>
      <c r="BC320" s="16"/>
      <c r="BD320" s="16"/>
      <c r="BE320" s="27"/>
      <c r="BG320" s="27"/>
      <c r="BH320" s="16"/>
      <c r="BI320" s="16"/>
      <c r="BJ320" s="27"/>
      <c r="BL320" s="27"/>
      <c r="BM320" s="16"/>
      <c r="BN320" s="16"/>
      <c r="BO320" s="27"/>
      <c r="BQ320" s="27"/>
      <c r="BR320" s="16"/>
      <c r="BS320" s="16"/>
      <c r="BT320" s="27"/>
      <c r="BV320" s="27"/>
      <c r="BW320" s="16"/>
      <c r="BX320" s="16"/>
      <c r="BY320" s="27"/>
      <c r="CA320" s="27"/>
      <c r="CB320" s="16"/>
      <c r="CC320" s="16"/>
      <c r="CD320" s="27"/>
      <c r="CF320" s="27"/>
      <c r="CG320" s="16"/>
      <c r="CH320" s="16"/>
      <c r="CI320" s="27"/>
      <c r="CK320" s="27"/>
      <c r="CL320" s="16"/>
      <c r="CM320" s="16"/>
      <c r="CN320" s="27"/>
      <c r="CP320" s="27"/>
      <c r="CQ320" s="16"/>
      <c r="CR320" s="16"/>
      <c r="CS320" s="27"/>
      <c r="CU320" s="27"/>
      <c r="CV320" s="16"/>
      <c r="CW320" s="16"/>
      <c r="CX320" s="27"/>
      <c r="CZ320" s="27"/>
      <c r="DA320" s="16"/>
      <c r="DB320" s="16"/>
      <c r="DC320" s="27"/>
      <c r="DE320" s="27"/>
      <c r="DF320" s="16"/>
      <c r="DG320" s="16"/>
      <c r="DH320" s="27"/>
      <c r="DJ320" s="27"/>
      <c r="DK320" s="16"/>
      <c r="DL320" s="16"/>
      <c r="DM320" s="27"/>
      <c r="DO320" s="27"/>
      <c r="DP320" s="16"/>
      <c r="DQ320" s="16"/>
      <c r="DR320" s="27"/>
      <c r="DT320" s="27"/>
      <c r="DU320" s="16"/>
      <c r="DV320" s="16"/>
      <c r="DW320" s="27"/>
      <c r="DY320" s="27"/>
      <c r="DZ320" s="16"/>
      <c r="EA320" s="16"/>
      <c r="EB320" s="302"/>
    </row>
    <row r="321" spans="1:132" s="14" customFormat="1" ht="21" x14ac:dyDescent="0.4">
      <c r="A321" s="27"/>
      <c r="B321" s="27"/>
      <c r="C321" s="27"/>
      <c r="E321" s="16"/>
      <c r="F321" s="27"/>
      <c r="G321" s="27"/>
      <c r="I321" s="27"/>
      <c r="J321" s="16"/>
      <c r="K321" s="16"/>
      <c r="L321" s="27"/>
      <c r="N321" s="27"/>
      <c r="O321" s="16"/>
      <c r="P321" s="16"/>
      <c r="Q321" s="27"/>
      <c r="S321" s="27"/>
      <c r="T321" s="16"/>
      <c r="U321" s="16"/>
      <c r="V321" s="27"/>
      <c r="X321" s="27"/>
      <c r="Y321" s="16"/>
      <c r="Z321" s="16"/>
      <c r="AA321" s="27"/>
      <c r="AC321" s="27"/>
      <c r="AD321" s="16"/>
      <c r="AE321" s="16"/>
      <c r="AF321" s="27"/>
      <c r="AH321" s="27"/>
      <c r="AI321" s="16"/>
      <c r="AJ321" s="16"/>
      <c r="AK321" s="27"/>
      <c r="AM321" s="27"/>
      <c r="AN321" s="16"/>
      <c r="AO321" s="16"/>
      <c r="AP321" s="27"/>
      <c r="AR321" s="27"/>
      <c r="AS321" s="16"/>
      <c r="AT321" s="16"/>
      <c r="AU321" s="27"/>
      <c r="AW321" s="27"/>
      <c r="AX321" s="16"/>
      <c r="AY321" s="16"/>
      <c r="AZ321" s="27"/>
      <c r="BB321" s="27"/>
      <c r="BC321" s="16"/>
      <c r="BD321" s="16"/>
      <c r="BE321" s="27"/>
      <c r="BG321" s="27"/>
      <c r="BH321" s="16"/>
      <c r="BI321" s="16"/>
      <c r="BJ321" s="27"/>
      <c r="BL321" s="27"/>
      <c r="BM321" s="16"/>
      <c r="BN321" s="16"/>
      <c r="BO321" s="27"/>
      <c r="BQ321" s="27"/>
      <c r="BR321" s="16"/>
      <c r="BS321" s="16"/>
      <c r="BT321" s="27"/>
      <c r="BV321" s="27"/>
      <c r="BW321" s="16"/>
      <c r="BX321" s="16"/>
      <c r="BY321" s="27"/>
      <c r="CA321" s="27"/>
      <c r="CB321" s="16"/>
      <c r="CC321" s="16"/>
      <c r="CD321" s="27"/>
      <c r="CF321" s="27"/>
      <c r="CG321" s="16"/>
      <c r="CH321" s="16"/>
      <c r="CI321" s="27"/>
      <c r="CK321" s="27"/>
      <c r="CL321" s="16"/>
      <c r="CM321" s="16"/>
      <c r="CN321" s="27"/>
      <c r="CP321" s="27"/>
      <c r="CQ321" s="16"/>
      <c r="CR321" s="16"/>
      <c r="CS321" s="27"/>
      <c r="CU321" s="27"/>
      <c r="CV321" s="16"/>
      <c r="CW321" s="16"/>
      <c r="CX321" s="27"/>
      <c r="CZ321" s="27"/>
      <c r="DA321" s="16"/>
      <c r="DB321" s="16"/>
      <c r="DC321" s="27"/>
      <c r="DE321" s="27"/>
      <c r="DF321" s="16"/>
      <c r="DG321" s="16"/>
      <c r="DH321" s="27"/>
      <c r="DJ321" s="27"/>
      <c r="DK321" s="16"/>
      <c r="DL321" s="16"/>
      <c r="DM321" s="27"/>
      <c r="DO321" s="27"/>
      <c r="DP321" s="16"/>
      <c r="DQ321" s="16"/>
      <c r="DR321" s="27"/>
      <c r="DT321" s="27"/>
      <c r="DU321" s="16"/>
      <c r="DV321" s="16"/>
      <c r="DW321" s="27"/>
      <c r="DY321" s="27"/>
      <c r="DZ321" s="16"/>
      <c r="EA321" s="16"/>
      <c r="EB321" s="302"/>
    </row>
    <row r="322" spans="1:132" s="14" customFormat="1" ht="21" x14ac:dyDescent="0.4">
      <c r="A322" s="27"/>
      <c r="B322" s="27"/>
      <c r="C322" s="27"/>
      <c r="E322" s="16"/>
      <c r="F322" s="27"/>
      <c r="G322" s="27"/>
      <c r="I322" s="27"/>
      <c r="J322" s="16"/>
      <c r="K322" s="16"/>
      <c r="L322" s="27"/>
      <c r="N322" s="27"/>
      <c r="O322" s="16"/>
      <c r="P322" s="16"/>
      <c r="Q322" s="27"/>
      <c r="S322" s="27"/>
      <c r="T322" s="16"/>
      <c r="U322" s="16"/>
      <c r="V322" s="27"/>
      <c r="X322" s="27"/>
      <c r="Y322" s="16"/>
      <c r="Z322" s="16"/>
      <c r="AA322" s="27"/>
      <c r="AC322" s="27"/>
      <c r="AD322" s="16"/>
      <c r="AE322" s="16"/>
      <c r="AF322" s="27"/>
      <c r="AH322" s="27"/>
      <c r="AI322" s="16"/>
      <c r="AJ322" s="16"/>
      <c r="AK322" s="27"/>
      <c r="AM322" s="27"/>
      <c r="AN322" s="16"/>
      <c r="AO322" s="16"/>
      <c r="AP322" s="27"/>
      <c r="AR322" s="27"/>
      <c r="AS322" s="16"/>
      <c r="AT322" s="16"/>
      <c r="AU322" s="27"/>
      <c r="AW322" s="27"/>
      <c r="AX322" s="16"/>
      <c r="AY322" s="16"/>
      <c r="AZ322" s="27"/>
      <c r="BB322" s="27"/>
      <c r="BC322" s="16"/>
      <c r="BD322" s="16"/>
      <c r="BE322" s="27"/>
      <c r="BG322" s="27"/>
      <c r="BH322" s="16"/>
      <c r="BI322" s="16"/>
      <c r="BJ322" s="27"/>
      <c r="BL322" s="27"/>
      <c r="BM322" s="16"/>
      <c r="BN322" s="16"/>
      <c r="BO322" s="27"/>
      <c r="BQ322" s="27"/>
      <c r="BR322" s="16"/>
      <c r="BS322" s="16"/>
      <c r="BT322" s="27"/>
      <c r="BV322" s="27"/>
      <c r="BW322" s="16"/>
      <c r="BX322" s="16"/>
      <c r="BY322" s="27"/>
      <c r="CA322" s="27"/>
      <c r="CB322" s="16"/>
      <c r="CC322" s="16"/>
      <c r="CD322" s="27"/>
      <c r="CF322" s="27"/>
      <c r="CG322" s="16"/>
      <c r="CH322" s="16"/>
      <c r="CI322" s="27"/>
      <c r="CK322" s="27"/>
      <c r="CL322" s="16"/>
      <c r="CM322" s="16"/>
      <c r="CN322" s="27"/>
      <c r="CP322" s="27"/>
      <c r="CQ322" s="16"/>
      <c r="CR322" s="16"/>
      <c r="CS322" s="27"/>
      <c r="CU322" s="27"/>
      <c r="CV322" s="16"/>
      <c r="CW322" s="16"/>
      <c r="CX322" s="27"/>
      <c r="CZ322" s="27"/>
      <c r="DA322" s="16"/>
      <c r="DB322" s="16"/>
      <c r="DC322" s="27"/>
      <c r="DE322" s="27"/>
      <c r="DF322" s="16"/>
      <c r="DG322" s="16"/>
      <c r="DH322" s="27"/>
      <c r="DJ322" s="27"/>
      <c r="DK322" s="16"/>
      <c r="DL322" s="16"/>
      <c r="DM322" s="27"/>
      <c r="DO322" s="27"/>
      <c r="DP322" s="16"/>
      <c r="DQ322" s="16"/>
      <c r="DR322" s="27"/>
      <c r="DT322" s="27"/>
      <c r="DU322" s="16"/>
      <c r="DV322" s="16"/>
      <c r="DW322" s="27"/>
      <c r="DY322" s="27"/>
      <c r="DZ322" s="16"/>
      <c r="EA322" s="16"/>
      <c r="EB322" s="302"/>
    </row>
    <row r="323" spans="1:132" s="14" customFormat="1" ht="21" x14ac:dyDescent="0.4">
      <c r="A323" s="27"/>
      <c r="B323" s="27"/>
      <c r="C323" s="27"/>
      <c r="E323" s="16"/>
      <c r="F323" s="27"/>
      <c r="G323" s="27"/>
      <c r="I323" s="27"/>
      <c r="J323" s="16"/>
      <c r="K323" s="16"/>
      <c r="L323" s="27"/>
      <c r="N323" s="27"/>
      <c r="O323" s="16"/>
      <c r="P323" s="16"/>
      <c r="Q323" s="27"/>
      <c r="S323" s="27"/>
      <c r="T323" s="16"/>
      <c r="U323" s="16"/>
      <c r="V323" s="27"/>
      <c r="X323" s="27"/>
      <c r="Y323" s="16"/>
      <c r="Z323" s="16"/>
      <c r="AA323" s="27"/>
      <c r="AC323" s="27"/>
      <c r="AD323" s="16"/>
      <c r="AE323" s="16"/>
      <c r="AF323" s="27"/>
      <c r="AH323" s="27"/>
      <c r="AI323" s="16"/>
      <c r="AJ323" s="16"/>
      <c r="AK323" s="27"/>
      <c r="AM323" s="27"/>
      <c r="AN323" s="16"/>
      <c r="AO323" s="16"/>
      <c r="AP323" s="27"/>
      <c r="AR323" s="27"/>
      <c r="AS323" s="16"/>
      <c r="AT323" s="16"/>
      <c r="AU323" s="27"/>
      <c r="AW323" s="27"/>
      <c r="AX323" s="16"/>
      <c r="AY323" s="16"/>
      <c r="AZ323" s="27"/>
      <c r="BB323" s="27"/>
      <c r="BC323" s="16"/>
      <c r="BD323" s="16"/>
      <c r="BE323" s="27"/>
      <c r="BG323" s="27"/>
      <c r="BH323" s="16"/>
      <c r="BI323" s="16"/>
      <c r="BJ323" s="27"/>
      <c r="BL323" s="27"/>
      <c r="BM323" s="16"/>
      <c r="BN323" s="16"/>
      <c r="BO323" s="27"/>
      <c r="BQ323" s="27"/>
      <c r="BR323" s="16"/>
      <c r="BS323" s="16"/>
      <c r="BT323" s="27"/>
      <c r="BV323" s="27"/>
      <c r="BW323" s="16"/>
      <c r="BX323" s="16"/>
      <c r="BY323" s="27"/>
      <c r="CA323" s="27"/>
      <c r="CB323" s="16"/>
      <c r="CC323" s="16"/>
      <c r="CD323" s="27"/>
      <c r="CF323" s="27"/>
      <c r="CG323" s="16"/>
      <c r="CH323" s="16"/>
      <c r="CI323" s="27"/>
      <c r="CK323" s="27"/>
      <c r="CL323" s="16"/>
      <c r="CM323" s="16"/>
      <c r="CN323" s="27"/>
      <c r="CP323" s="27"/>
      <c r="CQ323" s="16"/>
      <c r="CR323" s="16"/>
      <c r="CS323" s="27"/>
      <c r="CU323" s="27"/>
      <c r="CV323" s="16"/>
      <c r="CW323" s="16"/>
      <c r="CX323" s="27"/>
      <c r="CZ323" s="27"/>
      <c r="DA323" s="16"/>
      <c r="DB323" s="16"/>
      <c r="DC323" s="27"/>
      <c r="DE323" s="27"/>
      <c r="DF323" s="16"/>
      <c r="DG323" s="16"/>
      <c r="DH323" s="27"/>
      <c r="DJ323" s="27"/>
      <c r="DK323" s="16"/>
      <c r="DL323" s="16"/>
      <c r="DM323" s="27"/>
      <c r="DO323" s="27"/>
      <c r="DP323" s="16"/>
      <c r="DQ323" s="16"/>
      <c r="DR323" s="27"/>
      <c r="DT323" s="27"/>
      <c r="DU323" s="16"/>
      <c r="DV323" s="16"/>
      <c r="DW323" s="27"/>
      <c r="DY323" s="27"/>
      <c r="DZ323" s="16"/>
      <c r="EA323" s="16"/>
      <c r="EB323" s="302"/>
    </row>
    <row r="324" spans="1:132" s="14" customFormat="1" ht="21" x14ac:dyDescent="0.4">
      <c r="A324" s="27"/>
      <c r="B324" s="27"/>
      <c r="C324" s="27"/>
      <c r="E324" s="16"/>
      <c r="F324" s="27"/>
      <c r="G324" s="27"/>
      <c r="I324" s="27"/>
      <c r="J324" s="16"/>
      <c r="K324" s="16"/>
      <c r="L324" s="27"/>
      <c r="N324" s="27"/>
      <c r="O324" s="16"/>
      <c r="P324" s="16"/>
      <c r="Q324" s="27"/>
      <c r="S324" s="27"/>
      <c r="T324" s="16"/>
      <c r="U324" s="16"/>
      <c r="V324" s="27"/>
      <c r="X324" s="27"/>
      <c r="Y324" s="16"/>
      <c r="Z324" s="16"/>
      <c r="AA324" s="27"/>
      <c r="AC324" s="27"/>
      <c r="AD324" s="16"/>
      <c r="AE324" s="16"/>
      <c r="AF324" s="27"/>
      <c r="AH324" s="27"/>
      <c r="AI324" s="16"/>
      <c r="AJ324" s="16"/>
      <c r="AK324" s="27"/>
      <c r="AM324" s="27"/>
      <c r="AN324" s="16"/>
      <c r="AO324" s="16"/>
      <c r="AP324" s="27"/>
      <c r="AR324" s="27"/>
      <c r="AS324" s="16"/>
      <c r="AT324" s="16"/>
      <c r="AU324" s="27"/>
      <c r="AW324" s="27"/>
      <c r="AX324" s="16"/>
      <c r="AY324" s="16"/>
      <c r="AZ324" s="27"/>
      <c r="BB324" s="27"/>
      <c r="BC324" s="16"/>
      <c r="BD324" s="16"/>
      <c r="BE324" s="27"/>
      <c r="BG324" s="27"/>
      <c r="BH324" s="16"/>
      <c r="BI324" s="16"/>
      <c r="BJ324" s="27"/>
      <c r="BL324" s="27"/>
      <c r="BM324" s="16"/>
      <c r="BN324" s="16"/>
      <c r="BO324" s="27"/>
      <c r="BQ324" s="27"/>
      <c r="BR324" s="16"/>
      <c r="BS324" s="16"/>
      <c r="BT324" s="27"/>
      <c r="BV324" s="27"/>
      <c r="BW324" s="16"/>
      <c r="BX324" s="16"/>
      <c r="BY324" s="27"/>
      <c r="CA324" s="27"/>
      <c r="CB324" s="16"/>
      <c r="CC324" s="16"/>
      <c r="CD324" s="27"/>
      <c r="CF324" s="27"/>
      <c r="CG324" s="16"/>
      <c r="CH324" s="16"/>
      <c r="CI324" s="27"/>
      <c r="CK324" s="27"/>
      <c r="CL324" s="16"/>
      <c r="CM324" s="16"/>
      <c r="CN324" s="27"/>
      <c r="CP324" s="27"/>
      <c r="CQ324" s="16"/>
      <c r="CR324" s="16"/>
      <c r="CS324" s="27"/>
      <c r="CU324" s="27"/>
      <c r="CV324" s="16"/>
      <c r="CW324" s="16"/>
      <c r="CX324" s="27"/>
      <c r="CZ324" s="27"/>
      <c r="DA324" s="16"/>
      <c r="DB324" s="16"/>
      <c r="DC324" s="27"/>
      <c r="DE324" s="27"/>
      <c r="DF324" s="16"/>
      <c r="DG324" s="16"/>
      <c r="DH324" s="27"/>
      <c r="DJ324" s="27"/>
      <c r="DK324" s="16"/>
      <c r="DL324" s="16"/>
      <c r="DM324" s="27"/>
      <c r="DO324" s="27"/>
      <c r="DP324" s="16"/>
      <c r="DQ324" s="16"/>
      <c r="DR324" s="27"/>
      <c r="DT324" s="27"/>
      <c r="DU324" s="16"/>
      <c r="DV324" s="16"/>
      <c r="DW324" s="27"/>
      <c r="DY324" s="27"/>
      <c r="DZ324" s="16"/>
      <c r="EA324" s="16"/>
      <c r="EB324" s="302"/>
    </row>
    <row r="325" spans="1:132" s="14" customFormat="1" ht="21" x14ac:dyDescent="0.4">
      <c r="A325" s="27"/>
      <c r="B325" s="27"/>
      <c r="C325" s="27"/>
      <c r="E325" s="16"/>
      <c r="F325" s="27"/>
      <c r="G325" s="27"/>
      <c r="I325" s="27"/>
      <c r="J325" s="16"/>
      <c r="K325" s="16"/>
      <c r="L325" s="27"/>
      <c r="N325" s="27"/>
      <c r="O325" s="16"/>
      <c r="P325" s="16"/>
      <c r="Q325" s="27"/>
      <c r="S325" s="27"/>
      <c r="T325" s="16"/>
      <c r="U325" s="16"/>
      <c r="V325" s="27"/>
      <c r="X325" s="27"/>
      <c r="Y325" s="16"/>
      <c r="Z325" s="16"/>
      <c r="AA325" s="27"/>
      <c r="AC325" s="27"/>
      <c r="AD325" s="16"/>
      <c r="AE325" s="16"/>
      <c r="AF325" s="27"/>
      <c r="AH325" s="27"/>
      <c r="AI325" s="16"/>
      <c r="AJ325" s="16"/>
      <c r="AK325" s="27"/>
      <c r="AM325" s="27"/>
      <c r="AN325" s="16"/>
      <c r="AO325" s="16"/>
      <c r="AP325" s="27"/>
      <c r="AR325" s="27"/>
      <c r="AS325" s="16"/>
      <c r="AT325" s="16"/>
      <c r="AU325" s="27"/>
      <c r="AW325" s="27"/>
      <c r="AX325" s="16"/>
      <c r="AY325" s="16"/>
      <c r="AZ325" s="27"/>
      <c r="BB325" s="27"/>
      <c r="BC325" s="16"/>
      <c r="BD325" s="16"/>
      <c r="BE325" s="27"/>
      <c r="BG325" s="27"/>
      <c r="BH325" s="16"/>
      <c r="BI325" s="16"/>
      <c r="BJ325" s="27"/>
      <c r="BL325" s="27"/>
      <c r="BM325" s="16"/>
      <c r="BN325" s="16"/>
      <c r="BO325" s="27"/>
      <c r="BQ325" s="27"/>
      <c r="BR325" s="16"/>
      <c r="BS325" s="16"/>
      <c r="BT325" s="27"/>
      <c r="BV325" s="27"/>
      <c r="BW325" s="16"/>
      <c r="BX325" s="16"/>
      <c r="BY325" s="27"/>
      <c r="CA325" s="27"/>
      <c r="CB325" s="16"/>
      <c r="CC325" s="16"/>
      <c r="CD325" s="27"/>
      <c r="CF325" s="27"/>
      <c r="CG325" s="16"/>
      <c r="CH325" s="16"/>
      <c r="CI325" s="27"/>
      <c r="CK325" s="27"/>
      <c r="CL325" s="16"/>
      <c r="CM325" s="16"/>
      <c r="CN325" s="27"/>
      <c r="CP325" s="27"/>
      <c r="CQ325" s="16"/>
      <c r="CR325" s="16"/>
      <c r="CS325" s="27"/>
      <c r="CU325" s="27"/>
      <c r="CV325" s="16"/>
      <c r="CW325" s="16"/>
      <c r="CX325" s="27"/>
      <c r="CZ325" s="27"/>
      <c r="DA325" s="16"/>
      <c r="DB325" s="16"/>
      <c r="DC325" s="27"/>
      <c r="DE325" s="27"/>
      <c r="DF325" s="16"/>
      <c r="DG325" s="16"/>
      <c r="DH325" s="27"/>
      <c r="DJ325" s="27"/>
      <c r="DK325" s="16"/>
      <c r="DL325" s="16"/>
      <c r="DM325" s="27"/>
      <c r="DO325" s="27"/>
      <c r="DP325" s="16"/>
      <c r="DQ325" s="16"/>
      <c r="DR325" s="27"/>
      <c r="DT325" s="27"/>
      <c r="DU325" s="16"/>
      <c r="DV325" s="16"/>
      <c r="DW325" s="27"/>
      <c r="DY325" s="27"/>
      <c r="DZ325" s="16"/>
      <c r="EA325" s="16"/>
      <c r="EB325" s="302"/>
    </row>
    <row r="326" spans="1:132" s="14" customFormat="1" ht="21" x14ac:dyDescent="0.4">
      <c r="A326" s="27"/>
      <c r="B326" s="27"/>
      <c r="C326" s="27"/>
      <c r="E326" s="16"/>
      <c r="F326" s="27"/>
      <c r="G326" s="27"/>
      <c r="I326" s="27"/>
      <c r="J326" s="16"/>
      <c r="K326" s="16"/>
      <c r="L326" s="27"/>
      <c r="N326" s="27"/>
      <c r="O326" s="16"/>
      <c r="P326" s="16"/>
      <c r="Q326" s="27"/>
      <c r="S326" s="27"/>
      <c r="T326" s="16"/>
      <c r="U326" s="16"/>
      <c r="V326" s="27"/>
      <c r="X326" s="27"/>
      <c r="Y326" s="16"/>
      <c r="Z326" s="16"/>
      <c r="AA326" s="27"/>
      <c r="AC326" s="27"/>
      <c r="AD326" s="16"/>
      <c r="AE326" s="16"/>
      <c r="AF326" s="27"/>
      <c r="AH326" s="27"/>
      <c r="AI326" s="16"/>
      <c r="AJ326" s="16"/>
      <c r="AK326" s="27"/>
      <c r="AM326" s="27"/>
      <c r="AN326" s="16"/>
      <c r="AO326" s="16"/>
      <c r="AP326" s="27"/>
      <c r="AR326" s="27"/>
      <c r="AS326" s="16"/>
      <c r="AT326" s="16"/>
      <c r="AU326" s="27"/>
      <c r="AW326" s="27"/>
      <c r="AX326" s="16"/>
      <c r="AY326" s="16"/>
      <c r="AZ326" s="27"/>
      <c r="BB326" s="27"/>
      <c r="BC326" s="16"/>
      <c r="BD326" s="16"/>
      <c r="BE326" s="27"/>
      <c r="BG326" s="27"/>
      <c r="BH326" s="16"/>
      <c r="BI326" s="16"/>
      <c r="BJ326" s="27"/>
      <c r="BL326" s="27"/>
      <c r="BM326" s="16"/>
      <c r="BN326" s="16"/>
      <c r="BO326" s="27"/>
      <c r="BQ326" s="27"/>
      <c r="BR326" s="16"/>
      <c r="BS326" s="16"/>
      <c r="BT326" s="27"/>
      <c r="BV326" s="27"/>
      <c r="BW326" s="16"/>
      <c r="BX326" s="16"/>
      <c r="BY326" s="27"/>
      <c r="CA326" s="27"/>
      <c r="CB326" s="16"/>
      <c r="CC326" s="16"/>
      <c r="CD326" s="27"/>
      <c r="CF326" s="27"/>
      <c r="CG326" s="16"/>
      <c r="CH326" s="16"/>
      <c r="CI326" s="27"/>
      <c r="CK326" s="27"/>
      <c r="CL326" s="16"/>
      <c r="CM326" s="16"/>
      <c r="CN326" s="27"/>
      <c r="CP326" s="27"/>
      <c r="CQ326" s="16"/>
      <c r="CR326" s="16"/>
      <c r="CS326" s="27"/>
      <c r="CU326" s="27"/>
      <c r="CV326" s="16"/>
      <c r="CW326" s="16"/>
      <c r="CX326" s="27"/>
      <c r="CZ326" s="27"/>
      <c r="DA326" s="16"/>
      <c r="DB326" s="16"/>
      <c r="DC326" s="27"/>
      <c r="DE326" s="27"/>
      <c r="DF326" s="16"/>
      <c r="DG326" s="16"/>
      <c r="DH326" s="27"/>
      <c r="DJ326" s="27"/>
      <c r="DK326" s="16"/>
      <c r="DL326" s="16"/>
      <c r="DM326" s="27"/>
      <c r="DO326" s="27"/>
      <c r="DP326" s="16"/>
      <c r="DQ326" s="16"/>
      <c r="DR326" s="27"/>
      <c r="DT326" s="27"/>
      <c r="DU326" s="16"/>
      <c r="DV326" s="16"/>
      <c r="DW326" s="27"/>
      <c r="DY326" s="27"/>
      <c r="DZ326" s="16"/>
      <c r="EA326" s="16"/>
      <c r="EB326" s="302"/>
    </row>
    <row r="327" spans="1:132" s="14" customFormat="1" ht="21" x14ac:dyDescent="0.4">
      <c r="A327" s="27"/>
      <c r="B327" s="27"/>
      <c r="C327" s="27"/>
      <c r="E327" s="16"/>
      <c r="F327" s="27"/>
      <c r="G327" s="27"/>
      <c r="I327" s="27"/>
      <c r="J327" s="16"/>
      <c r="K327" s="16"/>
      <c r="L327" s="27"/>
      <c r="N327" s="27"/>
      <c r="O327" s="16"/>
      <c r="P327" s="16"/>
      <c r="Q327" s="27"/>
      <c r="S327" s="27"/>
      <c r="T327" s="16"/>
      <c r="U327" s="16"/>
      <c r="V327" s="27"/>
      <c r="X327" s="27"/>
      <c r="Y327" s="16"/>
      <c r="Z327" s="16"/>
      <c r="AA327" s="27"/>
      <c r="AC327" s="27"/>
      <c r="AD327" s="16"/>
      <c r="AE327" s="16"/>
      <c r="AF327" s="27"/>
      <c r="AH327" s="27"/>
      <c r="AI327" s="16"/>
      <c r="AJ327" s="16"/>
      <c r="AK327" s="27"/>
      <c r="AM327" s="27"/>
      <c r="AN327" s="16"/>
      <c r="AO327" s="16"/>
      <c r="AP327" s="27"/>
      <c r="AR327" s="27"/>
      <c r="AS327" s="16"/>
      <c r="AT327" s="16"/>
      <c r="AU327" s="27"/>
      <c r="AW327" s="27"/>
      <c r="AX327" s="16"/>
      <c r="AY327" s="16"/>
      <c r="AZ327" s="27"/>
      <c r="BB327" s="27"/>
      <c r="BC327" s="16"/>
      <c r="BD327" s="16"/>
      <c r="BE327" s="27"/>
      <c r="BG327" s="27"/>
      <c r="BH327" s="16"/>
      <c r="BI327" s="16"/>
      <c r="BJ327" s="27"/>
      <c r="BL327" s="27"/>
      <c r="BM327" s="16"/>
      <c r="BN327" s="16"/>
      <c r="BO327" s="27"/>
      <c r="BQ327" s="27"/>
      <c r="BR327" s="16"/>
      <c r="BS327" s="16"/>
      <c r="BT327" s="27"/>
      <c r="BV327" s="27"/>
      <c r="BW327" s="16"/>
      <c r="BX327" s="16"/>
      <c r="BY327" s="27"/>
      <c r="CA327" s="27"/>
      <c r="CB327" s="16"/>
      <c r="CC327" s="16"/>
      <c r="CD327" s="27"/>
      <c r="CF327" s="27"/>
      <c r="CG327" s="16"/>
      <c r="CH327" s="16"/>
      <c r="CI327" s="27"/>
      <c r="CK327" s="27"/>
      <c r="CL327" s="16"/>
      <c r="CM327" s="16"/>
      <c r="CN327" s="27"/>
      <c r="CP327" s="27"/>
      <c r="CQ327" s="16"/>
      <c r="CR327" s="16"/>
      <c r="CS327" s="27"/>
      <c r="CU327" s="27"/>
      <c r="CV327" s="16"/>
      <c r="CW327" s="16"/>
      <c r="CX327" s="27"/>
      <c r="CZ327" s="27"/>
      <c r="DA327" s="16"/>
      <c r="DB327" s="16"/>
      <c r="DC327" s="27"/>
      <c r="DE327" s="27"/>
      <c r="DF327" s="16"/>
      <c r="DG327" s="16"/>
      <c r="DH327" s="27"/>
      <c r="DJ327" s="27"/>
      <c r="DK327" s="16"/>
      <c r="DL327" s="16"/>
      <c r="DM327" s="27"/>
      <c r="DO327" s="27"/>
      <c r="DP327" s="16"/>
      <c r="DQ327" s="16"/>
      <c r="DR327" s="27"/>
      <c r="DT327" s="27"/>
      <c r="DU327" s="16"/>
      <c r="DV327" s="16"/>
      <c r="DW327" s="27"/>
      <c r="DY327" s="27"/>
      <c r="DZ327" s="16"/>
      <c r="EA327" s="16"/>
      <c r="EB327" s="302"/>
    </row>
    <row r="328" spans="1:132" s="14" customFormat="1" ht="21" x14ac:dyDescent="0.4">
      <c r="A328" s="27"/>
      <c r="B328" s="27"/>
      <c r="C328" s="27"/>
      <c r="E328" s="16"/>
      <c r="F328" s="27"/>
      <c r="G328" s="27"/>
      <c r="I328" s="27"/>
      <c r="J328" s="16"/>
      <c r="K328" s="16"/>
      <c r="L328" s="27"/>
      <c r="N328" s="27"/>
      <c r="O328" s="16"/>
      <c r="P328" s="16"/>
      <c r="Q328" s="27"/>
      <c r="S328" s="27"/>
      <c r="T328" s="16"/>
      <c r="U328" s="16"/>
      <c r="V328" s="27"/>
      <c r="X328" s="27"/>
      <c r="Y328" s="16"/>
      <c r="Z328" s="16"/>
      <c r="AA328" s="27"/>
      <c r="AC328" s="27"/>
      <c r="AD328" s="16"/>
      <c r="AE328" s="16"/>
      <c r="AF328" s="27"/>
      <c r="AH328" s="27"/>
      <c r="AI328" s="16"/>
      <c r="AJ328" s="16"/>
      <c r="AK328" s="27"/>
      <c r="AM328" s="27"/>
      <c r="AN328" s="16"/>
      <c r="AO328" s="16"/>
      <c r="AP328" s="27"/>
      <c r="AR328" s="27"/>
      <c r="AS328" s="16"/>
      <c r="AT328" s="16"/>
      <c r="AU328" s="27"/>
      <c r="AW328" s="27"/>
      <c r="AX328" s="16"/>
      <c r="AY328" s="16"/>
      <c r="AZ328" s="27"/>
      <c r="BB328" s="27"/>
      <c r="BC328" s="16"/>
      <c r="BD328" s="16"/>
      <c r="BE328" s="27"/>
      <c r="BG328" s="27"/>
      <c r="BH328" s="16"/>
      <c r="BI328" s="16"/>
      <c r="BJ328" s="27"/>
      <c r="BL328" s="27"/>
      <c r="BM328" s="16"/>
      <c r="BN328" s="16"/>
      <c r="BO328" s="27"/>
      <c r="BQ328" s="27"/>
      <c r="BR328" s="16"/>
      <c r="BS328" s="16"/>
      <c r="BT328" s="27"/>
      <c r="BV328" s="27"/>
      <c r="BW328" s="16"/>
      <c r="BX328" s="16"/>
      <c r="BY328" s="27"/>
      <c r="CA328" s="27"/>
      <c r="CB328" s="16"/>
      <c r="CC328" s="16"/>
      <c r="CD328" s="27"/>
      <c r="CF328" s="27"/>
      <c r="CG328" s="16"/>
      <c r="CH328" s="16"/>
      <c r="CI328" s="27"/>
      <c r="CK328" s="27"/>
      <c r="CL328" s="16"/>
      <c r="CM328" s="16"/>
      <c r="CN328" s="27"/>
      <c r="CP328" s="27"/>
      <c r="CQ328" s="16"/>
      <c r="CR328" s="16"/>
      <c r="CS328" s="27"/>
      <c r="CU328" s="27"/>
      <c r="CV328" s="16"/>
      <c r="CW328" s="16"/>
      <c r="CX328" s="27"/>
      <c r="CZ328" s="27"/>
      <c r="DA328" s="16"/>
      <c r="DB328" s="16"/>
      <c r="DC328" s="27"/>
      <c r="DE328" s="27"/>
      <c r="DF328" s="16"/>
      <c r="DG328" s="16"/>
      <c r="DH328" s="27"/>
      <c r="DJ328" s="27"/>
      <c r="DK328" s="16"/>
      <c r="DL328" s="16"/>
      <c r="DM328" s="27"/>
      <c r="DO328" s="27"/>
      <c r="DP328" s="16"/>
      <c r="DQ328" s="16"/>
      <c r="DR328" s="27"/>
      <c r="DT328" s="27"/>
      <c r="DU328" s="16"/>
      <c r="DV328" s="16"/>
      <c r="DW328" s="27"/>
      <c r="DY328" s="27"/>
      <c r="DZ328" s="16"/>
      <c r="EA328" s="16"/>
      <c r="EB328" s="302"/>
    </row>
    <row r="329" spans="1:132" s="14" customFormat="1" ht="21" x14ac:dyDescent="0.4">
      <c r="A329" s="27"/>
      <c r="B329" s="27"/>
      <c r="C329" s="27"/>
      <c r="E329" s="16"/>
      <c r="F329" s="27"/>
      <c r="G329" s="27"/>
      <c r="I329" s="27"/>
      <c r="J329" s="16"/>
      <c r="K329" s="16"/>
      <c r="L329" s="27"/>
      <c r="N329" s="27"/>
      <c r="O329" s="16"/>
      <c r="P329" s="16"/>
      <c r="Q329" s="27"/>
      <c r="S329" s="27"/>
      <c r="T329" s="16"/>
      <c r="U329" s="16"/>
      <c r="V329" s="27"/>
      <c r="X329" s="27"/>
      <c r="Y329" s="16"/>
      <c r="Z329" s="16"/>
      <c r="AA329" s="27"/>
      <c r="AC329" s="27"/>
      <c r="AD329" s="16"/>
      <c r="AE329" s="16"/>
      <c r="AF329" s="27"/>
      <c r="AH329" s="27"/>
      <c r="AI329" s="16"/>
      <c r="AJ329" s="16"/>
      <c r="AK329" s="27"/>
      <c r="AM329" s="27"/>
      <c r="AN329" s="16"/>
      <c r="AO329" s="16"/>
      <c r="AP329" s="27"/>
      <c r="AR329" s="27"/>
      <c r="AS329" s="16"/>
      <c r="AT329" s="16"/>
      <c r="AU329" s="27"/>
      <c r="AW329" s="27"/>
      <c r="AX329" s="16"/>
      <c r="AY329" s="16"/>
      <c r="AZ329" s="27"/>
      <c r="BB329" s="27"/>
      <c r="BC329" s="16"/>
      <c r="BD329" s="16"/>
      <c r="BE329" s="27"/>
      <c r="BG329" s="27"/>
      <c r="BH329" s="16"/>
      <c r="BI329" s="16"/>
      <c r="BJ329" s="27"/>
      <c r="BL329" s="27"/>
      <c r="BM329" s="16"/>
      <c r="BN329" s="16"/>
      <c r="BO329" s="27"/>
      <c r="BQ329" s="27"/>
      <c r="BR329" s="16"/>
      <c r="BS329" s="16"/>
      <c r="BT329" s="27"/>
      <c r="BV329" s="27"/>
      <c r="BW329" s="16"/>
      <c r="BX329" s="16"/>
      <c r="BY329" s="27"/>
      <c r="CA329" s="27"/>
      <c r="CB329" s="16"/>
      <c r="CC329" s="16"/>
      <c r="CD329" s="27"/>
      <c r="CF329" s="27"/>
      <c r="CG329" s="16"/>
      <c r="CH329" s="16"/>
      <c r="CI329" s="27"/>
      <c r="CK329" s="27"/>
      <c r="CL329" s="16"/>
      <c r="CM329" s="16"/>
      <c r="CN329" s="27"/>
      <c r="CP329" s="27"/>
      <c r="CQ329" s="16"/>
      <c r="CR329" s="16"/>
      <c r="CS329" s="27"/>
      <c r="CU329" s="27"/>
      <c r="CV329" s="16"/>
      <c r="CW329" s="16"/>
      <c r="CX329" s="27"/>
      <c r="CZ329" s="27"/>
      <c r="DA329" s="16"/>
      <c r="DB329" s="16"/>
      <c r="DC329" s="27"/>
      <c r="DE329" s="27"/>
      <c r="DF329" s="16"/>
      <c r="DG329" s="16"/>
      <c r="DH329" s="27"/>
      <c r="DJ329" s="27"/>
      <c r="DK329" s="16"/>
      <c r="DL329" s="16"/>
      <c r="DM329" s="27"/>
      <c r="DO329" s="27"/>
      <c r="DP329" s="16"/>
      <c r="DQ329" s="16"/>
      <c r="DR329" s="27"/>
      <c r="DT329" s="27"/>
      <c r="DU329" s="16"/>
      <c r="DV329" s="16"/>
      <c r="DW329" s="27"/>
      <c r="DY329" s="27"/>
      <c r="DZ329" s="16"/>
      <c r="EA329" s="16"/>
      <c r="EB329" s="302"/>
    </row>
    <row r="330" spans="1:132" s="14" customFormat="1" ht="21" x14ac:dyDescent="0.4">
      <c r="A330" s="27"/>
      <c r="B330" s="27"/>
      <c r="C330" s="27"/>
      <c r="E330" s="16"/>
      <c r="F330" s="27"/>
      <c r="G330" s="27"/>
      <c r="I330" s="27"/>
      <c r="J330" s="16"/>
      <c r="K330" s="16"/>
      <c r="L330" s="27"/>
      <c r="N330" s="27"/>
      <c r="O330" s="16"/>
      <c r="P330" s="16"/>
      <c r="Q330" s="27"/>
      <c r="S330" s="27"/>
      <c r="T330" s="16"/>
      <c r="U330" s="16"/>
      <c r="V330" s="27"/>
      <c r="X330" s="27"/>
      <c r="Y330" s="16"/>
      <c r="Z330" s="16"/>
      <c r="AA330" s="27"/>
      <c r="AC330" s="27"/>
      <c r="AD330" s="16"/>
      <c r="AE330" s="16"/>
      <c r="AF330" s="27"/>
      <c r="AH330" s="27"/>
      <c r="AI330" s="16"/>
      <c r="AJ330" s="16"/>
      <c r="AK330" s="27"/>
      <c r="AM330" s="27"/>
      <c r="AN330" s="16"/>
      <c r="AO330" s="16"/>
      <c r="AP330" s="27"/>
      <c r="AR330" s="27"/>
      <c r="AS330" s="16"/>
      <c r="AT330" s="16"/>
      <c r="AU330" s="27"/>
      <c r="AW330" s="27"/>
      <c r="AX330" s="16"/>
      <c r="AY330" s="16"/>
      <c r="AZ330" s="27"/>
      <c r="BB330" s="27"/>
      <c r="BC330" s="16"/>
      <c r="BD330" s="16"/>
      <c r="BE330" s="27"/>
      <c r="BG330" s="27"/>
      <c r="BH330" s="16"/>
      <c r="BI330" s="16"/>
      <c r="BJ330" s="27"/>
      <c r="BL330" s="27"/>
      <c r="BM330" s="16"/>
      <c r="BN330" s="16"/>
      <c r="BO330" s="27"/>
      <c r="BQ330" s="27"/>
      <c r="BR330" s="16"/>
      <c r="BS330" s="16"/>
      <c r="BT330" s="27"/>
      <c r="BV330" s="27"/>
      <c r="BW330" s="16"/>
      <c r="BX330" s="16"/>
      <c r="BY330" s="27"/>
      <c r="CA330" s="27"/>
      <c r="CB330" s="16"/>
      <c r="CC330" s="16"/>
      <c r="CD330" s="27"/>
      <c r="CF330" s="27"/>
      <c r="CG330" s="16"/>
      <c r="CH330" s="16"/>
      <c r="CI330" s="27"/>
      <c r="CK330" s="27"/>
      <c r="CL330" s="16"/>
      <c r="CM330" s="16"/>
      <c r="CN330" s="27"/>
      <c r="CP330" s="27"/>
      <c r="CQ330" s="16"/>
      <c r="CR330" s="16"/>
      <c r="CS330" s="27"/>
      <c r="CU330" s="27"/>
      <c r="CV330" s="16"/>
      <c r="CW330" s="16"/>
      <c r="CX330" s="27"/>
      <c r="CZ330" s="27"/>
      <c r="DA330" s="16"/>
      <c r="DB330" s="16"/>
      <c r="DC330" s="27"/>
      <c r="DE330" s="27"/>
      <c r="DF330" s="16"/>
      <c r="DG330" s="16"/>
      <c r="DH330" s="27"/>
      <c r="DJ330" s="27"/>
      <c r="DK330" s="16"/>
      <c r="DL330" s="16"/>
      <c r="DM330" s="27"/>
      <c r="DO330" s="27"/>
      <c r="DP330" s="16"/>
      <c r="DQ330" s="16"/>
      <c r="DR330" s="27"/>
      <c r="DT330" s="27"/>
      <c r="DU330" s="16"/>
      <c r="DV330" s="16"/>
      <c r="DW330" s="27"/>
      <c r="DY330" s="27"/>
      <c r="DZ330" s="16"/>
      <c r="EA330" s="16"/>
      <c r="EB330" s="302"/>
    </row>
    <row r="331" spans="1:132" s="14" customFormat="1" ht="21" x14ac:dyDescent="0.4">
      <c r="A331" s="27"/>
      <c r="B331" s="27"/>
      <c r="C331" s="27"/>
      <c r="E331" s="16"/>
      <c r="F331" s="27"/>
      <c r="G331" s="27"/>
      <c r="I331" s="27"/>
      <c r="J331" s="16"/>
      <c r="K331" s="16"/>
      <c r="L331" s="27"/>
      <c r="N331" s="27"/>
      <c r="O331" s="16"/>
      <c r="P331" s="16"/>
      <c r="Q331" s="27"/>
      <c r="S331" s="27"/>
      <c r="T331" s="16"/>
      <c r="U331" s="16"/>
      <c r="V331" s="27"/>
      <c r="X331" s="27"/>
      <c r="Y331" s="16"/>
      <c r="Z331" s="16"/>
      <c r="AA331" s="27"/>
      <c r="AC331" s="27"/>
      <c r="AD331" s="16"/>
      <c r="AE331" s="16"/>
      <c r="AF331" s="27"/>
      <c r="AH331" s="27"/>
      <c r="AI331" s="16"/>
      <c r="AJ331" s="16"/>
      <c r="AK331" s="27"/>
      <c r="AM331" s="27"/>
      <c r="AN331" s="16"/>
      <c r="AO331" s="16"/>
      <c r="AP331" s="27"/>
      <c r="AR331" s="27"/>
      <c r="AS331" s="16"/>
      <c r="AT331" s="16"/>
      <c r="AU331" s="27"/>
      <c r="AW331" s="27"/>
      <c r="AX331" s="16"/>
      <c r="AY331" s="16"/>
      <c r="AZ331" s="27"/>
      <c r="BB331" s="27"/>
      <c r="BC331" s="16"/>
      <c r="BD331" s="16"/>
      <c r="BE331" s="27"/>
      <c r="BG331" s="27"/>
      <c r="BH331" s="16"/>
      <c r="BI331" s="16"/>
      <c r="BJ331" s="27"/>
      <c r="BL331" s="27"/>
      <c r="BM331" s="16"/>
      <c r="BN331" s="16"/>
      <c r="BO331" s="27"/>
      <c r="BQ331" s="27"/>
      <c r="BR331" s="16"/>
      <c r="BS331" s="16"/>
      <c r="BT331" s="27"/>
      <c r="BV331" s="27"/>
      <c r="BW331" s="16"/>
      <c r="BX331" s="16"/>
      <c r="BY331" s="27"/>
      <c r="CA331" s="27"/>
      <c r="CB331" s="16"/>
      <c r="CC331" s="16"/>
      <c r="CD331" s="27"/>
      <c r="CF331" s="27"/>
      <c r="CG331" s="16"/>
      <c r="CH331" s="16"/>
      <c r="CI331" s="27"/>
      <c r="CK331" s="27"/>
      <c r="CL331" s="16"/>
      <c r="CM331" s="16"/>
      <c r="CN331" s="27"/>
      <c r="CP331" s="27"/>
      <c r="CQ331" s="16"/>
      <c r="CR331" s="16"/>
      <c r="CS331" s="27"/>
      <c r="CU331" s="27"/>
      <c r="CV331" s="16"/>
      <c r="CW331" s="16"/>
      <c r="CX331" s="27"/>
      <c r="CZ331" s="27"/>
      <c r="DA331" s="16"/>
      <c r="DB331" s="16"/>
      <c r="DC331" s="27"/>
      <c r="DE331" s="27"/>
      <c r="DF331" s="16"/>
      <c r="DG331" s="16"/>
      <c r="DH331" s="27"/>
      <c r="DJ331" s="27"/>
      <c r="DK331" s="16"/>
      <c r="DL331" s="16"/>
      <c r="DM331" s="27"/>
      <c r="DO331" s="27"/>
      <c r="DP331" s="16"/>
      <c r="DQ331" s="16"/>
      <c r="DR331" s="27"/>
      <c r="DT331" s="27"/>
      <c r="DU331" s="16"/>
      <c r="DV331" s="16"/>
      <c r="DW331" s="27"/>
      <c r="DY331" s="27"/>
      <c r="DZ331" s="16"/>
      <c r="EA331" s="16"/>
      <c r="EB331" s="302"/>
    </row>
    <row r="332" spans="1:132" s="14" customFormat="1" ht="21" x14ac:dyDescent="0.4">
      <c r="A332" s="27"/>
      <c r="B332" s="27"/>
      <c r="C332" s="27"/>
      <c r="E332" s="16"/>
      <c r="F332" s="27"/>
      <c r="G332" s="27"/>
      <c r="I332" s="27"/>
      <c r="J332" s="16"/>
      <c r="K332" s="16"/>
      <c r="L332" s="27"/>
      <c r="N332" s="27"/>
      <c r="O332" s="16"/>
      <c r="P332" s="16"/>
      <c r="Q332" s="27"/>
      <c r="S332" s="27"/>
      <c r="T332" s="16"/>
      <c r="U332" s="16"/>
      <c r="V332" s="27"/>
      <c r="X332" s="27"/>
      <c r="Y332" s="16"/>
      <c r="Z332" s="16"/>
      <c r="AA332" s="27"/>
      <c r="AC332" s="27"/>
      <c r="AD332" s="16"/>
      <c r="AE332" s="16"/>
      <c r="AF332" s="27"/>
      <c r="AH332" s="27"/>
      <c r="AI332" s="16"/>
      <c r="AJ332" s="16"/>
      <c r="AK332" s="27"/>
      <c r="AM332" s="27"/>
      <c r="AN332" s="16"/>
      <c r="AO332" s="16"/>
      <c r="AP332" s="27"/>
      <c r="AR332" s="27"/>
      <c r="AS332" s="16"/>
      <c r="AT332" s="16"/>
      <c r="AU332" s="27"/>
      <c r="AW332" s="27"/>
      <c r="AX332" s="16"/>
      <c r="AY332" s="16"/>
      <c r="AZ332" s="27"/>
      <c r="BB332" s="27"/>
      <c r="BC332" s="16"/>
      <c r="BD332" s="16"/>
      <c r="BE332" s="27"/>
      <c r="BG332" s="27"/>
      <c r="BH332" s="16"/>
      <c r="BI332" s="16"/>
      <c r="BJ332" s="27"/>
      <c r="BL332" s="27"/>
      <c r="BM332" s="16"/>
      <c r="BN332" s="16"/>
      <c r="BO332" s="27"/>
      <c r="BQ332" s="27"/>
      <c r="BR332" s="16"/>
      <c r="BS332" s="16"/>
      <c r="BT332" s="27"/>
      <c r="BV332" s="27"/>
      <c r="BW332" s="16"/>
      <c r="BX332" s="16"/>
      <c r="BY332" s="27"/>
      <c r="CA332" s="27"/>
      <c r="CB332" s="16"/>
      <c r="CC332" s="16"/>
      <c r="CD332" s="27"/>
      <c r="CF332" s="27"/>
      <c r="CG332" s="16"/>
      <c r="CH332" s="16"/>
      <c r="CI332" s="27"/>
      <c r="CK332" s="27"/>
      <c r="CL332" s="16"/>
      <c r="CM332" s="16"/>
      <c r="CN332" s="27"/>
      <c r="CP332" s="27"/>
      <c r="CQ332" s="16"/>
      <c r="CR332" s="16"/>
      <c r="CS332" s="27"/>
      <c r="CU332" s="27"/>
      <c r="CV332" s="16"/>
      <c r="CW332" s="16"/>
      <c r="CX332" s="27"/>
      <c r="CZ332" s="27"/>
      <c r="DA332" s="16"/>
      <c r="DB332" s="16"/>
      <c r="DC332" s="27"/>
      <c r="DE332" s="27"/>
      <c r="DF332" s="16"/>
      <c r="DG332" s="16"/>
      <c r="DH332" s="27"/>
      <c r="DJ332" s="27"/>
      <c r="DK332" s="16"/>
      <c r="DL332" s="16"/>
      <c r="DM332" s="27"/>
      <c r="DO332" s="27"/>
      <c r="DP332" s="16"/>
      <c r="DQ332" s="16"/>
      <c r="DR332" s="27"/>
      <c r="DT332" s="27"/>
      <c r="DU332" s="16"/>
      <c r="DV332" s="16"/>
      <c r="DW332" s="27"/>
      <c r="DY332" s="27"/>
      <c r="DZ332" s="16"/>
      <c r="EA332" s="16"/>
      <c r="EB332" s="302"/>
    </row>
    <row r="333" spans="1:132" s="14" customFormat="1" ht="21" x14ac:dyDescent="0.4">
      <c r="A333" s="27"/>
      <c r="B333" s="27"/>
      <c r="C333" s="27"/>
      <c r="E333" s="16"/>
      <c r="F333" s="27"/>
      <c r="G333" s="27"/>
      <c r="I333" s="27"/>
      <c r="J333" s="16"/>
      <c r="K333" s="16"/>
      <c r="L333" s="27"/>
      <c r="N333" s="27"/>
      <c r="O333" s="16"/>
      <c r="P333" s="16"/>
      <c r="Q333" s="27"/>
      <c r="S333" s="27"/>
      <c r="T333" s="16"/>
      <c r="U333" s="16"/>
      <c r="V333" s="27"/>
      <c r="X333" s="27"/>
      <c r="Y333" s="16"/>
      <c r="Z333" s="16"/>
      <c r="AA333" s="27"/>
      <c r="AC333" s="27"/>
      <c r="AD333" s="16"/>
      <c r="AE333" s="16"/>
      <c r="AF333" s="27"/>
      <c r="AH333" s="27"/>
      <c r="AI333" s="16"/>
      <c r="AJ333" s="16"/>
      <c r="AK333" s="27"/>
      <c r="AM333" s="27"/>
      <c r="AN333" s="16"/>
      <c r="AO333" s="16"/>
      <c r="AP333" s="27"/>
      <c r="AR333" s="27"/>
      <c r="AS333" s="16"/>
      <c r="AT333" s="16"/>
      <c r="AU333" s="27"/>
      <c r="AW333" s="27"/>
      <c r="AX333" s="16"/>
      <c r="AY333" s="16"/>
      <c r="AZ333" s="27"/>
      <c r="BB333" s="27"/>
      <c r="BC333" s="16"/>
      <c r="BD333" s="16"/>
      <c r="BE333" s="27"/>
      <c r="BG333" s="27"/>
      <c r="BH333" s="16"/>
      <c r="BI333" s="16"/>
      <c r="BJ333" s="27"/>
      <c r="BL333" s="27"/>
      <c r="BM333" s="16"/>
      <c r="BN333" s="16"/>
      <c r="BO333" s="27"/>
      <c r="BQ333" s="27"/>
      <c r="BR333" s="16"/>
      <c r="BS333" s="16"/>
      <c r="BT333" s="27"/>
      <c r="BV333" s="27"/>
      <c r="BW333" s="16"/>
      <c r="BX333" s="16"/>
      <c r="BY333" s="27"/>
      <c r="CA333" s="27"/>
      <c r="CB333" s="16"/>
      <c r="CC333" s="16"/>
      <c r="CD333" s="27"/>
      <c r="CF333" s="27"/>
      <c r="CG333" s="16"/>
      <c r="CH333" s="16"/>
      <c r="CI333" s="27"/>
      <c r="CK333" s="27"/>
      <c r="CL333" s="16"/>
      <c r="CM333" s="16"/>
      <c r="CN333" s="27"/>
      <c r="CP333" s="27"/>
      <c r="CQ333" s="16"/>
      <c r="CR333" s="16"/>
      <c r="CS333" s="27"/>
      <c r="CU333" s="27"/>
      <c r="CV333" s="16"/>
      <c r="CW333" s="16"/>
      <c r="CX333" s="27"/>
      <c r="CZ333" s="27"/>
      <c r="DA333" s="16"/>
      <c r="DB333" s="16"/>
      <c r="DC333" s="27"/>
      <c r="DE333" s="27"/>
      <c r="DF333" s="16"/>
      <c r="DG333" s="16"/>
      <c r="DH333" s="27"/>
      <c r="DJ333" s="27"/>
      <c r="DK333" s="16"/>
      <c r="DL333" s="16"/>
      <c r="DM333" s="27"/>
      <c r="DO333" s="27"/>
      <c r="DP333" s="16"/>
      <c r="DQ333" s="16"/>
      <c r="DR333" s="27"/>
      <c r="DT333" s="27"/>
      <c r="DU333" s="16"/>
      <c r="DV333" s="16"/>
      <c r="DW333" s="27"/>
      <c r="DY333" s="27"/>
      <c r="DZ333" s="16"/>
      <c r="EA333" s="16"/>
      <c r="EB333" s="302"/>
    </row>
    <row r="334" spans="1:132" s="14" customFormat="1" ht="21" x14ac:dyDescent="0.4">
      <c r="A334" s="27"/>
      <c r="B334" s="27"/>
      <c r="C334" s="27"/>
      <c r="E334" s="16"/>
      <c r="F334" s="27"/>
      <c r="G334" s="27"/>
      <c r="I334" s="27"/>
      <c r="J334" s="16"/>
      <c r="K334" s="16"/>
      <c r="L334" s="27"/>
      <c r="N334" s="27"/>
      <c r="O334" s="16"/>
      <c r="P334" s="16"/>
      <c r="Q334" s="27"/>
      <c r="S334" s="27"/>
      <c r="T334" s="16"/>
      <c r="U334" s="16"/>
      <c r="V334" s="27"/>
      <c r="X334" s="27"/>
      <c r="Y334" s="16"/>
      <c r="Z334" s="16"/>
      <c r="AA334" s="27"/>
      <c r="AC334" s="27"/>
      <c r="AD334" s="16"/>
      <c r="AE334" s="16"/>
      <c r="AF334" s="27"/>
      <c r="AH334" s="27"/>
      <c r="AI334" s="16"/>
      <c r="AJ334" s="16"/>
      <c r="AK334" s="27"/>
      <c r="AM334" s="27"/>
      <c r="AN334" s="16"/>
      <c r="AO334" s="16"/>
      <c r="AP334" s="27"/>
      <c r="AR334" s="27"/>
      <c r="AS334" s="16"/>
      <c r="AT334" s="16"/>
      <c r="AU334" s="27"/>
      <c r="AW334" s="27"/>
      <c r="AX334" s="16"/>
      <c r="AY334" s="16"/>
      <c r="AZ334" s="27"/>
      <c r="BB334" s="27"/>
      <c r="BC334" s="16"/>
      <c r="BD334" s="16"/>
      <c r="BE334" s="27"/>
      <c r="BG334" s="27"/>
      <c r="BH334" s="16"/>
      <c r="BI334" s="16"/>
      <c r="BJ334" s="27"/>
      <c r="BL334" s="27"/>
      <c r="BM334" s="16"/>
      <c r="BN334" s="16"/>
      <c r="BO334" s="27"/>
      <c r="BQ334" s="27"/>
      <c r="BR334" s="16"/>
      <c r="BS334" s="16"/>
      <c r="BT334" s="27"/>
      <c r="BV334" s="27"/>
      <c r="BW334" s="16"/>
      <c r="BX334" s="16"/>
      <c r="BY334" s="27"/>
      <c r="CA334" s="27"/>
      <c r="CB334" s="16"/>
      <c r="CC334" s="16"/>
      <c r="CD334" s="27"/>
      <c r="CF334" s="27"/>
      <c r="CG334" s="16"/>
      <c r="CH334" s="16"/>
      <c r="CI334" s="27"/>
      <c r="CK334" s="27"/>
      <c r="CL334" s="16"/>
      <c r="CM334" s="16"/>
      <c r="CN334" s="27"/>
      <c r="CP334" s="27"/>
      <c r="CQ334" s="16"/>
      <c r="CR334" s="16"/>
      <c r="CS334" s="27"/>
      <c r="CU334" s="27"/>
      <c r="CV334" s="16"/>
      <c r="CW334" s="16"/>
      <c r="CX334" s="27"/>
      <c r="CZ334" s="27"/>
      <c r="DA334" s="16"/>
      <c r="DB334" s="16"/>
      <c r="DC334" s="27"/>
      <c r="DE334" s="27"/>
      <c r="DF334" s="16"/>
      <c r="DG334" s="16"/>
      <c r="DH334" s="27"/>
      <c r="DJ334" s="27"/>
      <c r="DK334" s="16"/>
      <c r="DL334" s="16"/>
      <c r="DM334" s="27"/>
      <c r="DO334" s="27"/>
      <c r="DP334" s="16"/>
      <c r="DQ334" s="16"/>
      <c r="DR334" s="27"/>
      <c r="DT334" s="27"/>
      <c r="DU334" s="16"/>
      <c r="DV334" s="16"/>
      <c r="DW334" s="27"/>
      <c r="DY334" s="27"/>
      <c r="DZ334" s="16"/>
      <c r="EA334" s="16"/>
      <c r="EB334" s="302"/>
    </row>
    <row r="335" spans="1:132" s="14" customFormat="1" ht="21" x14ac:dyDescent="0.4">
      <c r="A335" s="27"/>
      <c r="B335" s="27"/>
      <c r="C335" s="27"/>
      <c r="E335" s="16"/>
      <c r="F335" s="27"/>
      <c r="G335" s="27"/>
      <c r="I335" s="27"/>
      <c r="J335" s="16"/>
      <c r="K335" s="16"/>
      <c r="L335" s="27"/>
      <c r="N335" s="27"/>
      <c r="O335" s="16"/>
      <c r="P335" s="16"/>
      <c r="Q335" s="27"/>
      <c r="S335" s="27"/>
      <c r="T335" s="16"/>
      <c r="U335" s="16"/>
      <c r="V335" s="27"/>
      <c r="X335" s="27"/>
      <c r="Y335" s="16"/>
      <c r="Z335" s="16"/>
      <c r="AA335" s="27"/>
      <c r="AC335" s="27"/>
      <c r="AD335" s="16"/>
      <c r="AE335" s="16"/>
      <c r="AF335" s="27"/>
      <c r="AH335" s="27"/>
      <c r="AI335" s="16"/>
      <c r="AJ335" s="16"/>
      <c r="AK335" s="27"/>
      <c r="AM335" s="27"/>
      <c r="AN335" s="16"/>
      <c r="AO335" s="16"/>
      <c r="AP335" s="27"/>
      <c r="AR335" s="27"/>
      <c r="AS335" s="16"/>
      <c r="AT335" s="16"/>
      <c r="AU335" s="27"/>
      <c r="AW335" s="27"/>
      <c r="AX335" s="16"/>
      <c r="AY335" s="16"/>
      <c r="AZ335" s="27"/>
      <c r="BB335" s="27"/>
      <c r="BC335" s="16"/>
      <c r="BD335" s="16"/>
      <c r="BE335" s="27"/>
      <c r="BG335" s="27"/>
      <c r="BH335" s="16"/>
      <c r="BI335" s="16"/>
      <c r="BJ335" s="27"/>
      <c r="BL335" s="27"/>
      <c r="BM335" s="16"/>
      <c r="BN335" s="16"/>
      <c r="BO335" s="27"/>
      <c r="BQ335" s="27"/>
      <c r="BR335" s="16"/>
      <c r="BS335" s="16"/>
      <c r="BT335" s="27"/>
      <c r="BV335" s="27"/>
      <c r="BW335" s="16"/>
      <c r="BX335" s="16"/>
      <c r="BY335" s="27"/>
      <c r="CA335" s="27"/>
      <c r="CB335" s="16"/>
      <c r="CC335" s="16"/>
      <c r="CD335" s="27"/>
      <c r="CF335" s="27"/>
      <c r="CG335" s="16"/>
      <c r="CH335" s="16"/>
      <c r="CI335" s="27"/>
      <c r="CK335" s="27"/>
      <c r="CL335" s="16"/>
      <c r="CM335" s="16"/>
      <c r="CN335" s="27"/>
      <c r="CP335" s="27"/>
      <c r="CQ335" s="16"/>
      <c r="CR335" s="16"/>
      <c r="CS335" s="27"/>
      <c r="CU335" s="27"/>
      <c r="CV335" s="16"/>
      <c r="CW335" s="16"/>
      <c r="CX335" s="27"/>
      <c r="CZ335" s="27"/>
      <c r="DA335" s="16"/>
      <c r="DB335" s="16"/>
      <c r="DC335" s="27"/>
      <c r="DE335" s="27"/>
      <c r="DF335" s="16"/>
      <c r="DG335" s="16"/>
      <c r="DH335" s="27"/>
      <c r="DJ335" s="27"/>
      <c r="DK335" s="16"/>
      <c r="DL335" s="16"/>
      <c r="DM335" s="27"/>
      <c r="DO335" s="27"/>
      <c r="DP335" s="16"/>
      <c r="DQ335" s="16"/>
      <c r="DR335" s="27"/>
      <c r="DT335" s="27"/>
      <c r="DU335" s="16"/>
      <c r="DV335" s="16"/>
      <c r="DW335" s="27"/>
      <c r="DY335" s="27"/>
      <c r="DZ335" s="16"/>
      <c r="EA335" s="16"/>
      <c r="EB335" s="302"/>
    </row>
    <row r="336" spans="1:132" s="14" customFormat="1" ht="21" x14ac:dyDescent="0.4">
      <c r="A336" s="27"/>
      <c r="B336" s="27"/>
      <c r="C336" s="27"/>
      <c r="E336" s="16"/>
      <c r="F336" s="27"/>
      <c r="G336" s="27"/>
      <c r="I336" s="27"/>
      <c r="J336" s="16"/>
      <c r="K336" s="16"/>
      <c r="L336" s="27"/>
      <c r="N336" s="27"/>
      <c r="O336" s="16"/>
      <c r="P336" s="16"/>
      <c r="Q336" s="27"/>
      <c r="S336" s="27"/>
      <c r="T336" s="16"/>
      <c r="U336" s="16"/>
      <c r="V336" s="27"/>
      <c r="X336" s="27"/>
      <c r="Y336" s="16"/>
      <c r="Z336" s="16"/>
      <c r="AA336" s="27"/>
      <c r="AC336" s="27"/>
      <c r="AD336" s="16"/>
      <c r="AE336" s="16"/>
      <c r="AF336" s="27"/>
      <c r="AH336" s="27"/>
      <c r="AI336" s="16"/>
      <c r="AJ336" s="16"/>
      <c r="AK336" s="27"/>
      <c r="AM336" s="27"/>
      <c r="AN336" s="16"/>
      <c r="AO336" s="16"/>
      <c r="AP336" s="27"/>
      <c r="AR336" s="27"/>
      <c r="AS336" s="16"/>
      <c r="AT336" s="16"/>
      <c r="AU336" s="27"/>
      <c r="AW336" s="27"/>
      <c r="AX336" s="16"/>
      <c r="AY336" s="16"/>
      <c r="AZ336" s="27"/>
      <c r="BB336" s="27"/>
      <c r="BC336" s="16"/>
      <c r="BD336" s="16"/>
      <c r="BE336" s="27"/>
      <c r="BG336" s="27"/>
      <c r="BH336" s="16"/>
      <c r="BI336" s="16"/>
      <c r="BJ336" s="27"/>
      <c r="BL336" s="27"/>
      <c r="BM336" s="16"/>
      <c r="BN336" s="16"/>
      <c r="BO336" s="27"/>
      <c r="BQ336" s="27"/>
      <c r="BR336" s="16"/>
      <c r="BS336" s="16"/>
      <c r="BT336" s="27"/>
      <c r="BV336" s="27"/>
      <c r="BW336" s="16"/>
      <c r="BX336" s="16"/>
      <c r="BY336" s="27"/>
      <c r="CA336" s="27"/>
      <c r="CB336" s="16"/>
      <c r="CC336" s="16"/>
      <c r="CD336" s="27"/>
      <c r="CF336" s="27"/>
      <c r="CG336" s="16"/>
      <c r="CH336" s="16"/>
      <c r="CI336" s="27"/>
      <c r="CK336" s="27"/>
      <c r="CL336" s="16"/>
      <c r="CM336" s="16"/>
      <c r="CN336" s="27"/>
      <c r="CP336" s="27"/>
      <c r="CQ336" s="16"/>
      <c r="CR336" s="16"/>
      <c r="CS336" s="27"/>
      <c r="CU336" s="27"/>
      <c r="CV336" s="16"/>
      <c r="CW336" s="16"/>
      <c r="CX336" s="27"/>
      <c r="CZ336" s="27"/>
      <c r="DA336" s="16"/>
      <c r="DB336" s="16"/>
      <c r="DC336" s="27"/>
      <c r="DE336" s="27"/>
      <c r="DF336" s="16"/>
      <c r="DG336" s="16"/>
      <c r="DH336" s="27"/>
      <c r="DJ336" s="27"/>
      <c r="DK336" s="16"/>
      <c r="DL336" s="16"/>
      <c r="DM336" s="27"/>
      <c r="DO336" s="27"/>
      <c r="DP336" s="16"/>
      <c r="DQ336" s="16"/>
      <c r="DR336" s="27"/>
      <c r="DT336" s="27"/>
      <c r="DU336" s="16"/>
      <c r="DV336" s="16"/>
      <c r="DW336" s="27"/>
      <c r="DY336" s="27"/>
      <c r="DZ336" s="16"/>
      <c r="EA336" s="16"/>
      <c r="EB336" s="302"/>
    </row>
    <row r="337" spans="1:132" s="14" customFormat="1" ht="21" x14ac:dyDescent="0.4">
      <c r="A337" s="27"/>
      <c r="B337" s="27"/>
      <c r="C337" s="27"/>
      <c r="E337" s="16"/>
      <c r="F337" s="27"/>
      <c r="G337" s="27"/>
      <c r="I337" s="27"/>
      <c r="J337" s="16"/>
      <c r="K337" s="16"/>
      <c r="L337" s="27"/>
      <c r="N337" s="27"/>
      <c r="O337" s="16"/>
      <c r="P337" s="16"/>
      <c r="Q337" s="27"/>
      <c r="S337" s="27"/>
      <c r="T337" s="16"/>
      <c r="U337" s="16"/>
      <c r="V337" s="27"/>
      <c r="X337" s="27"/>
      <c r="Y337" s="16"/>
      <c r="Z337" s="16"/>
      <c r="AA337" s="27"/>
      <c r="AC337" s="27"/>
      <c r="AD337" s="16"/>
      <c r="AE337" s="16"/>
      <c r="AF337" s="27"/>
      <c r="AH337" s="27"/>
      <c r="AI337" s="16"/>
      <c r="AJ337" s="16"/>
      <c r="AK337" s="27"/>
      <c r="AM337" s="27"/>
      <c r="AN337" s="16"/>
      <c r="AO337" s="16"/>
      <c r="AP337" s="27"/>
      <c r="AR337" s="27"/>
      <c r="AS337" s="16"/>
      <c r="AT337" s="16"/>
      <c r="AU337" s="27"/>
      <c r="AW337" s="27"/>
      <c r="AX337" s="16"/>
      <c r="AY337" s="16"/>
      <c r="AZ337" s="27"/>
      <c r="BB337" s="27"/>
      <c r="BC337" s="16"/>
      <c r="BD337" s="16"/>
      <c r="BE337" s="27"/>
      <c r="BG337" s="27"/>
      <c r="BH337" s="16"/>
      <c r="BI337" s="16"/>
      <c r="BJ337" s="27"/>
      <c r="BL337" s="27"/>
      <c r="BM337" s="16"/>
      <c r="BN337" s="16"/>
      <c r="BO337" s="27"/>
      <c r="BQ337" s="27"/>
      <c r="BR337" s="16"/>
      <c r="BS337" s="16"/>
      <c r="BT337" s="27"/>
      <c r="BV337" s="27"/>
      <c r="BW337" s="16"/>
      <c r="BX337" s="16"/>
      <c r="BY337" s="27"/>
      <c r="CA337" s="27"/>
      <c r="CB337" s="16"/>
      <c r="CC337" s="16"/>
      <c r="CD337" s="27"/>
      <c r="CF337" s="27"/>
      <c r="CG337" s="16"/>
      <c r="CH337" s="16"/>
      <c r="CI337" s="27"/>
      <c r="CK337" s="27"/>
      <c r="CL337" s="16"/>
      <c r="CM337" s="16"/>
      <c r="CN337" s="27"/>
      <c r="CP337" s="27"/>
      <c r="CQ337" s="16"/>
      <c r="CR337" s="16"/>
      <c r="CS337" s="27"/>
      <c r="CU337" s="27"/>
      <c r="CV337" s="16"/>
      <c r="CW337" s="16"/>
      <c r="CX337" s="27"/>
      <c r="CZ337" s="27"/>
      <c r="DA337" s="16"/>
      <c r="DB337" s="16"/>
      <c r="DC337" s="27"/>
      <c r="DE337" s="27"/>
      <c r="DF337" s="16"/>
      <c r="DG337" s="16"/>
      <c r="DH337" s="27"/>
      <c r="DJ337" s="27"/>
      <c r="DK337" s="16"/>
      <c r="DL337" s="16"/>
      <c r="DM337" s="27"/>
      <c r="DO337" s="27"/>
      <c r="DP337" s="16"/>
      <c r="DQ337" s="16"/>
      <c r="DR337" s="27"/>
      <c r="DT337" s="27"/>
      <c r="DU337" s="16"/>
      <c r="DV337" s="16"/>
      <c r="DW337" s="27"/>
      <c r="DY337" s="27"/>
      <c r="DZ337" s="16"/>
      <c r="EA337" s="16"/>
      <c r="EB337" s="302"/>
    </row>
    <row r="338" spans="1:132" s="14" customFormat="1" ht="21" x14ac:dyDescent="0.4">
      <c r="A338" s="27"/>
      <c r="B338" s="27"/>
      <c r="C338" s="27"/>
      <c r="E338" s="16"/>
      <c r="F338" s="27"/>
      <c r="G338" s="27"/>
      <c r="I338" s="27"/>
      <c r="J338" s="16"/>
      <c r="K338" s="16"/>
      <c r="L338" s="27"/>
      <c r="N338" s="27"/>
      <c r="O338" s="16"/>
      <c r="P338" s="16"/>
      <c r="Q338" s="27"/>
      <c r="S338" s="27"/>
      <c r="T338" s="16"/>
      <c r="U338" s="16"/>
      <c r="V338" s="27"/>
      <c r="X338" s="27"/>
      <c r="Y338" s="16"/>
      <c r="Z338" s="16"/>
      <c r="AA338" s="27"/>
      <c r="AC338" s="27"/>
      <c r="AD338" s="16"/>
      <c r="AE338" s="16"/>
      <c r="AF338" s="27"/>
      <c r="AH338" s="27"/>
      <c r="AI338" s="16"/>
      <c r="AJ338" s="16"/>
      <c r="AK338" s="27"/>
      <c r="AM338" s="27"/>
      <c r="AN338" s="16"/>
      <c r="AO338" s="16"/>
      <c r="AP338" s="27"/>
      <c r="AR338" s="27"/>
      <c r="AS338" s="16"/>
      <c r="AT338" s="16"/>
      <c r="AU338" s="27"/>
      <c r="AW338" s="27"/>
      <c r="AX338" s="16"/>
      <c r="AY338" s="16"/>
      <c r="AZ338" s="27"/>
      <c r="BB338" s="27"/>
      <c r="BC338" s="16"/>
      <c r="BD338" s="16"/>
      <c r="BE338" s="27"/>
      <c r="BG338" s="27"/>
      <c r="BH338" s="16"/>
      <c r="BI338" s="16"/>
      <c r="BJ338" s="27"/>
      <c r="BL338" s="27"/>
      <c r="BM338" s="16"/>
      <c r="BN338" s="16"/>
      <c r="BO338" s="27"/>
      <c r="BQ338" s="27"/>
      <c r="BR338" s="16"/>
      <c r="BS338" s="16"/>
      <c r="BT338" s="27"/>
      <c r="BV338" s="27"/>
      <c r="BW338" s="16"/>
      <c r="BX338" s="16"/>
      <c r="BY338" s="27"/>
      <c r="CA338" s="27"/>
      <c r="CB338" s="16"/>
      <c r="CC338" s="16"/>
      <c r="CD338" s="27"/>
      <c r="CF338" s="27"/>
      <c r="CG338" s="16"/>
      <c r="CH338" s="16"/>
      <c r="CI338" s="27"/>
      <c r="CK338" s="27"/>
      <c r="CL338" s="16"/>
      <c r="CM338" s="16"/>
      <c r="CN338" s="27"/>
      <c r="CP338" s="27"/>
      <c r="CQ338" s="16"/>
      <c r="CR338" s="16"/>
      <c r="CS338" s="27"/>
      <c r="CU338" s="27"/>
      <c r="CV338" s="16"/>
      <c r="CW338" s="16"/>
      <c r="CX338" s="27"/>
      <c r="CZ338" s="27"/>
      <c r="DA338" s="16"/>
      <c r="DB338" s="16"/>
      <c r="DC338" s="27"/>
      <c r="DE338" s="27"/>
      <c r="DF338" s="16"/>
      <c r="DG338" s="16"/>
      <c r="DH338" s="27"/>
      <c r="DJ338" s="27"/>
      <c r="DK338" s="16"/>
      <c r="DL338" s="16"/>
      <c r="DM338" s="27"/>
      <c r="DO338" s="27"/>
      <c r="DP338" s="16"/>
      <c r="DQ338" s="16"/>
      <c r="DR338" s="27"/>
      <c r="DT338" s="27"/>
      <c r="DU338" s="16"/>
      <c r="DV338" s="16"/>
      <c r="DW338" s="27"/>
      <c r="DY338" s="27"/>
      <c r="DZ338" s="16"/>
      <c r="EA338" s="16"/>
      <c r="EB338" s="302"/>
    </row>
    <row r="339" spans="1:132" s="14" customFormat="1" ht="21" x14ac:dyDescent="0.4">
      <c r="A339" s="27"/>
      <c r="B339" s="27"/>
      <c r="C339" s="27"/>
      <c r="E339" s="16"/>
      <c r="F339" s="27"/>
      <c r="G339" s="27"/>
      <c r="I339" s="27"/>
      <c r="J339" s="16"/>
      <c r="K339" s="16"/>
      <c r="L339" s="27"/>
      <c r="N339" s="27"/>
      <c r="O339" s="16"/>
      <c r="P339" s="16"/>
      <c r="Q339" s="27"/>
      <c r="S339" s="27"/>
      <c r="T339" s="16"/>
      <c r="U339" s="16"/>
      <c r="V339" s="27"/>
      <c r="X339" s="27"/>
      <c r="Y339" s="16"/>
      <c r="Z339" s="16"/>
      <c r="AA339" s="27"/>
      <c r="AC339" s="27"/>
      <c r="AD339" s="16"/>
      <c r="AE339" s="16"/>
      <c r="AF339" s="27"/>
      <c r="AH339" s="27"/>
      <c r="AI339" s="16"/>
      <c r="AJ339" s="16"/>
      <c r="AK339" s="27"/>
      <c r="AM339" s="27"/>
      <c r="AN339" s="16"/>
      <c r="AO339" s="16"/>
      <c r="AP339" s="27"/>
      <c r="AR339" s="27"/>
      <c r="AS339" s="16"/>
      <c r="AT339" s="16"/>
      <c r="AU339" s="27"/>
      <c r="AW339" s="27"/>
      <c r="AX339" s="16"/>
      <c r="AY339" s="16"/>
      <c r="AZ339" s="27"/>
      <c r="BB339" s="27"/>
      <c r="BC339" s="16"/>
      <c r="BD339" s="16"/>
      <c r="BE339" s="27"/>
      <c r="BG339" s="27"/>
      <c r="BH339" s="16"/>
      <c r="BI339" s="16"/>
      <c r="BJ339" s="27"/>
      <c r="BL339" s="27"/>
      <c r="BM339" s="16"/>
      <c r="BN339" s="16"/>
      <c r="BO339" s="27"/>
      <c r="BQ339" s="27"/>
      <c r="BR339" s="16"/>
      <c r="BS339" s="16"/>
      <c r="BT339" s="27"/>
      <c r="BV339" s="27"/>
      <c r="BW339" s="16"/>
      <c r="BX339" s="16"/>
      <c r="BY339" s="27"/>
      <c r="CA339" s="27"/>
      <c r="CB339" s="16"/>
      <c r="CC339" s="16"/>
      <c r="CD339" s="27"/>
      <c r="CF339" s="27"/>
      <c r="CG339" s="16"/>
      <c r="CH339" s="16"/>
      <c r="CI339" s="27"/>
      <c r="CK339" s="27"/>
      <c r="CL339" s="16"/>
      <c r="CM339" s="16"/>
      <c r="CN339" s="27"/>
      <c r="CP339" s="27"/>
      <c r="CQ339" s="16"/>
      <c r="CR339" s="16"/>
      <c r="CS339" s="27"/>
      <c r="CU339" s="27"/>
      <c r="CV339" s="16"/>
      <c r="CW339" s="16"/>
      <c r="CX339" s="27"/>
      <c r="CZ339" s="27"/>
      <c r="DA339" s="16"/>
      <c r="DB339" s="16"/>
      <c r="DC339" s="27"/>
      <c r="DE339" s="27"/>
      <c r="DF339" s="16"/>
      <c r="DG339" s="16"/>
      <c r="DH339" s="27"/>
      <c r="DJ339" s="27"/>
      <c r="DK339" s="16"/>
      <c r="DL339" s="16"/>
      <c r="DM339" s="27"/>
      <c r="DO339" s="27"/>
      <c r="DP339" s="16"/>
      <c r="DQ339" s="16"/>
      <c r="DR339" s="27"/>
      <c r="DT339" s="27"/>
      <c r="DU339" s="16"/>
      <c r="DV339" s="16"/>
      <c r="DW339" s="27"/>
      <c r="DY339" s="27"/>
      <c r="DZ339" s="16"/>
      <c r="EA339" s="16"/>
      <c r="EB339" s="302"/>
    </row>
    <row r="340" spans="1:132" s="14" customFormat="1" ht="21" x14ac:dyDescent="0.4">
      <c r="A340" s="27"/>
      <c r="B340" s="27"/>
      <c r="C340" s="27"/>
      <c r="E340" s="16"/>
      <c r="F340" s="27"/>
      <c r="G340" s="27"/>
      <c r="I340" s="27"/>
      <c r="J340" s="16"/>
      <c r="K340" s="16"/>
      <c r="L340" s="27"/>
      <c r="N340" s="27"/>
      <c r="O340" s="16"/>
      <c r="P340" s="16"/>
      <c r="Q340" s="27"/>
      <c r="S340" s="27"/>
      <c r="T340" s="16"/>
      <c r="U340" s="16"/>
      <c r="V340" s="27"/>
      <c r="X340" s="27"/>
      <c r="Y340" s="16"/>
      <c r="Z340" s="16"/>
      <c r="AA340" s="27"/>
      <c r="AC340" s="27"/>
      <c r="AD340" s="16"/>
      <c r="AE340" s="16"/>
      <c r="AF340" s="27"/>
      <c r="AH340" s="27"/>
      <c r="AI340" s="16"/>
      <c r="AJ340" s="16"/>
      <c r="AK340" s="27"/>
      <c r="AM340" s="27"/>
      <c r="AN340" s="16"/>
      <c r="AO340" s="16"/>
      <c r="AP340" s="27"/>
      <c r="AR340" s="27"/>
      <c r="AS340" s="16"/>
      <c r="AT340" s="16"/>
      <c r="AU340" s="27"/>
      <c r="AW340" s="27"/>
      <c r="AX340" s="16"/>
      <c r="AY340" s="16"/>
      <c r="AZ340" s="27"/>
      <c r="BB340" s="27"/>
      <c r="BC340" s="16"/>
      <c r="BD340" s="16"/>
      <c r="BE340" s="27"/>
      <c r="BG340" s="27"/>
      <c r="BH340" s="16"/>
      <c r="BI340" s="16"/>
      <c r="BJ340" s="27"/>
      <c r="BL340" s="27"/>
      <c r="BM340" s="16"/>
      <c r="BN340" s="16"/>
      <c r="BO340" s="27"/>
      <c r="BQ340" s="27"/>
      <c r="BR340" s="16"/>
      <c r="BS340" s="16"/>
      <c r="BT340" s="27"/>
      <c r="BV340" s="27"/>
      <c r="BW340" s="16"/>
      <c r="BX340" s="16"/>
      <c r="BY340" s="27"/>
      <c r="CA340" s="27"/>
      <c r="CB340" s="16"/>
      <c r="CC340" s="16"/>
      <c r="CD340" s="27"/>
      <c r="CF340" s="27"/>
      <c r="CG340" s="16"/>
      <c r="CH340" s="16"/>
      <c r="CI340" s="27"/>
      <c r="CK340" s="27"/>
      <c r="CL340" s="16"/>
      <c r="CM340" s="16"/>
      <c r="CN340" s="27"/>
      <c r="CP340" s="27"/>
      <c r="CQ340" s="16"/>
      <c r="CR340" s="16"/>
      <c r="CS340" s="27"/>
      <c r="CU340" s="27"/>
      <c r="CV340" s="16"/>
      <c r="CW340" s="16"/>
      <c r="CX340" s="27"/>
      <c r="CZ340" s="27"/>
      <c r="DA340" s="16"/>
      <c r="DB340" s="16"/>
      <c r="DC340" s="27"/>
      <c r="DE340" s="27"/>
      <c r="DF340" s="16"/>
      <c r="DG340" s="16"/>
      <c r="DH340" s="27"/>
      <c r="DJ340" s="27"/>
      <c r="DK340" s="16"/>
      <c r="DL340" s="16"/>
      <c r="DM340" s="27"/>
      <c r="DO340" s="27"/>
      <c r="DP340" s="16"/>
      <c r="DQ340" s="16"/>
      <c r="DR340" s="27"/>
      <c r="DT340" s="27"/>
      <c r="DU340" s="16"/>
      <c r="DV340" s="16"/>
      <c r="DW340" s="27"/>
      <c r="DY340" s="27"/>
      <c r="DZ340" s="16"/>
      <c r="EA340" s="16"/>
      <c r="EB340" s="302"/>
    </row>
    <row r="341" spans="1:132" s="14" customFormat="1" ht="21" x14ac:dyDescent="0.4">
      <c r="A341" s="27"/>
      <c r="B341" s="27"/>
      <c r="C341" s="27"/>
      <c r="E341" s="16"/>
      <c r="F341" s="27"/>
      <c r="G341" s="27"/>
      <c r="I341" s="27"/>
      <c r="J341" s="16"/>
      <c r="K341" s="16"/>
      <c r="L341" s="27"/>
      <c r="N341" s="27"/>
      <c r="O341" s="16"/>
      <c r="P341" s="16"/>
      <c r="Q341" s="27"/>
      <c r="S341" s="27"/>
      <c r="T341" s="16"/>
      <c r="U341" s="16"/>
      <c r="V341" s="27"/>
      <c r="X341" s="27"/>
      <c r="Y341" s="16"/>
      <c r="Z341" s="16"/>
      <c r="AA341" s="27"/>
      <c r="AC341" s="27"/>
      <c r="AD341" s="16"/>
      <c r="AE341" s="16"/>
      <c r="AF341" s="27"/>
      <c r="AH341" s="27"/>
      <c r="AI341" s="16"/>
      <c r="AJ341" s="16"/>
      <c r="AK341" s="27"/>
      <c r="AM341" s="27"/>
      <c r="AN341" s="16"/>
      <c r="AO341" s="16"/>
      <c r="AP341" s="27"/>
      <c r="AR341" s="27"/>
      <c r="AS341" s="16"/>
      <c r="AT341" s="16"/>
      <c r="AU341" s="27"/>
      <c r="AW341" s="27"/>
      <c r="AX341" s="16"/>
      <c r="AY341" s="16"/>
      <c r="AZ341" s="27"/>
      <c r="BB341" s="27"/>
      <c r="BC341" s="16"/>
      <c r="BD341" s="16"/>
      <c r="BE341" s="27"/>
      <c r="BG341" s="27"/>
      <c r="BH341" s="16"/>
      <c r="BI341" s="16"/>
      <c r="BJ341" s="27"/>
      <c r="BL341" s="27"/>
      <c r="BM341" s="16"/>
      <c r="BN341" s="16"/>
      <c r="BO341" s="27"/>
      <c r="BQ341" s="27"/>
      <c r="BR341" s="16"/>
      <c r="BS341" s="16"/>
      <c r="BT341" s="27"/>
      <c r="BV341" s="27"/>
      <c r="BW341" s="16"/>
      <c r="BX341" s="16"/>
      <c r="BY341" s="27"/>
      <c r="CA341" s="27"/>
      <c r="CB341" s="16"/>
      <c r="CC341" s="16"/>
      <c r="CD341" s="27"/>
      <c r="CF341" s="27"/>
      <c r="CG341" s="16"/>
      <c r="CH341" s="16"/>
      <c r="CI341" s="27"/>
      <c r="CK341" s="27"/>
      <c r="CL341" s="16"/>
      <c r="CM341" s="16"/>
      <c r="CN341" s="27"/>
      <c r="CP341" s="27"/>
      <c r="CQ341" s="16"/>
      <c r="CR341" s="16"/>
      <c r="CS341" s="27"/>
      <c r="CU341" s="27"/>
      <c r="CV341" s="16"/>
      <c r="CW341" s="16"/>
      <c r="CX341" s="27"/>
      <c r="CZ341" s="27"/>
      <c r="DA341" s="16"/>
      <c r="DB341" s="16"/>
      <c r="DC341" s="27"/>
      <c r="DE341" s="27"/>
      <c r="DF341" s="16"/>
      <c r="DG341" s="16"/>
      <c r="DH341" s="27"/>
      <c r="DJ341" s="27"/>
      <c r="DK341" s="16"/>
      <c r="DL341" s="16"/>
      <c r="DM341" s="27"/>
      <c r="DO341" s="27"/>
      <c r="DP341" s="16"/>
      <c r="DQ341" s="16"/>
      <c r="DR341" s="27"/>
      <c r="DT341" s="27"/>
      <c r="DU341" s="16"/>
      <c r="DV341" s="16"/>
      <c r="DW341" s="27"/>
      <c r="DY341" s="27"/>
      <c r="DZ341" s="16"/>
      <c r="EA341" s="16"/>
      <c r="EB341" s="302"/>
    </row>
    <row r="342" spans="1:132" s="14" customFormat="1" ht="21" x14ac:dyDescent="0.4">
      <c r="A342" s="27"/>
      <c r="B342" s="27"/>
      <c r="C342" s="27"/>
      <c r="E342" s="16"/>
      <c r="F342" s="27"/>
      <c r="G342" s="27"/>
      <c r="I342" s="27"/>
      <c r="J342" s="16"/>
      <c r="K342" s="16"/>
      <c r="L342" s="27"/>
      <c r="N342" s="27"/>
      <c r="O342" s="16"/>
      <c r="P342" s="16"/>
      <c r="Q342" s="27"/>
      <c r="S342" s="27"/>
      <c r="T342" s="16"/>
      <c r="U342" s="16"/>
      <c r="V342" s="27"/>
      <c r="X342" s="27"/>
      <c r="Y342" s="16"/>
      <c r="Z342" s="16"/>
      <c r="AA342" s="27"/>
      <c r="AC342" s="27"/>
      <c r="AD342" s="16"/>
      <c r="AE342" s="16"/>
      <c r="AF342" s="27"/>
      <c r="AH342" s="27"/>
      <c r="AI342" s="16"/>
      <c r="AJ342" s="16"/>
      <c r="AK342" s="27"/>
      <c r="AM342" s="27"/>
      <c r="AN342" s="16"/>
      <c r="AO342" s="16"/>
      <c r="AP342" s="27"/>
      <c r="AR342" s="27"/>
      <c r="AS342" s="16"/>
      <c r="AT342" s="16"/>
      <c r="AU342" s="27"/>
      <c r="AW342" s="27"/>
      <c r="AX342" s="16"/>
      <c r="AY342" s="16"/>
      <c r="AZ342" s="27"/>
      <c r="BB342" s="27"/>
      <c r="BC342" s="16"/>
      <c r="BD342" s="16"/>
      <c r="BE342" s="27"/>
      <c r="BG342" s="27"/>
      <c r="BH342" s="16"/>
      <c r="BI342" s="16"/>
      <c r="BJ342" s="27"/>
      <c r="BL342" s="27"/>
      <c r="BM342" s="16"/>
      <c r="BN342" s="16"/>
      <c r="BO342" s="27"/>
      <c r="BQ342" s="27"/>
      <c r="BR342" s="16"/>
      <c r="BS342" s="16"/>
      <c r="BT342" s="27"/>
      <c r="BV342" s="27"/>
      <c r="BW342" s="16"/>
      <c r="BX342" s="16"/>
      <c r="BY342" s="27"/>
      <c r="CA342" s="27"/>
      <c r="CB342" s="16"/>
      <c r="CC342" s="16"/>
      <c r="CD342" s="27"/>
      <c r="CF342" s="27"/>
      <c r="CG342" s="16"/>
      <c r="CH342" s="16"/>
      <c r="CI342" s="27"/>
      <c r="CK342" s="27"/>
      <c r="CL342" s="16"/>
      <c r="CM342" s="16"/>
      <c r="CN342" s="27"/>
      <c r="CP342" s="27"/>
      <c r="CQ342" s="16"/>
      <c r="CR342" s="16"/>
      <c r="CS342" s="27"/>
      <c r="CU342" s="27"/>
      <c r="CV342" s="16"/>
      <c r="CW342" s="16"/>
      <c r="CX342" s="27"/>
      <c r="CZ342" s="27"/>
      <c r="DA342" s="16"/>
      <c r="DB342" s="16"/>
      <c r="DC342" s="27"/>
      <c r="DE342" s="27"/>
      <c r="DF342" s="16"/>
      <c r="DG342" s="16"/>
      <c r="DH342" s="27"/>
      <c r="DJ342" s="27"/>
      <c r="DK342" s="16"/>
      <c r="DL342" s="16"/>
      <c r="DM342" s="27"/>
      <c r="DO342" s="27"/>
      <c r="DP342" s="16"/>
      <c r="DQ342" s="16"/>
      <c r="DR342" s="27"/>
      <c r="DT342" s="27"/>
      <c r="DU342" s="16"/>
      <c r="DV342" s="16"/>
      <c r="DW342" s="27"/>
      <c r="DY342" s="27"/>
      <c r="DZ342" s="16"/>
      <c r="EA342" s="16"/>
      <c r="EB342" s="302"/>
    </row>
    <row r="343" spans="1:132" s="14" customFormat="1" ht="21" x14ac:dyDescent="0.4">
      <c r="A343" s="27"/>
      <c r="B343" s="27"/>
      <c r="C343" s="27"/>
      <c r="E343" s="16"/>
      <c r="F343" s="27"/>
      <c r="G343" s="27"/>
      <c r="I343" s="27"/>
      <c r="J343" s="16"/>
      <c r="K343" s="16"/>
      <c r="L343" s="27"/>
      <c r="N343" s="27"/>
      <c r="O343" s="16"/>
      <c r="P343" s="16"/>
      <c r="Q343" s="27"/>
      <c r="S343" s="27"/>
      <c r="T343" s="16"/>
      <c r="U343" s="16"/>
      <c r="V343" s="27"/>
      <c r="X343" s="27"/>
      <c r="Y343" s="16"/>
      <c r="Z343" s="16"/>
      <c r="AA343" s="27"/>
      <c r="AC343" s="27"/>
      <c r="AD343" s="16"/>
      <c r="AE343" s="16"/>
      <c r="AF343" s="27"/>
      <c r="AH343" s="27"/>
      <c r="AI343" s="16"/>
      <c r="AJ343" s="16"/>
      <c r="AK343" s="27"/>
      <c r="AM343" s="27"/>
      <c r="AN343" s="16"/>
      <c r="AO343" s="16"/>
      <c r="AP343" s="27"/>
      <c r="AR343" s="27"/>
      <c r="AS343" s="16"/>
      <c r="AT343" s="16"/>
      <c r="AU343" s="27"/>
      <c r="AW343" s="27"/>
      <c r="AX343" s="16"/>
      <c r="AY343" s="16"/>
      <c r="AZ343" s="27"/>
      <c r="BB343" s="27"/>
      <c r="BC343" s="16"/>
      <c r="BD343" s="16"/>
      <c r="BE343" s="27"/>
      <c r="BG343" s="27"/>
      <c r="BH343" s="16"/>
      <c r="BI343" s="16"/>
      <c r="BJ343" s="27"/>
      <c r="BL343" s="27"/>
      <c r="BM343" s="16"/>
      <c r="BN343" s="16"/>
      <c r="BO343" s="27"/>
      <c r="BQ343" s="27"/>
      <c r="BR343" s="16"/>
      <c r="BS343" s="16"/>
      <c r="BT343" s="27"/>
      <c r="BV343" s="27"/>
      <c r="BW343" s="16"/>
      <c r="BX343" s="16"/>
      <c r="BY343" s="27"/>
      <c r="CA343" s="27"/>
      <c r="CB343" s="16"/>
      <c r="CC343" s="16"/>
      <c r="CD343" s="27"/>
      <c r="CF343" s="27"/>
      <c r="CG343" s="16"/>
      <c r="CH343" s="16"/>
      <c r="CI343" s="27"/>
      <c r="CK343" s="27"/>
      <c r="CL343" s="16"/>
      <c r="CM343" s="16"/>
      <c r="CN343" s="27"/>
      <c r="CP343" s="27"/>
      <c r="CQ343" s="16"/>
      <c r="CR343" s="16"/>
      <c r="CS343" s="27"/>
      <c r="CU343" s="27"/>
      <c r="CV343" s="16"/>
      <c r="CW343" s="16"/>
      <c r="CX343" s="27"/>
      <c r="CZ343" s="27"/>
      <c r="DA343" s="16"/>
      <c r="DB343" s="16"/>
      <c r="DC343" s="27"/>
      <c r="DE343" s="27"/>
      <c r="DF343" s="16"/>
      <c r="DG343" s="16"/>
      <c r="DH343" s="27"/>
      <c r="DJ343" s="27"/>
      <c r="DK343" s="16"/>
      <c r="DL343" s="16"/>
      <c r="DM343" s="27"/>
      <c r="DO343" s="27"/>
      <c r="DP343" s="16"/>
      <c r="DQ343" s="16"/>
      <c r="DR343" s="27"/>
      <c r="DT343" s="27"/>
      <c r="DU343" s="16"/>
      <c r="DV343" s="16"/>
      <c r="DW343" s="27"/>
      <c r="DY343" s="27"/>
      <c r="DZ343" s="16"/>
      <c r="EA343" s="16"/>
      <c r="EB343" s="302"/>
    </row>
    <row r="344" spans="1:132" s="14" customFormat="1" ht="21" x14ac:dyDescent="0.4">
      <c r="A344" s="27"/>
      <c r="B344" s="27"/>
      <c r="C344" s="27"/>
      <c r="E344" s="16"/>
      <c r="F344" s="27"/>
      <c r="G344" s="27"/>
      <c r="I344" s="27"/>
      <c r="J344" s="16"/>
      <c r="K344" s="16"/>
      <c r="L344" s="27"/>
      <c r="N344" s="27"/>
      <c r="O344" s="16"/>
      <c r="P344" s="16"/>
      <c r="Q344" s="27"/>
      <c r="S344" s="27"/>
      <c r="T344" s="16"/>
      <c r="U344" s="16"/>
      <c r="V344" s="27"/>
      <c r="X344" s="27"/>
      <c r="Y344" s="16"/>
      <c r="Z344" s="16"/>
      <c r="AA344" s="27"/>
      <c r="AC344" s="27"/>
      <c r="AD344" s="16"/>
      <c r="AE344" s="16"/>
      <c r="AF344" s="27"/>
      <c r="AH344" s="27"/>
      <c r="AI344" s="16"/>
      <c r="AJ344" s="16"/>
      <c r="AK344" s="27"/>
      <c r="AM344" s="27"/>
      <c r="AN344" s="16"/>
      <c r="AO344" s="16"/>
      <c r="AP344" s="27"/>
      <c r="AR344" s="27"/>
      <c r="AS344" s="16"/>
      <c r="AT344" s="16"/>
      <c r="AU344" s="27"/>
      <c r="AW344" s="27"/>
      <c r="AX344" s="16"/>
      <c r="AY344" s="16"/>
      <c r="AZ344" s="27"/>
      <c r="BB344" s="27"/>
      <c r="BC344" s="16"/>
      <c r="BD344" s="16"/>
      <c r="BE344" s="27"/>
      <c r="BG344" s="27"/>
      <c r="BH344" s="16"/>
      <c r="BI344" s="16"/>
      <c r="BJ344" s="27"/>
      <c r="BL344" s="27"/>
      <c r="BM344" s="16"/>
      <c r="BN344" s="16"/>
      <c r="BO344" s="27"/>
      <c r="BQ344" s="27"/>
      <c r="BR344" s="16"/>
      <c r="BS344" s="16"/>
      <c r="BT344" s="27"/>
      <c r="BV344" s="27"/>
      <c r="BW344" s="16"/>
      <c r="BX344" s="16"/>
      <c r="BY344" s="27"/>
      <c r="CA344" s="27"/>
      <c r="CB344" s="16"/>
      <c r="CC344" s="16"/>
      <c r="CD344" s="27"/>
      <c r="CF344" s="27"/>
      <c r="CG344" s="16"/>
      <c r="CH344" s="16"/>
      <c r="CI344" s="27"/>
      <c r="CK344" s="27"/>
      <c r="CL344" s="16"/>
      <c r="CM344" s="16"/>
      <c r="CN344" s="27"/>
      <c r="CP344" s="27"/>
      <c r="CQ344" s="16"/>
      <c r="CR344" s="16"/>
      <c r="CS344" s="27"/>
      <c r="CU344" s="27"/>
      <c r="CV344" s="16"/>
      <c r="CW344" s="16"/>
      <c r="CX344" s="27"/>
      <c r="CZ344" s="27"/>
      <c r="DA344" s="16"/>
      <c r="DB344" s="16"/>
      <c r="DC344" s="27"/>
      <c r="DE344" s="27"/>
      <c r="DF344" s="16"/>
      <c r="DG344" s="16"/>
      <c r="DH344" s="27"/>
      <c r="DJ344" s="27"/>
      <c r="DK344" s="16"/>
      <c r="DL344" s="16"/>
      <c r="DM344" s="27"/>
      <c r="DO344" s="27"/>
      <c r="DP344" s="16"/>
      <c r="DQ344" s="16"/>
      <c r="DR344" s="27"/>
      <c r="DT344" s="27"/>
      <c r="DU344" s="16"/>
      <c r="DV344" s="16"/>
      <c r="DW344" s="27"/>
      <c r="DY344" s="27"/>
      <c r="DZ344" s="16"/>
      <c r="EA344" s="16"/>
      <c r="EB344" s="302"/>
    </row>
    <row r="345" spans="1:132" s="14" customFormat="1" ht="21" x14ac:dyDescent="0.4">
      <c r="A345" s="27"/>
      <c r="B345" s="27"/>
      <c r="C345" s="27"/>
      <c r="E345" s="16"/>
      <c r="F345" s="27"/>
      <c r="G345" s="27"/>
      <c r="I345" s="27"/>
      <c r="J345" s="16"/>
      <c r="K345" s="16"/>
      <c r="L345" s="27"/>
      <c r="N345" s="27"/>
      <c r="O345" s="16"/>
      <c r="P345" s="16"/>
      <c r="Q345" s="27"/>
      <c r="S345" s="27"/>
      <c r="T345" s="16"/>
      <c r="U345" s="16"/>
      <c r="V345" s="27"/>
      <c r="X345" s="27"/>
      <c r="Y345" s="16"/>
      <c r="Z345" s="16"/>
      <c r="AA345" s="27"/>
      <c r="AC345" s="27"/>
      <c r="AD345" s="16"/>
      <c r="AE345" s="16"/>
      <c r="AF345" s="27"/>
      <c r="AH345" s="27"/>
      <c r="AI345" s="16"/>
      <c r="AJ345" s="16"/>
      <c r="AK345" s="27"/>
      <c r="AM345" s="27"/>
      <c r="AN345" s="16"/>
      <c r="AO345" s="16"/>
      <c r="AP345" s="27"/>
      <c r="AR345" s="27"/>
      <c r="AS345" s="16"/>
      <c r="AT345" s="16"/>
      <c r="AU345" s="27"/>
      <c r="AW345" s="27"/>
      <c r="AX345" s="16"/>
      <c r="AY345" s="16"/>
      <c r="AZ345" s="27"/>
      <c r="BB345" s="27"/>
      <c r="BC345" s="16"/>
      <c r="BD345" s="16"/>
      <c r="BE345" s="27"/>
      <c r="BG345" s="27"/>
      <c r="BH345" s="16"/>
      <c r="BI345" s="16"/>
      <c r="BJ345" s="27"/>
      <c r="BL345" s="27"/>
      <c r="BM345" s="16"/>
      <c r="BN345" s="16"/>
      <c r="BO345" s="27"/>
      <c r="BQ345" s="27"/>
      <c r="BR345" s="16"/>
      <c r="BS345" s="16"/>
      <c r="BT345" s="27"/>
      <c r="BV345" s="27"/>
      <c r="BW345" s="16"/>
      <c r="BX345" s="16"/>
      <c r="BY345" s="27"/>
      <c r="CA345" s="27"/>
      <c r="CB345" s="16"/>
      <c r="CC345" s="16"/>
      <c r="CD345" s="27"/>
      <c r="CF345" s="27"/>
      <c r="CG345" s="16"/>
      <c r="CH345" s="16"/>
      <c r="CI345" s="27"/>
      <c r="CK345" s="27"/>
      <c r="CL345" s="16"/>
      <c r="CM345" s="16"/>
      <c r="CN345" s="27"/>
      <c r="CP345" s="27"/>
      <c r="CQ345" s="16"/>
      <c r="CR345" s="16"/>
      <c r="CS345" s="27"/>
      <c r="CU345" s="27"/>
      <c r="CV345" s="16"/>
      <c r="CW345" s="16"/>
      <c r="CX345" s="27"/>
      <c r="CZ345" s="27"/>
      <c r="DA345" s="16"/>
      <c r="DB345" s="16"/>
      <c r="DC345" s="27"/>
      <c r="DE345" s="27"/>
      <c r="DF345" s="16"/>
      <c r="DG345" s="16"/>
      <c r="DH345" s="27"/>
      <c r="DJ345" s="27"/>
      <c r="DK345" s="16"/>
      <c r="DL345" s="16"/>
      <c r="DM345" s="27"/>
      <c r="DO345" s="27"/>
      <c r="DP345" s="16"/>
      <c r="DQ345" s="16"/>
      <c r="DR345" s="27"/>
      <c r="DT345" s="27"/>
      <c r="DU345" s="16"/>
      <c r="DV345" s="16"/>
      <c r="DW345" s="27"/>
      <c r="DY345" s="27"/>
      <c r="DZ345" s="16"/>
      <c r="EA345" s="16"/>
      <c r="EB345" s="302"/>
    </row>
    <row r="346" spans="1:132" s="14" customFormat="1" ht="21" x14ac:dyDescent="0.4">
      <c r="A346" s="27"/>
      <c r="B346" s="27"/>
      <c r="C346" s="27"/>
      <c r="E346" s="16"/>
      <c r="F346" s="27"/>
      <c r="G346" s="27"/>
      <c r="I346" s="27"/>
      <c r="J346" s="16"/>
      <c r="K346" s="16"/>
      <c r="L346" s="27"/>
      <c r="N346" s="27"/>
      <c r="O346" s="16"/>
      <c r="P346" s="16"/>
      <c r="Q346" s="27"/>
      <c r="S346" s="27"/>
      <c r="T346" s="16"/>
      <c r="U346" s="16"/>
      <c r="V346" s="27"/>
      <c r="X346" s="27"/>
      <c r="Y346" s="16"/>
      <c r="Z346" s="16"/>
      <c r="AA346" s="27"/>
      <c r="AC346" s="27"/>
      <c r="AD346" s="16"/>
      <c r="AE346" s="16"/>
      <c r="AF346" s="27"/>
      <c r="AH346" s="27"/>
      <c r="AI346" s="16"/>
      <c r="AJ346" s="16"/>
      <c r="AK346" s="27"/>
      <c r="AM346" s="27"/>
      <c r="AN346" s="16"/>
      <c r="AO346" s="16"/>
      <c r="AP346" s="27"/>
      <c r="AR346" s="27"/>
      <c r="AS346" s="16"/>
      <c r="AT346" s="16"/>
      <c r="AU346" s="27"/>
      <c r="AW346" s="27"/>
      <c r="AX346" s="16"/>
      <c r="AY346" s="16"/>
      <c r="AZ346" s="27"/>
      <c r="BB346" s="27"/>
      <c r="BC346" s="16"/>
      <c r="BD346" s="16"/>
      <c r="BE346" s="27"/>
      <c r="BG346" s="27"/>
      <c r="BH346" s="16"/>
      <c r="BI346" s="16"/>
      <c r="BJ346" s="27"/>
      <c r="BL346" s="27"/>
      <c r="BM346" s="16"/>
      <c r="BN346" s="16"/>
      <c r="BO346" s="27"/>
      <c r="BQ346" s="27"/>
      <c r="BR346" s="16"/>
      <c r="BS346" s="16"/>
      <c r="BT346" s="27"/>
      <c r="BV346" s="27"/>
      <c r="BW346" s="16"/>
      <c r="BX346" s="16"/>
      <c r="BY346" s="27"/>
      <c r="CA346" s="27"/>
      <c r="CB346" s="16"/>
      <c r="CC346" s="16"/>
      <c r="CD346" s="27"/>
      <c r="CF346" s="27"/>
      <c r="CG346" s="16"/>
      <c r="CH346" s="16"/>
      <c r="CI346" s="27"/>
      <c r="CK346" s="27"/>
      <c r="CL346" s="16"/>
      <c r="CM346" s="16"/>
      <c r="CN346" s="27"/>
      <c r="CP346" s="27"/>
      <c r="CQ346" s="16"/>
      <c r="CR346" s="16"/>
      <c r="CS346" s="27"/>
      <c r="CU346" s="27"/>
      <c r="CV346" s="16"/>
      <c r="CW346" s="16"/>
      <c r="CX346" s="27"/>
      <c r="CZ346" s="27"/>
      <c r="DA346" s="16"/>
      <c r="DB346" s="16"/>
      <c r="DC346" s="27"/>
      <c r="DE346" s="27"/>
      <c r="DF346" s="16"/>
      <c r="DG346" s="16"/>
      <c r="DH346" s="27"/>
      <c r="DJ346" s="27"/>
      <c r="DK346" s="16"/>
      <c r="DL346" s="16"/>
      <c r="DM346" s="27"/>
      <c r="DO346" s="27"/>
      <c r="DP346" s="16"/>
      <c r="DQ346" s="16"/>
      <c r="DR346" s="27"/>
      <c r="DT346" s="27"/>
      <c r="DU346" s="16"/>
      <c r="DV346" s="16"/>
      <c r="DW346" s="27"/>
      <c r="DY346" s="27"/>
      <c r="DZ346" s="16"/>
      <c r="EA346" s="16"/>
      <c r="EB346" s="302"/>
    </row>
    <row r="347" spans="1:132" s="14" customFormat="1" ht="21" x14ac:dyDescent="0.4">
      <c r="A347" s="27"/>
      <c r="B347" s="27"/>
      <c r="C347" s="27"/>
      <c r="E347" s="16"/>
      <c r="F347" s="27"/>
      <c r="G347" s="27"/>
      <c r="I347" s="27"/>
      <c r="J347" s="16"/>
      <c r="K347" s="16"/>
      <c r="L347" s="27"/>
      <c r="N347" s="27"/>
      <c r="O347" s="16"/>
      <c r="P347" s="16"/>
      <c r="Q347" s="27"/>
      <c r="S347" s="27"/>
      <c r="T347" s="16"/>
      <c r="U347" s="16"/>
      <c r="V347" s="27"/>
      <c r="X347" s="27"/>
      <c r="Y347" s="16"/>
      <c r="Z347" s="16"/>
      <c r="AA347" s="27"/>
      <c r="AC347" s="27"/>
      <c r="AD347" s="16"/>
      <c r="AE347" s="16"/>
      <c r="AF347" s="27"/>
      <c r="AH347" s="27"/>
      <c r="AI347" s="16"/>
      <c r="AJ347" s="16"/>
      <c r="AK347" s="27"/>
      <c r="AM347" s="27"/>
      <c r="AN347" s="16"/>
      <c r="AO347" s="16"/>
      <c r="AP347" s="27"/>
      <c r="AR347" s="27"/>
      <c r="AS347" s="16"/>
      <c r="AT347" s="16"/>
      <c r="AU347" s="27"/>
      <c r="AW347" s="27"/>
      <c r="AX347" s="16"/>
      <c r="AY347" s="16"/>
      <c r="AZ347" s="27"/>
      <c r="BB347" s="27"/>
      <c r="BC347" s="16"/>
      <c r="BD347" s="16"/>
      <c r="BE347" s="27"/>
      <c r="BG347" s="27"/>
      <c r="BH347" s="16"/>
      <c r="BI347" s="16"/>
      <c r="BJ347" s="27"/>
      <c r="BL347" s="27"/>
      <c r="BM347" s="16"/>
      <c r="BN347" s="16"/>
      <c r="BO347" s="27"/>
      <c r="BQ347" s="27"/>
      <c r="BR347" s="16"/>
      <c r="BS347" s="16"/>
      <c r="BT347" s="27"/>
      <c r="BV347" s="27"/>
      <c r="BW347" s="16"/>
      <c r="BX347" s="16"/>
      <c r="BY347" s="27"/>
      <c r="CA347" s="27"/>
      <c r="CB347" s="16"/>
      <c r="CC347" s="16"/>
      <c r="CD347" s="27"/>
      <c r="CF347" s="27"/>
      <c r="CG347" s="16"/>
      <c r="CH347" s="16"/>
      <c r="CI347" s="27"/>
      <c r="CK347" s="27"/>
      <c r="CL347" s="16"/>
      <c r="CM347" s="16"/>
      <c r="CN347" s="27"/>
      <c r="CP347" s="27"/>
      <c r="CQ347" s="16"/>
      <c r="CR347" s="16"/>
      <c r="CS347" s="27"/>
      <c r="CU347" s="27"/>
      <c r="CV347" s="16"/>
      <c r="CW347" s="16"/>
      <c r="CX347" s="27"/>
      <c r="CZ347" s="27"/>
      <c r="DA347" s="16"/>
      <c r="DB347" s="16"/>
      <c r="DC347" s="27"/>
      <c r="DE347" s="27"/>
      <c r="DF347" s="16"/>
      <c r="DG347" s="16"/>
      <c r="DH347" s="27"/>
      <c r="DJ347" s="27"/>
      <c r="DK347" s="16"/>
      <c r="DL347" s="16"/>
      <c r="DM347" s="27"/>
      <c r="DO347" s="27"/>
      <c r="DP347" s="16"/>
      <c r="DQ347" s="16"/>
      <c r="DR347" s="27"/>
      <c r="DT347" s="27"/>
      <c r="DU347" s="16"/>
      <c r="DV347" s="16"/>
      <c r="DW347" s="27"/>
      <c r="DY347" s="27"/>
      <c r="DZ347" s="16"/>
      <c r="EA347" s="16"/>
      <c r="EB347" s="302"/>
    </row>
    <row r="348" spans="1:132" s="14" customFormat="1" ht="21" x14ac:dyDescent="0.4">
      <c r="A348" s="27"/>
      <c r="B348" s="27"/>
      <c r="C348" s="27"/>
      <c r="E348" s="16"/>
      <c r="F348" s="27"/>
      <c r="G348" s="27"/>
      <c r="I348" s="27"/>
      <c r="J348" s="16"/>
      <c r="K348" s="16"/>
      <c r="L348" s="27"/>
      <c r="N348" s="27"/>
      <c r="O348" s="16"/>
      <c r="P348" s="16"/>
      <c r="Q348" s="27"/>
      <c r="S348" s="27"/>
      <c r="T348" s="16"/>
      <c r="U348" s="16"/>
      <c r="V348" s="27"/>
      <c r="X348" s="27"/>
      <c r="Y348" s="16"/>
      <c r="Z348" s="16"/>
      <c r="AA348" s="27"/>
      <c r="AC348" s="27"/>
      <c r="AD348" s="16"/>
      <c r="AE348" s="16"/>
      <c r="AF348" s="27"/>
      <c r="AH348" s="27"/>
      <c r="AI348" s="16"/>
      <c r="AJ348" s="16"/>
      <c r="AK348" s="27"/>
      <c r="AM348" s="27"/>
      <c r="AN348" s="16"/>
      <c r="AO348" s="16"/>
      <c r="AP348" s="27"/>
      <c r="AR348" s="27"/>
      <c r="AS348" s="16"/>
      <c r="AT348" s="16"/>
      <c r="AU348" s="27"/>
      <c r="AW348" s="27"/>
      <c r="AX348" s="16"/>
      <c r="AY348" s="16"/>
      <c r="AZ348" s="27"/>
      <c r="BB348" s="27"/>
      <c r="BC348" s="16"/>
      <c r="BD348" s="16"/>
      <c r="BE348" s="27"/>
      <c r="BG348" s="27"/>
      <c r="BH348" s="16"/>
      <c r="BI348" s="16"/>
      <c r="BJ348" s="27"/>
      <c r="BL348" s="27"/>
      <c r="BM348" s="16"/>
      <c r="BN348" s="16"/>
      <c r="BO348" s="27"/>
      <c r="BQ348" s="27"/>
      <c r="BR348" s="16"/>
      <c r="BS348" s="16"/>
      <c r="BT348" s="27"/>
      <c r="BV348" s="27"/>
      <c r="BW348" s="16"/>
      <c r="BX348" s="16"/>
      <c r="BY348" s="27"/>
      <c r="CA348" s="27"/>
      <c r="CB348" s="16"/>
      <c r="CC348" s="16"/>
      <c r="CD348" s="27"/>
      <c r="CF348" s="27"/>
      <c r="CG348" s="16"/>
      <c r="CH348" s="16"/>
      <c r="CI348" s="27"/>
      <c r="CK348" s="27"/>
      <c r="CL348" s="16"/>
      <c r="CM348" s="16"/>
      <c r="CN348" s="27"/>
      <c r="CP348" s="27"/>
      <c r="CQ348" s="16"/>
      <c r="CR348" s="16"/>
      <c r="CS348" s="27"/>
      <c r="CU348" s="27"/>
      <c r="CV348" s="16"/>
      <c r="CW348" s="16"/>
      <c r="CX348" s="27"/>
      <c r="CZ348" s="27"/>
      <c r="DA348" s="16"/>
      <c r="DB348" s="16"/>
      <c r="DC348" s="27"/>
      <c r="DE348" s="27"/>
      <c r="DF348" s="16"/>
      <c r="DG348" s="16"/>
      <c r="DH348" s="27"/>
      <c r="DJ348" s="27"/>
      <c r="DK348" s="16"/>
      <c r="DL348" s="16"/>
      <c r="DM348" s="27"/>
      <c r="DO348" s="27"/>
      <c r="DP348" s="16"/>
      <c r="DQ348" s="16"/>
      <c r="DR348" s="27"/>
      <c r="DT348" s="27"/>
      <c r="DU348" s="16"/>
      <c r="DV348" s="16"/>
      <c r="DW348" s="27"/>
      <c r="DY348" s="27"/>
      <c r="DZ348" s="16"/>
      <c r="EA348" s="16"/>
      <c r="EB348" s="302"/>
    </row>
    <row r="349" spans="1:132" s="14" customFormat="1" ht="21" x14ac:dyDescent="0.4">
      <c r="A349" s="27"/>
      <c r="B349" s="27"/>
      <c r="C349" s="27"/>
      <c r="E349" s="16"/>
      <c r="F349" s="27"/>
      <c r="G349" s="27"/>
      <c r="I349" s="27"/>
      <c r="J349" s="16"/>
      <c r="K349" s="16"/>
      <c r="L349" s="27"/>
      <c r="N349" s="27"/>
      <c r="O349" s="16"/>
      <c r="P349" s="16"/>
      <c r="Q349" s="27"/>
      <c r="S349" s="27"/>
      <c r="T349" s="16"/>
      <c r="U349" s="16"/>
      <c r="V349" s="27"/>
      <c r="X349" s="27"/>
      <c r="Y349" s="16"/>
      <c r="Z349" s="16"/>
      <c r="AA349" s="27"/>
      <c r="AC349" s="27"/>
      <c r="AD349" s="16"/>
      <c r="AE349" s="16"/>
      <c r="AF349" s="27"/>
      <c r="AH349" s="27"/>
      <c r="AI349" s="16"/>
      <c r="AJ349" s="16"/>
      <c r="AK349" s="27"/>
      <c r="AM349" s="27"/>
      <c r="AN349" s="16"/>
      <c r="AO349" s="16"/>
      <c r="AP349" s="27"/>
      <c r="AR349" s="27"/>
      <c r="AS349" s="16"/>
      <c r="AT349" s="16"/>
      <c r="AU349" s="27"/>
      <c r="AW349" s="27"/>
      <c r="AX349" s="16"/>
      <c r="AY349" s="16"/>
      <c r="AZ349" s="27"/>
      <c r="BB349" s="27"/>
      <c r="BC349" s="16"/>
      <c r="BD349" s="16"/>
      <c r="BE349" s="27"/>
      <c r="BG349" s="27"/>
      <c r="BH349" s="16"/>
      <c r="BI349" s="16"/>
      <c r="BJ349" s="27"/>
      <c r="BL349" s="27"/>
      <c r="BM349" s="16"/>
      <c r="BN349" s="16"/>
      <c r="BO349" s="27"/>
      <c r="BQ349" s="27"/>
      <c r="BR349" s="16"/>
      <c r="BS349" s="16"/>
      <c r="BT349" s="27"/>
      <c r="BV349" s="27"/>
      <c r="BW349" s="16"/>
      <c r="BX349" s="16"/>
      <c r="BY349" s="27"/>
      <c r="CA349" s="27"/>
      <c r="CB349" s="16"/>
      <c r="CC349" s="16"/>
      <c r="CD349" s="27"/>
      <c r="CF349" s="27"/>
      <c r="CG349" s="16"/>
      <c r="CH349" s="16"/>
      <c r="CI349" s="27"/>
      <c r="CK349" s="27"/>
      <c r="CL349" s="16"/>
      <c r="CM349" s="16"/>
      <c r="CN349" s="27"/>
      <c r="CP349" s="27"/>
      <c r="CQ349" s="16"/>
      <c r="CR349" s="16"/>
      <c r="CS349" s="27"/>
      <c r="CU349" s="27"/>
      <c r="CV349" s="16"/>
      <c r="CW349" s="16"/>
      <c r="CX349" s="27"/>
      <c r="CZ349" s="27"/>
      <c r="DA349" s="16"/>
      <c r="DB349" s="16"/>
      <c r="DC349" s="27"/>
      <c r="DE349" s="27"/>
      <c r="DF349" s="16"/>
      <c r="DG349" s="16"/>
      <c r="DH349" s="27"/>
      <c r="DJ349" s="27"/>
      <c r="DK349" s="16"/>
      <c r="DL349" s="16"/>
      <c r="DM349" s="27"/>
      <c r="DO349" s="27"/>
      <c r="DP349" s="16"/>
      <c r="DQ349" s="16"/>
      <c r="DR349" s="27"/>
      <c r="DT349" s="27"/>
      <c r="DU349" s="16"/>
      <c r="DV349" s="16"/>
      <c r="DW349" s="27"/>
      <c r="DY349" s="27"/>
      <c r="DZ349" s="16"/>
      <c r="EA349" s="16"/>
      <c r="EB349" s="302"/>
    </row>
    <row r="350" spans="1:132" s="14" customFormat="1" ht="21" x14ac:dyDescent="0.4">
      <c r="A350" s="27"/>
      <c r="B350" s="27"/>
      <c r="C350" s="27"/>
      <c r="E350" s="16"/>
      <c r="F350" s="27"/>
      <c r="G350" s="27"/>
      <c r="I350" s="27"/>
      <c r="J350" s="16"/>
      <c r="K350" s="16"/>
      <c r="L350" s="27"/>
      <c r="N350" s="27"/>
      <c r="O350" s="16"/>
      <c r="P350" s="16"/>
      <c r="Q350" s="27"/>
      <c r="S350" s="27"/>
      <c r="T350" s="16"/>
      <c r="U350" s="16"/>
      <c r="V350" s="27"/>
      <c r="X350" s="27"/>
      <c r="Y350" s="16"/>
      <c r="Z350" s="16"/>
      <c r="AA350" s="27"/>
      <c r="AC350" s="27"/>
      <c r="AD350" s="16"/>
      <c r="AE350" s="16"/>
      <c r="AF350" s="27"/>
      <c r="AH350" s="27"/>
      <c r="AI350" s="16"/>
      <c r="AJ350" s="16"/>
      <c r="AK350" s="27"/>
      <c r="AM350" s="27"/>
      <c r="AN350" s="16"/>
      <c r="AO350" s="16"/>
      <c r="AP350" s="27"/>
      <c r="AR350" s="27"/>
      <c r="AS350" s="16"/>
      <c r="AT350" s="16"/>
      <c r="AU350" s="27"/>
      <c r="AW350" s="27"/>
      <c r="AX350" s="16"/>
      <c r="AY350" s="16"/>
      <c r="AZ350" s="27"/>
      <c r="BB350" s="27"/>
      <c r="BC350" s="16"/>
      <c r="BD350" s="16"/>
      <c r="BE350" s="27"/>
      <c r="BG350" s="27"/>
      <c r="BH350" s="16"/>
      <c r="BI350" s="16"/>
      <c r="BJ350" s="27"/>
      <c r="BL350" s="27"/>
      <c r="BM350" s="16"/>
      <c r="BN350" s="16"/>
      <c r="BO350" s="27"/>
      <c r="BQ350" s="27"/>
      <c r="BR350" s="16"/>
      <c r="BS350" s="16"/>
      <c r="BT350" s="27"/>
      <c r="BV350" s="27"/>
      <c r="BW350" s="16"/>
      <c r="BX350" s="16"/>
      <c r="BY350" s="27"/>
      <c r="CA350" s="27"/>
      <c r="CB350" s="16"/>
      <c r="CC350" s="16"/>
      <c r="CD350" s="27"/>
      <c r="CF350" s="27"/>
      <c r="CG350" s="16"/>
      <c r="CH350" s="16"/>
      <c r="CI350" s="27"/>
      <c r="CK350" s="27"/>
      <c r="CL350" s="16"/>
      <c r="CM350" s="16"/>
      <c r="CN350" s="27"/>
      <c r="CP350" s="27"/>
      <c r="CQ350" s="16"/>
      <c r="CR350" s="16"/>
      <c r="CS350" s="27"/>
      <c r="CU350" s="27"/>
      <c r="CV350" s="16"/>
      <c r="CW350" s="16"/>
      <c r="CX350" s="27"/>
      <c r="CZ350" s="27"/>
      <c r="DA350" s="16"/>
      <c r="DB350" s="16"/>
      <c r="DC350" s="27"/>
      <c r="DE350" s="27"/>
      <c r="DF350" s="16"/>
      <c r="DG350" s="16"/>
      <c r="DH350" s="27"/>
      <c r="DJ350" s="27"/>
      <c r="DK350" s="16"/>
      <c r="DL350" s="16"/>
      <c r="DM350" s="27"/>
      <c r="DO350" s="27"/>
      <c r="DP350" s="16"/>
      <c r="DQ350" s="16"/>
      <c r="DR350" s="27"/>
      <c r="DT350" s="27"/>
      <c r="DU350" s="16"/>
      <c r="DV350" s="16"/>
      <c r="DW350" s="27"/>
      <c r="DY350" s="27"/>
      <c r="DZ350" s="16"/>
      <c r="EA350" s="16"/>
      <c r="EB350" s="302"/>
    </row>
    <row r="351" spans="1:132" s="14" customFormat="1" ht="21" x14ac:dyDescent="0.4">
      <c r="A351" s="27"/>
      <c r="B351" s="27"/>
      <c r="C351" s="27"/>
      <c r="E351" s="16"/>
      <c r="F351" s="27"/>
      <c r="G351" s="27"/>
      <c r="I351" s="27"/>
      <c r="J351" s="16"/>
      <c r="K351" s="16"/>
      <c r="L351" s="27"/>
      <c r="N351" s="27"/>
      <c r="O351" s="16"/>
      <c r="P351" s="16"/>
      <c r="Q351" s="27"/>
      <c r="S351" s="27"/>
      <c r="T351" s="16"/>
      <c r="U351" s="16"/>
      <c r="V351" s="27"/>
      <c r="X351" s="27"/>
      <c r="Y351" s="16"/>
      <c r="Z351" s="16"/>
      <c r="AA351" s="27"/>
      <c r="AC351" s="27"/>
      <c r="AD351" s="16"/>
      <c r="AE351" s="16"/>
      <c r="AF351" s="27"/>
      <c r="AH351" s="27"/>
      <c r="AI351" s="16"/>
      <c r="AJ351" s="16"/>
      <c r="AK351" s="27"/>
      <c r="AM351" s="27"/>
      <c r="AN351" s="16"/>
      <c r="AO351" s="16"/>
      <c r="AP351" s="27"/>
      <c r="AR351" s="27"/>
      <c r="AS351" s="16"/>
      <c r="AT351" s="16"/>
      <c r="AU351" s="27"/>
      <c r="AW351" s="27"/>
      <c r="AX351" s="16"/>
      <c r="AY351" s="16"/>
      <c r="AZ351" s="27"/>
      <c r="BB351" s="27"/>
      <c r="BC351" s="16"/>
      <c r="BD351" s="16"/>
      <c r="BE351" s="27"/>
      <c r="BG351" s="27"/>
      <c r="BH351" s="16"/>
      <c r="BI351" s="16"/>
      <c r="BJ351" s="27"/>
      <c r="BL351" s="27"/>
      <c r="BM351" s="16"/>
      <c r="BN351" s="16"/>
      <c r="BO351" s="27"/>
      <c r="BQ351" s="27"/>
      <c r="BR351" s="16"/>
      <c r="BS351" s="16"/>
      <c r="BT351" s="27"/>
      <c r="BV351" s="27"/>
      <c r="BW351" s="16"/>
      <c r="BX351" s="16"/>
      <c r="BY351" s="27"/>
      <c r="CA351" s="27"/>
      <c r="CB351" s="16"/>
      <c r="CC351" s="16"/>
      <c r="CD351" s="27"/>
      <c r="CF351" s="27"/>
      <c r="CG351" s="16"/>
      <c r="CH351" s="16"/>
      <c r="CI351" s="27"/>
      <c r="CK351" s="27"/>
      <c r="CL351" s="16"/>
      <c r="CM351" s="16"/>
      <c r="CN351" s="27"/>
      <c r="CP351" s="27"/>
      <c r="CQ351" s="16"/>
      <c r="CR351" s="16"/>
      <c r="CS351" s="27"/>
      <c r="CU351" s="27"/>
      <c r="CV351" s="16"/>
      <c r="CW351" s="16"/>
      <c r="CX351" s="27"/>
      <c r="CZ351" s="27"/>
      <c r="DA351" s="16"/>
      <c r="DB351" s="16"/>
      <c r="DC351" s="27"/>
      <c r="DE351" s="27"/>
      <c r="DF351" s="16"/>
      <c r="DG351" s="16"/>
      <c r="DH351" s="27"/>
      <c r="DJ351" s="27"/>
      <c r="DK351" s="16"/>
      <c r="DL351" s="16"/>
      <c r="DM351" s="27"/>
      <c r="DO351" s="27"/>
      <c r="DP351" s="16"/>
      <c r="DQ351" s="16"/>
      <c r="DR351" s="27"/>
      <c r="DT351" s="27"/>
      <c r="DU351" s="16"/>
      <c r="DV351" s="16"/>
      <c r="DW351" s="27"/>
      <c r="DY351" s="27"/>
      <c r="DZ351" s="16"/>
      <c r="EA351" s="16"/>
      <c r="EB351" s="302"/>
    </row>
    <row r="352" spans="1:132" s="14" customFormat="1" ht="21" x14ac:dyDescent="0.4">
      <c r="A352" s="27"/>
      <c r="B352" s="27"/>
      <c r="C352" s="27"/>
      <c r="E352" s="16"/>
      <c r="F352" s="27"/>
      <c r="G352" s="27"/>
      <c r="I352" s="27"/>
      <c r="J352" s="16"/>
      <c r="K352" s="16"/>
      <c r="L352" s="27"/>
      <c r="N352" s="27"/>
      <c r="O352" s="16"/>
      <c r="P352" s="16"/>
      <c r="Q352" s="27"/>
      <c r="S352" s="27"/>
      <c r="T352" s="16"/>
      <c r="U352" s="16"/>
      <c r="V352" s="27"/>
      <c r="X352" s="27"/>
      <c r="Y352" s="16"/>
      <c r="Z352" s="16"/>
      <c r="AA352" s="27"/>
      <c r="AC352" s="27"/>
      <c r="AD352" s="16"/>
      <c r="AE352" s="16"/>
      <c r="AF352" s="27"/>
      <c r="AH352" s="27"/>
      <c r="AI352" s="16"/>
      <c r="AJ352" s="16"/>
      <c r="AK352" s="27"/>
      <c r="AM352" s="27"/>
      <c r="AN352" s="16"/>
      <c r="AO352" s="16"/>
      <c r="AP352" s="27"/>
      <c r="AR352" s="27"/>
      <c r="AS352" s="16"/>
      <c r="AT352" s="16"/>
      <c r="AU352" s="27"/>
      <c r="AW352" s="27"/>
      <c r="AX352" s="16"/>
      <c r="AY352" s="16"/>
      <c r="AZ352" s="27"/>
      <c r="BB352" s="27"/>
      <c r="BC352" s="16"/>
      <c r="BD352" s="16"/>
      <c r="BE352" s="27"/>
      <c r="BG352" s="27"/>
      <c r="BH352" s="16"/>
      <c r="BI352" s="16"/>
      <c r="BJ352" s="27"/>
      <c r="BL352" s="27"/>
      <c r="BM352" s="16"/>
      <c r="BN352" s="16"/>
      <c r="BO352" s="27"/>
      <c r="BQ352" s="27"/>
      <c r="BR352" s="16"/>
      <c r="BS352" s="16"/>
      <c r="BT352" s="27"/>
      <c r="BV352" s="27"/>
      <c r="BW352" s="16"/>
      <c r="BX352" s="16"/>
      <c r="BY352" s="27"/>
      <c r="CA352" s="27"/>
      <c r="CB352" s="16"/>
      <c r="CC352" s="16"/>
      <c r="CD352" s="27"/>
      <c r="CF352" s="27"/>
      <c r="CG352" s="16"/>
      <c r="CH352" s="16"/>
      <c r="CI352" s="27"/>
      <c r="CK352" s="27"/>
      <c r="CL352" s="16"/>
      <c r="CM352" s="16"/>
      <c r="CN352" s="27"/>
      <c r="CP352" s="27"/>
      <c r="CQ352" s="16"/>
      <c r="CR352" s="16"/>
      <c r="CS352" s="27"/>
      <c r="CU352" s="27"/>
      <c r="CV352" s="16"/>
      <c r="CW352" s="16"/>
      <c r="CX352" s="27"/>
      <c r="CZ352" s="27"/>
      <c r="DA352" s="16"/>
      <c r="DB352" s="16"/>
      <c r="DC352" s="27"/>
      <c r="DE352" s="27"/>
      <c r="DF352" s="16"/>
      <c r="DG352" s="16"/>
      <c r="DH352" s="27"/>
      <c r="DJ352" s="27"/>
      <c r="DK352" s="16"/>
      <c r="DL352" s="16"/>
      <c r="DM352" s="27"/>
      <c r="DO352" s="27"/>
      <c r="DP352" s="16"/>
      <c r="DQ352" s="16"/>
      <c r="DR352" s="27"/>
      <c r="DT352" s="27"/>
      <c r="DU352" s="16"/>
      <c r="DV352" s="16"/>
      <c r="DW352" s="27"/>
      <c r="DY352" s="27"/>
      <c r="DZ352" s="16"/>
      <c r="EA352" s="16"/>
      <c r="EB352" s="302"/>
    </row>
    <row r="353" spans="1:132" s="14" customFormat="1" ht="21" x14ac:dyDescent="0.4">
      <c r="A353" s="27"/>
      <c r="B353" s="27"/>
      <c r="C353" s="27"/>
      <c r="E353" s="16"/>
      <c r="F353" s="27"/>
      <c r="G353" s="27"/>
      <c r="I353" s="27"/>
      <c r="J353" s="16"/>
      <c r="K353" s="16"/>
      <c r="L353" s="27"/>
      <c r="N353" s="27"/>
      <c r="O353" s="16"/>
      <c r="P353" s="16"/>
      <c r="Q353" s="27"/>
      <c r="S353" s="27"/>
      <c r="T353" s="16"/>
      <c r="U353" s="16"/>
      <c r="V353" s="27"/>
      <c r="X353" s="27"/>
      <c r="Y353" s="16"/>
      <c r="Z353" s="16"/>
      <c r="AA353" s="27"/>
      <c r="AC353" s="27"/>
      <c r="AD353" s="16"/>
      <c r="AE353" s="16"/>
      <c r="AF353" s="27"/>
      <c r="AH353" s="27"/>
      <c r="AI353" s="16"/>
      <c r="AJ353" s="16"/>
      <c r="AK353" s="27"/>
      <c r="AM353" s="27"/>
      <c r="AN353" s="16"/>
      <c r="AO353" s="16"/>
      <c r="AP353" s="27"/>
      <c r="AR353" s="27"/>
      <c r="AS353" s="16"/>
      <c r="AT353" s="16"/>
      <c r="AU353" s="27"/>
      <c r="AW353" s="27"/>
      <c r="AX353" s="16"/>
      <c r="AY353" s="16"/>
      <c r="AZ353" s="27"/>
      <c r="BB353" s="27"/>
      <c r="BC353" s="16"/>
      <c r="BD353" s="16"/>
      <c r="BE353" s="27"/>
      <c r="BG353" s="27"/>
      <c r="BH353" s="16"/>
      <c r="BI353" s="16"/>
      <c r="BJ353" s="27"/>
      <c r="BL353" s="27"/>
      <c r="BM353" s="16"/>
      <c r="BN353" s="16"/>
      <c r="BO353" s="27"/>
      <c r="BQ353" s="27"/>
      <c r="BR353" s="16"/>
      <c r="BS353" s="16"/>
      <c r="BT353" s="27"/>
      <c r="BV353" s="27"/>
      <c r="BW353" s="16"/>
      <c r="BX353" s="16"/>
      <c r="BY353" s="27"/>
      <c r="CA353" s="27"/>
      <c r="CB353" s="16"/>
      <c r="CC353" s="16"/>
      <c r="CD353" s="27"/>
      <c r="CF353" s="27"/>
      <c r="CG353" s="16"/>
      <c r="CH353" s="16"/>
      <c r="CI353" s="27"/>
      <c r="CK353" s="27"/>
      <c r="CL353" s="16"/>
      <c r="CM353" s="16"/>
      <c r="CN353" s="27"/>
      <c r="CP353" s="27"/>
      <c r="CQ353" s="16"/>
      <c r="CR353" s="16"/>
      <c r="CS353" s="27"/>
      <c r="CU353" s="27"/>
      <c r="CV353" s="16"/>
      <c r="CW353" s="16"/>
      <c r="CX353" s="27"/>
      <c r="CZ353" s="27"/>
      <c r="DA353" s="16"/>
      <c r="DB353" s="16"/>
      <c r="DC353" s="27"/>
      <c r="DE353" s="27"/>
      <c r="DF353" s="16"/>
      <c r="DG353" s="16"/>
      <c r="DH353" s="27"/>
      <c r="DJ353" s="27"/>
      <c r="DK353" s="16"/>
      <c r="DL353" s="16"/>
      <c r="DM353" s="27"/>
      <c r="DO353" s="27"/>
      <c r="DP353" s="16"/>
      <c r="DQ353" s="16"/>
      <c r="DR353" s="27"/>
      <c r="DT353" s="27"/>
      <c r="DU353" s="16"/>
      <c r="DV353" s="16"/>
      <c r="DW353" s="27"/>
      <c r="DY353" s="27"/>
      <c r="DZ353" s="16"/>
      <c r="EA353" s="16"/>
      <c r="EB353" s="302"/>
    </row>
    <row r="354" spans="1:132" s="14" customFormat="1" ht="21" x14ac:dyDescent="0.4">
      <c r="A354" s="27"/>
      <c r="B354" s="27"/>
      <c r="C354" s="27"/>
      <c r="E354" s="16"/>
      <c r="F354" s="27"/>
      <c r="G354" s="27"/>
      <c r="I354" s="27"/>
      <c r="J354" s="16"/>
      <c r="K354" s="16"/>
      <c r="L354" s="27"/>
      <c r="N354" s="27"/>
      <c r="O354" s="16"/>
      <c r="P354" s="16"/>
      <c r="Q354" s="27"/>
      <c r="S354" s="27"/>
      <c r="T354" s="16"/>
      <c r="U354" s="16"/>
      <c r="V354" s="27"/>
      <c r="X354" s="27"/>
      <c r="Y354" s="16"/>
      <c r="Z354" s="16"/>
      <c r="AA354" s="27"/>
      <c r="AC354" s="27"/>
      <c r="AD354" s="16"/>
      <c r="AE354" s="16"/>
      <c r="AF354" s="27"/>
      <c r="AH354" s="27"/>
      <c r="AI354" s="16"/>
      <c r="AJ354" s="16"/>
      <c r="AK354" s="27"/>
      <c r="AM354" s="27"/>
      <c r="AN354" s="16"/>
      <c r="AO354" s="16"/>
      <c r="AP354" s="27"/>
      <c r="AR354" s="27"/>
      <c r="AS354" s="16"/>
      <c r="AT354" s="16"/>
      <c r="AU354" s="27"/>
      <c r="AW354" s="27"/>
      <c r="AX354" s="16"/>
      <c r="AY354" s="16"/>
      <c r="AZ354" s="27"/>
      <c r="BB354" s="27"/>
      <c r="BC354" s="16"/>
      <c r="BD354" s="16"/>
      <c r="BE354" s="27"/>
      <c r="BG354" s="27"/>
      <c r="BH354" s="16"/>
      <c r="BI354" s="16"/>
      <c r="BJ354" s="27"/>
      <c r="BL354" s="27"/>
      <c r="BM354" s="16"/>
      <c r="BN354" s="16"/>
      <c r="BO354" s="27"/>
      <c r="BQ354" s="27"/>
      <c r="BR354" s="16"/>
      <c r="BS354" s="16"/>
      <c r="BT354" s="27"/>
      <c r="BV354" s="27"/>
      <c r="BW354" s="16"/>
      <c r="BX354" s="16"/>
      <c r="BY354" s="27"/>
      <c r="CA354" s="27"/>
      <c r="CB354" s="16"/>
      <c r="CC354" s="16"/>
      <c r="CD354" s="27"/>
      <c r="CF354" s="27"/>
      <c r="CG354" s="16"/>
      <c r="CH354" s="16"/>
      <c r="CI354" s="27"/>
      <c r="CK354" s="27"/>
      <c r="CL354" s="16"/>
      <c r="CM354" s="16"/>
      <c r="CN354" s="27"/>
      <c r="CP354" s="27"/>
      <c r="CQ354" s="16"/>
      <c r="CR354" s="16"/>
      <c r="CS354" s="27"/>
      <c r="CU354" s="27"/>
      <c r="CV354" s="16"/>
      <c r="CW354" s="16"/>
      <c r="CX354" s="27"/>
      <c r="CZ354" s="27"/>
      <c r="DA354" s="16"/>
      <c r="DB354" s="16"/>
      <c r="DC354" s="27"/>
      <c r="DE354" s="27"/>
      <c r="DF354" s="16"/>
      <c r="DG354" s="16"/>
      <c r="DH354" s="27"/>
      <c r="DJ354" s="27"/>
      <c r="DK354" s="16"/>
      <c r="DL354" s="16"/>
      <c r="DM354" s="27"/>
      <c r="DO354" s="27"/>
      <c r="DP354" s="16"/>
      <c r="DQ354" s="16"/>
      <c r="DR354" s="27"/>
      <c r="DT354" s="27"/>
      <c r="DU354" s="16"/>
      <c r="DV354" s="16"/>
      <c r="DW354" s="27"/>
      <c r="DY354" s="27"/>
      <c r="DZ354" s="16"/>
      <c r="EA354" s="16"/>
      <c r="EB354" s="302"/>
    </row>
    <row r="355" spans="1:132" s="14" customFormat="1" ht="21" x14ac:dyDescent="0.4">
      <c r="A355" s="27"/>
      <c r="B355" s="27"/>
      <c r="C355" s="27"/>
      <c r="E355" s="16"/>
      <c r="F355" s="27"/>
      <c r="G355" s="27"/>
      <c r="I355" s="27"/>
      <c r="J355" s="16"/>
      <c r="K355" s="16"/>
      <c r="L355" s="27"/>
      <c r="N355" s="27"/>
      <c r="O355" s="16"/>
      <c r="P355" s="16"/>
      <c r="Q355" s="27"/>
      <c r="S355" s="27"/>
      <c r="T355" s="16"/>
      <c r="U355" s="16"/>
      <c r="V355" s="27"/>
      <c r="X355" s="27"/>
      <c r="Y355" s="16"/>
      <c r="Z355" s="16"/>
      <c r="AA355" s="27"/>
      <c r="AC355" s="27"/>
      <c r="AD355" s="16"/>
      <c r="AE355" s="16"/>
      <c r="AF355" s="27"/>
      <c r="AH355" s="27"/>
      <c r="AI355" s="16"/>
      <c r="AJ355" s="16"/>
      <c r="AK355" s="27"/>
      <c r="AM355" s="27"/>
      <c r="AN355" s="16"/>
      <c r="AO355" s="16"/>
      <c r="AP355" s="27"/>
      <c r="AR355" s="27"/>
      <c r="AS355" s="16"/>
      <c r="AT355" s="16"/>
      <c r="AU355" s="27"/>
      <c r="AW355" s="27"/>
      <c r="AX355" s="16"/>
      <c r="AY355" s="16"/>
      <c r="AZ355" s="27"/>
      <c r="BB355" s="27"/>
      <c r="BC355" s="16"/>
      <c r="BD355" s="16"/>
      <c r="BE355" s="27"/>
      <c r="BG355" s="27"/>
      <c r="BH355" s="16"/>
      <c r="BI355" s="16"/>
      <c r="BJ355" s="27"/>
      <c r="BL355" s="27"/>
      <c r="BM355" s="16"/>
      <c r="BN355" s="16"/>
      <c r="BO355" s="27"/>
      <c r="BQ355" s="27"/>
      <c r="BR355" s="16"/>
      <c r="BS355" s="16"/>
      <c r="BT355" s="27"/>
      <c r="BV355" s="27"/>
      <c r="BW355" s="16"/>
      <c r="BX355" s="16"/>
      <c r="BY355" s="27"/>
      <c r="CA355" s="27"/>
      <c r="CB355" s="16"/>
      <c r="CC355" s="16"/>
      <c r="CD355" s="27"/>
      <c r="CF355" s="27"/>
      <c r="CG355" s="16"/>
      <c r="CH355" s="16"/>
      <c r="CI355" s="27"/>
      <c r="CK355" s="27"/>
      <c r="CL355" s="16"/>
      <c r="CM355" s="16"/>
      <c r="CN355" s="27"/>
      <c r="CP355" s="27"/>
      <c r="CQ355" s="16"/>
      <c r="CR355" s="16"/>
      <c r="CS355" s="27"/>
      <c r="CU355" s="27"/>
      <c r="CV355" s="16"/>
      <c r="CW355" s="16"/>
      <c r="CX355" s="27"/>
      <c r="CZ355" s="27"/>
      <c r="DA355" s="16"/>
      <c r="DB355" s="16"/>
      <c r="DC355" s="27"/>
      <c r="DE355" s="27"/>
      <c r="DF355" s="16"/>
      <c r="DG355" s="16"/>
      <c r="DH355" s="27"/>
      <c r="DJ355" s="27"/>
      <c r="DK355" s="16"/>
      <c r="DL355" s="16"/>
      <c r="DM355" s="27"/>
      <c r="DO355" s="27"/>
      <c r="DP355" s="16"/>
      <c r="DQ355" s="16"/>
      <c r="DR355" s="27"/>
      <c r="DT355" s="27"/>
      <c r="DU355" s="16"/>
      <c r="DV355" s="16"/>
      <c r="DW355" s="27"/>
      <c r="DY355" s="27"/>
      <c r="DZ355" s="16"/>
      <c r="EA355" s="16"/>
      <c r="EB355" s="302"/>
    </row>
    <row r="356" spans="1:132" s="14" customFormat="1" ht="21" x14ac:dyDescent="0.4">
      <c r="A356" s="27"/>
      <c r="B356" s="27"/>
      <c r="C356" s="27"/>
      <c r="E356" s="16"/>
      <c r="F356" s="27"/>
      <c r="G356" s="27"/>
      <c r="I356" s="27"/>
      <c r="J356" s="16"/>
      <c r="K356" s="16"/>
      <c r="L356" s="27"/>
      <c r="N356" s="27"/>
      <c r="O356" s="16"/>
      <c r="P356" s="16"/>
      <c r="Q356" s="27"/>
      <c r="S356" s="27"/>
      <c r="T356" s="16"/>
      <c r="U356" s="16"/>
      <c r="V356" s="27"/>
      <c r="X356" s="27"/>
      <c r="Y356" s="16"/>
      <c r="Z356" s="16"/>
      <c r="AA356" s="27"/>
      <c r="AC356" s="27"/>
      <c r="AD356" s="16"/>
      <c r="AE356" s="16"/>
      <c r="AF356" s="27"/>
      <c r="AH356" s="27"/>
      <c r="AI356" s="16"/>
      <c r="AJ356" s="16"/>
      <c r="AK356" s="27"/>
      <c r="AM356" s="27"/>
      <c r="AN356" s="16"/>
      <c r="AO356" s="16"/>
      <c r="AP356" s="27"/>
      <c r="AR356" s="27"/>
      <c r="AS356" s="16"/>
      <c r="AT356" s="16"/>
      <c r="AU356" s="27"/>
      <c r="AW356" s="27"/>
      <c r="AX356" s="16"/>
      <c r="AY356" s="16"/>
      <c r="AZ356" s="27"/>
      <c r="BB356" s="27"/>
      <c r="BC356" s="16"/>
      <c r="BD356" s="16"/>
      <c r="BE356" s="27"/>
      <c r="BG356" s="27"/>
      <c r="BH356" s="16"/>
      <c r="BI356" s="16"/>
      <c r="BJ356" s="27"/>
      <c r="BL356" s="27"/>
      <c r="BM356" s="16"/>
      <c r="BN356" s="16"/>
      <c r="BO356" s="27"/>
      <c r="BQ356" s="27"/>
      <c r="BR356" s="16"/>
      <c r="BS356" s="16"/>
      <c r="BT356" s="27"/>
      <c r="BV356" s="27"/>
      <c r="BW356" s="16"/>
      <c r="BX356" s="16"/>
      <c r="BY356" s="27"/>
      <c r="CA356" s="27"/>
      <c r="CB356" s="16"/>
      <c r="CC356" s="16"/>
      <c r="CD356" s="27"/>
      <c r="CF356" s="27"/>
      <c r="CG356" s="16"/>
      <c r="CH356" s="16"/>
      <c r="CI356" s="27"/>
      <c r="CK356" s="27"/>
      <c r="CL356" s="16"/>
      <c r="CM356" s="16"/>
      <c r="CN356" s="27"/>
      <c r="CP356" s="27"/>
      <c r="CQ356" s="16"/>
      <c r="CR356" s="16"/>
      <c r="CS356" s="27"/>
      <c r="CU356" s="27"/>
      <c r="CV356" s="16"/>
      <c r="CW356" s="16"/>
      <c r="CX356" s="27"/>
      <c r="CZ356" s="27"/>
      <c r="DA356" s="16"/>
      <c r="DB356" s="16"/>
      <c r="DC356" s="27"/>
      <c r="DE356" s="27"/>
      <c r="DF356" s="16"/>
      <c r="DG356" s="16"/>
      <c r="DH356" s="27"/>
      <c r="DJ356" s="27"/>
      <c r="DK356" s="16"/>
      <c r="DL356" s="16"/>
      <c r="DM356" s="27"/>
      <c r="DO356" s="27"/>
      <c r="DP356" s="16"/>
      <c r="DQ356" s="16"/>
      <c r="DR356" s="27"/>
      <c r="DT356" s="27"/>
      <c r="DU356" s="16"/>
      <c r="DV356" s="16"/>
      <c r="DW356" s="27"/>
      <c r="DY356" s="27"/>
      <c r="DZ356" s="16"/>
      <c r="EA356" s="16"/>
      <c r="EB356" s="302"/>
    </row>
    <row r="357" spans="1:132" s="14" customFormat="1" ht="21" x14ac:dyDescent="0.4">
      <c r="A357" s="27"/>
      <c r="B357" s="27"/>
      <c r="C357" s="27"/>
      <c r="E357" s="16"/>
      <c r="F357" s="27"/>
      <c r="G357" s="27"/>
      <c r="I357" s="27"/>
      <c r="J357" s="16"/>
      <c r="K357" s="16"/>
      <c r="L357" s="27"/>
      <c r="N357" s="27"/>
      <c r="O357" s="16"/>
      <c r="P357" s="16"/>
      <c r="Q357" s="27"/>
      <c r="S357" s="27"/>
      <c r="T357" s="16"/>
      <c r="U357" s="16"/>
      <c r="V357" s="27"/>
      <c r="X357" s="27"/>
      <c r="Y357" s="16"/>
      <c r="Z357" s="16"/>
      <c r="AA357" s="27"/>
      <c r="AC357" s="27"/>
      <c r="AD357" s="16"/>
      <c r="AE357" s="16"/>
      <c r="AF357" s="27"/>
      <c r="AH357" s="27"/>
      <c r="AI357" s="16"/>
      <c r="AJ357" s="16"/>
      <c r="AK357" s="27"/>
      <c r="AM357" s="27"/>
      <c r="AN357" s="16"/>
      <c r="AO357" s="16"/>
      <c r="AP357" s="27"/>
      <c r="AR357" s="27"/>
      <c r="AS357" s="16"/>
      <c r="AT357" s="16"/>
      <c r="AU357" s="27"/>
      <c r="AW357" s="27"/>
      <c r="AX357" s="16"/>
      <c r="AY357" s="16"/>
      <c r="AZ357" s="27"/>
      <c r="BB357" s="27"/>
      <c r="BC357" s="16"/>
      <c r="BD357" s="16"/>
      <c r="BE357" s="27"/>
      <c r="BG357" s="27"/>
      <c r="BH357" s="16"/>
      <c r="BI357" s="16"/>
      <c r="BJ357" s="27"/>
      <c r="BL357" s="27"/>
      <c r="BM357" s="16"/>
      <c r="BN357" s="16"/>
      <c r="BO357" s="27"/>
      <c r="BQ357" s="27"/>
      <c r="BR357" s="16"/>
      <c r="BS357" s="16"/>
      <c r="BT357" s="27"/>
      <c r="BV357" s="27"/>
      <c r="BW357" s="16"/>
      <c r="BX357" s="16"/>
      <c r="BY357" s="27"/>
      <c r="CA357" s="27"/>
      <c r="CB357" s="16"/>
      <c r="CC357" s="16"/>
      <c r="CD357" s="27"/>
      <c r="CF357" s="27"/>
      <c r="CG357" s="16"/>
      <c r="CH357" s="16"/>
      <c r="CI357" s="27"/>
      <c r="CK357" s="27"/>
      <c r="CL357" s="16"/>
      <c r="CM357" s="16"/>
      <c r="CN357" s="27"/>
      <c r="CP357" s="27"/>
      <c r="CQ357" s="16"/>
      <c r="CR357" s="16"/>
      <c r="CS357" s="27"/>
      <c r="CU357" s="27"/>
      <c r="CV357" s="16"/>
      <c r="CW357" s="16"/>
      <c r="CX357" s="27"/>
      <c r="CZ357" s="27"/>
      <c r="DA357" s="16"/>
      <c r="DB357" s="16"/>
      <c r="DC357" s="27"/>
      <c r="DE357" s="27"/>
      <c r="DF357" s="16"/>
      <c r="DG357" s="16"/>
      <c r="DH357" s="27"/>
      <c r="DJ357" s="27"/>
      <c r="DK357" s="16"/>
      <c r="DL357" s="16"/>
      <c r="DM357" s="27"/>
      <c r="DO357" s="27"/>
      <c r="DP357" s="16"/>
      <c r="DQ357" s="16"/>
      <c r="DR357" s="27"/>
      <c r="DT357" s="27"/>
      <c r="DU357" s="16"/>
      <c r="DV357" s="16"/>
      <c r="DW357" s="27"/>
      <c r="DY357" s="27"/>
      <c r="DZ357" s="16"/>
      <c r="EA357" s="16"/>
      <c r="EB357" s="302"/>
    </row>
    <row r="358" spans="1:132" s="14" customFormat="1" ht="21" x14ac:dyDescent="0.4">
      <c r="A358" s="27"/>
      <c r="B358" s="27"/>
      <c r="C358" s="27"/>
      <c r="E358" s="16"/>
      <c r="F358" s="27"/>
      <c r="G358" s="27"/>
      <c r="I358" s="27"/>
      <c r="J358" s="16"/>
      <c r="K358" s="16"/>
      <c r="L358" s="27"/>
      <c r="N358" s="27"/>
      <c r="O358" s="16"/>
      <c r="P358" s="16"/>
      <c r="Q358" s="27"/>
      <c r="S358" s="27"/>
      <c r="T358" s="16"/>
      <c r="U358" s="16"/>
      <c r="V358" s="27"/>
      <c r="X358" s="27"/>
      <c r="Y358" s="16"/>
      <c r="Z358" s="16"/>
      <c r="AA358" s="27"/>
      <c r="AC358" s="27"/>
      <c r="AD358" s="16"/>
      <c r="AE358" s="16"/>
      <c r="AF358" s="27"/>
      <c r="AH358" s="27"/>
      <c r="AI358" s="16"/>
      <c r="AJ358" s="16"/>
      <c r="AK358" s="27"/>
      <c r="AM358" s="27"/>
      <c r="AN358" s="16"/>
      <c r="AO358" s="16"/>
      <c r="AP358" s="27"/>
      <c r="AR358" s="27"/>
      <c r="AS358" s="16"/>
      <c r="AT358" s="16"/>
      <c r="AU358" s="27"/>
      <c r="AW358" s="27"/>
      <c r="AX358" s="16"/>
      <c r="AY358" s="16"/>
      <c r="AZ358" s="27"/>
      <c r="BB358" s="27"/>
      <c r="BC358" s="16"/>
      <c r="BD358" s="16"/>
      <c r="BE358" s="27"/>
      <c r="BG358" s="27"/>
      <c r="BH358" s="16"/>
      <c r="BI358" s="16"/>
      <c r="BJ358" s="27"/>
      <c r="BL358" s="27"/>
      <c r="BM358" s="16"/>
      <c r="BN358" s="16"/>
      <c r="BO358" s="27"/>
      <c r="BQ358" s="27"/>
      <c r="BR358" s="16"/>
      <c r="BS358" s="16"/>
      <c r="BT358" s="27"/>
      <c r="BV358" s="27"/>
      <c r="BW358" s="16"/>
      <c r="BX358" s="16"/>
      <c r="BY358" s="27"/>
      <c r="CA358" s="27"/>
      <c r="CB358" s="16"/>
      <c r="CC358" s="16"/>
      <c r="CD358" s="27"/>
      <c r="CF358" s="27"/>
      <c r="CG358" s="16"/>
      <c r="CH358" s="16"/>
      <c r="CI358" s="27"/>
      <c r="CK358" s="27"/>
      <c r="CL358" s="16"/>
      <c r="CM358" s="16"/>
      <c r="CN358" s="27"/>
      <c r="CP358" s="27"/>
      <c r="CQ358" s="16"/>
      <c r="CR358" s="16"/>
      <c r="CS358" s="27"/>
      <c r="CU358" s="27"/>
      <c r="CV358" s="16"/>
      <c r="CW358" s="16"/>
      <c r="CX358" s="27"/>
      <c r="CZ358" s="27"/>
      <c r="DA358" s="16"/>
      <c r="DB358" s="16"/>
      <c r="DC358" s="27"/>
      <c r="DE358" s="27"/>
      <c r="DF358" s="16"/>
      <c r="DG358" s="16"/>
      <c r="DH358" s="27"/>
      <c r="DJ358" s="27"/>
      <c r="DK358" s="16"/>
      <c r="DL358" s="16"/>
      <c r="DM358" s="27"/>
      <c r="DO358" s="27"/>
      <c r="DP358" s="16"/>
      <c r="DQ358" s="16"/>
      <c r="DR358" s="27"/>
      <c r="DT358" s="27"/>
      <c r="DU358" s="16"/>
      <c r="DV358" s="16"/>
      <c r="DW358" s="27"/>
      <c r="DY358" s="27"/>
      <c r="DZ358" s="16"/>
      <c r="EA358" s="16"/>
      <c r="EB358" s="302"/>
    </row>
    <row r="359" spans="1:132" s="14" customFormat="1" ht="21" x14ac:dyDescent="0.4">
      <c r="A359" s="27"/>
      <c r="B359" s="27"/>
      <c r="C359" s="27"/>
      <c r="E359" s="16"/>
      <c r="F359" s="27"/>
      <c r="G359" s="27"/>
      <c r="I359" s="27"/>
      <c r="J359" s="16"/>
      <c r="K359" s="16"/>
      <c r="L359" s="27"/>
      <c r="N359" s="27"/>
      <c r="O359" s="16"/>
      <c r="P359" s="16"/>
      <c r="Q359" s="27"/>
      <c r="S359" s="27"/>
      <c r="T359" s="16"/>
      <c r="U359" s="16"/>
      <c r="V359" s="27"/>
      <c r="X359" s="27"/>
      <c r="Y359" s="16"/>
      <c r="Z359" s="16"/>
      <c r="AA359" s="27"/>
      <c r="AC359" s="27"/>
      <c r="AD359" s="16"/>
      <c r="AE359" s="16"/>
      <c r="AF359" s="27"/>
      <c r="AH359" s="27"/>
      <c r="AI359" s="16"/>
      <c r="AJ359" s="16"/>
      <c r="AK359" s="27"/>
      <c r="AM359" s="27"/>
      <c r="AN359" s="16"/>
      <c r="AO359" s="16"/>
      <c r="AP359" s="27"/>
      <c r="AR359" s="27"/>
      <c r="AS359" s="16"/>
      <c r="AT359" s="16"/>
      <c r="AU359" s="27"/>
      <c r="AW359" s="27"/>
      <c r="AX359" s="16"/>
      <c r="AY359" s="16"/>
      <c r="AZ359" s="27"/>
      <c r="BB359" s="27"/>
      <c r="BC359" s="16"/>
      <c r="BD359" s="16"/>
      <c r="BE359" s="27"/>
      <c r="BG359" s="27"/>
      <c r="BH359" s="16"/>
      <c r="BI359" s="16"/>
      <c r="BJ359" s="27"/>
      <c r="BL359" s="27"/>
      <c r="BM359" s="16"/>
      <c r="BN359" s="16"/>
      <c r="BO359" s="27"/>
      <c r="BQ359" s="27"/>
      <c r="BR359" s="16"/>
      <c r="BS359" s="16"/>
      <c r="BT359" s="27"/>
      <c r="BV359" s="27"/>
      <c r="BW359" s="16"/>
      <c r="BX359" s="16"/>
      <c r="BY359" s="27"/>
      <c r="CA359" s="27"/>
      <c r="CB359" s="16"/>
      <c r="CC359" s="16"/>
      <c r="CD359" s="27"/>
      <c r="CF359" s="27"/>
      <c r="CG359" s="16"/>
      <c r="CH359" s="16"/>
      <c r="CI359" s="27"/>
      <c r="CK359" s="27"/>
      <c r="CL359" s="16"/>
      <c r="CM359" s="16"/>
      <c r="CN359" s="27"/>
      <c r="CP359" s="27"/>
      <c r="CQ359" s="16"/>
      <c r="CR359" s="16"/>
      <c r="CS359" s="27"/>
      <c r="CU359" s="27"/>
      <c r="CV359" s="16"/>
      <c r="CW359" s="16"/>
      <c r="CX359" s="27"/>
      <c r="CZ359" s="27"/>
      <c r="DA359" s="16"/>
      <c r="DB359" s="16"/>
      <c r="DC359" s="27"/>
      <c r="DE359" s="27"/>
      <c r="DF359" s="16"/>
      <c r="DG359" s="16"/>
      <c r="DH359" s="27"/>
      <c r="DJ359" s="27"/>
      <c r="DK359" s="16"/>
      <c r="DL359" s="16"/>
      <c r="DM359" s="27"/>
      <c r="DO359" s="27"/>
      <c r="DP359" s="16"/>
      <c r="DQ359" s="16"/>
      <c r="DR359" s="27"/>
      <c r="DT359" s="27"/>
      <c r="DU359" s="16"/>
      <c r="DV359" s="16"/>
      <c r="DW359" s="27"/>
      <c r="DY359" s="27"/>
      <c r="DZ359" s="16"/>
      <c r="EA359" s="16"/>
      <c r="EB359" s="302"/>
    </row>
    <row r="360" spans="1:132" s="14" customFormat="1" ht="21" x14ac:dyDescent="0.4">
      <c r="A360" s="27"/>
      <c r="B360" s="27"/>
      <c r="C360" s="27"/>
      <c r="E360" s="16"/>
      <c r="F360" s="27"/>
      <c r="G360" s="27"/>
      <c r="I360" s="27"/>
      <c r="J360" s="16"/>
      <c r="K360" s="16"/>
      <c r="L360" s="27"/>
      <c r="N360" s="27"/>
      <c r="O360" s="16"/>
      <c r="P360" s="16"/>
      <c r="Q360" s="27"/>
      <c r="S360" s="27"/>
      <c r="T360" s="16"/>
      <c r="U360" s="16"/>
      <c r="V360" s="27"/>
      <c r="X360" s="27"/>
      <c r="Y360" s="16"/>
      <c r="Z360" s="16"/>
      <c r="AA360" s="27"/>
      <c r="AC360" s="27"/>
      <c r="AD360" s="16"/>
      <c r="AE360" s="16"/>
      <c r="AF360" s="27"/>
      <c r="AH360" s="27"/>
      <c r="AI360" s="16"/>
      <c r="AJ360" s="16"/>
      <c r="AK360" s="27"/>
      <c r="AM360" s="27"/>
      <c r="AN360" s="16"/>
      <c r="AO360" s="16"/>
      <c r="AP360" s="27"/>
      <c r="AR360" s="27"/>
      <c r="AS360" s="16"/>
      <c r="AT360" s="16"/>
      <c r="AU360" s="27"/>
      <c r="AW360" s="27"/>
      <c r="AX360" s="16"/>
      <c r="AY360" s="16"/>
      <c r="AZ360" s="27"/>
      <c r="BB360" s="27"/>
      <c r="BC360" s="16"/>
      <c r="BD360" s="16"/>
      <c r="BE360" s="27"/>
      <c r="BG360" s="27"/>
      <c r="BH360" s="16"/>
      <c r="BI360" s="16"/>
      <c r="BJ360" s="27"/>
      <c r="BL360" s="27"/>
      <c r="BM360" s="16"/>
      <c r="BN360" s="16"/>
      <c r="BO360" s="27"/>
      <c r="BQ360" s="27"/>
      <c r="BR360" s="16"/>
      <c r="BS360" s="16"/>
      <c r="BT360" s="27"/>
      <c r="BV360" s="27"/>
      <c r="BW360" s="16"/>
      <c r="BX360" s="16"/>
      <c r="BY360" s="27"/>
      <c r="CA360" s="27"/>
      <c r="CB360" s="16"/>
      <c r="CC360" s="16"/>
      <c r="CD360" s="27"/>
      <c r="CF360" s="27"/>
      <c r="CG360" s="16"/>
      <c r="CH360" s="16"/>
      <c r="CI360" s="27"/>
      <c r="CK360" s="27"/>
      <c r="CL360" s="16"/>
      <c r="CM360" s="16"/>
      <c r="CN360" s="27"/>
      <c r="CP360" s="27"/>
      <c r="CQ360" s="16"/>
      <c r="CR360" s="16"/>
      <c r="CS360" s="27"/>
      <c r="CU360" s="27"/>
      <c r="CV360" s="16"/>
      <c r="CW360" s="16"/>
      <c r="CX360" s="27"/>
      <c r="CZ360" s="27"/>
      <c r="DA360" s="16"/>
      <c r="DB360" s="16"/>
      <c r="DC360" s="27"/>
      <c r="DE360" s="27"/>
      <c r="DF360" s="16"/>
      <c r="DG360" s="16"/>
      <c r="DH360" s="27"/>
      <c r="DJ360" s="27"/>
      <c r="DK360" s="16"/>
      <c r="DL360" s="16"/>
      <c r="DM360" s="27"/>
      <c r="DO360" s="27"/>
      <c r="DP360" s="16"/>
      <c r="DQ360" s="16"/>
      <c r="DR360" s="27"/>
      <c r="DT360" s="27"/>
      <c r="DU360" s="16"/>
      <c r="DV360" s="16"/>
      <c r="DW360" s="27"/>
      <c r="DY360" s="27"/>
      <c r="DZ360" s="16"/>
      <c r="EA360" s="16"/>
      <c r="EB360" s="302"/>
    </row>
    <row r="361" spans="1:132" s="14" customFormat="1" ht="21" x14ac:dyDescent="0.4">
      <c r="A361" s="27"/>
      <c r="B361" s="27"/>
      <c r="C361" s="27"/>
      <c r="E361" s="16"/>
      <c r="F361" s="27"/>
      <c r="G361" s="27"/>
      <c r="I361" s="27"/>
      <c r="J361" s="16"/>
      <c r="K361" s="16"/>
      <c r="L361" s="27"/>
      <c r="N361" s="27"/>
      <c r="O361" s="16"/>
      <c r="P361" s="16"/>
      <c r="Q361" s="27"/>
      <c r="S361" s="27"/>
      <c r="T361" s="16"/>
      <c r="U361" s="16"/>
      <c r="V361" s="27"/>
      <c r="X361" s="27"/>
      <c r="Y361" s="16"/>
      <c r="Z361" s="16"/>
      <c r="AA361" s="27"/>
      <c r="AC361" s="27"/>
      <c r="AD361" s="16"/>
      <c r="AE361" s="16"/>
      <c r="AF361" s="27"/>
      <c r="AH361" s="27"/>
      <c r="AI361" s="16"/>
      <c r="AJ361" s="16"/>
      <c r="AK361" s="27"/>
      <c r="AM361" s="27"/>
      <c r="AN361" s="16"/>
      <c r="AO361" s="16"/>
      <c r="AP361" s="27"/>
      <c r="AR361" s="27"/>
      <c r="AS361" s="16"/>
      <c r="AT361" s="16"/>
      <c r="AU361" s="27"/>
      <c r="AW361" s="27"/>
      <c r="AX361" s="16"/>
      <c r="AY361" s="16"/>
      <c r="AZ361" s="27"/>
      <c r="BB361" s="27"/>
      <c r="BC361" s="16"/>
      <c r="BD361" s="16"/>
      <c r="BE361" s="27"/>
      <c r="BG361" s="27"/>
      <c r="BH361" s="16"/>
      <c r="BI361" s="16"/>
      <c r="BJ361" s="27"/>
      <c r="BL361" s="27"/>
      <c r="BM361" s="16"/>
      <c r="BN361" s="16"/>
      <c r="BO361" s="27"/>
      <c r="BQ361" s="27"/>
      <c r="BR361" s="16"/>
      <c r="BS361" s="16"/>
      <c r="BT361" s="27"/>
      <c r="BV361" s="27"/>
      <c r="BW361" s="16"/>
      <c r="BX361" s="16"/>
      <c r="BY361" s="27"/>
      <c r="CA361" s="27"/>
      <c r="CB361" s="16"/>
      <c r="CC361" s="16"/>
      <c r="CD361" s="27"/>
      <c r="CF361" s="27"/>
      <c r="CG361" s="16"/>
      <c r="CH361" s="16"/>
      <c r="CI361" s="27"/>
      <c r="CK361" s="27"/>
      <c r="CL361" s="16"/>
      <c r="CM361" s="16"/>
      <c r="CN361" s="27"/>
      <c r="CP361" s="27"/>
      <c r="CQ361" s="16"/>
      <c r="CR361" s="16"/>
      <c r="CS361" s="27"/>
      <c r="CU361" s="27"/>
      <c r="CV361" s="16"/>
      <c r="CW361" s="16"/>
      <c r="CX361" s="27"/>
      <c r="CZ361" s="27"/>
      <c r="DA361" s="16"/>
      <c r="DB361" s="16"/>
      <c r="DC361" s="27"/>
      <c r="DE361" s="27"/>
      <c r="DF361" s="16"/>
      <c r="DG361" s="16"/>
      <c r="DH361" s="27"/>
      <c r="DJ361" s="27"/>
      <c r="DK361" s="16"/>
      <c r="DL361" s="16"/>
      <c r="DM361" s="27"/>
      <c r="DO361" s="27"/>
      <c r="DP361" s="16"/>
      <c r="DQ361" s="16"/>
      <c r="DR361" s="27"/>
      <c r="DT361" s="27"/>
      <c r="DU361" s="16"/>
      <c r="DV361" s="16"/>
      <c r="DW361" s="27"/>
      <c r="DY361" s="27"/>
      <c r="DZ361" s="16"/>
      <c r="EA361" s="16"/>
      <c r="EB361" s="302"/>
    </row>
    <row r="362" spans="1:132" s="14" customFormat="1" ht="21" x14ac:dyDescent="0.4">
      <c r="A362" s="27"/>
      <c r="B362" s="27"/>
      <c r="C362" s="27"/>
      <c r="E362" s="16"/>
      <c r="F362" s="27"/>
      <c r="G362" s="27"/>
      <c r="I362" s="27"/>
      <c r="J362" s="16"/>
      <c r="K362" s="16"/>
      <c r="L362" s="27"/>
      <c r="N362" s="27"/>
      <c r="O362" s="16"/>
      <c r="P362" s="16"/>
      <c r="Q362" s="27"/>
      <c r="S362" s="27"/>
      <c r="T362" s="16"/>
      <c r="U362" s="16"/>
      <c r="V362" s="27"/>
      <c r="X362" s="27"/>
      <c r="Y362" s="16"/>
      <c r="Z362" s="16"/>
      <c r="AA362" s="27"/>
      <c r="AC362" s="27"/>
      <c r="AD362" s="16"/>
      <c r="AE362" s="16"/>
      <c r="AF362" s="27"/>
      <c r="AH362" s="27"/>
      <c r="AI362" s="16"/>
      <c r="AJ362" s="16"/>
      <c r="AK362" s="27"/>
      <c r="AM362" s="27"/>
      <c r="AN362" s="16"/>
      <c r="AO362" s="16"/>
      <c r="AP362" s="27"/>
      <c r="AR362" s="27"/>
      <c r="AS362" s="16"/>
      <c r="AT362" s="16"/>
      <c r="AU362" s="27"/>
      <c r="AW362" s="27"/>
      <c r="AX362" s="16"/>
      <c r="AY362" s="16"/>
      <c r="AZ362" s="27"/>
      <c r="BB362" s="27"/>
      <c r="BC362" s="16"/>
      <c r="BD362" s="16"/>
      <c r="BE362" s="27"/>
      <c r="BG362" s="27"/>
      <c r="BH362" s="16"/>
      <c r="BI362" s="16"/>
      <c r="BJ362" s="27"/>
      <c r="BL362" s="27"/>
      <c r="BM362" s="16"/>
      <c r="BN362" s="16"/>
      <c r="BO362" s="27"/>
      <c r="BQ362" s="27"/>
      <c r="BR362" s="16"/>
      <c r="BS362" s="16"/>
      <c r="BT362" s="27"/>
      <c r="BV362" s="27"/>
      <c r="BW362" s="16"/>
      <c r="BX362" s="16"/>
      <c r="BY362" s="27"/>
      <c r="CA362" s="27"/>
      <c r="CB362" s="16"/>
      <c r="CC362" s="16"/>
      <c r="CD362" s="27"/>
      <c r="CF362" s="27"/>
      <c r="CG362" s="16"/>
      <c r="CH362" s="16"/>
      <c r="CI362" s="27"/>
      <c r="CK362" s="27"/>
      <c r="CL362" s="16"/>
      <c r="CM362" s="16"/>
      <c r="CN362" s="27"/>
      <c r="CP362" s="27"/>
      <c r="CQ362" s="16"/>
      <c r="CR362" s="16"/>
      <c r="CS362" s="27"/>
      <c r="CU362" s="27"/>
      <c r="CV362" s="16"/>
      <c r="CW362" s="16"/>
      <c r="CX362" s="27"/>
      <c r="CZ362" s="27"/>
      <c r="DA362" s="16"/>
      <c r="DB362" s="16"/>
      <c r="DC362" s="27"/>
      <c r="DE362" s="27"/>
      <c r="DF362" s="16"/>
      <c r="DG362" s="16"/>
      <c r="DH362" s="27"/>
      <c r="DJ362" s="27"/>
      <c r="DK362" s="16"/>
      <c r="DL362" s="16"/>
      <c r="DM362" s="27"/>
      <c r="DO362" s="27"/>
      <c r="DP362" s="16"/>
      <c r="DQ362" s="16"/>
      <c r="DR362" s="27"/>
      <c r="DT362" s="27"/>
      <c r="DU362" s="16"/>
      <c r="DV362" s="16"/>
      <c r="DW362" s="27"/>
      <c r="DY362" s="27"/>
      <c r="DZ362" s="16"/>
      <c r="EA362" s="16"/>
      <c r="EB362" s="302"/>
    </row>
    <row r="363" spans="1:132" s="14" customFormat="1" ht="21" x14ac:dyDescent="0.4">
      <c r="A363" s="27"/>
      <c r="B363" s="27"/>
      <c r="C363" s="27"/>
      <c r="E363" s="16"/>
      <c r="F363" s="27"/>
      <c r="G363" s="27"/>
      <c r="I363" s="27"/>
      <c r="J363" s="16"/>
      <c r="K363" s="16"/>
      <c r="L363" s="27"/>
      <c r="N363" s="27"/>
      <c r="O363" s="16"/>
      <c r="P363" s="16"/>
      <c r="Q363" s="27"/>
      <c r="S363" s="27"/>
      <c r="T363" s="16"/>
      <c r="U363" s="16"/>
      <c r="V363" s="27"/>
      <c r="X363" s="27"/>
      <c r="Y363" s="16"/>
      <c r="Z363" s="16"/>
      <c r="AA363" s="27"/>
      <c r="AC363" s="27"/>
      <c r="AD363" s="16"/>
      <c r="AE363" s="16"/>
      <c r="AF363" s="27"/>
      <c r="AH363" s="27"/>
      <c r="AI363" s="16"/>
      <c r="AJ363" s="16"/>
      <c r="AK363" s="27"/>
      <c r="AM363" s="27"/>
      <c r="AN363" s="16"/>
      <c r="AO363" s="16"/>
      <c r="AP363" s="27"/>
      <c r="AR363" s="27"/>
      <c r="AS363" s="16"/>
      <c r="AT363" s="16"/>
      <c r="AU363" s="27"/>
      <c r="AW363" s="27"/>
      <c r="AX363" s="16"/>
      <c r="AY363" s="16"/>
      <c r="AZ363" s="27"/>
      <c r="BB363" s="27"/>
      <c r="BC363" s="16"/>
      <c r="BD363" s="16"/>
      <c r="BE363" s="27"/>
      <c r="BG363" s="27"/>
      <c r="BH363" s="16"/>
      <c r="BI363" s="16"/>
      <c r="BJ363" s="27"/>
      <c r="BL363" s="27"/>
      <c r="BM363" s="16"/>
      <c r="BN363" s="16"/>
      <c r="BO363" s="27"/>
      <c r="BQ363" s="27"/>
      <c r="BR363" s="16"/>
      <c r="BS363" s="16"/>
      <c r="BT363" s="27"/>
      <c r="BV363" s="27"/>
      <c r="BW363" s="16"/>
      <c r="BX363" s="16"/>
      <c r="BY363" s="27"/>
      <c r="CA363" s="27"/>
      <c r="CB363" s="16"/>
      <c r="CC363" s="16"/>
      <c r="CD363" s="27"/>
      <c r="CF363" s="27"/>
      <c r="CG363" s="16"/>
      <c r="CH363" s="16"/>
      <c r="CI363" s="27"/>
      <c r="CK363" s="27"/>
      <c r="CL363" s="16"/>
      <c r="CM363" s="16"/>
      <c r="CN363" s="27"/>
      <c r="CP363" s="27"/>
      <c r="CQ363" s="16"/>
      <c r="CR363" s="16"/>
      <c r="CS363" s="27"/>
      <c r="CU363" s="27"/>
      <c r="CV363" s="16"/>
      <c r="CW363" s="16"/>
      <c r="CX363" s="27"/>
      <c r="CZ363" s="27"/>
      <c r="DA363" s="16"/>
      <c r="DB363" s="16"/>
      <c r="DC363" s="27"/>
      <c r="DE363" s="27"/>
      <c r="DF363" s="16"/>
      <c r="DG363" s="16"/>
      <c r="DH363" s="27"/>
      <c r="DJ363" s="27"/>
      <c r="DK363" s="16"/>
      <c r="DL363" s="16"/>
      <c r="DM363" s="27"/>
      <c r="DO363" s="27"/>
      <c r="DP363" s="16"/>
      <c r="DQ363" s="16"/>
      <c r="DR363" s="27"/>
      <c r="DT363" s="27"/>
      <c r="DU363" s="16"/>
      <c r="DV363" s="16"/>
      <c r="DW363" s="27"/>
      <c r="DY363" s="27"/>
      <c r="DZ363" s="16"/>
      <c r="EA363" s="16"/>
      <c r="EB363" s="302"/>
    </row>
    <row r="364" spans="1:132" s="14" customFormat="1" ht="21" x14ac:dyDescent="0.4">
      <c r="A364" s="27"/>
      <c r="B364" s="27"/>
      <c r="C364" s="27"/>
      <c r="E364" s="16"/>
      <c r="F364" s="27"/>
      <c r="G364" s="27"/>
      <c r="I364" s="27"/>
      <c r="J364" s="16"/>
      <c r="K364" s="16"/>
      <c r="L364" s="27"/>
      <c r="N364" s="27"/>
      <c r="O364" s="16"/>
      <c r="P364" s="16"/>
      <c r="Q364" s="27"/>
      <c r="S364" s="27"/>
      <c r="T364" s="16"/>
      <c r="U364" s="16"/>
      <c r="V364" s="27"/>
      <c r="X364" s="27"/>
      <c r="Y364" s="16"/>
      <c r="Z364" s="16"/>
      <c r="AA364" s="27"/>
      <c r="AC364" s="27"/>
      <c r="AD364" s="16"/>
      <c r="AE364" s="16"/>
      <c r="AF364" s="27"/>
      <c r="AH364" s="27"/>
      <c r="AI364" s="16"/>
      <c r="AJ364" s="16"/>
      <c r="AK364" s="27"/>
      <c r="AM364" s="27"/>
      <c r="AN364" s="16"/>
      <c r="AO364" s="16"/>
      <c r="AP364" s="27"/>
      <c r="AR364" s="27"/>
      <c r="AS364" s="16"/>
      <c r="AT364" s="16"/>
      <c r="AU364" s="27"/>
      <c r="AW364" s="27"/>
      <c r="AX364" s="16"/>
      <c r="AY364" s="16"/>
      <c r="AZ364" s="27"/>
      <c r="BB364" s="27"/>
      <c r="BC364" s="16"/>
      <c r="BD364" s="16"/>
      <c r="BE364" s="27"/>
      <c r="BG364" s="27"/>
      <c r="BH364" s="16"/>
      <c r="BI364" s="16"/>
      <c r="BJ364" s="27"/>
      <c r="BL364" s="27"/>
      <c r="BM364" s="16"/>
      <c r="BN364" s="16"/>
      <c r="BO364" s="27"/>
      <c r="BQ364" s="27"/>
      <c r="BR364" s="16"/>
      <c r="BS364" s="16"/>
      <c r="BT364" s="27"/>
      <c r="BV364" s="27"/>
      <c r="BW364" s="16"/>
      <c r="BX364" s="16"/>
      <c r="BY364" s="27"/>
      <c r="CA364" s="27"/>
      <c r="CB364" s="16"/>
      <c r="CC364" s="16"/>
      <c r="CD364" s="27"/>
      <c r="CF364" s="27"/>
      <c r="CG364" s="16"/>
      <c r="CH364" s="16"/>
      <c r="CI364" s="27"/>
      <c r="CK364" s="27"/>
      <c r="CL364" s="16"/>
      <c r="CM364" s="16"/>
      <c r="CN364" s="27"/>
      <c r="CP364" s="27"/>
      <c r="CQ364" s="16"/>
      <c r="CR364" s="16"/>
      <c r="CS364" s="27"/>
      <c r="CU364" s="27"/>
      <c r="CV364" s="16"/>
      <c r="CW364" s="16"/>
      <c r="CX364" s="27"/>
      <c r="CZ364" s="27"/>
      <c r="DA364" s="16"/>
      <c r="DB364" s="16"/>
      <c r="DC364" s="27"/>
      <c r="DE364" s="27"/>
      <c r="DF364" s="16"/>
      <c r="DG364" s="16"/>
      <c r="DH364" s="27"/>
      <c r="DJ364" s="27"/>
      <c r="DK364" s="16"/>
      <c r="DL364" s="16"/>
      <c r="DM364" s="27"/>
      <c r="DO364" s="27"/>
      <c r="DP364" s="16"/>
      <c r="DQ364" s="16"/>
      <c r="DR364" s="27"/>
      <c r="DT364" s="27"/>
      <c r="DU364" s="16"/>
      <c r="DV364" s="16"/>
      <c r="DW364" s="27"/>
      <c r="DY364" s="27"/>
      <c r="DZ364" s="16"/>
      <c r="EA364" s="16"/>
      <c r="EB364" s="302"/>
    </row>
    <row r="365" spans="1:132" s="14" customFormat="1" ht="21" x14ac:dyDescent="0.4">
      <c r="A365" s="27"/>
      <c r="B365" s="27"/>
      <c r="C365" s="27"/>
      <c r="E365" s="16"/>
      <c r="F365" s="27"/>
      <c r="G365" s="27"/>
      <c r="I365" s="27"/>
      <c r="J365" s="16"/>
      <c r="K365" s="16"/>
      <c r="L365" s="27"/>
      <c r="N365" s="27"/>
      <c r="O365" s="16"/>
      <c r="P365" s="16"/>
      <c r="Q365" s="27"/>
      <c r="S365" s="27"/>
      <c r="T365" s="16"/>
      <c r="U365" s="16"/>
      <c r="V365" s="27"/>
      <c r="X365" s="27"/>
      <c r="Y365" s="16"/>
      <c r="Z365" s="16"/>
      <c r="AA365" s="27"/>
      <c r="AC365" s="27"/>
      <c r="AD365" s="16"/>
      <c r="AE365" s="16"/>
      <c r="AF365" s="27"/>
      <c r="AH365" s="27"/>
      <c r="AI365" s="16"/>
      <c r="AJ365" s="16"/>
      <c r="AK365" s="27"/>
      <c r="AM365" s="27"/>
      <c r="AN365" s="16"/>
      <c r="AO365" s="16"/>
      <c r="AP365" s="27"/>
      <c r="AR365" s="27"/>
      <c r="AS365" s="16"/>
      <c r="AT365" s="16"/>
      <c r="AU365" s="27"/>
      <c r="AW365" s="27"/>
      <c r="AX365" s="16"/>
      <c r="AY365" s="16"/>
      <c r="AZ365" s="27"/>
      <c r="BB365" s="27"/>
      <c r="BC365" s="16"/>
      <c r="BD365" s="16"/>
      <c r="BE365" s="27"/>
      <c r="BG365" s="27"/>
      <c r="BH365" s="16"/>
      <c r="BI365" s="16"/>
      <c r="BJ365" s="27"/>
      <c r="BL365" s="27"/>
      <c r="BM365" s="16"/>
      <c r="BN365" s="16"/>
      <c r="BO365" s="27"/>
      <c r="BQ365" s="27"/>
      <c r="BR365" s="16"/>
      <c r="BS365" s="16"/>
      <c r="BT365" s="27"/>
      <c r="BV365" s="27"/>
      <c r="BW365" s="16"/>
      <c r="BX365" s="16"/>
      <c r="BY365" s="27"/>
      <c r="CA365" s="27"/>
      <c r="CB365" s="16"/>
      <c r="CC365" s="16"/>
      <c r="CD365" s="27"/>
      <c r="CF365" s="27"/>
      <c r="CG365" s="16"/>
      <c r="CH365" s="16"/>
      <c r="CI365" s="27"/>
      <c r="CK365" s="27"/>
      <c r="CL365" s="16"/>
      <c r="CM365" s="16"/>
      <c r="CN365" s="27"/>
      <c r="CP365" s="27"/>
      <c r="CQ365" s="16"/>
      <c r="CR365" s="16"/>
      <c r="CS365" s="27"/>
      <c r="CU365" s="27"/>
      <c r="CV365" s="16"/>
      <c r="CW365" s="16"/>
      <c r="CX365" s="27"/>
      <c r="CZ365" s="27"/>
      <c r="DA365" s="16"/>
      <c r="DB365" s="16"/>
      <c r="DC365" s="27"/>
      <c r="DE365" s="27"/>
      <c r="DF365" s="16"/>
      <c r="DG365" s="16"/>
      <c r="DH365" s="27"/>
      <c r="DJ365" s="27"/>
      <c r="DK365" s="16"/>
      <c r="DL365" s="16"/>
      <c r="DM365" s="27"/>
      <c r="DO365" s="27"/>
      <c r="DP365" s="16"/>
      <c r="DQ365" s="16"/>
      <c r="DR365" s="27"/>
      <c r="DT365" s="27"/>
      <c r="DU365" s="16"/>
      <c r="DV365" s="16"/>
      <c r="DW365" s="27"/>
      <c r="DY365" s="27"/>
      <c r="DZ365" s="16"/>
      <c r="EA365" s="16"/>
      <c r="EB365" s="302"/>
    </row>
    <row r="366" spans="1:132" s="14" customFormat="1" ht="21" x14ac:dyDescent="0.4">
      <c r="A366" s="27"/>
      <c r="B366" s="27"/>
      <c r="C366" s="27"/>
      <c r="E366" s="16"/>
      <c r="F366" s="27"/>
      <c r="G366" s="27"/>
      <c r="I366" s="27"/>
      <c r="J366" s="16"/>
      <c r="K366" s="16"/>
      <c r="L366" s="27"/>
      <c r="N366" s="27"/>
      <c r="O366" s="16"/>
      <c r="P366" s="16"/>
      <c r="Q366" s="27"/>
      <c r="S366" s="27"/>
      <c r="T366" s="16"/>
      <c r="U366" s="16"/>
      <c r="V366" s="27"/>
      <c r="X366" s="27"/>
      <c r="Y366" s="16"/>
      <c r="Z366" s="16"/>
      <c r="AA366" s="27"/>
      <c r="AC366" s="27"/>
      <c r="AD366" s="16"/>
      <c r="AE366" s="16"/>
      <c r="AF366" s="27"/>
      <c r="AH366" s="27"/>
      <c r="AI366" s="16"/>
      <c r="AJ366" s="16"/>
      <c r="AK366" s="27"/>
      <c r="AM366" s="27"/>
      <c r="AN366" s="16"/>
      <c r="AO366" s="16"/>
      <c r="AP366" s="27"/>
      <c r="AR366" s="27"/>
      <c r="AS366" s="16"/>
      <c r="AT366" s="16"/>
      <c r="AU366" s="27"/>
      <c r="AW366" s="27"/>
      <c r="AX366" s="16"/>
      <c r="AY366" s="16"/>
      <c r="AZ366" s="27"/>
      <c r="BB366" s="27"/>
      <c r="BC366" s="16"/>
      <c r="BD366" s="16"/>
      <c r="BE366" s="27"/>
      <c r="BG366" s="27"/>
      <c r="BH366" s="16"/>
      <c r="BI366" s="16"/>
      <c r="BJ366" s="27"/>
      <c r="BL366" s="27"/>
      <c r="BM366" s="16"/>
      <c r="BN366" s="16"/>
      <c r="BO366" s="27"/>
      <c r="BQ366" s="27"/>
      <c r="BR366" s="16"/>
      <c r="BS366" s="16"/>
      <c r="BT366" s="27"/>
      <c r="BV366" s="27"/>
      <c r="BW366" s="16"/>
      <c r="BX366" s="16"/>
      <c r="BY366" s="27"/>
      <c r="CA366" s="27"/>
      <c r="CB366" s="16"/>
      <c r="CC366" s="16"/>
      <c r="CD366" s="27"/>
      <c r="CF366" s="27"/>
      <c r="CG366" s="16"/>
      <c r="CH366" s="16"/>
      <c r="CI366" s="27"/>
      <c r="CK366" s="27"/>
      <c r="CL366" s="16"/>
      <c r="CM366" s="16"/>
      <c r="CN366" s="27"/>
      <c r="CP366" s="27"/>
      <c r="CQ366" s="16"/>
      <c r="CR366" s="16"/>
      <c r="CS366" s="27"/>
      <c r="CU366" s="27"/>
      <c r="CV366" s="16"/>
      <c r="CW366" s="16"/>
      <c r="CX366" s="27"/>
      <c r="CZ366" s="27"/>
      <c r="DA366" s="16"/>
      <c r="DB366" s="16"/>
      <c r="DC366" s="27"/>
      <c r="DE366" s="27"/>
      <c r="DF366" s="16"/>
      <c r="DG366" s="16"/>
      <c r="DH366" s="27"/>
      <c r="DJ366" s="27"/>
      <c r="DK366" s="16"/>
      <c r="DL366" s="16"/>
      <c r="DM366" s="27"/>
      <c r="DO366" s="27"/>
      <c r="DP366" s="16"/>
      <c r="DQ366" s="16"/>
      <c r="DR366" s="27"/>
      <c r="DT366" s="27"/>
      <c r="DU366" s="16"/>
      <c r="DV366" s="16"/>
      <c r="DW366" s="27"/>
      <c r="DY366" s="27"/>
      <c r="DZ366" s="16"/>
      <c r="EA366" s="16"/>
      <c r="EB366" s="302"/>
    </row>
    <row r="367" spans="1:132" s="14" customFormat="1" ht="21" x14ac:dyDescent="0.4">
      <c r="A367" s="27"/>
      <c r="B367" s="27"/>
      <c r="C367" s="27"/>
      <c r="E367" s="16"/>
      <c r="F367" s="27"/>
      <c r="G367" s="27"/>
      <c r="I367" s="27"/>
      <c r="J367" s="16"/>
      <c r="K367" s="16"/>
      <c r="L367" s="27"/>
      <c r="N367" s="27"/>
      <c r="O367" s="16"/>
      <c r="P367" s="16"/>
      <c r="Q367" s="27"/>
      <c r="S367" s="27"/>
      <c r="T367" s="16"/>
      <c r="U367" s="16"/>
      <c r="V367" s="27"/>
      <c r="X367" s="27"/>
      <c r="Y367" s="16"/>
      <c r="Z367" s="16"/>
      <c r="AA367" s="27"/>
      <c r="AC367" s="27"/>
      <c r="AD367" s="16"/>
      <c r="AE367" s="16"/>
      <c r="AF367" s="27"/>
      <c r="AH367" s="27"/>
      <c r="AI367" s="16"/>
      <c r="AJ367" s="16"/>
      <c r="AK367" s="27"/>
      <c r="AM367" s="27"/>
      <c r="AN367" s="16"/>
      <c r="AO367" s="16"/>
      <c r="AP367" s="27"/>
      <c r="AR367" s="27"/>
      <c r="AS367" s="16"/>
      <c r="AT367" s="16"/>
      <c r="AU367" s="27"/>
      <c r="AW367" s="27"/>
      <c r="AX367" s="16"/>
      <c r="AY367" s="16"/>
      <c r="AZ367" s="27"/>
      <c r="BB367" s="27"/>
      <c r="BC367" s="16"/>
      <c r="BD367" s="16"/>
      <c r="BE367" s="27"/>
      <c r="BG367" s="27"/>
      <c r="BH367" s="16"/>
      <c r="BI367" s="16"/>
      <c r="BJ367" s="27"/>
      <c r="BL367" s="27"/>
      <c r="BM367" s="16"/>
      <c r="BN367" s="16"/>
      <c r="BO367" s="27"/>
      <c r="BQ367" s="27"/>
      <c r="BR367" s="16"/>
      <c r="BS367" s="16"/>
      <c r="BT367" s="27"/>
      <c r="BV367" s="27"/>
      <c r="BW367" s="16"/>
      <c r="BX367" s="16"/>
      <c r="BY367" s="27"/>
      <c r="CA367" s="27"/>
      <c r="CB367" s="16"/>
      <c r="CC367" s="16"/>
      <c r="CD367" s="27"/>
      <c r="CF367" s="27"/>
      <c r="CG367" s="16"/>
      <c r="CH367" s="16"/>
      <c r="CI367" s="27"/>
      <c r="CK367" s="27"/>
      <c r="CL367" s="16"/>
      <c r="CM367" s="16"/>
      <c r="CN367" s="27"/>
      <c r="CP367" s="27"/>
      <c r="CQ367" s="16"/>
      <c r="CR367" s="16"/>
      <c r="CS367" s="27"/>
      <c r="CU367" s="27"/>
      <c r="CV367" s="16"/>
      <c r="CW367" s="16"/>
      <c r="CX367" s="27"/>
      <c r="CZ367" s="27"/>
      <c r="DA367" s="16"/>
      <c r="DB367" s="16"/>
      <c r="DC367" s="27"/>
      <c r="DE367" s="27"/>
      <c r="DF367" s="16"/>
      <c r="DG367" s="16"/>
      <c r="DH367" s="27"/>
      <c r="DJ367" s="27"/>
      <c r="DK367" s="16"/>
      <c r="DL367" s="16"/>
      <c r="DM367" s="27"/>
      <c r="DO367" s="27"/>
      <c r="DP367" s="16"/>
      <c r="DQ367" s="16"/>
      <c r="DR367" s="27"/>
      <c r="DT367" s="27"/>
      <c r="DU367" s="16"/>
      <c r="DV367" s="16"/>
      <c r="DW367" s="27"/>
      <c r="DY367" s="27"/>
      <c r="DZ367" s="16"/>
      <c r="EA367" s="16"/>
      <c r="EB367" s="302"/>
    </row>
    <row r="368" spans="1:132" s="14" customFormat="1" ht="21" x14ac:dyDescent="0.4">
      <c r="A368" s="27"/>
      <c r="B368" s="27"/>
      <c r="C368" s="27"/>
      <c r="E368" s="16"/>
      <c r="F368" s="27"/>
      <c r="G368" s="27"/>
      <c r="I368" s="27"/>
      <c r="J368" s="16"/>
      <c r="K368" s="16"/>
      <c r="L368" s="27"/>
      <c r="N368" s="27"/>
      <c r="O368" s="16"/>
      <c r="P368" s="16"/>
      <c r="Q368" s="27"/>
      <c r="S368" s="27"/>
      <c r="T368" s="16"/>
      <c r="U368" s="16"/>
      <c r="V368" s="27"/>
      <c r="X368" s="27"/>
      <c r="Y368" s="16"/>
      <c r="Z368" s="16"/>
      <c r="AA368" s="27"/>
      <c r="AC368" s="27"/>
      <c r="AD368" s="16"/>
      <c r="AE368" s="16"/>
      <c r="AF368" s="27"/>
      <c r="AH368" s="27"/>
      <c r="AI368" s="16"/>
      <c r="AJ368" s="16"/>
      <c r="AK368" s="27"/>
      <c r="AM368" s="27"/>
      <c r="AN368" s="16"/>
      <c r="AO368" s="16"/>
      <c r="AP368" s="27"/>
      <c r="AR368" s="27"/>
      <c r="AS368" s="16"/>
      <c r="AT368" s="16"/>
      <c r="AU368" s="27"/>
      <c r="AW368" s="27"/>
      <c r="AX368" s="16"/>
      <c r="AY368" s="16"/>
      <c r="AZ368" s="27"/>
      <c r="BB368" s="27"/>
      <c r="BC368" s="16"/>
      <c r="BD368" s="16"/>
      <c r="BE368" s="27"/>
      <c r="BG368" s="27"/>
      <c r="BH368" s="16"/>
      <c r="BI368" s="16"/>
      <c r="BJ368" s="27"/>
      <c r="BL368" s="27"/>
      <c r="BM368" s="16"/>
      <c r="BN368" s="16"/>
      <c r="BO368" s="27"/>
      <c r="BQ368" s="27"/>
      <c r="BR368" s="16"/>
      <c r="BS368" s="16"/>
      <c r="BT368" s="27"/>
      <c r="BV368" s="27"/>
      <c r="BW368" s="16"/>
      <c r="BX368" s="16"/>
      <c r="BY368" s="27"/>
      <c r="CA368" s="27"/>
      <c r="CB368" s="16"/>
      <c r="CC368" s="16"/>
      <c r="CD368" s="27"/>
      <c r="CF368" s="27"/>
      <c r="CG368" s="16"/>
      <c r="CH368" s="16"/>
      <c r="CI368" s="27"/>
      <c r="CK368" s="27"/>
      <c r="CL368" s="16"/>
      <c r="CM368" s="16"/>
      <c r="CN368" s="27"/>
      <c r="CP368" s="27"/>
      <c r="CQ368" s="16"/>
      <c r="CR368" s="16"/>
      <c r="CS368" s="27"/>
      <c r="CU368" s="27"/>
      <c r="CV368" s="16"/>
      <c r="CW368" s="16"/>
      <c r="CX368" s="27"/>
      <c r="CZ368" s="27"/>
      <c r="DA368" s="16"/>
      <c r="DB368" s="16"/>
      <c r="DC368" s="27"/>
      <c r="DE368" s="27"/>
      <c r="DF368" s="16"/>
      <c r="DG368" s="16"/>
      <c r="DH368" s="27"/>
      <c r="DJ368" s="27"/>
      <c r="DK368" s="16"/>
      <c r="DL368" s="16"/>
      <c r="DM368" s="27"/>
      <c r="DO368" s="27"/>
      <c r="DP368" s="16"/>
      <c r="DQ368" s="16"/>
      <c r="DR368" s="27"/>
      <c r="DT368" s="27"/>
      <c r="DU368" s="16"/>
      <c r="DV368" s="16"/>
      <c r="DW368" s="27"/>
      <c r="DY368" s="27"/>
      <c r="DZ368" s="16"/>
      <c r="EA368" s="16"/>
      <c r="EB368" s="302"/>
    </row>
    <row r="369" spans="1:132" s="14" customFormat="1" ht="21" x14ac:dyDescent="0.4">
      <c r="A369" s="27"/>
      <c r="B369" s="27"/>
      <c r="C369" s="27"/>
      <c r="E369" s="16"/>
      <c r="F369" s="27"/>
      <c r="G369" s="27"/>
      <c r="I369" s="27"/>
      <c r="J369" s="16"/>
      <c r="K369" s="16"/>
      <c r="L369" s="27"/>
      <c r="N369" s="27"/>
      <c r="O369" s="16"/>
      <c r="P369" s="16"/>
      <c r="Q369" s="27"/>
      <c r="S369" s="27"/>
      <c r="T369" s="16"/>
      <c r="U369" s="16"/>
      <c r="V369" s="27"/>
      <c r="X369" s="27"/>
      <c r="Y369" s="16"/>
      <c r="Z369" s="16"/>
      <c r="AA369" s="27"/>
      <c r="AC369" s="27"/>
      <c r="AD369" s="16"/>
      <c r="AE369" s="16"/>
      <c r="AF369" s="27"/>
      <c r="AH369" s="27"/>
      <c r="AI369" s="16"/>
      <c r="AJ369" s="16"/>
      <c r="AK369" s="27"/>
      <c r="AM369" s="27"/>
      <c r="AN369" s="16"/>
      <c r="AO369" s="16"/>
      <c r="AP369" s="27"/>
      <c r="AR369" s="27"/>
      <c r="AS369" s="16"/>
      <c r="AT369" s="16"/>
      <c r="AU369" s="27"/>
      <c r="AW369" s="27"/>
      <c r="AX369" s="16"/>
      <c r="AY369" s="16"/>
      <c r="AZ369" s="27"/>
      <c r="BB369" s="27"/>
      <c r="BC369" s="16"/>
      <c r="BD369" s="16"/>
      <c r="BE369" s="27"/>
      <c r="BG369" s="27"/>
      <c r="BH369" s="16"/>
      <c r="BI369" s="16"/>
      <c r="BJ369" s="27"/>
      <c r="BL369" s="27"/>
      <c r="BM369" s="16"/>
      <c r="BN369" s="16"/>
      <c r="BO369" s="27"/>
      <c r="BQ369" s="27"/>
      <c r="BR369" s="16"/>
      <c r="BS369" s="16"/>
      <c r="BT369" s="27"/>
      <c r="BV369" s="27"/>
      <c r="BW369" s="16"/>
      <c r="BX369" s="16"/>
      <c r="BY369" s="27"/>
      <c r="CA369" s="27"/>
      <c r="CB369" s="16"/>
      <c r="CC369" s="16"/>
      <c r="CD369" s="27"/>
      <c r="CF369" s="27"/>
      <c r="CG369" s="16"/>
      <c r="CH369" s="16"/>
      <c r="CI369" s="27"/>
      <c r="CK369" s="27"/>
      <c r="CL369" s="16"/>
      <c r="CM369" s="16"/>
      <c r="CN369" s="27"/>
      <c r="CP369" s="27"/>
      <c r="CQ369" s="16"/>
      <c r="CR369" s="16"/>
      <c r="CS369" s="27"/>
      <c r="CU369" s="27"/>
      <c r="CV369" s="16"/>
      <c r="CW369" s="16"/>
      <c r="CX369" s="27"/>
      <c r="CZ369" s="27"/>
      <c r="DA369" s="16"/>
      <c r="DB369" s="16"/>
      <c r="DC369" s="27"/>
      <c r="DE369" s="27"/>
      <c r="DF369" s="16"/>
      <c r="DG369" s="16"/>
      <c r="DH369" s="27"/>
      <c r="DJ369" s="27"/>
      <c r="DK369" s="16"/>
      <c r="DL369" s="16"/>
      <c r="DM369" s="27"/>
      <c r="DO369" s="27"/>
      <c r="DP369" s="16"/>
      <c r="DQ369" s="16"/>
      <c r="DR369" s="27"/>
      <c r="DT369" s="27"/>
      <c r="DU369" s="16"/>
      <c r="DV369" s="16"/>
      <c r="DW369" s="27"/>
      <c r="DY369" s="27"/>
      <c r="DZ369" s="16"/>
      <c r="EA369" s="16"/>
      <c r="EB369" s="302"/>
    </row>
    <row r="370" spans="1:132" s="14" customFormat="1" ht="21" x14ac:dyDescent="0.4">
      <c r="A370" s="27"/>
      <c r="B370" s="27"/>
      <c r="C370" s="27"/>
      <c r="E370" s="16"/>
      <c r="F370" s="27"/>
      <c r="G370" s="27"/>
      <c r="I370" s="27"/>
      <c r="J370" s="16"/>
      <c r="K370" s="16"/>
      <c r="L370" s="27"/>
      <c r="N370" s="27"/>
      <c r="O370" s="16"/>
      <c r="P370" s="16"/>
      <c r="Q370" s="27"/>
      <c r="S370" s="27"/>
      <c r="T370" s="16"/>
      <c r="U370" s="16"/>
      <c r="V370" s="27"/>
      <c r="X370" s="27"/>
      <c r="Y370" s="16"/>
      <c r="Z370" s="16"/>
      <c r="AA370" s="27"/>
      <c r="AC370" s="27"/>
      <c r="AD370" s="16"/>
      <c r="AE370" s="16"/>
      <c r="AF370" s="27"/>
      <c r="AH370" s="27"/>
      <c r="AI370" s="16"/>
      <c r="AJ370" s="16"/>
      <c r="AK370" s="27"/>
      <c r="AM370" s="27"/>
      <c r="AN370" s="16"/>
      <c r="AO370" s="16"/>
      <c r="AP370" s="27"/>
      <c r="AR370" s="27"/>
      <c r="AS370" s="16"/>
      <c r="AT370" s="16"/>
      <c r="AU370" s="27"/>
      <c r="AW370" s="27"/>
      <c r="AX370" s="16"/>
      <c r="AY370" s="16"/>
      <c r="AZ370" s="27"/>
      <c r="BB370" s="27"/>
      <c r="BC370" s="16"/>
      <c r="BD370" s="16"/>
      <c r="BE370" s="27"/>
      <c r="BG370" s="27"/>
      <c r="BH370" s="16"/>
      <c r="BI370" s="16"/>
      <c r="BJ370" s="27"/>
      <c r="BL370" s="27"/>
      <c r="BM370" s="16"/>
      <c r="BN370" s="16"/>
      <c r="BO370" s="27"/>
      <c r="BQ370" s="27"/>
      <c r="BR370" s="16"/>
      <c r="BS370" s="16"/>
      <c r="BT370" s="27"/>
      <c r="BV370" s="27"/>
      <c r="BW370" s="16"/>
      <c r="BX370" s="16"/>
      <c r="BY370" s="27"/>
      <c r="CA370" s="27"/>
      <c r="CB370" s="16"/>
      <c r="CC370" s="16"/>
      <c r="CD370" s="27"/>
      <c r="CF370" s="27"/>
      <c r="CG370" s="16"/>
      <c r="CH370" s="16"/>
      <c r="CI370" s="27"/>
      <c r="CK370" s="27"/>
      <c r="CL370" s="16"/>
      <c r="CM370" s="16"/>
      <c r="CN370" s="27"/>
      <c r="CP370" s="27"/>
      <c r="CQ370" s="16"/>
      <c r="CR370" s="16"/>
      <c r="CS370" s="27"/>
      <c r="CU370" s="27"/>
      <c r="CV370" s="16"/>
      <c r="CW370" s="16"/>
      <c r="CX370" s="27"/>
      <c r="CZ370" s="27"/>
      <c r="DA370" s="16"/>
      <c r="DB370" s="16"/>
      <c r="DC370" s="27"/>
      <c r="DE370" s="27"/>
      <c r="DF370" s="16"/>
      <c r="DG370" s="16"/>
      <c r="DH370" s="27"/>
      <c r="DJ370" s="27"/>
      <c r="DK370" s="16"/>
      <c r="DL370" s="16"/>
      <c r="DM370" s="27"/>
      <c r="DO370" s="27"/>
      <c r="DP370" s="16"/>
      <c r="DQ370" s="16"/>
      <c r="DR370" s="27"/>
      <c r="DT370" s="27"/>
      <c r="DU370" s="16"/>
      <c r="DV370" s="16"/>
      <c r="DW370" s="27"/>
      <c r="DY370" s="27"/>
      <c r="DZ370" s="16"/>
      <c r="EA370" s="16"/>
      <c r="EB370" s="302"/>
    </row>
    <row r="371" spans="1:132" s="14" customFormat="1" ht="21" x14ac:dyDescent="0.4">
      <c r="A371" s="27"/>
      <c r="B371" s="27"/>
      <c r="C371" s="27"/>
      <c r="E371" s="16"/>
      <c r="F371" s="27"/>
      <c r="G371" s="27"/>
      <c r="I371" s="27"/>
      <c r="J371" s="16"/>
      <c r="K371" s="16"/>
      <c r="L371" s="27"/>
      <c r="N371" s="27"/>
      <c r="O371" s="16"/>
      <c r="P371" s="16"/>
      <c r="Q371" s="27"/>
      <c r="S371" s="27"/>
      <c r="T371" s="16"/>
      <c r="U371" s="16"/>
      <c r="V371" s="27"/>
      <c r="X371" s="27"/>
      <c r="Y371" s="16"/>
      <c r="Z371" s="16"/>
      <c r="AA371" s="27"/>
      <c r="AC371" s="27"/>
      <c r="AD371" s="16"/>
      <c r="AE371" s="16"/>
      <c r="AF371" s="27"/>
      <c r="AH371" s="27"/>
      <c r="AI371" s="16"/>
      <c r="AJ371" s="16"/>
      <c r="AK371" s="27"/>
      <c r="AM371" s="27"/>
      <c r="AN371" s="16"/>
      <c r="AO371" s="16"/>
      <c r="AP371" s="27"/>
      <c r="AR371" s="27"/>
      <c r="AS371" s="16"/>
      <c r="AT371" s="16"/>
      <c r="AU371" s="27"/>
      <c r="AW371" s="27"/>
      <c r="AX371" s="16"/>
      <c r="AY371" s="16"/>
      <c r="AZ371" s="27"/>
      <c r="BB371" s="27"/>
      <c r="BC371" s="16"/>
      <c r="BD371" s="16"/>
      <c r="BE371" s="27"/>
      <c r="BG371" s="27"/>
      <c r="BH371" s="16"/>
      <c r="BI371" s="16"/>
      <c r="BJ371" s="27"/>
      <c r="BL371" s="27"/>
      <c r="BM371" s="16"/>
      <c r="BN371" s="16"/>
      <c r="BO371" s="27"/>
      <c r="BQ371" s="27"/>
      <c r="BR371" s="16"/>
      <c r="BS371" s="16"/>
      <c r="BT371" s="27"/>
      <c r="BV371" s="27"/>
      <c r="BW371" s="16"/>
      <c r="BX371" s="16"/>
      <c r="BY371" s="27"/>
      <c r="CA371" s="27"/>
      <c r="CB371" s="16"/>
      <c r="CC371" s="16"/>
      <c r="CD371" s="27"/>
      <c r="CF371" s="27"/>
      <c r="CG371" s="16"/>
      <c r="CH371" s="16"/>
      <c r="CI371" s="27"/>
      <c r="CK371" s="27"/>
      <c r="CL371" s="16"/>
      <c r="CM371" s="16"/>
      <c r="CN371" s="27"/>
      <c r="CP371" s="27"/>
      <c r="CQ371" s="16"/>
      <c r="CR371" s="16"/>
      <c r="CS371" s="27"/>
      <c r="CU371" s="27"/>
      <c r="CV371" s="16"/>
      <c r="CW371" s="16"/>
      <c r="CX371" s="27"/>
      <c r="CZ371" s="27"/>
      <c r="DA371" s="16"/>
      <c r="DB371" s="16"/>
      <c r="DC371" s="27"/>
      <c r="DE371" s="27"/>
      <c r="DF371" s="16"/>
      <c r="DG371" s="16"/>
      <c r="DH371" s="27"/>
      <c r="DJ371" s="27"/>
      <c r="DK371" s="16"/>
      <c r="DL371" s="16"/>
      <c r="DM371" s="27"/>
      <c r="DO371" s="27"/>
      <c r="DP371" s="16"/>
      <c r="DQ371" s="16"/>
      <c r="DR371" s="27"/>
      <c r="DT371" s="27"/>
      <c r="DU371" s="16"/>
      <c r="DV371" s="16"/>
      <c r="DW371" s="27"/>
      <c r="DY371" s="27"/>
      <c r="DZ371" s="16"/>
      <c r="EA371" s="16"/>
      <c r="EB371" s="302"/>
    </row>
    <row r="372" spans="1:132" s="14" customFormat="1" ht="21" x14ac:dyDescent="0.4">
      <c r="A372" s="27"/>
      <c r="B372" s="27"/>
      <c r="C372" s="27"/>
      <c r="E372" s="16"/>
      <c r="F372" s="27"/>
      <c r="G372" s="27"/>
      <c r="I372" s="27"/>
      <c r="J372" s="16"/>
      <c r="K372" s="16"/>
      <c r="L372" s="27"/>
      <c r="N372" s="27"/>
      <c r="O372" s="16"/>
      <c r="P372" s="16"/>
      <c r="Q372" s="27"/>
      <c r="S372" s="27"/>
      <c r="T372" s="16"/>
      <c r="U372" s="16"/>
      <c r="V372" s="27"/>
      <c r="X372" s="27"/>
      <c r="Y372" s="16"/>
      <c r="Z372" s="16"/>
      <c r="AA372" s="27"/>
      <c r="AC372" s="27"/>
      <c r="AD372" s="16"/>
      <c r="AE372" s="16"/>
      <c r="AF372" s="27"/>
      <c r="AH372" s="27"/>
      <c r="AI372" s="16"/>
      <c r="AJ372" s="16"/>
      <c r="AK372" s="27"/>
      <c r="AM372" s="27"/>
      <c r="AN372" s="16"/>
      <c r="AO372" s="16"/>
      <c r="AP372" s="27"/>
      <c r="AR372" s="27"/>
      <c r="AS372" s="16"/>
      <c r="AT372" s="16"/>
      <c r="AU372" s="27"/>
      <c r="AW372" s="27"/>
      <c r="AX372" s="16"/>
      <c r="AY372" s="16"/>
      <c r="AZ372" s="27"/>
      <c r="BB372" s="27"/>
      <c r="BC372" s="16"/>
      <c r="BD372" s="16"/>
      <c r="BE372" s="27"/>
      <c r="BG372" s="27"/>
      <c r="BH372" s="16"/>
      <c r="BI372" s="16"/>
      <c r="BJ372" s="27"/>
      <c r="BL372" s="27"/>
      <c r="BM372" s="16"/>
      <c r="BN372" s="16"/>
      <c r="BO372" s="27"/>
      <c r="BQ372" s="27"/>
      <c r="BR372" s="16"/>
      <c r="BS372" s="16"/>
      <c r="BT372" s="27"/>
      <c r="BV372" s="27"/>
      <c r="BW372" s="16"/>
      <c r="BX372" s="16"/>
      <c r="BY372" s="27"/>
      <c r="CA372" s="27"/>
      <c r="CB372" s="16"/>
      <c r="CC372" s="16"/>
      <c r="CD372" s="27"/>
      <c r="CF372" s="27"/>
      <c r="CG372" s="16"/>
      <c r="CH372" s="16"/>
      <c r="CI372" s="27"/>
      <c r="CK372" s="27"/>
      <c r="CL372" s="16"/>
      <c r="CM372" s="16"/>
      <c r="CN372" s="27"/>
      <c r="CP372" s="27"/>
      <c r="CQ372" s="16"/>
      <c r="CR372" s="16"/>
      <c r="CS372" s="27"/>
      <c r="CU372" s="27"/>
      <c r="CV372" s="16"/>
      <c r="CW372" s="16"/>
      <c r="CX372" s="27"/>
      <c r="CZ372" s="27"/>
      <c r="DA372" s="16"/>
      <c r="DB372" s="16"/>
      <c r="DC372" s="27"/>
      <c r="DE372" s="27"/>
      <c r="DF372" s="16"/>
      <c r="DG372" s="16"/>
      <c r="DH372" s="27"/>
      <c r="DJ372" s="27"/>
      <c r="DK372" s="16"/>
      <c r="DL372" s="16"/>
      <c r="DM372" s="27"/>
      <c r="DO372" s="27"/>
      <c r="DP372" s="16"/>
      <c r="DQ372" s="16"/>
      <c r="DR372" s="27"/>
      <c r="DT372" s="27"/>
      <c r="DU372" s="16"/>
      <c r="DV372" s="16"/>
      <c r="DW372" s="27"/>
      <c r="DY372" s="27"/>
      <c r="DZ372" s="16"/>
      <c r="EA372" s="16"/>
      <c r="EB372" s="302"/>
    </row>
    <row r="373" spans="1:132" s="14" customFormat="1" ht="21" x14ac:dyDescent="0.4">
      <c r="A373" s="27"/>
      <c r="B373" s="27"/>
      <c r="C373" s="27"/>
      <c r="E373" s="16"/>
      <c r="F373" s="27"/>
      <c r="G373" s="27"/>
      <c r="I373" s="27"/>
      <c r="J373" s="16"/>
      <c r="K373" s="16"/>
      <c r="L373" s="27"/>
      <c r="N373" s="27"/>
      <c r="O373" s="16"/>
      <c r="P373" s="16"/>
      <c r="Q373" s="27"/>
      <c r="S373" s="27"/>
      <c r="T373" s="16"/>
      <c r="U373" s="16"/>
      <c r="V373" s="27"/>
      <c r="X373" s="27"/>
      <c r="Y373" s="16"/>
      <c r="Z373" s="16"/>
      <c r="AA373" s="27"/>
      <c r="AC373" s="27"/>
      <c r="AD373" s="16"/>
      <c r="AE373" s="16"/>
      <c r="AF373" s="27"/>
      <c r="AH373" s="27"/>
      <c r="AI373" s="16"/>
      <c r="AJ373" s="16"/>
      <c r="AK373" s="27"/>
      <c r="AM373" s="27"/>
      <c r="AN373" s="16"/>
      <c r="AO373" s="16"/>
      <c r="AP373" s="27"/>
      <c r="AR373" s="27"/>
      <c r="AS373" s="16"/>
      <c r="AT373" s="16"/>
      <c r="AU373" s="27"/>
      <c r="AW373" s="27"/>
      <c r="AX373" s="16"/>
      <c r="AY373" s="16"/>
      <c r="AZ373" s="27"/>
      <c r="BB373" s="27"/>
      <c r="BC373" s="16"/>
      <c r="BD373" s="16"/>
      <c r="BE373" s="27"/>
      <c r="BG373" s="27"/>
      <c r="BH373" s="16"/>
      <c r="BI373" s="16"/>
      <c r="BJ373" s="27"/>
      <c r="BL373" s="27"/>
      <c r="BM373" s="16"/>
      <c r="BN373" s="16"/>
      <c r="BO373" s="27"/>
      <c r="BQ373" s="27"/>
      <c r="BR373" s="16"/>
      <c r="BS373" s="16"/>
      <c r="BT373" s="27"/>
      <c r="BV373" s="27"/>
      <c r="BW373" s="16"/>
      <c r="BX373" s="16"/>
      <c r="BY373" s="27"/>
      <c r="CA373" s="27"/>
      <c r="CB373" s="16"/>
      <c r="CC373" s="16"/>
      <c r="CD373" s="27"/>
      <c r="CF373" s="27"/>
      <c r="CG373" s="16"/>
      <c r="CH373" s="16"/>
      <c r="CI373" s="27"/>
      <c r="CK373" s="27"/>
      <c r="CL373" s="16"/>
      <c r="CM373" s="16"/>
      <c r="CN373" s="27"/>
      <c r="CP373" s="27"/>
      <c r="CQ373" s="16"/>
      <c r="CR373" s="16"/>
      <c r="CS373" s="27"/>
      <c r="CU373" s="27"/>
      <c r="CV373" s="16"/>
      <c r="CW373" s="16"/>
      <c r="CX373" s="27"/>
      <c r="CZ373" s="27"/>
      <c r="DA373" s="16"/>
      <c r="DB373" s="16"/>
      <c r="DC373" s="27"/>
      <c r="DE373" s="27"/>
      <c r="DF373" s="16"/>
      <c r="DG373" s="16"/>
      <c r="DH373" s="27"/>
      <c r="DJ373" s="27"/>
      <c r="DK373" s="16"/>
      <c r="DL373" s="16"/>
      <c r="DM373" s="27"/>
      <c r="DO373" s="27"/>
      <c r="DP373" s="16"/>
      <c r="DQ373" s="16"/>
      <c r="DR373" s="27"/>
      <c r="DT373" s="27"/>
      <c r="DU373" s="16"/>
      <c r="DV373" s="16"/>
      <c r="DW373" s="27"/>
      <c r="DY373" s="27"/>
      <c r="DZ373" s="16"/>
      <c r="EA373" s="16"/>
      <c r="EB373" s="302"/>
    </row>
    <row r="374" spans="1:132" s="14" customFormat="1" ht="21" x14ac:dyDescent="0.4">
      <c r="A374" s="27"/>
      <c r="B374" s="27"/>
      <c r="C374" s="27"/>
      <c r="E374" s="16"/>
      <c r="F374" s="27"/>
      <c r="G374" s="27"/>
      <c r="I374" s="27"/>
      <c r="J374" s="16"/>
      <c r="K374" s="16"/>
      <c r="L374" s="27"/>
      <c r="N374" s="27"/>
      <c r="O374" s="16"/>
      <c r="P374" s="16"/>
      <c r="Q374" s="27"/>
      <c r="S374" s="27"/>
      <c r="T374" s="16"/>
      <c r="U374" s="16"/>
      <c r="V374" s="27"/>
      <c r="X374" s="27"/>
      <c r="Y374" s="16"/>
      <c r="Z374" s="16"/>
      <c r="AA374" s="27"/>
      <c r="AC374" s="27"/>
      <c r="AD374" s="16"/>
      <c r="AE374" s="16"/>
      <c r="AF374" s="27"/>
      <c r="AH374" s="27"/>
      <c r="AI374" s="16"/>
      <c r="AJ374" s="16"/>
      <c r="AK374" s="27"/>
      <c r="AM374" s="27"/>
      <c r="AN374" s="16"/>
      <c r="AO374" s="16"/>
      <c r="AP374" s="27"/>
      <c r="AR374" s="27"/>
      <c r="AS374" s="16"/>
      <c r="AT374" s="16"/>
      <c r="AU374" s="27"/>
      <c r="AW374" s="27"/>
      <c r="AX374" s="16"/>
      <c r="AY374" s="16"/>
      <c r="AZ374" s="27"/>
      <c r="BB374" s="27"/>
      <c r="BC374" s="16"/>
      <c r="BD374" s="16"/>
      <c r="BE374" s="27"/>
      <c r="BG374" s="27"/>
      <c r="BH374" s="16"/>
      <c r="BI374" s="16"/>
      <c r="BJ374" s="27"/>
      <c r="BL374" s="27"/>
      <c r="BM374" s="16"/>
      <c r="BN374" s="16"/>
      <c r="BO374" s="27"/>
      <c r="BQ374" s="27"/>
      <c r="BR374" s="16"/>
      <c r="BS374" s="16"/>
      <c r="BT374" s="27"/>
      <c r="BV374" s="27"/>
      <c r="BW374" s="16"/>
      <c r="BX374" s="16"/>
      <c r="BY374" s="27"/>
      <c r="CA374" s="27"/>
      <c r="CB374" s="16"/>
      <c r="CC374" s="16"/>
      <c r="CD374" s="27"/>
      <c r="CF374" s="27"/>
      <c r="CG374" s="16"/>
      <c r="CH374" s="16"/>
      <c r="CI374" s="27"/>
      <c r="CK374" s="27"/>
      <c r="CL374" s="16"/>
      <c r="CM374" s="16"/>
      <c r="CN374" s="27"/>
      <c r="CP374" s="27"/>
      <c r="CQ374" s="16"/>
      <c r="CR374" s="16"/>
      <c r="CS374" s="27"/>
      <c r="CU374" s="27"/>
      <c r="CV374" s="16"/>
      <c r="CW374" s="16"/>
      <c r="CX374" s="27"/>
      <c r="CZ374" s="27"/>
      <c r="DA374" s="16"/>
      <c r="DB374" s="16"/>
      <c r="DC374" s="27"/>
      <c r="DE374" s="27"/>
      <c r="DF374" s="16"/>
      <c r="DG374" s="16"/>
      <c r="DH374" s="27"/>
      <c r="DJ374" s="27"/>
      <c r="DK374" s="16"/>
      <c r="DL374" s="16"/>
      <c r="DM374" s="27"/>
      <c r="DO374" s="27"/>
      <c r="DP374" s="16"/>
      <c r="DQ374" s="16"/>
      <c r="DR374" s="27"/>
      <c r="DT374" s="27"/>
      <c r="DU374" s="16"/>
      <c r="DV374" s="16"/>
      <c r="DW374" s="27"/>
      <c r="DY374" s="27"/>
      <c r="DZ374" s="16"/>
      <c r="EA374" s="16"/>
      <c r="EB374" s="302"/>
    </row>
    <row r="375" spans="1:132" s="14" customFormat="1" ht="21" x14ac:dyDescent="0.4">
      <c r="A375" s="27"/>
      <c r="B375" s="27"/>
      <c r="C375" s="27"/>
      <c r="E375" s="16"/>
      <c r="F375" s="27"/>
      <c r="G375" s="27"/>
      <c r="I375" s="27"/>
      <c r="J375" s="16"/>
      <c r="K375" s="16"/>
      <c r="L375" s="27"/>
      <c r="N375" s="27"/>
      <c r="O375" s="16"/>
      <c r="P375" s="16"/>
      <c r="Q375" s="27"/>
      <c r="S375" s="27"/>
      <c r="T375" s="16"/>
      <c r="U375" s="16"/>
      <c r="V375" s="27"/>
      <c r="X375" s="27"/>
      <c r="Y375" s="16"/>
      <c r="Z375" s="16"/>
      <c r="AA375" s="27"/>
      <c r="AC375" s="27"/>
      <c r="AD375" s="16"/>
      <c r="AE375" s="16"/>
      <c r="AF375" s="27"/>
      <c r="AH375" s="27"/>
      <c r="AI375" s="16"/>
      <c r="AJ375" s="16"/>
      <c r="AK375" s="27"/>
      <c r="AM375" s="27"/>
      <c r="AN375" s="16"/>
      <c r="AO375" s="16"/>
      <c r="AP375" s="27"/>
      <c r="AR375" s="27"/>
      <c r="AS375" s="16"/>
      <c r="AT375" s="16"/>
      <c r="AU375" s="27"/>
      <c r="AW375" s="27"/>
      <c r="AX375" s="16"/>
      <c r="AY375" s="16"/>
      <c r="AZ375" s="27"/>
      <c r="BB375" s="27"/>
      <c r="BC375" s="16"/>
      <c r="BD375" s="16"/>
      <c r="BE375" s="27"/>
      <c r="BG375" s="27"/>
      <c r="BH375" s="16"/>
      <c r="BI375" s="16"/>
      <c r="BJ375" s="27"/>
      <c r="BL375" s="27"/>
      <c r="BM375" s="16"/>
      <c r="BN375" s="16"/>
      <c r="BO375" s="27"/>
      <c r="BQ375" s="27"/>
      <c r="BR375" s="16"/>
      <c r="BS375" s="16"/>
      <c r="BT375" s="27"/>
      <c r="BV375" s="27"/>
      <c r="BW375" s="16"/>
      <c r="BX375" s="16"/>
      <c r="BY375" s="27"/>
      <c r="CA375" s="27"/>
      <c r="CB375" s="16"/>
      <c r="CC375" s="16"/>
      <c r="CD375" s="27"/>
      <c r="CF375" s="27"/>
      <c r="CG375" s="16"/>
      <c r="CH375" s="16"/>
      <c r="CI375" s="27"/>
      <c r="CK375" s="27"/>
      <c r="CL375" s="16"/>
      <c r="CM375" s="16"/>
      <c r="CN375" s="27"/>
      <c r="CP375" s="27"/>
      <c r="CQ375" s="16"/>
      <c r="CR375" s="16"/>
      <c r="CS375" s="27"/>
      <c r="CU375" s="27"/>
      <c r="CV375" s="16"/>
      <c r="CW375" s="16"/>
      <c r="CX375" s="27"/>
      <c r="CZ375" s="27"/>
      <c r="DA375" s="16"/>
      <c r="DB375" s="16"/>
      <c r="DC375" s="27"/>
      <c r="DE375" s="27"/>
      <c r="DF375" s="16"/>
      <c r="DG375" s="16"/>
      <c r="DH375" s="27"/>
      <c r="DJ375" s="27"/>
      <c r="DK375" s="16"/>
      <c r="DL375" s="16"/>
      <c r="DM375" s="27"/>
      <c r="DO375" s="27"/>
      <c r="DP375" s="16"/>
      <c r="DQ375" s="16"/>
      <c r="DR375" s="27"/>
      <c r="DT375" s="27"/>
      <c r="DU375" s="16"/>
      <c r="DV375" s="16"/>
      <c r="DW375" s="27"/>
      <c r="DY375" s="27"/>
      <c r="DZ375" s="16"/>
      <c r="EA375" s="16"/>
      <c r="EB375" s="302"/>
    </row>
    <row r="376" spans="1:132" s="14" customFormat="1" ht="21" x14ac:dyDescent="0.4">
      <c r="A376" s="27"/>
      <c r="B376" s="27"/>
      <c r="C376" s="27"/>
      <c r="E376" s="16"/>
      <c r="F376" s="27"/>
      <c r="G376" s="27"/>
      <c r="I376" s="27"/>
      <c r="J376" s="16"/>
      <c r="K376" s="16"/>
      <c r="L376" s="27"/>
      <c r="N376" s="27"/>
      <c r="O376" s="16"/>
      <c r="P376" s="16"/>
      <c r="Q376" s="27"/>
      <c r="S376" s="27"/>
      <c r="T376" s="16"/>
      <c r="U376" s="16"/>
      <c r="V376" s="27"/>
      <c r="X376" s="27"/>
      <c r="Y376" s="16"/>
      <c r="Z376" s="16"/>
      <c r="AA376" s="27"/>
      <c r="AC376" s="27"/>
      <c r="AD376" s="16"/>
      <c r="AE376" s="16"/>
      <c r="AF376" s="27"/>
      <c r="AH376" s="27"/>
      <c r="AI376" s="16"/>
      <c r="AJ376" s="16"/>
      <c r="AK376" s="27"/>
      <c r="AM376" s="27"/>
      <c r="AN376" s="16"/>
      <c r="AO376" s="16"/>
      <c r="AP376" s="27"/>
      <c r="AR376" s="27"/>
      <c r="AS376" s="16"/>
      <c r="AT376" s="16"/>
      <c r="AU376" s="27"/>
      <c r="AW376" s="27"/>
      <c r="AX376" s="16"/>
      <c r="AY376" s="16"/>
      <c r="AZ376" s="27"/>
      <c r="BB376" s="27"/>
      <c r="BC376" s="16"/>
      <c r="BD376" s="16"/>
      <c r="BE376" s="27"/>
      <c r="BG376" s="27"/>
      <c r="BH376" s="16"/>
      <c r="BI376" s="16"/>
      <c r="BJ376" s="27"/>
      <c r="BL376" s="27"/>
      <c r="BM376" s="16"/>
      <c r="BN376" s="16"/>
      <c r="BO376" s="27"/>
      <c r="BQ376" s="27"/>
      <c r="BR376" s="16"/>
      <c r="BS376" s="16"/>
      <c r="BT376" s="27"/>
      <c r="BV376" s="27"/>
      <c r="BW376" s="16"/>
      <c r="BX376" s="16"/>
      <c r="BY376" s="27"/>
      <c r="CA376" s="27"/>
      <c r="CB376" s="16"/>
      <c r="CC376" s="16"/>
      <c r="CD376" s="27"/>
      <c r="CF376" s="27"/>
      <c r="CG376" s="16"/>
      <c r="CH376" s="16"/>
      <c r="CI376" s="27"/>
      <c r="CK376" s="27"/>
      <c r="CL376" s="16"/>
      <c r="CM376" s="16"/>
      <c r="CN376" s="27"/>
      <c r="CP376" s="27"/>
      <c r="CQ376" s="16"/>
      <c r="CR376" s="16"/>
      <c r="CS376" s="27"/>
      <c r="CU376" s="27"/>
      <c r="CV376" s="16"/>
      <c r="CW376" s="16"/>
      <c r="CX376" s="27"/>
      <c r="CZ376" s="27"/>
      <c r="DA376" s="16"/>
      <c r="DB376" s="16"/>
      <c r="DC376" s="27"/>
      <c r="DE376" s="27"/>
      <c r="DF376" s="16"/>
      <c r="DG376" s="16"/>
      <c r="DH376" s="27"/>
      <c r="DJ376" s="27"/>
      <c r="DK376" s="16"/>
      <c r="DL376" s="16"/>
      <c r="DM376" s="27"/>
      <c r="DO376" s="27"/>
      <c r="DP376" s="16"/>
      <c r="DQ376" s="16"/>
      <c r="DR376" s="27"/>
      <c r="DT376" s="27"/>
      <c r="DU376" s="16"/>
      <c r="DV376" s="16"/>
      <c r="DW376" s="27"/>
      <c r="DY376" s="27"/>
      <c r="DZ376" s="16"/>
      <c r="EA376" s="16"/>
      <c r="EB376" s="302"/>
    </row>
    <row r="377" spans="1:132" s="14" customFormat="1" ht="21" x14ac:dyDescent="0.4">
      <c r="A377" s="27"/>
      <c r="B377" s="27"/>
      <c r="C377" s="27"/>
      <c r="E377" s="16"/>
      <c r="F377" s="27"/>
      <c r="G377" s="27"/>
      <c r="I377" s="27"/>
      <c r="J377" s="16"/>
      <c r="K377" s="16"/>
      <c r="L377" s="27"/>
      <c r="N377" s="27"/>
      <c r="O377" s="16"/>
      <c r="P377" s="16"/>
      <c r="Q377" s="27"/>
      <c r="S377" s="27"/>
      <c r="T377" s="16"/>
      <c r="U377" s="16"/>
      <c r="V377" s="27"/>
      <c r="X377" s="27"/>
      <c r="Y377" s="16"/>
      <c r="Z377" s="16"/>
      <c r="AA377" s="27"/>
      <c r="AC377" s="27"/>
      <c r="AD377" s="16"/>
      <c r="AE377" s="16"/>
      <c r="AF377" s="27"/>
      <c r="AH377" s="27"/>
      <c r="AI377" s="16"/>
      <c r="AJ377" s="16"/>
      <c r="AK377" s="27"/>
      <c r="AM377" s="27"/>
      <c r="AN377" s="16"/>
      <c r="AO377" s="16"/>
      <c r="AP377" s="27"/>
      <c r="AR377" s="27"/>
      <c r="AS377" s="16"/>
      <c r="AT377" s="16"/>
      <c r="AU377" s="27"/>
      <c r="AW377" s="27"/>
      <c r="AX377" s="16"/>
      <c r="AY377" s="16"/>
      <c r="AZ377" s="27"/>
      <c r="BB377" s="27"/>
      <c r="BC377" s="16"/>
      <c r="BD377" s="16"/>
      <c r="BE377" s="27"/>
      <c r="BG377" s="27"/>
      <c r="BH377" s="16"/>
      <c r="BI377" s="16"/>
      <c r="BJ377" s="27"/>
      <c r="BL377" s="27"/>
      <c r="BM377" s="16"/>
      <c r="BN377" s="16"/>
      <c r="BO377" s="27"/>
      <c r="BQ377" s="27"/>
      <c r="BR377" s="16"/>
      <c r="BS377" s="16"/>
      <c r="BT377" s="27"/>
      <c r="BV377" s="27"/>
      <c r="BW377" s="16"/>
      <c r="BX377" s="16"/>
      <c r="BY377" s="27"/>
      <c r="CA377" s="27"/>
      <c r="CB377" s="16"/>
      <c r="CC377" s="16"/>
      <c r="CD377" s="27"/>
      <c r="CF377" s="27"/>
      <c r="CG377" s="16"/>
      <c r="CH377" s="16"/>
      <c r="CI377" s="27"/>
      <c r="CK377" s="27"/>
      <c r="CL377" s="16"/>
      <c r="CM377" s="16"/>
      <c r="CN377" s="27"/>
      <c r="CP377" s="27"/>
      <c r="CQ377" s="16"/>
      <c r="CR377" s="16"/>
      <c r="CS377" s="27"/>
      <c r="CU377" s="27"/>
      <c r="CV377" s="16"/>
      <c r="CW377" s="16"/>
      <c r="CX377" s="27"/>
      <c r="CZ377" s="27"/>
      <c r="DA377" s="16"/>
      <c r="DB377" s="16"/>
      <c r="DC377" s="27"/>
      <c r="DE377" s="27"/>
      <c r="DF377" s="16"/>
      <c r="DG377" s="16"/>
      <c r="DH377" s="27"/>
      <c r="DJ377" s="27"/>
      <c r="DK377" s="16"/>
      <c r="DL377" s="16"/>
      <c r="DM377" s="27"/>
      <c r="DO377" s="27"/>
      <c r="DP377" s="16"/>
      <c r="DQ377" s="16"/>
      <c r="DR377" s="27"/>
      <c r="DT377" s="27"/>
      <c r="DU377" s="16"/>
      <c r="DV377" s="16"/>
      <c r="DW377" s="27"/>
      <c r="DY377" s="27"/>
      <c r="DZ377" s="16"/>
      <c r="EA377" s="16"/>
      <c r="EB377" s="302"/>
    </row>
    <row r="378" spans="1:132" s="14" customFormat="1" ht="21" x14ac:dyDescent="0.4">
      <c r="A378" s="27"/>
      <c r="B378" s="27"/>
      <c r="C378" s="27"/>
      <c r="E378" s="16"/>
      <c r="F378" s="27"/>
      <c r="G378" s="27"/>
      <c r="I378" s="27"/>
      <c r="J378" s="16"/>
      <c r="K378" s="16"/>
      <c r="L378" s="27"/>
      <c r="N378" s="27"/>
      <c r="O378" s="16"/>
      <c r="P378" s="16"/>
      <c r="Q378" s="27"/>
      <c r="S378" s="27"/>
      <c r="T378" s="16"/>
      <c r="U378" s="16"/>
      <c r="V378" s="27"/>
      <c r="X378" s="27"/>
      <c r="Y378" s="16"/>
      <c r="Z378" s="16"/>
      <c r="AA378" s="27"/>
      <c r="AC378" s="27"/>
      <c r="AD378" s="16"/>
      <c r="AE378" s="16"/>
      <c r="AF378" s="27"/>
      <c r="AH378" s="27"/>
      <c r="AI378" s="16"/>
      <c r="AJ378" s="16"/>
      <c r="AK378" s="27"/>
      <c r="AM378" s="27"/>
      <c r="AN378" s="16"/>
      <c r="AO378" s="16"/>
      <c r="AP378" s="27"/>
      <c r="AR378" s="27"/>
      <c r="AS378" s="16"/>
      <c r="AT378" s="16"/>
      <c r="AU378" s="27"/>
      <c r="AW378" s="27"/>
      <c r="AX378" s="16"/>
      <c r="AY378" s="16"/>
      <c r="AZ378" s="27"/>
      <c r="BB378" s="27"/>
      <c r="BC378" s="16"/>
      <c r="BD378" s="16"/>
      <c r="BE378" s="27"/>
      <c r="BG378" s="27"/>
      <c r="BH378" s="16"/>
      <c r="BI378" s="16"/>
      <c r="BJ378" s="27"/>
      <c r="BL378" s="27"/>
      <c r="BM378" s="16"/>
      <c r="BN378" s="16"/>
      <c r="BO378" s="27"/>
      <c r="BQ378" s="27"/>
      <c r="BR378" s="16"/>
      <c r="BS378" s="16"/>
      <c r="BT378" s="27"/>
      <c r="BV378" s="27"/>
      <c r="BW378" s="16"/>
      <c r="BX378" s="16"/>
      <c r="BY378" s="27"/>
      <c r="CA378" s="27"/>
      <c r="CB378" s="16"/>
      <c r="CC378" s="16"/>
      <c r="CD378" s="27"/>
      <c r="CF378" s="27"/>
      <c r="CG378" s="16"/>
      <c r="CH378" s="16"/>
      <c r="CI378" s="27"/>
      <c r="CK378" s="27"/>
      <c r="CL378" s="16"/>
      <c r="CM378" s="16"/>
      <c r="CN378" s="27"/>
      <c r="CP378" s="27"/>
      <c r="CQ378" s="16"/>
      <c r="CR378" s="16"/>
      <c r="CS378" s="27"/>
      <c r="CU378" s="27"/>
      <c r="CV378" s="16"/>
      <c r="CW378" s="16"/>
      <c r="CX378" s="27"/>
      <c r="CZ378" s="27"/>
      <c r="DA378" s="16"/>
      <c r="DB378" s="16"/>
      <c r="DC378" s="27"/>
      <c r="DE378" s="27"/>
      <c r="DF378" s="16"/>
      <c r="DG378" s="16"/>
      <c r="DH378" s="27"/>
      <c r="DJ378" s="27"/>
      <c r="DK378" s="16"/>
      <c r="DL378" s="16"/>
      <c r="DM378" s="27"/>
      <c r="DO378" s="27"/>
      <c r="DP378" s="16"/>
      <c r="DQ378" s="16"/>
      <c r="DR378" s="27"/>
      <c r="DT378" s="27"/>
      <c r="DU378" s="16"/>
      <c r="DV378" s="16"/>
      <c r="DW378" s="27"/>
      <c r="DY378" s="27"/>
      <c r="DZ378" s="16"/>
      <c r="EA378" s="16"/>
      <c r="EB378" s="302"/>
    </row>
    <row r="379" spans="1:132" s="14" customFormat="1" ht="21" x14ac:dyDescent="0.4">
      <c r="A379" s="27"/>
      <c r="B379" s="27"/>
      <c r="C379" s="27"/>
      <c r="E379" s="16"/>
      <c r="F379" s="27"/>
      <c r="G379" s="27"/>
      <c r="I379" s="27"/>
      <c r="J379" s="16"/>
      <c r="K379" s="16"/>
      <c r="L379" s="27"/>
      <c r="N379" s="27"/>
      <c r="O379" s="16"/>
      <c r="P379" s="16"/>
      <c r="Q379" s="27"/>
      <c r="S379" s="27"/>
      <c r="T379" s="16"/>
      <c r="U379" s="16"/>
      <c r="V379" s="27"/>
      <c r="X379" s="27"/>
      <c r="Y379" s="16"/>
      <c r="Z379" s="16"/>
      <c r="AA379" s="27"/>
      <c r="AC379" s="27"/>
      <c r="AD379" s="16"/>
      <c r="AE379" s="16"/>
      <c r="AF379" s="27"/>
      <c r="AH379" s="27"/>
      <c r="AI379" s="16"/>
      <c r="AJ379" s="16"/>
      <c r="AK379" s="27"/>
      <c r="AM379" s="27"/>
      <c r="AN379" s="16"/>
      <c r="AO379" s="16"/>
      <c r="AP379" s="27"/>
      <c r="AR379" s="27"/>
      <c r="AS379" s="16"/>
      <c r="AT379" s="16"/>
      <c r="AU379" s="27"/>
      <c r="AW379" s="27"/>
      <c r="AX379" s="16"/>
      <c r="AY379" s="16"/>
      <c r="AZ379" s="27"/>
      <c r="BB379" s="27"/>
      <c r="BC379" s="16"/>
      <c r="BD379" s="16"/>
      <c r="BE379" s="27"/>
      <c r="BG379" s="27"/>
      <c r="BH379" s="16"/>
      <c r="BI379" s="16"/>
      <c r="BJ379" s="27"/>
      <c r="BL379" s="27"/>
      <c r="BM379" s="16"/>
      <c r="BN379" s="16"/>
      <c r="BO379" s="27"/>
      <c r="BQ379" s="27"/>
      <c r="BR379" s="16"/>
      <c r="BS379" s="16"/>
      <c r="BT379" s="27"/>
      <c r="BV379" s="27"/>
      <c r="BW379" s="16"/>
      <c r="BX379" s="16"/>
      <c r="BY379" s="27"/>
      <c r="CA379" s="27"/>
      <c r="CB379" s="16"/>
      <c r="CC379" s="16"/>
      <c r="CD379" s="27"/>
      <c r="CF379" s="27"/>
      <c r="CG379" s="16"/>
      <c r="CH379" s="16"/>
      <c r="CI379" s="27"/>
      <c r="CK379" s="27"/>
      <c r="CL379" s="16"/>
      <c r="CM379" s="16"/>
      <c r="CN379" s="27"/>
      <c r="CP379" s="27"/>
      <c r="CQ379" s="16"/>
      <c r="CR379" s="16"/>
      <c r="CS379" s="27"/>
      <c r="CU379" s="27"/>
      <c r="CV379" s="16"/>
      <c r="CW379" s="16"/>
      <c r="CX379" s="27"/>
      <c r="CZ379" s="27"/>
      <c r="DA379" s="16"/>
      <c r="DB379" s="16"/>
      <c r="DC379" s="27"/>
      <c r="DE379" s="27"/>
      <c r="DF379" s="16"/>
      <c r="DG379" s="16"/>
      <c r="DH379" s="27"/>
      <c r="DJ379" s="27"/>
      <c r="DK379" s="16"/>
      <c r="DL379" s="16"/>
      <c r="DM379" s="27"/>
      <c r="DO379" s="27"/>
      <c r="DP379" s="16"/>
      <c r="DQ379" s="16"/>
      <c r="DR379" s="27"/>
      <c r="DT379" s="27"/>
      <c r="DU379" s="16"/>
      <c r="DV379" s="16"/>
      <c r="DW379" s="27"/>
      <c r="DY379" s="27"/>
      <c r="DZ379" s="16"/>
      <c r="EA379" s="16"/>
      <c r="EB379" s="302"/>
    </row>
    <row r="380" spans="1:132" s="14" customFormat="1" ht="21" x14ac:dyDescent="0.4">
      <c r="A380" s="27"/>
      <c r="B380" s="27"/>
      <c r="C380" s="27"/>
      <c r="E380" s="16"/>
      <c r="F380" s="27"/>
      <c r="G380" s="27"/>
      <c r="I380" s="27"/>
      <c r="J380" s="16"/>
      <c r="K380" s="16"/>
      <c r="L380" s="27"/>
      <c r="N380" s="27"/>
      <c r="O380" s="16"/>
      <c r="P380" s="16"/>
      <c r="Q380" s="27"/>
      <c r="S380" s="27"/>
      <c r="T380" s="16"/>
      <c r="U380" s="16"/>
      <c r="V380" s="27"/>
      <c r="X380" s="27"/>
      <c r="Y380" s="16"/>
      <c r="Z380" s="16"/>
      <c r="AA380" s="27"/>
      <c r="AC380" s="27"/>
      <c r="AD380" s="16"/>
      <c r="AE380" s="16"/>
      <c r="AF380" s="27"/>
      <c r="AH380" s="27"/>
      <c r="AI380" s="16"/>
      <c r="AJ380" s="16"/>
      <c r="AK380" s="27"/>
      <c r="AM380" s="27"/>
      <c r="AN380" s="16"/>
      <c r="AO380" s="16"/>
      <c r="AP380" s="27"/>
      <c r="AR380" s="27"/>
      <c r="AS380" s="16"/>
      <c r="AT380" s="16"/>
      <c r="AU380" s="27"/>
      <c r="AW380" s="27"/>
      <c r="AX380" s="16"/>
      <c r="AY380" s="16"/>
      <c r="AZ380" s="27"/>
      <c r="BB380" s="27"/>
      <c r="BC380" s="16"/>
      <c r="BD380" s="16"/>
      <c r="BE380" s="27"/>
      <c r="BG380" s="27"/>
      <c r="BH380" s="16"/>
      <c r="BI380" s="16"/>
      <c r="BJ380" s="27"/>
      <c r="BL380" s="27"/>
      <c r="BM380" s="16"/>
      <c r="BN380" s="16"/>
      <c r="BO380" s="27"/>
      <c r="BQ380" s="27"/>
      <c r="BR380" s="16"/>
      <c r="BS380" s="16"/>
      <c r="BT380" s="27"/>
      <c r="BV380" s="27"/>
      <c r="BW380" s="16"/>
      <c r="BX380" s="16"/>
      <c r="BY380" s="27"/>
      <c r="CA380" s="27"/>
      <c r="CB380" s="16"/>
      <c r="CC380" s="16"/>
      <c r="CD380" s="27"/>
      <c r="CF380" s="27"/>
      <c r="CG380" s="16"/>
      <c r="CH380" s="16"/>
      <c r="CI380" s="27"/>
      <c r="CK380" s="27"/>
      <c r="CL380" s="16"/>
      <c r="CM380" s="16"/>
      <c r="CN380" s="27"/>
      <c r="CP380" s="27"/>
      <c r="CQ380" s="16"/>
      <c r="CR380" s="16"/>
      <c r="CS380" s="27"/>
      <c r="CU380" s="27"/>
      <c r="CV380" s="16"/>
      <c r="CW380" s="16"/>
      <c r="CX380" s="27"/>
      <c r="CZ380" s="27"/>
      <c r="DA380" s="16"/>
      <c r="DB380" s="16"/>
      <c r="DC380" s="27"/>
      <c r="DE380" s="27"/>
      <c r="DF380" s="16"/>
      <c r="DG380" s="16"/>
      <c r="DH380" s="27"/>
      <c r="DJ380" s="27"/>
      <c r="DK380" s="16"/>
      <c r="DL380" s="16"/>
      <c r="DM380" s="27"/>
      <c r="DO380" s="27"/>
      <c r="DP380" s="16"/>
      <c r="DQ380" s="16"/>
      <c r="DR380" s="27"/>
      <c r="DT380" s="27"/>
      <c r="DU380" s="16"/>
      <c r="DV380" s="16"/>
      <c r="DW380" s="27"/>
      <c r="DY380" s="27"/>
      <c r="DZ380" s="16"/>
      <c r="EA380" s="16"/>
      <c r="EB380" s="302"/>
    </row>
    <row r="381" spans="1:132" s="14" customFormat="1" ht="21" x14ac:dyDescent="0.4">
      <c r="A381" s="27"/>
      <c r="B381" s="27"/>
      <c r="C381" s="27"/>
      <c r="E381" s="16"/>
      <c r="F381" s="27"/>
      <c r="G381" s="27"/>
      <c r="I381" s="27"/>
      <c r="J381" s="16"/>
      <c r="K381" s="16"/>
      <c r="L381" s="27"/>
      <c r="N381" s="27"/>
      <c r="O381" s="16"/>
      <c r="P381" s="16"/>
      <c r="Q381" s="27"/>
      <c r="S381" s="27"/>
      <c r="T381" s="16"/>
      <c r="U381" s="16"/>
      <c r="V381" s="27"/>
      <c r="X381" s="27"/>
      <c r="Y381" s="16"/>
      <c r="Z381" s="16"/>
      <c r="AA381" s="27"/>
      <c r="AC381" s="27"/>
      <c r="AD381" s="16"/>
      <c r="AE381" s="16"/>
      <c r="AF381" s="27"/>
      <c r="AH381" s="27"/>
      <c r="AI381" s="16"/>
      <c r="AJ381" s="16"/>
      <c r="AK381" s="27"/>
      <c r="AM381" s="27"/>
      <c r="AN381" s="16"/>
      <c r="AO381" s="16"/>
      <c r="AP381" s="27"/>
      <c r="AR381" s="27"/>
      <c r="AS381" s="16"/>
      <c r="AT381" s="16"/>
      <c r="AU381" s="27"/>
      <c r="AW381" s="27"/>
      <c r="AX381" s="16"/>
      <c r="AY381" s="16"/>
      <c r="AZ381" s="27"/>
      <c r="BB381" s="27"/>
      <c r="BC381" s="16"/>
      <c r="BD381" s="16"/>
      <c r="BE381" s="27"/>
      <c r="BG381" s="27"/>
      <c r="BH381" s="16"/>
      <c r="BI381" s="16"/>
      <c r="BJ381" s="27"/>
      <c r="BL381" s="27"/>
      <c r="BM381" s="16"/>
      <c r="BN381" s="16"/>
      <c r="BO381" s="27"/>
      <c r="BQ381" s="27"/>
      <c r="BR381" s="16"/>
      <c r="BS381" s="16"/>
      <c r="BT381" s="27"/>
      <c r="BV381" s="27"/>
      <c r="BW381" s="16"/>
      <c r="BX381" s="16"/>
      <c r="BY381" s="27"/>
      <c r="CA381" s="27"/>
      <c r="CB381" s="16"/>
      <c r="CC381" s="16"/>
      <c r="CD381" s="27"/>
      <c r="CF381" s="27"/>
      <c r="CG381" s="16"/>
      <c r="CH381" s="16"/>
      <c r="CI381" s="27"/>
      <c r="CK381" s="27"/>
      <c r="CL381" s="16"/>
      <c r="CM381" s="16"/>
      <c r="CN381" s="27"/>
      <c r="CP381" s="27"/>
      <c r="CQ381" s="16"/>
      <c r="CR381" s="16"/>
      <c r="CS381" s="27"/>
      <c r="CU381" s="27"/>
      <c r="CV381" s="16"/>
      <c r="CW381" s="16"/>
      <c r="CX381" s="27"/>
      <c r="CZ381" s="27"/>
      <c r="DA381" s="16"/>
      <c r="DB381" s="16"/>
      <c r="DC381" s="27"/>
      <c r="DE381" s="27"/>
      <c r="DF381" s="16"/>
      <c r="DG381" s="16"/>
      <c r="DH381" s="27"/>
      <c r="DJ381" s="27"/>
      <c r="DK381" s="16"/>
      <c r="DL381" s="16"/>
      <c r="DM381" s="27"/>
      <c r="DO381" s="27"/>
      <c r="DP381" s="16"/>
      <c r="DQ381" s="16"/>
      <c r="DR381" s="27"/>
      <c r="DT381" s="27"/>
      <c r="DU381" s="16"/>
      <c r="DV381" s="16"/>
      <c r="DW381" s="27"/>
      <c r="DY381" s="27"/>
      <c r="DZ381" s="16"/>
      <c r="EA381" s="16"/>
      <c r="EB381" s="302"/>
    </row>
    <row r="382" spans="1:132" s="14" customFormat="1" ht="21" x14ac:dyDescent="0.4">
      <c r="A382" s="27"/>
      <c r="B382" s="27"/>
      <c r="C382" s="27"/>
      <c r="E382" s="16"/>
      <c r="F382" s="27"/>
      <c r="G382" s="27"/>
      <c r="I382" s="27"/>
      <c r="J382" s="16"/>
      <c r="K382" s="16"/>
      <c r="L382" s="27"/>
      <c r="N382" s="27"/>
      <c r="O382" s="16"/>
      <c r="P382" s="16"/>
      <c r="Q382" s="27"/>
      <c r="S382" s="27"/>
      <c r="T382" s="16"/>
      <c r="U382" s="16"/>
      <c r="V382" s="27"/>
      <c r="X382" s="27"/>
      <c r="Y382" s="16"/>
      <c r="Z382" s="16"/>
      <c r="AA382" s="27"/>
      <c r="AC382" s="27"/>
      <c r="AD382" s="16"/>
      <c r="AE382" s="16"/>
      <c r="AF382" s="27"/>
      <c r="AH382" s="27"/>
      <c r="AI382" s="16"/>
      <c r="AJ382" s="16"/>
      <c r="AK382" s="27"/>
      <c r="AM382" s="27"/>
      <c r="AN382" s="16"/>
      <c r="AO382" s="16"/>
      <c r="AP382" s="27"/>
      <c r="AR382" s="27"/>
      <c r="AS382" s="16"/>
      <c r="AT382" s="16"/>
      <c r="AU382" s="27"/>
      <c r="AW382" s="27"/>
      <c r="AX382" s="16"/>
      <c r="AY382" s="16"/>
      <c r="AZ382" s="27"/>
      <c r="BB382" s="27"/>
      <c r="BC382" s="16"/>
      <c r="BD382" s="16"/>
      <c r="BE382" s="27"/>
      <c r="BG382" s="27"/>
      <c r="BH382" s="16"/>
      <c r="BI382" s="16"/>
      <c r="BJ382" s="27"/>
      <c r="BL382" s="27"/>
      <c r="BM382" s="16"/>
      <c r="BN382" s="16"/>
      <c r="BO382" s="27"/>
      <c r="BQ382" s="27"/>
      <c r="BR382" s="16"/>
      <c r="BS382" s="16"/>
      <c r="BT382" s="27"/>
      <c r="BV382" s="27"/>
      <c r="BW382" s="16"/>
      <c r="BX382" s="16"/>
      <c r="BY382" s="27"/>
      <c r="CA382" s="27"/>
      <c r="CB382" s="16"/>
      <c r="CC382" s="16"/>
      <c r="CD382" s="27"/>
      <c r="CF382" s="27"/>
      <c r="CG382" s="16"/>
      <c r="CH382" s="16"/>
      <c r="CI382" s="27"/>
      <c r="CK382" s="27"/>
      <c r="CL382" s="16"/>
      <c r="CM382" s="16"/>
      <c r="CN382" s="27"/>
      <c r="CP382" s="27"/>
      <c r="CQ382" s="16"/>
      <c r="CR382" s="16"/>
      <c r="CS382" s="27"/>
      <c r="CU382" s="27"/>
      <c r="CV382" s="16"/>
      <c r="CW382" s="16"/>
      <c r="CX382" s="27"/>
      <c r="CZ382" s="27"/>
      <c r="DA382" s="16"/>
      <c r="DB382" s="16"/>
      <c r="DC382" s="27"/>
      <c r="DE382" s="27"/>
      <c r="DF382" s="16"/>
      <c r="DG382" s="16"/>
      <c r="DH382" s="27"/>
      <c r="DJ382" s="27"/>
      <c r="DK382" s="16"/>
      <c r="DL382" s="16"/>
      <c r="DM382" s="27"/>
      <c r="DO382" s="27"/>
      <c r="DP382" s="16"/>
      <c r="DQ382" s="16"/>
      <c r="DR382" s="27"/>
      <c r="DT382" s="27"/>
      <c r="DU382" s="16"/>
      <c r="DV382" s="16"/>
      <c r="DW382" s="27"/>
      <c r="DY382" s="27"/>
      <c r="DZ382" s="16"/>
      <c r="EA382" s="16"/>
      <c r="EB382" s="302"/>
    </row>
    <row r="383" spans="1:132" s="14" customFormat="1" ht="21" x14ac:dyDescent="0.4">
      <c r="A383" s="27"/>
      <c r="B383" s="27"/>
      <c r="C383" s="27"/>
      <c r="E383" s="16"/>
      <c r="F383" s="27"/>
      <c r="G383" s="27"/>
      <c r="I383" s="27"/>
      <c r="J383" s="16"/>
      <c r="K383" s="16"/>
      <c r="L383" s="27"/>
      <c r="N383" s="27"/>
      <c r="O383" s="16"/>
      <c r="P383" s="16"/>
      <c r="Q383" s="27"/>
      <c r="S383" s="27"/>
      <c r="T383" s="16"/>
      <c r="U383" s="16"/>
      <c r="V383" s="27"/>
      <c r="X383" s="27"/>
      <c r="Y383" s="16"/>
      <c r="Z383" s="16"/>
      <c r="AA383" s="27"/>
      <c r="AC383" s="27"/>
      <c r="AD383" s="16"/>
      <c r="AE383" s="16"/>
      <c r="AF383" s="27"/>
      <c r="AH383" s="27"/>
      <c r="AI383" s="16"/>
      <c r="AJ383" s="16"/>
      <c r="AK383" s="27"/>
      <c r="AM383" s="27"/>
      <c r="AN383" s="16"/>
      <c r="AO383" s="16"/>
      <c r="AP383" s="27"/>
      <c r="AR383" s="27"/>
      <c r="AS383" s="16"/>
      <c r="AT383" s="16"/>
      <c r="AU383" s="27"/>
      <c r="AW383" s="27"/>
      <c r="AX383" s="16"/>
      <c r="AY383" s="16"/>
      <c r="AZ383" s="27"/>
      <c r="BB383" s="27"/>
      <c r="BC383" s="16"/>
      <c r="BD383" s="16"/>
      <c r="BE383" s="27"/>
      <c r="BG383" s="27"/>
      <c r="BH383" s="16"/>
      <c r="BI383" s="16"/>
      <c r="BJ383" s="27"/>
      <c r="BL383" s="27"/>
      <c r="BM383" s="16"/>
      <c r="BN383" s="16"/>
      <c r="BO383" s="27"/>
      <c r="BQ383" s="27"/>
      <c r="BR383" s="16"/>
      <c r="BS383" s="16"/>
      <c r="BT383" s="27"/>
      <c r="BV383" s="27"/>
      <c r="BW383" s="16"/>
      <c r="BX383" s="16"/>
      <c r="BY383" s="27"/>
      <c r="CA383" s="27"/>
      <c r="CB383" s="16"/>
      <c r="CC383" s="16"/>
      <c r="CD383" s="27"/>
      <c r="CF383" s="27"/>
      <c r="CG383" s="16"/>
      <c r="CH383" s="16"/>
      <c r="CI383" s="27"/>
      <c r="CK383" s="27"/>
      <c r="CL383" s="16"/>
      <c r="CM383" s="16"/>
      <c r="CN383" s="27"/>
      <c r="CP383" s="27"/>
      <c r="CQ383" s="16"/>
      <c r="CR383" s="16"/>
      <c r="CS383" s="27"/>
      <c r="CU383" s="27"/>
      <c r="CV383" s="16"/>
      <c r="CW383" s="16"/>
      <c r="CX383" s="27"/>
      <c r="CZ383" s="27"/>
      <c r="DA383" s="16"/>
      <c r="DB383" s="16"/>
      <c r="DC383" s="27"/>
      <c r="DE383" s="27"/>
      <c r="DF383" s="16"/>
      <c r="DG383" s="16"/>
      <c r="DH383" s="27"/>
      <c r="DJ383" s="27"/>
      <c r="DK383" s="16"/>
      <c r="DL383" s="16"/>
      <c r="DM383" s="27"/>
      <c r="DO383" s="27"/>
      <c r="DP383" s="16"/>
      <c r="DQ383" s="16"/>
      <c r="DR383" s="27"/>
      <c r="DT383" s="27"/>
      <c r="DU383" s="16"/>
      <c r="DV383" s="16"/>
      <c r="DW383" s="27"/>
      <c r="DY383" s="27"/>
      <c r="DZ383" s="16"/>
      <c r="EA383" s="16"/>
      <c r="EB383" s="302"/>
    </row>
    <row r="384" spans="1:132" s="14" customFormat="1" ht="21" x14ac:dyDescent="0.4">
      <c r="A384" s="27"/>
      <c r="B384" s="27"/>
      <c r="C384" s="27"/>
      <c r="E384" s="16"/>
      <c r="F384" s="27"/>
      <c r="G384" s="27"/>
      <c r="I384" s="27"/>
      <c r="J384" s="16"/>
      <c r="K384" s="16"/>
      <c r="L384" s="27"/>
      <c r="N384" s="27"/>
      <c r="O384" s="16"/>
      <c r="P384" s="16"/>
      <c r="Q384" s="27"/>
      <c r="S384" s="27"/>
      <c r="T384" s="16"/>
      <c r="U384" s="16"/>
      <c r="V384" s="27"/>
      <c r="X384" s="27"/>
      <c r="Y384" s="16"/>
      <c r="Z384" s="16"/>
      <c r="AA384" s="27"/>
      <c r="AC384" s="27"/>
      <c r="AD384" s="16"/>
      <c r="AE384" s="16"/>
      <c r="AF384" s="27"/>
      <c r="AH384" s="27"/>
      <c r="AI384" s="16"/>
      <c r="AJ384" s="16"/>
      <c r="AK384" s="27"/>
      <c r="AM384" s="27"/>
      <c r="AN384" s="16"/>
      <c r="AO384" s="16"/>
      <c r="AP384" s="27"/>
      <c r="AR384" s="27"/>
      <c r="AS384" s="16"/>
      <c r="AT384" s="16"/>
      <c r="AU384" s="27"/>
      <c r="AW384" s="27"/>
      <c r="AX384" s="16"/>
      <c r="AY384" s="16"/>
      <c r="AZ384" s="27"/>
      <c r="BB384" s="27"/>
      <c r="BC384" s="16"/>
      <c r="BD384" s="16"/>
      <c r="BE384" s="27"/>
      <c r="BG384" s="27"/>
      <c r="BH384" s="16"/>
      <c r="BI384" s="16"/>
      <c r="BJ384" s="27"/>
      <c r="BL384" s="27"/>
      <c r="BM384" s="16"/>
      <c r="BN384" s="16"/>
      <c r="BO384" s="27"/>
      <c r="BQ384" s="27"/>
      <c r="BR384" s="16"/>
      <c r="BS384" s="16"/>
      <c r="BT384" s="27"/>
      <c r="BV384" s="27"/>
      <c r="BW384" s="16"/>
      <c r="BX384" s="16"/>
      <c r="BY384" s="27"/>
      <c r="CA384" s="27"/>
      <c r="CB384" s="16"/>
      <c r="CC384" s="16"/>
      <c r="CD384" s="27"/>
      <c r="CF384" s="27"/>
      <c r="CG384" s="16"/>
      <c r="CH384" s="16"/>
      <c r="CI384" s="27"/>
      <c r="CK384" s="27"/>
      <c r="CL384" s="16"/>
      <c r="CM384" s="16"/>
      <c r="CN384" s="27"/>
      <c r="CP384" s="27"/>
      <c r="CQ384" s="16"/>
      <c r="CR384" s="16"/>
      <c r="CS384" s="27"/>
      <c r="CU384" s="27"/>
      <c r="CV384" s="16"/>
      <c r="CW384" s="16"/>
      <c r="CX384" s="27"/>
      <c r="CZ384" s="27"/>
      <c r="DA384" s="16"/>
      <c r="DB384" s="16"/>
      <c r="DC384" s="27"/>
      <c r="DE384" s="27"/>
      <c r="DF384" s="16"/>
      <c r="DG384" s="16"/>
      <c r="DH384" s="27"/>
      <c r="DJ384" s="27"/>
      <c r="DK384" s="16"/>
      <c r="DL384" s="16"/>
      <c r="DM384" s="27"/>
      <c r="DO384" s="27"/>
      <c r="DP384" s="16"/>
      <c r="DQ384" s="16"/>
      <c r="DR384" s="27"/>
      <c r="DT384" s="27"/>
      <c r="DU384" s="16"/>
      <c r="DV384" s="16"/>
      <c r="DW384" s="27"/>
      <c r="DY384" s="27"/>
      <c r="DZ384" s="16"/>
      <c r="EA384" s="16"/>
      <c r="EB384" s="302"/>
    </row>
    <row r="385" spans="1:132" s="14" customFormat="1" ht="21" x14ac:dyDescent="0.4">
      <c r="A385" s="27"/>
      <c r="B385" s="27"/>
      <c r="C385" s="27"/>
      <c r="E385" s="16"/>
      <c r="F385" s="27"/>
      <c r="G385" s="27"/>
      <c r="I385" s="27"/>
      <c r="J385" s="16"/>
      <c r="K385" s="16"/>
      <c r="L385" s="27"/>
      <c r="N385" s="27"/>
      <c r="O385" s="16"/>
      <c r="P385" s="16"/>
      <c r="Q385" s="27"/>
      <c r="S385" s="27"/>
      <c r="T385" s="16"/>
      <c r="U385" s="16"/>
      <c r="V385" s="27"/>
      <c r="X385" s="27"/>
      <c r="Y385" s="16"/>
      <c r="Z385" s="16"/>
      <c r="AA385" s="27"/>
      <c r="AC385" s="27"/>
      <c r="AD385" s="16"/>
      <c r="AE385" s="16"/>
      <c r="AF385" s="27"/>
      <c r="AH385" s="27"/>
      <c r="AI385" s="16"/>
      <c r="AJ385" s="16"/>
      <c r="AK385" s="27"/>
      <c r="AM385" s="27"/>
      <c r="AN385" s="16"/>
      <c r="AO385" s="16"/>
      <c r="AP385" s="27"/>
      <c r="AR385" s="27"/>
      <c r="AS385" s="16"/>
      <c r="AT385" s="16"/>
      <c r="AU385" s="27"/>
      <c r="AW385" s="27"/>
      <c r="AX385" s="16"/>
      <c r="AY385" s="16"/>
      <c r="AZ385" s="27"/>
      <c r="BB385" s="27"/>
      <c r="BC385" s="16"/>
      <c r="BD385" s="16"/>
      <c r="BE385" s="27"/>
      <c r="BG385" s="27"/>
      <c r="BH385" s="16"/>
      <c r="BI385" s="16"/>
      <c r="BJ385" s="27"/>
      <c r="BL385" s="27"/>
      <c r="BM385" s="16"/>
      <c r="BN385" s="16"/>
      <c r="BO385" s="27"/>
      <c r="BQ385" s="27"/>
      <c r="BR385" s="16"/>
      <c r="BS385" s="16"/>
      <c r="BT385" s="27"/>
      <c r="BV385" s="27"/>
      <c r="BW385" s="16"/>
      <c r="BX385" s="16"/>
      <c r="BY385" s="27"/>
      <c r="CA385" s="27"/>
      <c r="CB385" s="16"/>
      <c r="CC385" s="16"/>
      <c r="CD385" s="27"/>
      <c r="CF385" s="27"/>
      <c r="CG385" s="16"/>
      <c r="CH385" s="16"/>
      <c r="CI385" s="27"/>
      <c r="CK385" s="27"/>
      <c r="CL385" s="16"/>
      <c r="CM385" s="16"/>
      <c r="CN385" s="27"/>
      <c r="CP385" s="27"/>
      <c r="CQ385" s="16"/>
      <c r="CR385" s="16"/>
      <c r="CS385" s="27"/>
      <c r="CU385" s="27"/>
      <c r="CV385" s="16"/>
      <c r="CW385" s="16"/>
      <c r="CX385" s="27"/>
      <c r="CZ385" s="27"/>
      <c r="DA385" s="16"/>
      <c r="DB385" s="16"/>
      <c r="DC385" s="27"/>
      <c r="DE385" s="27"/>
      <c r="DF385" s="16"/>
      <c r="DG385" s="16"/>
      <c r="DH385" s="27"/>
      <c r="DJ385" s="27"/>
      <c r="DK385" s="16"/>
      <c r="DL385" s="16"/>
      <c r="DM385" s="27"/>
      <c r="DO385" s="27"/>
      <c r="DP385" s="16"/>
      <c r="DQ385" s="16"/>
      <c r="DR385" s="27"/>
      <c r="DT385" s="27"/>
      <c r="DU385" s="16"/>
      <c r="DV385" s="16"/>
      <c r="DW385" s="27"/>
      <c r="DY385" s="27"/>
      <c r="DZ385" s="16"/>
      <c r="EA385" s="16"/>
      <c r="EB385" s="302"/>
    </row>
    <row r="386" spans="1:132" s="14" customFormat="1" ht="21" x14ac:dyDescent="0.4">
      <c r="A386" s="27"/>
      <c r="B386" s="27"/>
      <c r="C386" s="27"/>
      <c r="E386" s="16"/>
      <c r="F386" s="27"/>
      <c r="G386" s="27"/>
      <c r="I386" s="27"/>
      <c r="J386" s="16"/>
      <c r="K386" s="16"/>
      <c r="L386" s="27"/>
      <c r="N386" s="27"/>
      <c r="O386" s="16"/>
      <c r="P386" s="16"/>
      <c r="Q386" s="27"/>
      <c r="S386" s="27"/>
      <c r="T386" s="16"/>
      <c r="U386" s="16"/>
      <c r="V386" s="27"/>
      <c r="X386" s="27"/>
      <c r="Y386" s="16"/>
      <c r="Z386" s="16"/>
      <c r="AA386" s="27"/>
      <c r="AC386" s="27"/>
      <c r="AD386" s="16"/>
      <c r="AE386" s="16"/>
      <c r="AF386" s="27"/>
      <c r="AH386" s="27"/>
      <c r="AI386" s="16"/>
      <c r="AJ386" s="16"/>
      <c r="AK386" s="27"/>
      <c r="AM386" s="27"/>
      <c r="AN386" s="16"/>
      <c r="AO386" s="16"/>
      <c r="AP386" s="27"/>
      <c r="AR386" s="27"/>
      <c r="AS386" s="16"/>
      <c r="AT386" s="16"/>
      <c r="AU386" s="27"/>
      <c r="AW386" s="27"/>
      <c r="AX386" s="16"/>
      <c r="AY386" s="16"/>
      <c r="AZ386" s="27"/>
      <c r="BB386" s="27"/>
      <c r="BC386" s="16"/>
      <c r="BD386" s="16"/>
      <c r="BE386" s="27"/>
      <c r="BG386" s="27"/>
      <c r="BH386" s="16"/>
      <c r="BI386" s="16"/>
      <c r="BJ386" s="27"/>
      <c r="BL386" s="27"/>
      <c r="BM386" s="16"/>
      <c r="BN386" s="16"/>
      <c r="BO386" s="27"/>
      <c r="BQ386" s="27"/>
      <c r="BR386" s="16"/>
      <c r="BS386" s="16"/>
      <c r="BT386" s="27"/>
      <c r="BV386" s="27"/>
      <c r="BW386" s="16"/>
      <c r="BX386" s="16"/>
      <c r="BY386" s="27"/>
      <c r="CA386" s="27"/>
      <c r="CB386" s="16"/>
      <c r="CC386" s="16"/>
      <c r="CD386" s="27"/>
      <c r="CF386" s="27"/>
      <c r="CG386" s="16"/>
      <c r="CH386" s="16"/>
      <c r="CI386" s="27"/>
      <c r="CK386" s="27"/>
      <c r="CL386" s="16"/>
      <c r="CM386" s="16"/>
      <c r="CN386" s="27"/>
      <c r="CP386" s="27"/>
      <c r="CQ386" s="16"/>
      <c r="CR386" s="16"/>
      <c r="CS386" s="27"/>
      <c r="CU386" s="27"/>
      <c r="CV386" s="16"/>
      <c r="CW386" s="16"/>
      <c r="CX386" s="27"/>
      <c r="CZ386" s="27"/>
      <c r="DA386" s="16"/>
      <c r="DB386" s="16"/>
      <c r="DC386" s="27"/>
      <c r="DE386" s="27"/>
      <c r="DF386" s="16"/>
      <c r="DG386" s="16"/>
      <c r="DH386" s="27"/>
      <c r="DJ386" s="27"/>
      <c r="DK386" s="16"/>
      <c r="DL386" s="16"/>
      <c r="DM386" s="27"/>
      <c r="DO386" s="27"/>
      <c r="DP386" s="16"/>
      <c r="DQ386" s="16"/>
      <c r="DR386" s="27"/>
      <c r="DT386" s="27"/>
      <c r="DU386" s="16"/>
      <c r="DV386" s="16"/>
      <c r="DW386" s="27"/>
      <c r="DY386" s="27"/>
      <c r="DZ386" s="16"/>
      <c r="EA386" s="16"/>
      <c r="EB386" s="302"/>
    </row>
    <row r="387" spans="1:132" s="14" customFormat="1" ht="21" x14ac:dyDescent="0.4">
      <c r="A387" s="27"/>
      <c r="B387" s="27"/>
      <c r="C387" s="27"/>
      <c r="E387" s="16"/>
      <c r="F387" s="27"/>
      <c r="G387" s="27"/>
      <c r="I387" s="27"/>
      <c r="J387" s="16"/>
      <c r="K387" s="16"/>
      <c r="L387" s="27"/>
      <c r="N387" s="27"/>
      <c r="O387" s="16"/>
      <c r="P387" s="16"/>
      <c r="Q387" s="27"/>
      <c r="S387" s="27"/>
      <c r="T387" s="16"/>
      <c r="U387" s="16"/>
      <c r="V387" s="27"/>
      <c r="X387" s="27"/>
      <c r="Y387" s="16"/>
      <c r="Z387" s="16"/>
      <c r="AA387" s="27"/>
      <c r="AC387" s="27"/>
      <c r="AD387" s="16"/>
      <c r="AE387" s="16"/>
      <c r="AF387" s="27"/>
      <c r="AH387" s="27"/>
      <c r="AI387" s="16"/>
      <c r="AJ387" s="16"/>
      <c r="AK387" s="27"/>
      <c r="AM387" s="27"/>
      <c r="AN387" s="16"/>
      <c r="AO387" s="16"/>
      <c r="AP387" s="27"/>
      <c r="AR387" s="27"/>
      <c r="AS387" s="16"/>
      <c r="AT387" s="16"/>
      <c r="AU387" s="27"/>
      <c r="AW387" s="27"/>
      <c r="AX387" s="16"/>
      <c r="AY387" s="16"/>
      <c r="AZ387" s="27"/>
      <c r="BB387" s="27"/>
      <c r="BC387" s="16"/>
      <c r="BD387" s="16"/>
      <c r="BE387" s="27"/>
      <c r="BG387" s="27"/>
      <c r="BH387" s="16"/>
      <c r="BI387" s="16"/>
      <c r="BJ387" s="27"/>
      <c r="BL387" s="27"/>
      <c r="BM387" s="16"/>
      <c r="BN387" s="16"/>
      <c r="BO387" s="27"/>
      <c r="BQ387" s="27"/>
      <c r="BR387" s="16"/>
      <c r="BS387" s="16"/>
      <c r="BT387" s="27"/>
      <c r="BV387" s="27"/>
      <c r="BW387" s="16"/>
      <c r="BX387" s="16"/>
      <c r="BY387" s="27"/>
      <c r="CA387" s="27"/>
      <c r="CB387" s="16"/>
      <c r="CC387" s="16"/>
      <c r="CD387" s="27"/>
      <c r="CF387" s="27"/>
      <c r="CG387" s="16"/>
      <c r="CH387" s="16"/>
      <c r="CI387" s="27"/>
      <c r="CK387" s="27"/>
      <c r="CL387" s="16"/>
      <c r="CM387" s="16"/>
      <c r="CN387" s="27"/>
      <c r="CP387" s="27"/>
      <c r="CQ387" s="16"/>
      <c r="CR387" s="16"/>
      <c r="CS387" s="27"/>
      <c r="CU387" s="27"/>
      <c r="CV387" s="16"/>
      <c r="CW387" s="16"/>
      <c r="CX387" s="27"/>
      <c r="CZ387" s="27"/>
      <c r="DA387" s="16"/>
      <c r="DB387" s="16"/>
      <c r="DC387" s="27"/>
      <c r="DE387" s="27"/>
      <c r="DF387" s="16"/>
      <c r="DG387" s="16"/>
      <c r="DH387" s="27"/>
      <c r="DJ387" s="27"/>
      <c r="DK387" s="16"/>
      <c r="DL387" s="16"/>
      <c r="DM387" s="27"/>
      <c r="DO387" s="27"/>
      <c r="DP387" s="16"/>
      <c r="DQ387" s="16"/>
      <c r="DR387" s="27"/>
      <c r="DT387" s="27"/>
      <c r="DU387" s="16"/>
      <c r="DV387" s="16"/>
      <c r="DW387" s="27"/>
      <c r="DY387" s="27"/>
      <c r="DZ387" s="16"/>
      <c r="EA387" s="16"/>
      <c r="EB387" s="302"/>
    </row>
    <row r="388" spans="1:132" s="14" customFormat="1" ht="21" x14ac:dyDescent="0.4">
      <c r="A388" s="27"/>
      <c r="B388" s="27"/>
      <c r="C388" s="27"/>
      <c r="E388" s="16"/>
      <c r="F388" s="27"/>
      <c r="G388" s="27"/>
      <c r="I388" s="27"/>
      <c r="J388" s="16"/>
      <c r="K388" s="16"/>
      <c r="L388" s="27"/>
      <c r="N388" s="27"/>
      <c r="O388" s="16"/>
      <c r="P388" s="16"/>
      <c r="Q388" s="27"/>
      <c r="S388" s="27"/>
      <c r="T388" s="16"/>
      <c r="U388" s="16"/>
      <c r="V388" s="27"/>
      <c r="X388" s="27"/>
      <c r="Y388" s="16"/>
      <c r="Z388" s="16"/>
      <c r="AA388" s="27"/>
      <c r="AC388" s="27"/>
      <c r="AD388" s="16"/>
      <c r="AE388" s="16"/>
      <c r="AF388" s="27"/>
      <c r="AH388" s="27"/>
      <c r="AI388" s="16"/>
      <c r="AJ388" s="16"/>
      <c r="AK388" s="27"/>
      <c r="AM388" s="27"/>
      <c r="AN388" s="16"/>
      <c r="AO388" s="16"/>
      <c r="AP388" s="27"/>
      <c r="AR388" s="27"/>
      <c r="AS388" s="16"/>
      <c r="AT388" s="16"/>
      <c r="AU388" s="27"/>
      <c r="AW388" s="27"/>
      <c r="AX388" s="16"/>
      <c r="AY388" s="16"/>
      <c r="AZ388" s="27"/>
      <c r="BB388" s="27"/>
      <c r="BC388" s="16"/>
      <c r="BD388" s="16"/>
      <c r="BE388" s="27"/>
      <c r="BG388" s="27"/>
      <c r="BH388" s="16"/>
      <c r="BI388" s="16"/>
      <c r="BJ388" s="27"/>
      <c r="BL388" s="27"/>
      <c r="BM388" s="16"/>
      <c r="BN388" s="16"/>
      <c r="BO388" s="27"/>
      <c r="BQ388" s="27"/>
      <c r="BR388" s="16"/>
      <c r="BS388" s="16"/>
      <c r="BT388" s="27"/>
      <c r="BV388" s="27"/>
      <c r="BW388" s="16"/>
      <c r="BX388" s="16"/>
      <c r="BY388" s="27"/>
      <c r="CA388" s="27"/>
      <c r="CB388" s="16"/>
      <c r="CC388" s="16"/>
      <c r="CD388" s="27"/>
      <c r="CF388" s="27"/>
      <c r="CG388" s="16"/>
      <c r="CH388" s="16"/>
      <c r="CI388" s="27"/>
      <c r="CK388" s="27"/>
      <c r="CL388" s="16"/>
      <c r="CM388" s="16"/>
      <c r="CN388" s="27"/>
      <c r="CP388" s="27"/>
      <c r="CQ388" s="16"/>
      <c r="CR388" s="16"/>
      <c r="CS388" s="27"/>
      <c r="CU388" s="27"/>
      <c r="CV388" s="16"/>
      <c r="CW388" s="16"/>
      <c r="CX388" s="27"/>
      <c r="CZ388" s="27"/>
      <c r="DA388" s="16"/>
      <c r="DB388" s="16"/>
      <c r="DC388" s="27"/>
      <c r="DE388" s="27"/>
      <c r="DF388" s="16"/>
      <c r="DG388" s="16"/>
      <c r="DH388" s="27"/>
      <c r="DJ388" s="27"/>
      <c r="DK388" s="16"/>
      <c r="DL388" s="16"/>
      <c r="DM388" s="27"/>
      <c r="DO388" s="27"/>
      <c r="DP388" s="16"/>
      <c r="DQ388" s="16"/>
      <c r="DR388" s="27"/>
      <c r="DT388" s="27"/>
      <c r="DU388" s="16"/>
      <c r="DV388" s="16"/>
      <c r="DW388" s="27"/>
      <c r="DY388" s="27"/>
      <c r="DZ388" s="16"/>
      <c r="EA388" s="16"/>
      <c r="EB388" s="302"/>
    </row>
    <row r="389" spans="1:132" s="14" customFormat="1" ht="21" x14ac:dyDescent="0.4">
      <c r="A389" s="27"/>
      <c r="B389" s="27"/>
      <c r="C389" s="27"/>
      <c r="E389" s="16"/>
      <c r="F389" s="27"/>
      <c r="G389" s="27"/>
      <c r="I389" s="27"/>
      <c r="J389" s="16"/>
      <c r="K389" s="16"/>
      <c r="L389" s="27"/>
      <c r="N389" s="27"/>
      <c r="O389" s="16"/>
      <c r="P389" s="16"/>
      <c r="Q389" s="27"/>
      <c r="S389" s="27"/>
      <c r="T389" s="16"/>
      <c r="U389" s="16"/>
      <c r="V389" s="27"/>
      <c r="X389" s="27"/>
      <c r="Y389" s="16"/>
      <c r="Z389" s="16"/>
      <c r="AA389" s="27"/>
      <c r="AC389" s="27"/>
      <c r="AD389" s="16"/>
      <c r="AE389" s="16"/>
      <c r="AF389" s="27"/>
      <c r="AH389" s="27"/>
      <c r="AI389" s="16"/>
      <c r="AJ389" s="16"/>
      <c r="AK389" s="27"/>
      <c r="AM389" s="27"/>
      <c r="AN389" s="16"/>
      <c r="AO389" s="16"/>
      <c r="AP389" s="27"/>
      <c r="AR389" s="27"/>
      <c r="AS389" s="16"/>
      <c r="AT389" s="16"/>
      <c r="AU389" s="27"/>
      <c r="AW389" s="27"/>
      <c r="AX389" s="16"/>
      <c r="AY389" s="16"/>
      <c r="AZ389" s="27"/>
      <c r="BB389" s="27"/>
      <c r="BC389" s="16"/>
      <c r="BD389" s="16"/>
      <c r="BE389" s="27"/>
      <c r="BG389" s="27"/>
      <c r="BH389" s="16"/>
      <c r="BI389" s="16"/>
      <c r="BJ389" s="27"/>
      <c r="BL389" s="27"/>
      <c r="BM389" s="16"/>
      <c r="BN389" s="16"/>
      <c r="BO389" s="27"/>
      <c r="BQ389" s="27"/>
      <c r="BR389" s="16"/>
      <c r="BS389" s="16"/>
      <c r="BT389" s="27"/>
      <c r="BV389" s="27"/>
      <c r="BW389" s="16"/>
      <c r="BX389" s="16"/>
      <c r="BY389" s="27"/>
      <c r="CA389" s="27"/>
      <c r="CB389" s="16"/>
      <c r="CC389" s="16"/>
      <c r="CD389" s="27"/>
      <c r="CF389" s="27"/>
      <c r="CG389" s="16"/>
      <c r="CH389" s="16"/>
      <c r="CI389" s="27"/>
      <c r="CK389" s="27"/>
      <c r="CL389" s="16"/>
      <c r="CM389" s="16"/>
      <c r="CN389" s="27"/>
      <c r="CP389" s="27"/>
      <c r="CQ389" s="16"/>
      <c r="CR389" s="16"/>
      <c r="CS389" s="27"/>
      <c r="CU389" s="27"/>
      <c r="CV389" s="16"/>
      <c r="CW389" s="16"/>
      <c r="CX389" s="27"/>
      <c r="CZ389" s="27"/>
      <c r="DA389" s="16"/>
      <c r="DB389" s="16"/>
      <c r="DC389" s="27"/>
      <c r="DE389" s="27"/>
      <c r="DF389" s="16"/>
      <c r="DG389" s="16"/>
      <c r="DH389" s="27"/>
      <c r="DJ389" s="27"/>
      <c r="DK389" s="16"/>
      <c r="DL389" s="16"/>
      <c r="DM389" s="27"/>
      <c r="DO389" s="27"/>
      <c r="DP389" s="16"/>
      <c r="DQ389" s="16"/>
      <c r="DR389" s="27"/>
      <c r="DT389" s="27"/>
      <c r="DU389" s="16"/>
      <c r="DV389" s="16"/>
      <c r="DW389" s="27"/>
      <c r="DY389" s="27"/>
      <c r="DZ389" s="16"/>
      <c r="EA389" s="16"/>
      <c r="EB389" s="302"/>
    </row>
    <row r="390" spans="1:132" s="14" customFormat="1" ht="21" x14ac:dyDescent="0.4">
      <c r="A390" s="27"/>
      <c r="B390" s="27"/>
      <c r="C390" s="27"/>
      <c r="E390" s="16"/>
      <c r="F390" s="27"/>
      <c r="G390" s="27"/>
      <c r="I390" s="27"/>
      <c r="J390" s="16"/>
      <c r="K390" s="16"/>
      <c r="L390" s="27"/>
      <c r="N390" s="27"/>
      <c r="O390" s="16"/>
      <c r="P390" s="16"/>
      <c r="Q390" s="27"/>
      <c r="S390" s="27"/>
      <c r="T390" s="16"/>
      <c r="U390" s="16"/>
      <c r="V390" s="27"/>
      <c r="X390" s="27"/>
      <c r="Y390" s="16"/>
      <c r="Z390" s="16"/>
      <c r="AA390" s="27"/>
      <c r="AC390" s="27"/>
      <c r="AD390" s="16"/>
      <c r="AE390" s="16"/>
      <c r="AF390" s="27"/>
      <c r="AH390" s="27"/>
      <c r="AI390" s="16"/>
      <c r="AJ390" s="16"/>
      <c r="AK390" s="27"/>
      <c r="AM390" s="27"/>
      <c r="AN390" s="16"/>
      <c r="AO390" s="16"/>
      <c r="AP390" s="27"/>
      <c r="AR390" s="27"/>
      <c r="AS390" s="16"/>
      <c r="AT390" s="16"/>
      <c r="AU390" s="27"/>
      <c r="AW390" s="27"/>
      <c r="AX390" s="16"/>
      <c r="AY390" s="16"/>
      <c r="AZ390" s="27"/>
      <c r="BB390" s="27"/>
      <c r="BC390" s="16"/>
      <c r="BD390" s="16"/>
      <c r="BE390" s="27"/>
      <c r="BG390" s="27"/>
      <c r="BH390" s="16"/>
      <c r="BI390" s="16"/>
      <c r="BJ390" s="27"/>
      <c r="BL390" s="27"/>
      <c r="BM390" s="16"/>
      <c r="BN390" s="16"/>
      <c r="BO390" s="27"/>
      <c r="BQ390" s="27"/>
      <c r="BR390" s="16"/>
      <c r="BS390" s="16"/>
      <c r="BT390" s="27"/>
      <c r="BV390" s="27"/>
      <c r="BW390" s="16"/>
      <c r="BX390" s="16"/>
      <c r="BY390" s="27"/>
      <c r="CA390" s="27"/>
      <c r="CB390" s="16"/>
      <c r="CC390" s="16"/>
      <c r="CD390" s="27"/>
      <c r="CF390" s="27"/>
      <c r="CG390" s="16"/>
      <c r="CH390" s="16"/>
      <c r="CI390" s="27"/>
      <c r="CK390" s="27"/>
      <c r="CL390" s="16"/>
      <c r="CM390" s="16"/>
      <c r="CN390" s="27"/>
      <c r="CP390" s="27"/>
      <c r="CQ390" s="16"/>
      <c r="CR390" s="16"/>
      <c r="CS390" s="27"/>
      <c r="CU390" s="27"/>
      <c r="CV390" s="16"/>
      <c r="CW390" s="16"/>
      <c r="CX390" s="27"/>
      <c r="CZ390" s="27"/>
      <c r="DA390" s="16"/>
      <c r="DB390" s="16"/>
      <c r="DC390" s="27"/>
      <c r="DE390" s="27"/>
      <c r="DF390" s="16"/>
      <c r="DG390" s="16"/>
      <c r="DH390" s="27"/>
      <c r="DJ390" s="27"/>
      <c r="DK390" s="16"/>
      <c r="DL390" s="16"/>
      <c r="DM390" s="27"/>
      <c r="DO390" s="27"/>
      <c r="DP390" s="16"/>
      <c r="DQ390" s="16"/>
      <c r="DR390" s="27"/>
      <c r="DT390" s="27"/>
      <c r="DU390" s="16"/>
      <c r="DV390" s="16"/>
      <c r="DW390" s="27"/>
      <c r="DY390" s="27"/>
      <c r="DZ390" s="16"/>
      <c r="EA390" s="16"/>
      <c r="EB390" s="302"/>
    </row>
    <row r="391" spans="1:132" s="14" customFormat="1" ht="21" x14ac:dyDescent="0.4">
      <c r="A391" s="27"/>
      <c r="B391" s="27"/>
      <c r="C391" s="27"/>
      <c r="E391" s="16"/>
      <c r="F391" s="27"/>
      <c r="G391" s="27"/>
      <c r="I391" s="27"/>
      <c r="J391" s="16"/>
      <c r="K391" s="16"/>
      <c r="L391" s="27"/>
      <c r="N391" s="27"/>
      <c r="O391" s="16"/>
      <c r="P391" s="16"/>
      <c r="Q391" s="27"/>
      <c r="S391" s="27"/>
      <c r="T391" s="16"/>
      <c r="U391" s="16"/>
      <c r="V391" s="27"/>
      <c r="X391" s="27"/>
      <c r="Y391" s="16"/>
      <c r="Z391" s="16"/>
      <c r="AA391" s="27"/>
      <c r="AC391" s="27"/>
      <c r="AD391" s="16"/>
      <c r="AE391" s="16"/>
      <c r="AF391" s="27"/>
      <c r="AH391" s="27"/>
      <c r="AI391" s="16"/>
      <c r="AJ391" s="16"/>
      <c r="AK391" s="27"/>
      <c r="AM391" s="27"/>
      <c r="AN391" s="16"/>
      <c r="AO391" s="16"/>
      <c r="AP391" s="27"/>
      <c r="AR391" s="27"/>
      <c r="AS391" s="16"/>
      <c r="AT391" s="16"/>
      <c r="AU391" s="27"/>
      <c r="AW391" s="27"/>
      <c r="AX391" s="16"/>
      <c r="AY391" s="16"/>
      <c r="AZ391" s="27"/>
      <c r="BB391" s="27"/>
      <c r="BC391" s="16"/>
      <c r="BD391" s="16"/>
      <c r="BE391" s="27"/>
      <c r="BG391" s="27"/>
      <c r="BH391" s="16"/>
      <c r="BI391" s="16"/>
      <c r="BJ391" s="27"/>
      <c r="BL391" s="27"/>
      <c r="BM391" s="16"/>
      <c r="BN391" s="16"/>
      <c r="BO391" s="27"/>
      <c r="BQ391" s="27"/>
      <c r="BR391" s="16"/>
      <c r="BS391" s="16"/>
      <c r="BT391" s="27"/>
      <c r="BV391" s="27"/>
      <c r="BW391" s="16"/>
      <c r="BX391" s="16"/>
      <c r="BY391" s="27"/>
      <c r="CA391" s="27"/>
      <c r="CB391" s="16"/>
      <c r="CC391" s="16"/>
      <c r="CD391" s="27"/>
      <c r="CF391" s="27"/>
      <c r="CG391" s="16"/>
      <c r="CH391" s="16"/>
      <c r="CI391" s="27"/>
      <c r="CK391" s="27"/>
      <c r="CL391" s="16"/>
      <c r="CM391" s="16"/>
      <c r="CN391" s="27"/>
      <c r="CP391" s="27"/>
      <c r="CQ391" s="16"/>
      <c r="CR391" s="16"/>
      <c r="CS391" s="27"/>
      <c r="CU391" s="27"/>
      <c r="CV391" s="16"/>
      <c r="CW391" s="16"/>
      <c r="CX391" s="27"/>
      <c r="CZ391" s="27"/>
      <c r="DA391" s="16"/>
      <c r="DB391" s="16"/>
      <c r="DC391" s="27"/>
      <c r="DE391" s="27"/>
      <c r="DF391" s="16"/>
      <c r="DG391" s="16"/>
      <c r="DH391" s="27"/>
      <c r="DJ391" s="27"/>
      <c r="DK391" s="16"/>
      <c r="DL391" s="16"/>
      <c r="DM391" s="27"/>
      <c r="DO391" s="27"/>
      <c r="DP391" s="16"/>
      <c r="DQ391" s="16"/>
      <c r="DR391" s="27"/>
      <c r="DT391" s="27"/>
      <c r="DU391" s="16"/>
      <c r="DV391" s="16"/>
      <c r="DW391" s="27"/>
      <c r="DY391" s="27"/>
      <c r="DZ391" s="16"/>
      <c r="EA391" s="16"/>
      <c r="EB391" s="302"/>
    </row>
    <row r="392" spans="1:132" s="14" customFormat="1" ht="21" x14ac:dyDescent="0.4">
      <c r="A392" s="27"/>
      <c r="B392" s="27"/>
      <c r="C392" s="27"/>
      <c r="E392" s="16"/>
      <c r="F392" s="27"/>
      <c r="G392" s="27"/>
      <c r="I392" s="27"/>
      <c r="J392" s="16"/>
      <c r="K392" s="16"/>
      <c r="L392" s="27"/>
      <c r="N392" s="27"/>
      <c r="O392" s="16"/>
      <c r="P392" s="16"/>
      <c r="Q392" s="27"/>
      <c r="S392" s="27"/>
      <c r="T392" s="16"/>
      <c r="U392" s="16"/>
      <c r="V392" s="27"/>
      <c r="X392" s="27"/>
      <c r="Y392" s="16"/>
      <c r="Z392" s="16"/>
      <c r="AA392" s="27"/>
      <c r="AC392" s="27"/>
      <c r="AD392" s="16"/>
      <c r="AE392" s="16"/>
      <c r="AF392" s="27"/>
      <c r="AH392" s="27"/>
      <c r="AI392" s="16"/>
      <c r="AJ392" s="16"/>
      <c r="AK392" s="27"/>
      <c r="AM392" s="27"/>
      <c r="AN392" s="16"/>
      <c r="AO392" s="16"/>
      <c r="AP392" s="27"/>
      <c r="AR392" s="27"/>
      <c r="AS392" s="16"/>
      <c r="AT392" s="16"/>
      <c r="AU392" s="27"/>
      <c r="AW392" s="27"/>
      <c r="AX392" s="16"/>
      <c r="AY392" s="16"/>
      <c r="AZ392" s="27"/>
      <c r="BB392" s="27"/>
      <c r="BC392" s="16"/>
      <c r="BD392" s="16"/>
      <c r="BE392" s="27"/>
      <c r="BG392" s="27"/>
      <c r="BH392" s="16"/>
      <c r="BI392" s="16"/>
      <c r="BJ392" s="27"/>
      <c r="BL392" s="27"/>
      <c r="BM392" s="16"/>
      <c r="BN392" s="16"/>
      <c r="BO392" s="27"/>
      <c r="BQ392" s="27"/>
      <c r="BR392" s="16"/>
      <c r="BS392" s="16"/>
      <c r="BT392" s="27"/>
      <c r="BV392" s="27"/>
      <c r="BW392" s="16"/>
      <c r="BX392" s="16"/>
      <c r="BY392" s="27"/>
      <c r="CA392" s="27"/>
      <c r="CB392" s="16"/>
      <c r="CC392" s="16"/>
      <c r="CD392" s="27"/>
      <c r="CF392" s="27"/>
      <c r="CG392" s="16"/>
      <c r="CH392" s="16"/>
      <c r="CI392" s="27"/>
      <c r="CK392" s="27"/>
      <c r="CL392" s="16"/>
      <c r="CM392" s="16"/>
      <c r="CN392" s="27"/>
      <c r="CP392" s="27"/>
      <c r="CQ392" s="16"/>
      <c r="CR392" s="16"/>
      <c r="CS392" s="27"/>
      <c r="CU392" s="27"/>
      <c r="CV392" s="16"/>
      <c r="CW392" s="16"/>
      <c r="CX392" s="27"/>
      <c r="CZ392" s="27"/>
      <c r="DA392" s="16"/>
      <c r="DB392" s="16"/>
      <c r="DC392" s="27"/>
      <c r="DE392" s="27"/>
      <c r="DF392" s="16"/>
      <c r="DG392" s="16"/>
      <c r="DH392" s="27"/>
      <c r="DJ392" s="27"/>
      <c r="DK392" s="16"/>
      <c r="DL392" s="16"/>
      <c r="DM392" s="27"/>
      <c r="DO392" s="27"/>
      <c r="DP392" s="16"/>
      <c r="DQ392" s="16"/>
      <c r="DR392" s="27"/>
      <c r="DT392" s="27"/>
      <c r="DU392" s="16"/>
      <c r="DV392" s="16"/>
      <c r="DW392" s="27"/>
      <c r="DY392" s="27"/>
      <c r="DZ392" s="16"/>
      <c r="EA392" s="16"/>
      <c r="EB392" s="302"/>
    </row>
    <row r="393" spans="1:132" s="14" customFormat="1" ht="21" x14ac:dyDescent="0.4">
      <c r="A393" s="27"/>
      <c r="B393" s="27"/>
      <c r="C393" s="27"/>
      <c r="E393" s="16"/>
      <c r="F393" s="27"/>
      <c r="G393" s="27"/>
      <c r="I393" s="27"/>
      <c r="J393" s="16"/>
      <c r="K393" s="16"/>
      <c r="L393" s="27"/>
      <c r="N393" s="27"/>
      <c r="O393" s="16"/>
      <c r="P393" s="16"/>
      <c r="Q393" s="27"/>
      <c r="S393" s="27"/>
      <c r="T393" s="16"/>
      <c r="U393" s="16"/>
      <c r="V393" s="27"/>
      <c r="X393" s="27"/>
      <c r="Y393" s="16"/>
      <c r="Z393" s="16"/>
      <c r="AA393" s="27"/>
      <c r="AC393" s="27"/>
      <c r="AD393" s="16"/>
      <c r="AE393" s="16"/>
      <c r="AF393" s="27"/>
      <c r="AH393" s="27"/>
      <c r="AI393" s="16"/>
      <c r="AJ393" s="16"/>
      <c r="AK393" s="27"/>
      <c r="AM393" s="27"/>
      <c r="AN393" s="16"/>
      <c r="AO393" s="16"/>
      <c r="AP393" s="27"/>
      <c r="AR393" s="27"/>
      <c r="AS393" s="16"/>
      <c r="AT393" s="16"/>
      <c r="AU393" s="27"/>
      <c r="AW393" s="27"/>
      <c r="AX393" s="16"/>
      <c r="AY393" s="16"/>
      <c r="AZ393" s="27"/>
      <c r="BB393" s="27"/>
      <c r="BC393" s="16"/>
      <c r="BD393" s="16"/>
      <c r="BE393" s="27"/>
      <c r="BG393" s="27"/>
      <c r="BH393" s="16"/>
      <c r="BI393" s="16"/>
      <c r="BJ393" s="27"/>
      <c r="BL393" s="27"/>
      <c r="BM393" s="16"/>
      <c r="BN393" s="16"/>
      <c r="BO393" s="27"/>
      <c r="BQ393" s="27"/>
      <c r="BR393" s="16"/>
      <c r="BS393" s="16"/>
      <c r="BT393" s="27"/>
      <c r="BV393" s="27"/>
      <c r="BW393" s="16"/>
      <c r="BX393" s="16"/>
      <c r="BY393" s="27"/>
      <c r="CA393" s="27"/>
      <c r="CB393" s="16"/>
      <c r="CC393" s="16"/>
      <c r="CD393" s="27"/>
      <c r="CF393" s="27"/>
      <c r="CG393" s="16"/>
      <c r="CH393" s="16"/>
      <c r="CI393" s="27"/>
      <c r="CK393" s="27"/>
      <c r="CL393" s="16"/>
      <c r="CM393" s="16"/>
      <c r="CN393" s="27"/>
      <c r="CP393" s="27"/>
      <c r="CQ393" s="16"/>
      <c r="CR393" s="16"/>
      <c r="CS393" s="27"/>
      <c r="CU393" s="27"/>
      <c r="CV393" s="16"/>
      <c r="CW393" s="16"/>
      <c r="CX393" s="27"/>
      <c r="CZ393" s="27"/>
      <c r="DA393" s="16"/>
      <c r="DB393" s="16"/>
      <c r="DC393" s="27"/>
      <c r="DE393" s="27"/>
      <c r="DF393" s="16"/>
      <c r="DG393" s="16"/>
      <c r="DH393" s="27"/>
      <c r="DJ393" s="27"/>
      <c r="DK393" s="16"/>
      <c r="DL393" s="16"/>
      <c r="DM393" s="27"/>
      <c r="DO393" s="27"/>
      <c r="DP393" s="16"/>
      <c r="DQ393" s="16"/>
      <c r="DR393" s="27"/>
      <c r="DT393" s="27"/>
      <c r="DU393" s="16"/>
      <c r="DV393" s="16"/>
      <c r="DW393" s="27"/>
      <c r="DY393" s="27"/>
      <c r="DZ393" s="16"/>
      <c r="EA393" s="16"/>
      <c r="EB393" s="302"/>
    </row>
    <row r="394" spans="1:132" s="14" customFormat="1" ht="21" x14ac:dyDescent="0.4">
      <c r="A394" s="27"/>
      <c r="B394" s="27"/>
      <c r="C394" s="27"/>
      <c r="E394" s="16"/>
      <c r="F394" s="27"/>
      <c r="G394" s="27"/>
      <c r="I394" s="27"/>
      <c r="J394" s="16"/>
      <c r="K394" s="16"/>
      <c r="L394" s="27"/>
      <c r="N394" s="27"/>
      <c r="O394" s="16"/>
      <c r="P394" s="16"/>
      <c r="Q394" s="27"/>
      <c r="S394" s="27"/>
      <c r="T394" s="16"/>
      <c r="U394" s="16"/>
      <c r="V394" s="27"/>
      <c r="X394" s="27"/>
      <c r="Y394" s="16"/>
      <c r="Z394" s="16"/>
      <c r="AA394" s="27"/>
      <c r="AC394" s="27"/>
      <c r="AD394" s="16"/>
      <c r="AE394" s="16"/>
      <c r="AF394" s="27"/>
      <c r="AH394" s="27"/>
      <c r="AI394" s="16"/>
      <c r="AJ394" s="16"/>
      <c r="AK394" s="27"/>
      <c r="AM394" s="27"/>
      <c r="AN394" s="16"/>
      <c r="AO394" s="16"/>
      <c r="AP394" s="27"/>
      <c r="AR394" s="27"/>
      <c r="AS394" s="16"/>
      <c r="AT394" s="16"/>
      <c r="AU394" s="27"/>
      <c r="AW394" s="27"/>
      <c r="AX394" s="16"/>
      <c r="AY394" s="16"/>
      <c r="AZ394" s="27"/>
      <c r="BB394" s="27"/>
      <c r="BC394" s="16"/>
      <c r="BD394" s="16"/>
      <c r="BE394" s="27"/>
      <c r="BG394" s="27"/>
      <c r="BH394" s="16"/>
      <c r="BI394" s="16"/>
      <c r="BJ394" s="27"/>
      <c r="BL394" s="27"/>
      <c r="BM394" s="16"/>
      <c r="BN394" s="16"/>
      <c r="BO394" s="27"/>
      <c r="BQ394" s="27"/>
      <c r="BR394" s="16"/>
      <c r="BS394" s="16"/>
      <c r="BT394" s="27"/>
      <c r="BV394" s="27"/>
      <c r="BW394" s="16"/>
      <c r="BX394" s="16"/>
      <c r="BY394" s="27"/>
      <c r="CA394" s="27"/>
      <c r="CB394" s="16"/>
      <c r="CC394" s="16"/>
      <c r="CD394" s="27"/>
      <c r="CF394" s="27"/>
      <c r="CG394" s="16"/>
      <c r="CH394" s="16"/>
      <c r="CI394" s="27"/>
      <c r="CK394" s="27"/>
      <c r="CL394" s="16"/>
      <c r="CM394" s="16"/>
      <c r="CN394" s="27"/>
      <c r="CP394" s="27"/>
      <c r="CQ394" s="16"/>
      <c r="CR394" s="16"/>
      <c r="CS394" s="27"/>
      <c r="CU394" s="27"/>
      <c r="CV394" s="16"/>
      <c r="CW394" s="16"/>
      <c r="CX394" s="27"/>
      <c r="CZ394" s="27"/>
      <c r="DA394" s="16"/>
      <c r="DB394" s="16"/>
      <c r="DC394" s="27"/>
      <c r="DE394" s="27"/>
      <c r="DF394" s="16"/>
      <c r="DG394" s="16"/>
      <c r="DH394" s="27"/>
      <c r="DJ394" s="27"/>
      <c r="DK394" s="16"/>
      <c r="DL394" s="16"/>
      <c r="DM394" s="27"/>
      <c r="DO394" s="27"/>
      <c r="DP394" s="16"/>
      <c r="DQ394" s="16"/>
      <c r="DR394" s="27"/>
      <c r="DT394" s="27"/>
      <c r="DU394" s="16"/>
      <c r="DV394" s="16"/>
      <c r="DW394" s="27"/>
      <c r="DY394" s="27"/>
      <c r="DZ394" s="16"/>
      <c r="EA394" s="16"/>
      <c r="EB394" s="302"/>
    </row>
    <row r="395" spans="1:132" s="14" customFormat="1" ht="21" x14ac:dyDescent="0.4">
      <c r="A395" s="27"/>
      <c r="B395" s="27"/>
      <c r="C395" s="27"/>
      <c r="E395" s="16"/>
      <c r="F395" s="27"/>
      <c r="G395" s="27"/>
      <c r="I395" s="27"/>
      <c r="J395" s="16"/>
      <c r="K395" s="16"/>
      <c r="L395" s="27"/>
      <c r="N395" s="27"/>
      <c r="O395" s="16"/>
      <c r="P395" s="16"/>
      <c r="Q395" s="27"/>
      <c r="S395" s="27"/>
      <c r="T395" s="16"/>
      <c r="U395" s="16"/>
      <c r="V395" s="27"/>
      <c r="X395" s="27"/>
      <c r="Y395" s="16"/>
      <c r="Z395" s="16"/>
      <c r="AA395" s="27"/>
      <c r="AC395" s="27"/>
      <c r="AD395" s="16"/>
      <c r="AE395" s="16"/>
      <c r="AF395" s="27"/>
      <c r="AH395" s="27"/>
      <c r="AI395" s="16"/>
      <c r="AJ395" s="16"/>
      <c r="AK395" s="27"/>
      <c r="AM395" s="27"/>
      <c r="AN395" s="16"/>
      <c r="AO395" s="16"/>
      <c r="AP395" s="27"/>
      <c r="AR395" s="27"/>
      <c r="AS395" s="16"/>
      <c r="AT395" s="16"/>
      <c r="AU395" s="27"/>
      <c r="AW395" s="27"/>
      <c r="AX395" s="16"/>
      <c r="AY395" s="16"/>
      <c r="AZ395" s="27"/>
      <c r="BB395" s="27"/>
      <c r="BC395" s="16"/>
      <c r="BD395" s="16"/>
      <c r="BE395" s="27"/>
      <c r="BG395" s="27"/>
      <c r="BH395" s="16"/>
      <c r="BI395" s="16"/>
      <c r="BJ395" s="27"/>
      <c r="BL395" s="27"/>
      <c r="BM395" s="16"/>
      <c r="BN395" s="16"/>
      <c r="BO395" s="27"/>
      <c r="BQ395" s="27"/>
      <c r="BR395" s="16"/>
      <c r="BS395" s="16"/>
      <c r="BT395" s="27"/>
      <c r="BV395" s="27"/>
      <c r="BW395" s="16"/>
      <c r="BX395" s="16"/>
      <c r="BY395" s="27"/>
      <c r="CA395" s="27"/>
      <c r="CB395" s="16"/>
      <c r="CC395" s="16"/>
      <c r="CD395" s="27"/>
      <c r="CF395" s="27"/>
      <c r="CG395" s="16"/>
      <c r="CH395" s="16"/>
      <c r="CI395" s="27"/>
      <c r="CK395" s="27"/>
      <c r="CL395" s="16"/>
      <c r="CM395" s="16"/>
      <c r="CN395" s="27"/>
      <c r="CP395" s="27"/>
      <c r="CQ395" s="16"/>
      <c r="CR395" s="16"/>
      <c r="CS395" s="27"/>
      <c r="CU395" s="27"/>
      <c r="CV395" s="16"/>
      <c r="CW395" s="16"/>
      <c r="CX395" s="27"/>
      <c r="CZ395" s="27"/>
      <c r="DA395" s="16"/>
      <c r="DB395" s="16"/>
      <c r="DC395" s="27"/>
      <c r="DE395" s="27"/>
      <c r="DF395" s="16"/>
      <c r="DG395" s="16"/>
      <c r="DH395" s="27"/>
      <c r="DJ395" s="27"/>
      <c r="DK395" s="16"/>
      <c r="DL395" s="16"/>
      <c r="DM395" s="27"/>
      <c r="DO395" s="27"/>
      <c r="DP395" s="16"/>
      <c r="DQ395" s="16"/>
      <c r="DR395" s="27"/>
      <c r="DT395" s="27"/>
      <c r="DU395" s="16"/>
      <c r="DV395" s="16"/>
      <c r="DW395" s="27"/>
      <c r="DY395" s="27"/>
      <c r="DZ395" s="16"/>
      <c r="EA395" s="16"/>
      <c r="EB395" s="302"/>
    </row>
    <row r="396" spans="1:132" s="14" customFormat="1" ht="21" x14ac:dyDescent="0.4">
      <c r="A396" s="27"/>
      <c r="B396" s="27"/>
      <c r="C396" s="27"/>
      <c r="E396" s="16"/>
      <c r="F396" s="27"/>
      <c r="G396" s="27"/>
      <c r="I396" s="27"/>
      <c r="J396" s="16"/>
      <c r="K396" s="16"/>
      <c r="L396" s="27"/>
      <c r="N396" s="27"/>
      <c r="O396" s="16"/>
      <c r="P396" s="16"/>
      <c r="Q396" s="27"/>
      <c r="S396" s="27"/>
      <c r="T396" s="16"/>
      <c r="U396" s="16"/>
      <c r="V396" s="27"/>
      <c r="X396" s="27"/>
      <c r="Y396" s="16"/>
      <c r="Z396" s="16"/>
      <c r="AA396" s="27"/>
      <c r="AC396" s="27"/>
      <c r="AD396" s="16"/>
      <c r="AE396" s="16"/>
      <c r="AF396" s="27"/>
      <c r="AH396" s="27"/>
      <c r="AI396" s="16"/>
      <c r="AJ396" s="16"/>
      <c r="AK396" s="27"/>
      <c r="AM396" s="27"/>
      <c r="AN396" s="16"/>
      <c r="AO396" s="16"/>
      <c r="AP396" s="27"/>
      <c r="AR396" s="27"/>
      <c r="AS396" s="16"/>
      <c r="AT396" s="16"/>
      <c r="AU396" s="27"/>
      <c r="AW396" s="27"/>
      <c r="AX396" s="16"/>
      <c r="AY396" s="16"/>
      <c r="AZ396" s="27"/>
      <c r="BB396" s="27"/>
      <c r="BC396" s="16"/>
      <c r="BD396" s="16"/>
      <c r="BE396" s="27"/>
      <c r="BG396" s="27"/>
      <c r="BH396" s="16"/>
      <c r="BI396" s="16"/>
      <c r="BJ396" s="27"/>
      <c r="BL396" s="27"/>
      <c r="BM396" s="16"/>
      <c r="BN396" s="16"/>
      <c r="BO396" s="27"/>
      <c r="BQ396" s="27"/>
      <c r="BR396" s="16"/>
      <c r="BS396" s="16"/>
      <c r="BT396" s="27"/>
      <c r="BV396" s="27"/>
      <c r="BW396" s="16"/>
      <c r="BX396" s="16"/>
      <c r="BY396" s="27"/>
      <c r="CA396" s="27"/>
      <c r="CB396" s="16"/>
      <c r="CC396" s="16"/>
      <c r="CD396" s="27"/>
      <c r="CF396" s="27"/>
      <c r="CG396" s="16"/>
      <c r="CH396" s="16"/>
      <c r="CI396" s="27"/>
      <c r="CK396" s="27"/>
      <c r="CL396" s="16"/>
      <c r="CM396" s="16"/>
      <c r="CN396" s="27"/>
      <c r="CP396" s="27"/>
      <c r="CQ396" s="16"/>
      <c r="CR396" s="16"/>
      <c r="CS396" s="27"/>
      <c r="CU396" s="27"/>
      <c r="CV396" s="16"/>
      <c r="CW396" s="16"/>
      <c r="CX396" s="27"/>
      <c r="CZ396" s="27"/>
      <c r="DA396" s="16"/>
      <c r="DB396" s="16"/>
      <c r="DC396" s="27"/>
      <c r="DE396" s="27"/>
      <c r="DF396" s="16"/>
      <c r="DG396" s="16"/>
      <c r="DH396" s="27"/>
      <c r="DJ396" s="27"/>
      <c r="DK396" s="16"/>
      <c r="DL396" s="16"/>
      <c r="DM396" s="27"/>
      <c r="DO396" s="27"/>
      <c r="DP396" s="16"/>
      <c r="DQ396" s="16"/>
      <c r="DR396" s="27"/>
      <c r="DT396" s="27"/>
      <c r="DU396" s="16"/>
      <c r="DV396" s="16"/>
      <c r="DW396" s="27"/>
      <c r="DY396" s="27"/>
      <c r="DZ396" s="16"/>
      <c r="EA396" s="16"/>
      <c r="EB396" s="302"/>
    </row>
    <row r="397" spans="1:132" s="14" customFormat="1" ht="21" x14ac:dyDescent="0.4">
      <c r="A397" s="27"/>
      <c r="B397" s="27"/>
      <c r="C397" s="27"/>
      <c r="E397" s="16"/>
      <c r="F397" s="27"/>
      <c r="G397" s="27"/>
      <c r="I397" s="27"/>
      <c r="J397" s="16"/>
      <c r="K397" s="16"/>
      <c r="L397" s="27"/>
      <c r="N397" s="27"/>
      <c r="O397" s="16"/>
      <c r="P397" s="16"/>
      <c r="Q397" s="27"/>
      <c r="S397" s="27"/>
      <c r="T397" s="16"/>
      <c r="U397" s="16"/>
      <c r="V397" s="27"/>
      <c r="X397" s="27"/>
      <c r="Y397" s="16"/>
      <c r="Z397" s="16"/>
      <c r="AA397" s="27"/>
      <c r="AC397" s="27"/>
      <c r="AD397" s="16"/>
      <c r="AE397" s="16"/>
      <c r="AF397" s="27"/>
      <c r="AH397" s="27"/>
      <c r="AI397" s="16"/>
      <c r="AJ397" s="16"/>
      <c r="AK397" s="27"/>
      <c r="AM397" s="27"/>
      <c r="AN397" s="16"/>
      <c r="AO397" s="16"/>
      <c r="AP397" s="27"/>
      <c r="AR397" s="27"/>
      <c r="AS397" s="16"/>
      <c r="AT397" s="16"/>
      <c r="AU397" s="27"/>
      <c r="AW397" s="27"/>
      <c r="AX397" s="16"/>
      <c r="AY397" s="16"/>
      <c r="AZ397" s="27"/>
      <c r="BB397" s="27"/>
      <c r="BC397" s="16"/>
      <c r="BD397" s="16"/>
      <c r="BE397" s="27"/>
      <c r="BG397" s="27"/>
      <c r="BH397" s="16"/>
      <c r="BI397" s="16"/>
      <c r="BJ397" s="27"/>
      <c r="BL397" s="27"/>
      <c r="BM397" s="16"/>
      <c r="BN397" s="16"/>
      <c r="BO397" s="27"/>
      <c r="BQ397" s="27"/>
      <c r="BR397" s="16"/>
      <c r="BS397" s="16"/>
      <c r="BT397" s="27"/>
      <c r="BV397" s="27"/>
      <c r="BW397" s="16"/>
      <c r="BX397" s="16"/>
      <c r="BY397" s="27"/>
      <c r="CA397" s="27"/>
      <c r="CB397" s="16"/>
      <c r="CC397" s="16"/>
      <c r="CD397" s="27"/>
      <c r="CF397" s="27"/>
      <c r="CG397" s="16"/>
      <c r="CH397" s="16"/>
      <c r="CI397" s="27"/>
      <c r="CK397" s="27"/>
      <c r="CL397" s="16"/>
      <c r="CM397" s="16"/>
      <c r="CN397" s="27"/>
      <c r="CP397" s="27"/>
      <c r="CQ397" s="16"/>
      <c r="CR397" s="16"/>
      <c r="CS397" s="27"/>
      <c r="CU397" s="27"/>
      <c r="CV397" s="16"/>
      <c r="CW397" s="16"/>
      <c r="CX397" s="27"/>
      <c r="CZ397" s="27"/>
      <c r="DA397" s="16"/>
      <c r="DB397" s="16"/>
      <c r="DC397" s="27"/>
      <c r="DE397" s="27"/>
      <c r="DF397" s="16"/>
      <c r="DG397" s="16"/>
      <c r="DH397" s="27"/>
      <c r="DJ397" s="27"/>
      <c r="DK397" s="16"/>
      <c r="DL397" s="16"/>
      <c r="DM397" s="27"/>
      <c r="DO397" s="27"/>
      <c r="DP397" s="16"/>
      <c r="DQ397" s="16"/>
      <c r="DR397" s="27"/>
      <c r="DT397" s="27"/>
      <c r="DU397" s="16"/>
      <c r="DV397" s="16"/>
      <c r="DW397" s="27"/>
      <c r="DY397" s="27"/>
      <c r="DZ397" s="16"/>
      <c r="EA397" s="16"/>
      <c r="EB397" s="302"/>
    </row>
    <row r="398" spans="1:132" s="14" customFormat="1" ht="21" x14ac:dyDescent="0.4">
      <c r="A398" s="27"/>
      <c r="B398" s="27"/>
      <c r="C398" s="27"/>
      <c r="E398" s="16"/>
      <c r="F398" s="27"/>
      <c r="G398" s="27"/>
      <c r="I398" s="27"/>
      <c r="J398" s="16"/>
      <c r="K398" s="16"/>
      <c r="L398" s="27"/>
      <c r="N398" s="27"/>
      <c r="O398" s="16"/>
      <c r="P398" s="16"/>
      <c r="Q398" s="27"/>
      <c r="S398" s="27"/>
      <c r="T398" s="16"/>
      <c r="U398" s="16"/>
      <c r="V398" s="27"/>
      <c r="X398" s="27"/>
      <c r="Y398" s="16"/>
      <c r="Z398" s="16"/>
      <c r="AA398" s="27"/>
      <c r="AC398" s="27"/>
      <c r="AD398" s="16"/>
      <c r="AE398" s="16"/>
      <c r="AF398" s="27"/>
      <c r="AH398" s="27"/>
      <c r="AI398" s="16"/>
      <c r="AJ398" s="16"/>
      <c r="AK398" s="27"/>
      <c r="AM398" s="27"/>
      <c r="AN398" s="16"/>
      <c r="AO398" s="16"/>
      <c r="AP398" s="27"/>
      <c r="AR398" s="27"/>
      <c r="AS398" s="16"/>
      <c r="AT398" s="16"/>
      <c r="AU398" s="27"/>
      <c r="AW398" s="27"/>
      <c r="AX398" s="16"/>
      <c r="AY398" s="16"/>
      <c r="AZ398" s="27"/>
      <c r="BB398" s="27"/>
      <c r="BC398" s="16"/>
      <c r="BD398" s="16"/>
      <c r="BE398" s="27"/>
      <c r="BG398" s="27"/>
      <c r="BH398" s="16"/>
      <c r="BI398" s="16"/>
      <c r="BJ398" s="27"/>
      <c r="BL398" s="27"/>
      <c r="BM398" s="16"/>
      <c r="BN398" s="16"/>
      <c r="BO398" s="27"/>
      <c r="BQ398" s="27"/>
      <c r="BR398" s="16"/>
      <c r="BS398" s="16"/>
      <c r="BT398" s="27"/>
      <c r="BV398" s="27"/>
      <c r="BW398" s="16"/>
      <c r="BX398" s="16"/>
      <c r="BY398" s="27"/>
      <c r="CA398" s="27"/>
      <c r="CB398" s="16"/>
      <c r="CC398" s="16"/>
      <c r="CD398" s="27"/>
      <c r="CF398" s="27"/>
      <c r="CG398" s="16"/>
      <c r="CH398" s="16"/>
      <c r="CI398" s="27"/>
      <c r="CK398" s="27"/>
      <c r="CL398" s="16"/>
      <c r="CM398" s="16"/>
      <c r="CN398" s="27"/>
      <c r="CP398" s="27"/>
      <c r="CQ398" s="16"/>
      <c r="CR398" s="16"/>
      <c r="CS398" s="27"/>
      <c r="CU398" s="27"/>
      <c r="CV398" s="16"/>
      <c r="CW398" s="16"/>
      <c r="CX398" s="27"/>
      <c r="CZ398" s="27"/>
      <c r="DA398" s="16"/>
      <c r="DB398" s="16"/>
      <c r="DC398" s="27"/>
      <c r="DE398" s="27"/>
      <c r="DF398" s="16"/>
      <c r="DG398" s="16"/>
      <c r="DH398" s="27"/>
      <c r="DJ398" s="27"/>
      <c r="DK398" s="16"/>
      <c r="DL398" s="16"/>
      <c r="DM398" s="27"/>
      <c r="DO398" s="27"/>
      <c r="DP398" s="16"/>
      <c r="DQ398" s="16"/>
      <c r="DR398" s="27"/>
      <c r="DT398" s="27"/>
      <c r="DU398" s="16"/>
      <c r="DV398" s="16"/>
      <c r="DW398" s="27"/>
      <c r="DY398" s="27"/>
      <c r="DZ398" s="16"/>
      <c r="EA398" s="16"/>
      <c r="EB398" s="302"/>
    </row>
    <row r="399" spans="1:132" s="14" customFormat="1" ht="21" x14ac:dyDescent="0.4">
      <c r="A399" s="27"/>
      <c r="B399" s="27"/>
      <c r="C399" s="27"/>
      <c r="E399" s="16"/>
      <c r="F399" s="27"/>
      <c r="G399" s="27"/>
      <c r="I399" s="27"/>
      <c r="J399" s="16"/>
      <c r="K399" s="16"/>
      <c r="L399" s="27"/>
      <c r="N399" s="27"/>
      <c r="O399" s="16"/>
      <c r="P399" s="16"/>
      <c r="Q399" s="27"/>
      <c r="S399" s="27"/>
      <c r="T399" s="16"/>
      <c r="U399" s="16"/>
      <c r="V399" s="27"/>
      <c r="X399" s="27"/>
      <c r="Y399" s="16"/>
      <c r="Z399" s="16"/>
      <c r="AA399" s="27"/>
      <c r="AC399" s="27"/>
      <c r="AD399" s="16"/>
      <c r="AE399" s="16"/>
      <c r="AF399" s="27"/>
      <c r="AH399" s="27"/>
      <c r="AI399" s="16"/>
      <c r="AJ399" s="16"/>
      <c r="AK399" s="27"/>
      <c r="AM399" s="27"/>
      <c r="AN399" s="16"/>
      <c r="AO399" s="16"/>
      <c r="AP399" s="27"/>
      <c r="AR399" s="27"/>
      <c r="AS399" s="16"/>
      <c r="AT399" s="16"/>
      <c r="AU399" s="27"/>
      <c r="AW399" s="27"/>
      <c r="AX399" s="16"/>
      <c r="AY399" s="16"/>
      <c r="AZ399" s="27"/>
      <c r="BB399" s="27"/>
      <c r="BC399" s="16"/>
      <c r="BD399" s="16"/>
      <c r="BE399" s="27"/>
      <c r="BG399" s="27"/>
      <c r="BH399" s="16"/>
      <c r="BI399" s="16"/>
      <c r="BJ399" s="27"/>
      <c r="BL399" s="27"/>
      <c r="BM399" s="16"/>
      <c r="BN399" s="16"/>
      <c r="BO399" s="27"/>
      <c r="BQ399" s="27"/>
      <c r="BR399" s="16"/>
      <c r="BS399" s="16"/>
      <c r="BT399" s="27"/>
      <c r="BV399" s="27"/>
      <c r="BW399" s="16"/>
      <c r="BX399" s="16"/>
      <c r="BY399" s="27"/>
      <c r="CA399" s="27"/>
      <c r="CB399" s="16"/>
      <c r="CC399" s="16"/>
      <c r="CD399" s="27"/>
      <c r="CF399" s="27"/>
      <c r="CG399" s="16"/>
      <c r="CH399" s="16"/>
      <c r="CI399" s="27"/>
      <c r="CK399" s="27"/>
      <c r="CL399" s="16"/>
      <c r="CM399" s="16"/>
      <c r="CN399" s="27"/>
      <c r="CP399" s="27"/>
      <c r="CQ399" s="16"/>
      <c r="CR399" s="16"/>
      <c r="CS399" s="27"/>
      <c r="CU399" s="27"/>
      <c r="CV399" s="16"/>
      <c r="CW399" s="16"/>
      <c r="CX399" s="27"/>
      <c r="CZ399" s="27"/>
      <c r="DA399" s="16"/>
      <c r="DB399" s="16"/>
      <c r="DC399" s="27"/>
      <c r="DE399" s="27"/>
      <c r="DF399" s="16"/>
      <c r="DG399" s="16"/>
      <c r="DH399" s="27"/>
      <c r="DJ399" s="27"/>
      <c r="DK399" s="16"/>
      <c r="DL399" s="16"/>
      <c r="DM399" s="27"/>
      <c r="DO399" s="27"/>
      <c r="DP399" s="16"/>
      <c r="DQ399" s="16"/>
      <c r="DR399" s="27"/>
      <c r="DT399" s="27"/>
      <c r="DU399" s="16"/>
      <c r="DV399" s="16"/>
      <c r="DW399" s="27"/>
      <c r="DY399" s="27"/>
      <c r="DZ399" s="16"/>
      <c r="EA399" s="16"/>
      <c r="EB399" s="302"/>
    </row>
    <row r="400" spans="1:132" s="14" customFormat="1" ht="21" x14ac:dyDescent="0.4">
      <c r="A400" s="27"/>
      <c r="B400" s="27"/>
      <c r="C400" s="27"/>
      <c r="E400" s="16"/>
      <c r="F400" s="27"/>
      <c r="G400" s="27"/>
      <c r="I400" s="27"/>
      <c r="J400" s="16"/>
      <c r="K400" s="16"/>
      <c r="L400" s="27"/>
      <c r="N400" s="27"/>
      <c r="O400" s="16"/>
      <c r="P400" s="16"/>
      <c r="Q400" s="27"/>
      <c r="S400" s="27"/>
      <c r="T400" s="16"/>
      <c r="U400" s="16"/>
      <c r="V400" s="27"/>
      <c r="X400" s="27"/>
      <c r="Y400" s="16"/>
      <c r="Z400" s="16"/>
      <c r="AA400" s="27"/>
      <c r="AC400" s="27"/>
      <c r="AD400" s="16"/>
      <c r="AE400" s="16"/>
      <c r="AF400" s="27"/>
      <c r="AH400" s="27"/>
      <c r="AI400" s="16"/>
      <c r="AJ400" s="16"/>
      <c r="AK400" s="27"/>
      <c r="AM400" s="27"/>
      <c r="AN400" s="16"/>
      <c r="AO400" s="16"/>
      <c r="AP400" s="27"/>
      <c r="AR400" s="27"/>
      <c r="AS400" s="16"/>
      <c r="AT400" s="16"/>
      <c r="AU400" s="27"/>
      <c r="AW400" s="27"/>
      <c r="AX400" s="16"/>
      <c r="AY400" s="16"/>
      <c r="AZ400" s="27"/>
      <c r="BB400" s="27"/>
      <c r="BC400" s="16"/>
      <c r="BD400" s="16"/>
      <c r="BE400" s="27"/>
      <c r="BG400" s="27"/>
      <c r="BH400" s="16"/>
      <c r="BI400" s="16"/>
      <c r="BJ400" s="27"/>
      <c r="BL400" s="27"/>
      <c r="BM400" s="16"/>
      <c r="BN400" s="16"/>
      <c r="BO400" s="27"/>
      <c r="BQ400" s="27"/>
      <c r="BR400" s="16"/>
      <c r="BS400" s="16"/>
      <c r="BT400" s="27"/>
      <c r="BV400" s="27"/>
      <c r="BW400" s="16"/>
      <c r="BX400" s="16"/>
      <c r="BY400" s="27"/>
      <c r="CA400" s="27"/>
      <c r="CB400" s="16"/>
      <c r="CC400" s="16"/>
      <c r="CD400" s="27"/>
      <c r="CF400" s="27"/>
      <c r="CG400" s="16"/>
      <c r="CH400" s="16"/>
      <c r="CI400" s="27"/>
      <c r="CK400" s="27"/>
      <c r="CL400" s="16"/>
      <c r="CM400" s="16"/>
      <c r="CN400" s="27"/>
      <c r="CP400" s="27"/>
      <c r="CQ400" s="16"/>
      <c r="CR400" s="16"/>
      <c r="CS400" s="27"/>
      <c r="CU400" s="27"/>
      <c r="CV400" s="16"/>
      <c r="CW400" s="16"/>
      <c r="CX400" s="27"/>
      <c r="CZ400" s="27"/>
      <c r="DA400" s="16"/>
      <c r="DB400" s="16"/>
      <c r="DC400" s="27"/>
      <c r="DE400" s="27"/>
      <c r="DF400" s="16"/>
      <c r="DG400" s="16"/>
      <c r="DH400" s="27"/>
      <c r="DJ400" s="27"/>
      <c r="DK400" s="16"/>
      <c r="DL400" s="16"/>
      <c r="DM400" s="27"/>
      <c r="DO400" s="27"/>
      <c r="DP400" s="16"/>
      <c r="DQ400" s="16"/>
      <c r="DR400" s="27"/>
      <c r="DT400" s="27"/>
      <c r="DU400" s="16"/>
      <c r="DV400" s="16"/>
      <c r="DW400" s="27"/>
      <c r="DY400" s="27"/>
      <c r="DZ400" s="16"/>
      <c r="EA400" s="16"/>
      <c r="EB400" s="302"/>
    </row>
    <row r="401" spans="1:132" s="14" customFormat="1" ht="21" x14ac:dyDescent="0.4">
      <c r="A401" s="27"/>
      <c r="B401" s="27"/>
      <c r="C401" s="27"/>
      <c r="E401" s="16"/>
      <c r="F401" s="27"/>
      <c r="G401" s="27"/>
      <c r="I401" s="27"/>
      <c r="J401" s="16"/>
      <c r="K401" s="16"/>
      <c r="L401" s="27"/>
      <c r="N401" s="27"/>
      <c r="O401" s="16"/>
      <c r="P401" s="16"/>
      <c r="Q401" s="27"/>
      <c r="S401" s="27"/>
      <c r="T401" s="16"/>
      <c r="U401" s="16"/>
      <c r="V401" s="27"/>
      <c r="X401" s="27"/>
      <c r="Y401" s="16"/>
      <c r="Z401" s="16"/>
      <c r="AA401" s="27"/>
      <c r="AC401" s="27"/>
      <c r="AD401" s="16"/>
      <c r="AE401" s="16"/>
      <c r="AF401" s="27"/>
      <c r="AH401" s="27"/>
      <c r="AI401" s="16"/>
      <c r="AJ401" s="16"/>
      <c r="AK401" s="27"/>
      <c r="AM401" s="27"/>
      <c r="AN401" s="16"/>
      <c r="AO401" s="16"/>
      <c r="AP401" s="27"/>
      <c r="AR401" s="27"/>
      <c r="AS401" s="16"/>
      <c r="AT401" s="16"/>
      <c r="AU401" s="27"/>
      <c r="AW401" s="27"/>
      <c r="AX401" s="16"/>
      <c r="AY401" s="16"/>
      <c r="AZ401" s="27"/>
      <c r="BB401" s="27"/>
      <c r="BC401" s="16"/>
      <c r="BD401" s="16"/>
      <c r="BE401" s="27"/>
      <c r="BG401" s="27"/>
      <c r="BH401" s="16"/>
      <c r="BI401" s="16"/>
      <c r="BJ401" s="27"/>
      <c r="BL401" s="27"/>
      <c r="BM401" s="16"/>
      <c r="BN401" s="16"/>
      <c r="BO401" s="27"/>
      <c r="BQ401" s="27"/>
      <c r="BR401" s="16"/>
      <c r="BS401" s="16"/>
      <c r="BT401" s="27"/>
      <c r="BV401" s="27"/>
      <c r="BW401" s="16"/>
      <c r="BX401" s="16"/>
      <c r="BY401" s="27"/>
      <c r="CA401" s="27"/>
      <c r="CB401" s="16"/>
      <c r="CC401" s="16"/>
      <c r="CD401" s="27"/>
      <c r="CF401" s="27"/>
      <c r="CG401" s="16"/>
      <c r="CH401" s="16"/>
      <c r="CI401" s="27"/>
      <c r="CK401" s="27"/>
      <c r="CL401" s="16"/>
      <c r="CM401" s="16"/>
      <c r="CN401" s="27"/>
      <c r="CP401" s="27"/>
      <c r="CQ401" s="16"/>
      <c r="CR401" s="16"/>
      <c r="CS401" s="27"/>
      <c r="CU401" s="27"/>
      <c r="CV401" s="16"/>
      <c r="CW401" s="16"/>
      <c r="CX401" s="27"/>
      <c r="CZ401" s="27"/>
      <c r="DA401" s="16"/>
      <c r="DB401" s="16"/>
      <c r="DC401" s="27"/>
      <c r="DE401" s="27"/>
      <c r="DF401" s="16"/>
      <c r="DG401" s="16"/>
      <c r="DH401" s="27"/>
      <c r="DJ401" s="27"/>
      <c r="DK401" s="16"/>
      <c r="DL401" s="16"/>
      <c r="DM401" s="27"/>
      <c r="DO401" s="27"/>
      <c r="DP401" s="16"/>
      <c r="DQ401" s="16"/>
      <c r="DR401" s="27"/>
      <c r="DT401" s="27"/>
      <c r="DU401" s="16"/>
      <c r="DV401" s="16"/>
      <c r="DW401" s="27"/>
      <c r="DY401" s="27"/>
      <c r="DZ401" s="16"/>
      <c r="EA401" s="16"/>
      <c r="EB401" s="302"/>
    </row>
    <row r="402" spans="1:132" s="14" customFormat="1" ht="21" x14ac:dyDescent="0.4">
      <c r="A402" s="27"/>
      <c r="B402" s="27"/>
      <c r="C402" s="27"/>
      <c r="E402" s="16"/>
      <c r="F402" s="27"/>
      <c r="G402" s="27"/>
      <c r="I402" s="27"/>
      <c r="J402" s="16"/>
      <c r="K402" s="16"/>
      <c r="L402" s="27"/>
      <c r="N402" s="27"/>
      <c r="O402" s="16"/>
      <c r="P402" s="16"/>
      <c r="Q402" s="27"/>
      <c r="S402" s="27"/>
      <c r="T402" s="16"/>
      <c r="U402" s="16"/>
      <c r="V402" s="27"/>
      <c r="X402" s="27"/>
      <c r="Y402" s="16"/>
      <c r="Z402" s="16"/>
      <c r="AA402" s="27"/>
      <c r="AC402" s="27"/>
      <c r="AD402" s="16"/>
      <c r="AE402" s="16"/>
      <c r="AF402" s="27"/>
      <c r="AH402" s="27"/>
      <c r="AI402" s="16"/>
      <c r="AJ402" s="16"/>
      <c r="AK402" s="27"/>
      <c r="AM402" s="27"/>
      <c r="AN402" s="16"/>
      <c r="AO402" s="16"/>
      <c r="AP402" s="27"/>
      <c r="AR402" s="27"/>
      <c r="AS402" s="16"/>
      <c r="AT402" s="16"/>
      <c r="AU402" s="27"/>
      <c r="AW402" s="27"/>
      <c r="AX402" s="16"/>
      <c r="AY402" s="16"/>
      <c r="AZ402" s="27"/>
      <c r="BB402" s="27"/>
      <c r="BC402" s="16"/>
      <c r="BD402" s="16"/>
      <c r="BE402" s="27"/>
      <c r="BG402" s="27"/>
      <c r="BH402" s="16"/>
      <c r="BI402" s="16"/>
      <c r="BJ402" s="27"/>
      <c r="BL402" s="27"/>
      <c r="BM402" s="16"/>
      <c r="BN402" s="16"/>
      <c r="BO402" s="27"/>
      <c r="BQ402" s="27"/>
      <c r="BR402" s="16"/>
      <c r="BS402" s="16"/>
      <c r="BT402" s="27"/>
      <c r="BV402" s="27"/>
      <c r="BW402" s="16"/>
      <c r="BX402" s="16"/>
      <c r="BY402" s="27"/>
      <c r="CA402" s="27"/>
      <c r="CB402" s="16"/>
      <c r="CC402" s="16"/>
      <c r="CD402" s="27"/>
      <c r="CF402" s="27"/>
      <c r="CG402" s="16"/>
      <c r="CH402" s="16"/>
      <c r="CI402" s="27"/>
      <c r="CK402" s="27"/>
      <c r="CL402" s="16"/>
      <c r="CM402" s="16"/>
      <c r="CN402" s="27"/>
      <c r="CP402" s="27"/>
      <c r="CQ402" s="16"/>
      <c r="CR402" s="16"/>
      <c r="CS402" s="27"/>
      <c r="CU402" s="27"/>
      <c r="CV402" s="16"/>
      <c r="CW402" s="16"/>
      <c r="CX402" s="27"/>
      <c r="CZ402" s="27"/>
      <c r="DA402" s="16"/>
      <c r="DB402" s="16"/>
      <c r="DC402" s="27"/>
      <c r="DE402" s="27"/>
      <c r="DF402" s="16"/>
      <c r="DG402" s="16"/>
      <c r="DH402" s="27"/>
      <c r="DJ402" s="27"/>
      <c r="DK402" s="16"/>
      <c r="DL402" s="16"/>
      <c r="DM402" s="27"/>
      <c r="DO402" s="27"/>
      <c r="DP402" s="16"/>
      <c r="DQ402" s="16"/>
      <c r="DR402" s="27"/>
      <c r="DT402" s="27"/>
      <c r="DU402" s="16"/>
      <c r="DV402" s="16"/>
      <c r="DW402" s="27"/>
      <c r="DY402" s="27"/>
      <c r="DZ402" s="16"/>
      <c r="EA402" s="16"/>
      <c r="EB402" s="302"/>
    </row>
    <row r="403" spans="1:132" s="14" customFormat="1" ht="21" x14ac:dyDescent="0.4">
      <c r="A403" s="27"/>
      <c r="B403" s="27"/>
      <c r="C403" s="27"/>
      <c r="E403" s="16"/>
      <c r="F403" s="27"/>
      <c r="G403" s="27"/>
      <c r="I403" s="27"/>
      <c r="J403" s="16"/>
      <c r="K403" s="16"/>
      <c r="L403" s="27"/>
      <c r="N403" s="27"/>
      <c r="O403" s="16"/>
      <c r="P403" s="16"/>
      <c r="Q403" s="27"/>
      <c r="S403" s="27"/>
      <c r="T403" s="16"/>
      <c r="U403" s="16"/>
      <c r="V403" s="27"/>
      <c r="X403" s="27"/>
      <c r="Y403" s="16"/>
      <c r="Z403" s="16"/>
      <c r="AA403" s="27"/>
      <c r="AC403" s="27"/>
      <c r="AD403" s="16"/>
      <c r="AE403" s="16"/>
      <c r="AF403" s="27"/>
      <c r="AH403" s="27"/>
      <c r="AI403" s="16"/>
      <c r="AJ403" s="16"/>
      <c r="AK403" s="27"/>
      <c r="AM403" s="27"/>
      <c r="AN403" s="16"/>
      <c r="AO403" s="16"/>
      <c r="AP403" s="27"/>
      <c r="AR403" s="27"/>
      <c r="AS403" s="16"/>
      <c r="AT403" s="16"/>
      <c r="AU403" s="27"/>
      <c r="AW403" s="27"/>
      <c r="AX403" s="16"/>
      <c r="AY403" s="16"/>
      <c r="AZ403" s="27"/>
      <c r="BB403" s="27"/>
      <c r="BC403" s="16"/>
      <c r="BD403" s="16"/>
      <c r="BE403" s="27"/>
      <c r="BG403" s="27"/>
      <c r="BH403" s="16"/>
      <c r="BI403" s="16"/>
      <c r="BJ403" s="27"/>
      <c r="BL403" s="27"/>
      <c r="BM403" s="16"/>
      <c r="BN403" s="16"/>
      <c r="BO403" s="27"/>
      <c r="BQ403" s="27"/>
      <c r="BR403" s="16"/>
      <c r="BS403" s="16"/>
      <c r="BT403" s="27"/>
      <c r="BV403" s="27"/>
      <c r="BW403" s="16"/>
      <c r="BX403" s="16"/>
      <c r="BY403" s="27"/>
      <c r="CA403" s="27"/>
      <c r="CB403" s="16"/>
      <c r="CC403" s="16"/>
      <c r="CD403" s="27"/>
      <c r="CF403" s="27"/>
      <c r="CG403" s="16"/>
      <c r="CH403" s="16"/>
      <c r="CI403" s="27"/>
      <c r="CK403" s="27"/>
      <c r="CL403" s="16"/>
      <c r="CM403" s="16"/>
      <c r="CN403" s="27"/>
      <c r="CP403" s="27"/>
      <c r="CQ403" s="16"/>
      <c r="CR403" s="16"/>
      <c r="CS403" s="27"/>
      <c r="CU403" s="27"/>
      <c r="CV403" s="16"/>
      <c r="CW403" s="16"/>
      <c r="CX403" s="27"/>
      <c r="CZ403" s="27"/>
      <c r="DA403" s="16"/>
      <c r="DB403" s="16"/>
      <c r="DC403" s="27"/>
      <c r="DE403" s="27"/>
      <c r="DF403" s="16"/>
      <c r="DG403" s="16"/>
      <c r="DH403" s="27"/>
      <c r="DJ403" s="27"/>
      <c r="DK403" s="16"/>
      <c r="DL403" s="16"/>
      <c r="DM403" s="27"/>
      <c r="DO403" s="27"/>
      <c r="DP403" s="16"/>
      <c r="DQ403" s="16"/>
      <c r="DR403" s="27"/>
      <c r="DT403" s="27"/>
      <c r="DU403" s="16"/>
      <c r="DV403" s="16"/>
      <c r="DW403" s="27"/>
      <c r="DY403" s="27"/>
      <c r="DZ403" s="16"/>
      <c r="EA403" s="16"/>
      <c r="EB403" s="302"/>
    </row>
    <row r="404" spans="1:132" s="14" customFormat="1" ht="21" x14ac:dyDescent="0.4">
      <c r="A404" s="27"/>
      <c r="B404" s="27"/>
      <c r="C404" s="27"/>
      <c r="E404" s="16"/>
      <c r="F404" s="27"/>
      <c r="G404" s="27"/>
      <c r="I404" s="27"/>
      <c r="J404" s="16"/>
      <c r="K404" s="16"/>
      <c r="L404" s="27"/>
      <c r="N404" s="27"/>
      <c r="O404" s="16"/>
      <c r="P404" s="16"/>
      <c r="Q404" s="27"/>
      <c r="S404" s="27"/>
      <c r="T404" s="16"/>
      <c r="U404" s="16"/>
      <c r="V404" s="27"/>
      <c r="X404" s="27"/>
      <c r="Y404" s="16"/>
      <c r="Z404" s="16"/>
      <c r="AA404" s="27"/>
      <c r="AC404" s="27"/>
      <c r="AD404" s="16"/>
      <c r="AE404" s="16"/>
      <c r="AF404" s="27"/>
      <c r="AH404" s="27"/>
      <c r="AI404" s="16"/>
      <c r="AJ404" s="16"/>
      <c r="AK404" s="27"/>
      <c r="AM404" s="27"/>
      <c r="AN404" s="16"/>
      <c r="AO404" s="16"/>
      <c r="AP404" s="27"/>
      <c r="AR404" s="27"/>
      <c r="AS404" s="16"/>
      <c r="AT404" s="16"/>
      <c r="AU404" s="27"/>
      <c r="AW404" s="27"/>
      <c r="AX404" s="16"/>
      <c r="AY404" s="16"/>
      <c r="AZ404" s="27"/>
      <c r="BB404" s="27"/>
      <c r="BC404" s="16"/>
      <c r="BD404" s="16"/>
      <c r="BE404" s="27"/>
      <c r="BG404" s="27"/>
      <c r="BH404" s="16"/>
      <c r="BI404" s="16"/>
      <c r="BJ404" s="27"/>
      <c r="BL404" s="27"/>
      <c r="BM404" s="16"/>
      <c r="BN404" s="16"/>
      <c r="BO404" s="27"/>
      <c r="BQ404" s="27"/>
      <c r="BR404" s="16"/>
      <c r="BS404" s="16"/>
      <c r="BT404" s="27"/>
      <c r="BV404" s="27"/>
      <c r="BW404" s="16"/>
      <c r="BX404" s="16"/>
      <c r="BY404" s="27"/>
      <c r="CA404" s="27"/>
      <c r="CB404" s="16"/>
      <c r="CC404" s="16"/>
      <c r="CD404" s="27"/>
      <c r="CF404" s="27"/>
      <c r="CG404" s="16"/>
      <c r="CH404" s="16"/>
      <c r="CI404" s="27"/>
      <c r="CK404" s="27"/>
      <c r="CL404" s="16"/>
      <c r="CM404" s="16"/>
      <c r="CN404" s="27"/>
      <c r="CP404" s="27"/>
      <c r="CQ404" s="16"/>
      <c r="CR404" s="16"/>
      <c r="CS404" s="27"/>
      <c r="CU404" s="27"/>
      <c r="CV404" s="16"/>
      <c r="CW404" s="16"/>
      <c r="CX404" s="27"/>
      <c r="CZ404" s="27"/>
      <c r="DA404" s="16"/>
      <c r="DB404" s="16"/>
      <c r="DC404" s="27"/>
      <c r="DE404" s="27"/>
      <c r="DF404" s="16"/>
      <c r="DG404" s="16"/>
      <c r="DH404" s="27"/>
      <c r="DJ404" s="27"/>
      <c r="DK404" s="16"/>
      <c r="DL404" s="16"/>
      <c r="DM404" s="27"/>
      <c r="DO404" s="27"/>
      <c r="DP404" s="16"/>
      <c r="DQ404" s="16"/>
      <c r="DR404" s="27"/>
      <c r="DT404" s="27"/>
      <c r="DU404" s="16"/>
      <c r="DV404" s="16"/>
      <c r="DW404" s="27"/>
      <c r="DY404" s="27"/>
      <c r="DZ404" s="16"/>
      <c r="EA404" s="16"/>
      <c r="EB404" s="302"/>
    </row>
    <row r="405" spans="1:132" s="14" customFormat="1" ht="21" x14ac:dyDescent="0.4">
      <c r="A405" s="27"/>
      <c r="B405" s="27"/>
      <c r="C405" s="27"/>
      <c r="E405" s="16"/>
      <c r="F405" s="27"/>
      <c r="G405" s="27"/>
      <c r="I405" s="27"/>
      <c r="J405" s="16"/>
      <c r="K405" s="16"/>
      <c r="L405" s="27"/>
      <c r="N405" s="27"/>
      <c r="O405" s="16"/>
      <c r="P405" s="16"/>
      <c r="Q405" s="27"/>
      <c r="S405" s="27"/>
      <c r="T405" s="16"/>
      <c r="U405" s="16"/>
      <c r="V405" s="27"/>
      <c r="X405" s="27"/>
      <c r="Y405" s="16"/>
      <c r="Z405" s="16"/>
      <c r="AA405" s="27"/>
      <c r="AC405" s="27"/>
      <c r="AD405" s="16"/>
      <c r="AE405" s="16"/>
      <c r="AF405" s="27"/>
      <c r="AH405" s="27"/>
      <c r="AI405" s="16"/>
      <c r="AJ405" s="16"/>
      <c r="AK405" s="27"/>
      <c r="AM405" s="27"/>
      <c r="AN405" s="16"/>
      <c r="AO405" s="16"/>
      <c r="AP405" s="27"/>
      <c r="AR405" s="27"/>
      <c r="AS405" s="16"/>
      <c r="AT405" s="16"/>
      <c r="AU405" s="27"/>
      <c r="AW405" s="27"/>
      <c r="AX405" s="16"/>
      <c r="AY405" s="16"/>
      <c r="AZ405" s="27"/>
      <c r="BB405" s="27"/>
      <c r="BC405" s="16"/>
      <c r="BD405" s="16"/>
      <c r="BE405" s="27"/>
      <c r="BG405" s="27"/>
      <c r="BH405" s="16"/>
      <c r="BI405" s="16"/>
      <c r="BJ405" s="27"/>
      <c r="BL405" s="27"/>
      <c r="BM405" s="16"/>
      <c r="BN405" s="16"/>
      <c r="BO405" s="27"/>
      <c r="BQ405" s="27"/>
      <c r="BR405" s="16"/>
      <c r="BS405" s="16"/>
      <c r="BT405" s="27"/>
      <c r="BV405" s="27"/>
      <c r="BW405" s="16"/>
      <c r="BX405" s="16"/>
      <c r="BY405" s="27"/>
      <c r="CA405" s="27"/>
      <c r="CB405" s="16"/>
      <c r="CC405" s="16"/>
      <c r="CD405" s="27"/>
      <c r="CF405" s="27"/>
      <c r="CG405" s="16"/>
      <c r="CH405" s="16"/>
      <c r="CI405" s="27"/>
      <c r="CK405" s="27"/>
      <c r="CL405" s="16"/>
      <c r="CM405" s="16"/>
      <c r="CN405" s="27"/>
      <c r="CP405" s="27"/>
      <c r="CQ405" s="16"/>
      <c r="CR405" s="16"/>
      <c r="CS405" s="27"/>
      <c r="CU405" s="27"/>
      <c r="CV405" s="16"/>
      <c r="CW405" s="16"/>
      <c r="CX405" s="27"/>
      <c r="CZ405" s="27"/>
      <c r="DA405" s="16"/>
      <c r="DB405" s="16"/>
      <c r="DC405" s="27"/>
      <c r="DE405" s="27"/>
      <c r="DF405" s="16"/>
      <c r="DG405" s="16"/>
      <c r="DH405" s="27"/>
      <c r="DJ405" s="27"/>
      <c r="DK405" s="16"/>
      <c r="DL405" s="16"/>
      <c r="DM405" s="27"/>
      <c r="DO405" s="27"/>
      <c r="DP405" s="16"/>
      <c r="DQ405" s="16"/>
      <c r="DR405" s="27"/>
      <c r="DT405" s="27"/>
      <c r="DU405" s="16"/>
      <c r="DV405" s="16"/>
      <c r="DW405" s="27"/>
      <c r="DY405" s="27"/>
      <c r="DZ405" s="16"/>
      <c r="EA405" s="16"/>
      <c r="EB405" s="302"/>
    </row>
    <row r="406" spans="1:132" s="14" customFormat="1" ht="21" x14ac:dyDescent="0.4">
      <c r="A406" s="27"/>
      <c r="B406" s="27"/>
      <c r="C406" s="27"/>
      <c r="E406" s="16"/>
      <c r="F406" s="27"/>
      <c r="G406" s="27"/>
      <c r="I406" s="27"/>
      <c r="J406" s="16"/>
      <c r="K406" s="16"/>
      <c r="L406" s="27"/>
      <c r="N406" s="27"/>
      <c r="O406" s="16"/>
      <c r="P406" s="16"/>
      <c r="Q406" s="27"/>
      <c r="S406" s="27"/>
      <c r="T406" s="16"/>
      <c r="U406" s="16"/>
      <c r="V406" s="27"/>
      <c r="X406" s="27"/>
      <c r="Y406" s="16"/>
      <c r="Z406" s="16"/>
      <c r="AA406" s="27"/>
      <c r="AC406" s="27"/>
      <c r="AD406" s="16"/>
      <c r="AE406" s="16"/>
      <c r="AF406" s="27"/>
      <c r="AH406" s="27"/>
      <c r="AI406" s="16"/>
      <c r="AJ406" s="16"/>
      <c r="AK406" s="27"/>
      <c r="AM406" s="27"/>
      <c r="AN406" s="16"/>
      <c r="AO406" s="16"/>
      <c r="AP406" s="27"/>
      <c r="AR406" s="27"/>
      <c r="AS406" s="16"/>
      <c r="AT406" s="16"/>
      <c r="AU406" s="27"/>
      <c r="AW406" s="27"/>
      <c r="AX406" s="16"/>
      <c r="AY406" s="16"/>
      <c r="AZ406" s="27"/>
      <c r="BB406" s="27"/>
      <c r="BC406" s="16"/>
      <c r="BD406" s="16"/>
      <c r="BE406" s="27"/>
      <c r="BG406" s="27"/>
      <c r="BH406" s="16"/>
      <c r="BI406" s="16"/>
      <c r="BJ406" s="27"/>
      <c r="BL406" s="27"/>
      <c r="BM406" s="16"/>
      <c r="BN406" s="16"/>
      <c r="BO406" s="27"/>
      <c r="BQ406" s="27"/>
      <c r="BR406" s="16"/>
      <c r="BS406" s="16"/>
      <c r="BT406" s="27"/>
      <c r="BV406" s="27"/>
      <c r="BW406" s="16"/>
      <c r="BX406" s="16"/>
      <c r="BY406" s="27"/>
      <c r="CA406" s="27"/>
      <c r="CB406" s="16"/>
      <c r="CC406" s="16"/>
      <c r="CD406" s="27"/>
      <c r="CF406" s="27"/>
      <c r="CG406" s="16"/>
      <c r="CH406" s="16"/>
      <c r="CI406" s="27"/>
      <c r="CK406" s="27"/>
      <c r="CL406" s="16"/>
      <c r="CM406" s="16"/>
      <c r="CN406" s="27"/>
      <c r="CP406" s="27"/>
      <c r="CQ406" s="16"/>
      <c r="CR406" s="16"/>
      <c r="CS406" s="27"/>
      <c r="CU406" s="27"/>
      <c r="CV406" s="16"/>
      <c r="CW406" s="16"/>
      <c r="CX406" s="27"/>
      <c r="CZ406" s="27"/>
      <c r="DA406" s="16"/>
      <c r="DB406" s="16"/>
      <c r="DC406" s="27"/>
      <c r="DE406" s="27"/>
      <c r="DF406" s="16"/>
      <c r="DG406" s="16"/>
      <c r="DH406" s="27"/>
      <c r="DJ406" s="27"/>
      <c r="DK406" s="16"/>
      <c r="DL406" s="16"/>
      <c r="DM406" s="27"/>
      <c r="DO406" s="27"/>
      <c r="DP406" s="16"/>
      <c r="DQ406" s="16"/>
      <c r="DR406" s="27"/>
      <c r="DT406" s="27"/>
      <c r="DU406" s="16"/>
      <c r="DV406" s="16"/>
      <c r="DW406" s="27"/>
      <c r="DY406" s="27"/>
      <c r="DZ406" s="16"/>
      <c r="EA406" s="16"/>
      <c r="EB406" s="302"/>
    </row>
    <row r="407" spans="1:132" s="14" customFormat="1" ht="21" x14ac:dyDescent="0.4">
      <c r="A407" s="27"/>
      <c r="B407" s="27"/>
      <c r="C407" s="27"/>
      <c r="E407" s="16"/>
      <c r="F407" s="27"/>
      <c r="G407" s="27"/>
      <c r="I407" s="27"/>
      <c r="J407" s="16"/>
      <c r="K407" s="16"/>
      <c r="L407" s="27"/>
      <c r="N407" s="27"/>
      <c r="O407" s="16"/>
      <c r="P407" s="16"/>
      <c r="Q407" s="27"/>
      <c r="S407" s="27"/>
      <c r="T407" s="16"/>
      <c r="U407" s="16"/>
      <c r="V407" s="27"/>
      <c r="X407" s="27"/>
      <c r="Y407" s="16"/>
      <c r="Z407" s="16"/>
      <c r="AA407" s="27"/>
      <c r="AC407" s="27"/>
      <c r="AD407" s="16"/>
      <c r="AE407" s="16"/>
      <c r="AF407" s="27"/>
      <c r="AH407" s="27"/>
      <c r="AI407" s="16"/>
      <c r="AJ407" s="16"/>
      <c r="AK407" s="27"/>
      <c r="AM407" s="27"/>
      <c r="AN407" s="16"/>
      <c r="AO407" s="16"/>
      <c r="AP407" s="27"/>
      <c r="AR407" s="27"/>
      <c r="AS407" s="16"/>
      <c r="AT407" s="16"/>
      <c r="AU407" s="27"/>
      <c r="AW407" s="27"/>
      <c r="AX407" s="16"/>
      <c r="AY407" s="16"/>
      <c r="AZ407" s="27"/>
      <c r="BB407" s="27"/>
      <c r="BC407" s="16"/>
      <c r="BD407" s="16"/>
      <c r="BE407" s="27"/>
      <c r="BG407" s="27"/>
      <c r="BH407" s="16"/>
      <c r="BI407" s="16"/>
      <c r="BJ407" s="27"/>
      <c r="BL407" s="27"/>
      <c r="BM407" s="16"/>
      <c r="BN407" s="16"/>
      <c r="BO407" s="27"/>
      <c r="BQ407" s="27"/>
      <c r="BR407" s="16"/>
      <c r="BS407" s="16"/>
      <c r="BT407" s="27"/>
      <c r="BV407" s="27"/>
      <c r="BW407" s="16"/>
      <c r="BX407" s="16"/>
      <c r="BY407" s="27"/>
      <c r="CA407" s="27"/>
      <c r="CB407" s="16"/>
      <c r="CC407" s="16"/>
      <c r="CD407" s="27"/>
      <c r="CF407" s="27"/>
      <c r="CG407" s="16"/>
      <c r="CH407" s="16"/>
      <c r="CI407" s="27"/>
      <c r="CK407" s="27"/>
      <c r="CL407" s="16"/>
      <c r="CM407" s="16"/>
      <c r="CN407" s="27"/>
      <c r="CP407" s="27"/>
      <c r="CQ407" s="16"/>
      <c r="CR407" s="16"/>
      <c r="CS407" s="27"/>
      <c r="CU407" s="27"/>
      <c r="CV407" s="16"/>
      <c r="CW407" s="16"/>
      <c r="CX407" s="27"/>
      <c r="CZ407" s="27"/>
      <c r="DA407" s="16"/>
      <c r="DB407" s="16"/>
      <c r="DC407" s="27"/>
      <c r="DE407" s="27"/>
      <c r="DF407" s="16"/>
      <c r="DG407" s="16"/>
      <c r="DH407" s="27"/>
      <c r="DJ407" s="27"/>
      <c r="DK407" s="16"/>
      <c r="DL407" s="16"/>
      <c r="DM407" s="27"/>
      <c r="DO407" s="27"/>
      <c r="DP407" s="16"/>
      <c r="DQ407" s="16"/>
      <c r="DR407" s="27"/>
      <c r="DT407" s="27"/>
      <c r="DU407" s="16"/>
      <c r="DV407" s="16"/>
      <c r="DW407" s="27"/>
      <c r="DY407" s="27"/>
      <c r="DZ407" s="16"/>
      <c r="EA407" s="16"/>
      <c r="EB407" s="302"/>
    </row>
    <row r="408" spans="1:132" s="14" customFormat="1" ht="21" x14ac:dyDescent="0.4">
      <c r="A408" s="27"/>
      <c r="B408" s="27"/>
      <c r="C408" s="27"/>
      <c r="E408" s="16"/>
      <c r="F408" s="27"/>
      <c r="G408" s="27"/>
      <c r="I408" s="27"/>
      <c r="J408" s="16"/>
      <c r="K408" s="16"/>
      <c r="L408" s="27"/>
      <c r="N408" s="27"/>
      <c r="O408" s="16"/>
      <c r="P408" s="16"/>
      <c r="Q408" s="27"/>
      <c r="S408" s="27"/>
      <c r="T408" s="16"/>
      <c r="U408" s="16"/>
      <c r="V408" s="27"/>
      <c r="X408" s="27"/>
      <c r="Y408" s="16"/>
      <c r="Z408" s="16"/>
      <c r="AA408" s="27"/>
      <c r="AC408" s="27"/>
      <c r="AD408" s="16"/>
      <c r="AE408" s="16"/>
      <c r="AF408" s="27"/>
      <c r="AH408" s="27"/>
      <c r="AI408" s="16"/>
      <c r="AJ408" s="16"/>
      <c r="AK408" s="27"/>
      <c r="AM408" s="27"/>
      <c r="AN408" s="16"/>
      <c r="AO408" s="16"/>
      <c r="AP408" s="27"/>
      <c r="AR408" s="27"/>
      <c r="AS408" s="16"/>
      <c r="AT408" s="16"/>
      <c r="AU408" s="27"/>
      <c r="AW408" s="27"/>
      <c r="AX408" s="16"/>
      <c r="AY408" s="16"/>
      <c r="AZ408" s="27"/>
      <c r="BB408" s="27"/>
      <c r="BC408" s="16"/>
      <c r="BD408" s="16"/>
      <c r="BE408" s="27"/>
      <c r="BG408" s="27"/>
      <c r="BH408" s="16"/>
      <c r="BI408" s="16"/>
      <c r="BJ408" s="27"/>
      <c r="BL408" s="27"/>
      <c r="BM408" s="16"/>
      <c r="BN408" s="16"/>
      <c r="BO408" s="27"/>
      <c r="BQ408" s="27"/>
      <c r="BR408" s="16"/>
      <c r="BS408" s="16"/>
      <c r="BT408" s="27"/>
      <c r="BV408" s="27"/>
      <c r="BW408" s="16"/>
      <c r="BX408" s="16"/>
      <c r="BY408" s="27"/>
      <c r="CA408" s="27"/>
      <c r="CB408" s="16"/>
      <c r="CC408" s="16"/>
      <c r="CD408" s="27"/>
      <c r="CF408" s="27"/>
      <c r="CG408" s="16"/>
      <c r="CH408" s="16"/>
      <c r="CI408" s="27"/>
      <c r="CK408" s="27"/>
      <c r="CL408" s="16"/>
      <c r="CM408" s="16"/>
      <c r="CN408" s="27"/>
      <c r="CP408" s="27"/>
      <c r="CQ408" s="16"/>
      <c r="CR408" s="16"/>
      <c r="CS408" s="27"/>
      <c r="CU408" s="27"/>
      <c r="CV408" s="16"/>
      <c r="CW408" s="16"/>
      <c r="CX408" s="27"/>
      <c r="CZ408" s="27"/>
      <c r="DA408" s="16"/>
      <c r="DB408" s="16"/>
      <c r="DC408" s="27"/>
      <c r="DE408" s="27"/>
      <c r="DF408" s="16"/>
      <c r="DG408" s="16"/>
      <c r="DH408" s="27"/>
      <c r="DJ408" s="27"/>
      <c r="DK408" s="16"/>
      <c r="DL408" s="16"/>
      <c r="DM408" s="27"/>
      <c r="DO408" s="27"/>
      <c r="DP408" s="16"/>
      <c r="DQ408" s="16"/>
      <c r="DR408" s="27"/>
      <c r="DT408" s="27"/>
      <c r="DU408" s="16"/>
      <c r="DV408" s="16"/>
      <c r="DW408" s="27"/>
      <c r="DY408" s="27"/>
      <c r="DZ408" s="16"/>
      <c r="EA408" s="16"/>
      <c r="EB408" s="302"/>
    </row>
    <row r="409" spans="1:132" s="14" customFormat="1" ht="21" x14ac:dyDescent="0.4">
      <c r="A409" s="27"/>
      <c r="B409" s="27"/>
      <c r="C409" s="27"/>
      <c r="E409" s="16"/>
      <c r="F409" s="27"/>
      <c r="G409" s="27"/>
      <c r="I409" s="27"/>
      <c r="J409" s="16"/>
      <c r="K409" s="16"/>
      <c r="L409" s="27"/>
      <c r="N409" s="27"/>
      <c r="O409" s="16"/>
      <c r="P409" s="16"/>
      <c r="Q409" s="27"/>
      <c r="S409" s="27"/>
      <c r="T409" s="16"/>
      <c r="U409" s="16"/>
      <c r="V409" s="27"/>
      <c r="X409" s="27"/>
      <c r="Y409" s="16"/>
      <c r="Z409" s="16"/>
      <c r="AA409" s="27"/>
      <c r="AC409" s="27"/>
      <c r="AD409" s="16"/>
      <c r="AE409" s="16"/>
      <c r="AF409" s="27"/>
      <c r="AH409" s="27"/>
      <c r="AI409" s="16"/>
      <c r="AJ409" s="16"/>
      <c r="AK409" s="27"/>
      <c r="AM409" s="27"/>
      <c r="AN409" s="16"/>
      <c r="AO409" s="16"/>
      <c r="AP409" s="27"/>
      <c r="AR409" s="27"/>
      <c r="AS409" s="16"/>
      <c r="AT409" s="16"/>
      <c r="AU409" s="27"/>
      <c r="AW409" s="27"/>
      <c r="AX409" s="16"/>
      <c r="AY409" s="16"/>
      <c r="AZ409" s="27"/>
      <c r="BB409" s="27"/>
      <c r="BC409" s="16"/>
      <c r="BD409" s="16"/>
      <c r="BE409" s="27"/>
      <c r="BG409" s="27"/>
      <c r="BH409" s="16"/>
      <c r="BI409" s="16"/>
      <c r="BJ409" s="27"/>
      <c r="BL409" s="27"/>
      <c r="BM409" s="16"/>
      <c r="BN409" s="16"/>
      <c r="BO409" s="27"/>
      <c r="BQ409" s="27"/>
      <c r="BR409" s="16"/>
      <c r="BS409" s="16"/>
      <c r="BT409" s="27"/>
      <c r="BV409" s="27"/>
      <c r="BW409" s="16"/>
      <c r="BX409" s="16"/>
      <c r="BY409" s="27"/>
      <c r="CA409" s="27"/>
      <c r="CB409" s="16"/>
      <c r="CC409" s="16"/>
      <c r="CD409" s="27"/>
      <c r="CF409" s="27"/>
      <c r="CG409" s="16"/>
      <c r="CH409" s="16"/>
      <c r="CI409" s="27"/>
      <c r="CK409" s="27"/>
      <c r="CL409" s="16"/>
      <c r="CM409" s="16"/>
      <c r="CN409" s="27"/>
      <c r="CP409" s="27"/>
      <c r="CQ409" s="16"/>
      <c r="CR409" s="16"/>
      <c r="CS409" s="27"/>
      <c r="CU409" s="27"/>
      <c r="CV409" s="16"/>
      <c r="CW409" s="16"/>
      <c r="CX409" s="27"/>
      <c r="CZ409" s="27"/>
      <c r="DA409" s="16"/>
      <c r="DB409" s="16"/>
      <c r="DC409" s="27"/>
      <c r="DE409" s="27"/>
      <c r="DF409" s="16"/>
      <c r="DG409" s="16"/>
      <c r="DH409" s="27"/>
      <c r="DJ409" s="27"/>
      <c r="DK409" s="16"/>
      <c r="DL409" s="16"/>
      <c r="DM409" s="27"/>
      <c r="DO409" s="27"/>
      <c r="DP409" s="16"/>
      <c r="DQ409" s="16"/>
      <c r="DR409" s="27"/>
      <c r="DT409" s="27"/>
      <c r="DU409" s="16"/>
      <c r="DV409" s="16"/>
      <c r="DW409" s="27"/>
      <c r="DY409" s="27"/>
      <c r="DZ409" s="16"/>
      <c r="EA409" s="16"/>
      <c r="EB409" s="302"/>
    </row>
    <row r="410" spans="1:132" s="14" customFormat="1" ht="21" x14ac:dyDescent="0.4">
      <c r="A410" s="27"/>
      <c r="B410" s="27"/>
      <c r="C410" s="27"/>
      <c r="E410" s="16"/>
      <c r="F410" s="27"/>
      <c r="G410" s="27"/>
      <c r="I410" s="27"/>
      <c r="J410" s="16"/>
      <c r="K410" s="16"/>
      <c r="L410" s="27"/>
      <c r="N410" s="27"/>
      <c r="O410" s="16"/>
      <c r="P410" s="16"/>
      <c r="Q410" s="27"/>
      <c r="S410" s="27"/>
      <c r="T410" s="16"/>
      <c r="U410" s="16"/>
      <c r="V410" s="27"/>
      <c r="X410" s="27"/>
      <c r="Y410" s="16"/>
      <c r="Z410" s="16"/>
      <c r="AA410" s="27"/>
      <c r="AC410" s="27"/>
      <c r="AD410" s="16"/>
      <c r="AE410" s="16"/>
      <c r="AF410" s="27"/>
      <c r="AH410" s="27"/>
      <c r="AI410" s="16"/>
      <c r="AJ410" s="16"/>
      <c r="AK410" s="27"/>
      <c r="AM410" s="27"/>
      <c r="AN410" s="16"/>
      <c r="AO410" s="16"/>
      <c r="AP410" s="27"/>
      <c r="AR410" s="27"/>
      <c r="AS410" s="16"/>
      <c r="AT410" s="16"/>
      <c r="AU410" s="27"/>
      <c r="AW410" s="27"/>
      <c r="AX410" s="16"/>
      <c r="AY410" s="16"/>
      <c r="AZ410" s="27"/>
      <c r="BB410" s="27"/>
      <c r="BC410" s="16"/>
      <c r="BD410" s="16"/>
      <c r="BE410" s="27"/>
      <c r="BG410" s="27"/>
      <c r="BH410" s="16"/>
      <c r="BI410" s="16"/>
      <c r="BJ410" s="27"/>
      <c r="BL410" s="27"/>
      <c r="BM410" s="16"/>
      <c r="BN410" s="16"/>
      <c r="BO410" s="27"/>
      <c r="BQ410" s="27"/>
      <c r="BR410" s="16"/>
      <c r="BS410" s="16"/>
      <c r="BT410" s="27"/>
      <c r="BV410" s="27"/>
      <c r="BW410" s="16"/>
      <c r="BX410" s="16"/>
      <c r="BY410" s="27"/>
      <c r="CA410" s="27"/>
      <c r="CB410" s="16"/>
      <c r="CC410" s="16"/>
      <c r="CD410" s="27"/>
      <c r="CF410" s="27"/>
      <c r="CG410" s="16"/>
      <c r="CH410" s="16"/>
      <c r="CI410" s="27"/>
      <c r="CK410" s="27"/>
      <c r="CL410" s="16"/>
      <c r="CM410" s="16"/>
      <c r="CN410" s="27"/>
      <c r="CP410" s="27"/>
      <c r="CQ410" s="16"/>
      <c r="CR410" s="16"/>
      <c r="CS410" s="27"/>
      <c r="CU410" s="27"/>
      <c r="CV410" s="16"/>
      <c r="CW410" s="16"/>
      <c r="CX410" s="27"/>
      <c r="CZ410" s="27"/>
      <c r="DA410" s="16"/>
      <c r="DB410" s="16"/>
      <c r="DC410" s="27"/>
      <c r="DE410" s="27"/>
      <c r="DF410" s="16"/>
      <c r="DG410" s="16"/>
      <c r="DH410" s="27"/>
      <c r="DJ410" s="27"/>
      <c r="DK410" s="16"/>
      <c r="DL410" s="16"/>
      <c r="DM410" s="27"/>
      <c r="DO410" s="27"/>
      <c r="DP410" s="16"/>
      <c r="DQ410" s="16"/>
      <c r="DR410" s="27"/>
      <c r="DT410" s="27"/>
      <c r="DU410" s="16"/>
      <c r="DV410" s="16"/>
      <c r="DW410" s="27"/>
      <c r="DY410" s="27"/>
      <c r="DZ410" s="16"/>
      <c r="EA410" s="16"/>
      <c r="EB410" s="302"/>
    </row>
    <row r="411" spans="1:132" s="14" customFormat="1" ht="21" x14ac:dyDescent="0.4">
      <c r="A411" s="27"/>
      <c r="B411" s="27"/>
      <c r="C411" s="27"/>
      <c r="E411" s="16"/>
      <c r="F411" s="27"/>
      <c r="G411" s="27"/>
      <c r="I411" s="27"/>
      <c r="J411" s="16"/>
      <c r="K411" s="16"/>
      <c r="L411" s="27"/>
      <c r="N411" s="27"/>
      <c r="O411" s="16"/>
      <c r="P411" s="16"/>
      <c r="Q411" s="27"/>
      <c r="S411" s="27"/>
      <c r="T411" s="16"/>
      <c r="U411" s="16"/>
      <c r="V411" s="27"/>
      <c r="X411" s="27"/>
      <c r="Y411" s="16"/>
      <c r="Z411" s="16"/>
      <c r="AA411" s="27"/>
      <c r="AC411" s="27"/>
      <c r="AD411" s="16"/>
      <c r="AE411" s="16"/>
      <c r="AF411" s="27"/>
      <c r="AH411" s="27"/>
      <c r="AI411" s="16"/>
      <c r="AJ411" s="16"/>
      <c r="AK411" s="27"/>
      <c r="AM411" s="27"/>
      <c r="AN411" s="16"/>
      <c r="AO411" s="16"/>
      <c r="AP411" s="27"/>
      <c r="AR411" s="27"/>
      <c r="AS411" s="16"/>
      <c r="AT411" s="16"/>
      <c r="AU411" s="27"/>
      <c r="AW411" s="27"/>
      <c r="AX411" s="16"/>
      <c r="AY411" s="16"/>
      <c r="AZ411" s="27"/>
      <c r="BB411" s="27"/>
      <c r="BC411" s="16"/>
      <c r="BD411" s="16"/>
      <c r="BE411" s="27"/>
      <c r="BG411" s="27"/>
      <c r="BH411" s="16"/>
      <c r="BI411" s="16"/>
      <c r="BJ411" s="27"/>
      <c r="BL411" s="27"/>
      <c r="BM411" s="16"/>
      <c r="BN411" s="16"/>
      <c r="BO411" s="27"/>
      <c r="BQ411" s="27"/>
      <c r="BR411" s="16"/>
      <c r="BS411" s="16"/>
      <c r="BT411" s="27"/>
      <c r="BV411" s="27"/>
      <c r="BW411" s="16"/>
      <c r="BX411" s="16"/>
      <c r="BY411" s="27"/>
      <c r="CA411" s="27"/>
      <c r="CB411" s="16"/>
      <c r="CC411" s="16"/>
      <c r="CD411" s="27"/>
      <c r="CF411" s="27"/>
      <c r="CG411" s="16"/>
      <c r="CH411" s="16"/>
      <c r="CI411" s="27"/>
      <c r="CK411" s="27"/>
      <c r="CL411" s="16"/>
      <c r="CM411" s="16"/>
      <c r="CN411" s="27"/>
      <c r="CP411" s="27"/>
      <c r="CQ411" s="16"/>
      <c r="CR411" s="16"/>
      <c r="CS411" s="27"/>
      <c r="CU411" s="27"/>
      <c r="CV411" s="16"/>
      <c r="CW411" s="16"/>
      <c r="CX411" s="27"/>
      <c r="CZ411" s="27"/>
      <c r="DA411" s="16"/>
      <c r="DB411" s="16"/>
      <c r="DC411" s="27"/>
      <c r="DE411" s="27"/>
      <c r="DF411" s="16"/>
      <c r="DG411" s="16"/>
      <c r="DH411" s="27"/>
      <c r="DJ411" s="27"/>
      <c r="DK411" s="16"/>
      <c r="DL411" s="16"/>
      <c r="DM411" s="27"/>
      <c r="DO411" s="27"/>
      <c r="DP411" s="16"/>
      <c r="DQ411" s="16"/>
      <c r="DR411" s="27"/>
      <c r="DT411" s="27"/>
      <c r="DU411" s="16"/>
      <c r="DV411" s="16"/>
      <c r="DW411" s="27"/>
      <c r="DY411" s="27"/>
      <c r="DZ411" s="16"/>
      <c r="EA411" s="16"/>
      <c r="EB411" s="302"/>
    </row>
    <row r="412" spans="1:132" s="14" customFormat="1" ht="21" x14ac:dyDescent="0.4">
      <c r="A412" s="27"/>
      <c r="B412" s="27"/>
      <c r="C412" s="27"/>
      <c r="E412" s="16"/>
      <c r="F412" s="27"/>
      <c r="G412" s="27"/>
      <c r="I412" s="27"/>
      <c r="J412" s="16"/>
      <c r="K412" s="16"/>
      <c r="L412" s="27"/>
      <c r="N412" s="27"/>
      <c r="O412" s="16"/>
      <c r="P412" s="16"/>
      <c r="Q412" s="27"/>
      <c r="S412" s="27"/>
      <c r="T412" s="16"/>
      <c r="U412" s="16"/>
      <c r="V412" s="27"/>
      <c r="X412" s="27"/>
      <c r="Y412" s="16"/>
      <c r="Z412" s="16"/>
      <c r="AA412" s="27"/>
      <c r="AC412" s="27"/>
      <c r="AD412" s="16"/>
      <c r="AE412" s="16"/>
      <c r="AF412" s="27"/>
      <c r="AH412" s="27"/>
      <c r="AI412" s="16"/>
      <c r="AJ412" s="16"/>
      <c r="AK412" s="27"/>
      <c r="AM412" s="27"/>
      <c r="AN412" s="16"/>
      <c r="AO412" s="16"/>
      <c r="AP412" s="27"/>
      <c r="AR412" s="27"/>
      <c r="AS412" s="16"/>
      <c r="AT412" s="16"/>
      <c r="AU412" s="27"/>
      <c r="AW412" s="27"/>
      <c r="AX412" s="16"/>
      <c r="AY412" s="16"/>
      <c r="AZ412" s="27"/>
      <c r="BB412" s="27"/>
      <c r="BC412" s="16"/>
      <c r="BD412" s="16"/>
      <c r="BE412" s="27"/>
      <c r="BG412" s="27"/>
      <c r="BH412" s="16"/>
      <c r="BI412" s="16"/>
      <c r="BJ412" s="27"/>
      <c r="BL412" s="27"/>
      <c r="BM412" s="16"/>
      <c r="BN412" s="16"/>
      <c r="BO412" s="27"/>
      <c r="BQ412" s="27"/>
      <c r="BR412" s="16"/>
      <c r="BS412" s="16"/>
      <c r="BT412" s="27"/>
      <c r="BV412" s="27"/>
      <c r="BW412" s="16"/>
      <c r="BX412" s="16"/>
      <c r="BY412" s="27"/>
      <c r="CA412" s="27"/>
      <c r="CB412" s="16"/>
      <c r="CC412" s="16"/>
      <c r="CD412" s="27"/>
      <c r="CF412" s="27"/>
      <c r="CG412" s="16"/>
      <c r="CH412" s="16"/>
      <c r="CI412" s="27"/>
      <c r="CK412" s="27"/>
      <c r="CL412" s="16"/>
      <c r="CM412" s="16"/>
      <c r="CN412" s="27"/>
      <c r="CP412" s="27"/>
      <c r="CQ412" s="16"/>
      <c r="CR412" s="16"/>
      <c r="CS412" s="27"/>
      <c r="CU412" s="27"/>
      <c r="CV412" s="16"/>
      <c r="CW412" s="16"/>
      <c r="CX412" s="27"/>
      <c r="CZ412" s="27"/>
      <c r="DA412" s="16"/>
      <c r="DB412" s="16"/>
      <c r="DC412" s="27"/>
      <c r="DE412" s="27"/>
      <c r="DF412" s="16"/>
      <c r="DG412" s="16"/>
      <c r="DH412" s="27"/>
      <c r="DJ412" s="27"/>
      <c r="DK412" s="16"/>
      <c r="DL412" s="16"/>
      <c r="DM412" s="27"/>
      <c r="DO412" s="27"/>
      <c r="DP412" s="16"/>
      <c r="DQ412" s="16"/>
      <c r="DR412" s="27"/>
      <c r="DT412" s="27"/>
      <c r="DU412" s="16"/>
      <c r="DV412" s="16"/>
      <c r="DW412" s="27"/>
      <c r="DY412" s="27"/>
      <c r="DZ412" s="16"/>
      <c r="EA412" s="16"/>
      <c r="EB412" s="302"/>
    </row>
    <row r="413" spans="1:132" s="14" customFormat="1" ht="21" x14ac:dyDescent="0.4">
      <c r="A413" s="27"/>
      <c r="B413" s="27"/>
      <c r="C413" s="27"/>
      <c r="E413" s="16"/>
      <c r="F413" s="27"/>
      <c r="G413" s="27"/>
      <c r="I413" s="27"/>
      <c r="J413" s="16"/>
      <c r="K413" s="16"/>
      <c r="L413" s="27"/>
      <c r="N413" s="27"/>
      <c r="O413" s="16"/>
      <c r="P413" s="16"/>
      <c r="Q413" s="27"/>
      <c r="S413" s="27"/>
      <c r="T413" s="16"/>
      <c r="U413" s="16"/>
      <c r="V413" s="27"/>
      <c r="X413" s="27"/>
      <c r="Y413" s="16"/>
      <c r="Z413" s="16"/>
      <c r="AA413" s="27"/>
      <c r="AC413" s="27"/>
      <c r="AD413" s="16"/>
      <c r="AE413" s="16"/>
      <c r="AF413" s="27"/>
      <c r="AH413" s="27"/>
      <c r="AI413" s="16"/>
      <c r="AJ413" s="16"/>
      <c r="AK413" s="27"/>
      <c r="AM413" s="27"/>
      <c r="AN413" s="16"/>
      <c r="AO413" s="16"/>
      <c r="AP413" s="27"/>
      <c r="AR413" s="27"/>
      <c r="AS413" s="16"/>
      <c r="AT413" s="16"/>
      <c r="AU413" s="27"/>
      <c r="AW413" s="27"/>
      <c r="AX413" s="16"/>
      <c r="AY413" s="16"/>
      <c r="AZ413" s="27"/>
      <c r="BB413" s="27"/>
      <c r="BC413" s="16"/>
      <c r="BD413" s="16"/>
      <c r="BE413" s="27"/>
      <c r="BG413" s="27"/>
      <c r="BH413" s="16"/>
      <c r="BI413" s="16"/>
      <c r="BJ413" s="27"/>
      <c r="BL413" s="27"/>
      <c r="BM413" s="16"/>
      <c r="BN413" s="16"/>
      <c r="BO413" s="27"/>
      <c r="BQ413" s="27"/>
      <c r="BR413" s="16"/>
      <c r="BS413" s="16"/>
      <c r="BT413" s="27"/>
      <c r="BV413" s="27"/>
      <c r="BW413" s="16"/>
      <c r="BX413" s="16"/>
      <c r="BY413" s="27"/>
      <c r="CA413" s="27"/>
      <c r="CB413" s="16"/>
      <c r="CC413" s="16"/>
      <c r="CD413" s="27"/>
      <c r="CF413" s="27"/>
      <c r="CG413" s="16"/>
      <c r="CH413" s="16"/>
      <c r="CI413" s="27"/>
      <c r="CK413" s="27"/>
      <c r="CL413" s="16"/>
      <c r="CM413" s="16"/>
      <c r="CN413" s="27"/>
      <c r="CP413" s="27"/>
      <c r="CQ413" s="16"/>
      <c r="CR413" s="16"/>
      <c r="CS413" s="27"/>
      <c r="CU413" s="27"/>
      <c r="CV413" s="16"/>
      <c r="CW413" s="16"/>
      <c r="CX413" s="27"/>
      <c r="CZ413" s="27"/>
      <c r="DA413" s="16"/>
      <c r="DB413" s="16"/>
      <c r="DC413" s="27"/>
      <c r="DE413" s="27"/>
      <c r="DF413" s="16"/>
      <c r="DG413" s="16"/>
      <c r="DH413" s="27"/>
      <c r="DJ413" s="27"/>
      <c r="DK413" s="16"/>
      <c r="DL413" s="16"/>
      <c r="DM413" s="27"/>
      <c r="DO413" s="27"/>
      <c r="DP413" s="16"/>
      <c r="DQ413" s="16"/>
      <c r="DR413" s="27"/>
      <c r="DT413" s="27"/>
      <c r="DU413" s="16"/>
      <c r="DV413" s="16"/>
      <c r="DW413" s="27"/>
      <c r="DY413" s="27"/>
      <c r="DZ413" s="16"/>
      <c r="EA413" s="16"/>
      <c r="EB413" s="302"/>
    </row>
    <row r="414" spans="1:132" s="14" customFormat="1" ht="21" x14ac:dyDescent="0.4">
      <c r="A414" s="27"/>
      <c r="B414" s="27"/>
      <c r="C414" s="27"/>
      <c r="E414" s="16"/>
      <c r="F414" s="27"/>
      <c r="G414" s="27"/>
      <c r="I414" s="27"/>
      <c r="J414" s="16"/>
      <c r="K414" s="16"/>
      <c r="L414" s="27"/>
      <c r="N414" s="27"/>
      <c r="O414" s="16"/>
      <c r="P414" s="16"/>
      <c r="Q414" s="27"/>
      <c r="S414" s="27"/>
      <c r="T414" s="16"/>
      <c r="U414" s="16"/>
      <c r="V414" s="27"/>
      <c r="X414" s="27"/>
      <c r="Y414" s="16"/>
      <c r="Z414" s="16"/>
      <c r="AA414" s="27"/>
      <c r="AC414" s="27"/>
      <c r="AD414" s="16"/>
      <c r="AE414" s="16"/>
      <c r="AF414" s="27"/>
      <c r="AH414" s="27"/>
      <c r="AI414" s="16"/>
      <c r="AJ414" s="16"/>
      <c r="AK414" s="27"/>
      <c r="AM414" s="27"/>
      <c r="AN414" s="16"/>
      <c r="AO414" s="16"/>
      <c r="AP414" s="27"/>
      <c r="AR414" s="27"/>
      <c r="AS414" s="16"/>
      <c r="AT414" s="16"/>
      <c r="AU414" s="27"/>
      <c r="AW414" s="27"/>
      <c r="AX414" s="16"/>
      <c r="AY414" s="16"/>
      <c r="AZ414" s="27"/>
      <c r="BB414" s="27"/>
      <c r="BC414" s="16"/>
      <c r="BD414" s="16"/>
      <c r="BE414" s="27"/>
      <c r="BG414" s="27"/>
      <c r="BH414" s="16"/>
      <c r="BI414" s="16"/>
      <c r="BJ414" s="27"/>
      <c r="BL414" s="27"/>
      <c r="BM414" s="16"/>
      <c r="BN414" s="16"/>
      <c r="BO414" s="27"/>
      <c r="BQ414" s="27"/>
      <c r="BR414" s="16"/>
      <c r="BS414" s="16"/>
      <c r="BT414" s="27"/>
      <c r="BV414" s="27"/>
      <c r="BW414" s="16"/>
      <c r="BX414" s="16"/>
      <c r="BY414" s="27"/>
      <c r="CA414" s="27"/>
      <c r="CB414" s="16"/>
      <c r="CC414" s="16"/>
      <c r="CD414" s="27"/>
      <c r="CF414" s="27"/>
      <c r="CG414" s="16"/>
      <c r="CH414" s="16"/>
      <c r="CI414" s="27"/>
      <c r="CK414" s="27"/>
      <c r="CL414" s="16"/>
      <c r="CM414" s="16"/>
      <c r="CN414" s="27"/>
      <c r="CP414" s="27"/>
      <c r="CQ414" s="16"/>
      <c r="CR414" s="16"/>
      <c r="CS414" s="27"/>
      <c r="CU414" s="27"/>
      <c r="CV414" s="16"/>
      <c r="CW414" s="16"/>
      <c r="CX414" s="27"/>
      <c r="CZ414" s="27"/>
      <c r="DA414" s="16"/>
      <c r="DB414" s="16"/>
      <c r="DC414" s="27"/>
      <c r="DE414" s="27"/>
      <c r="DF414" s="16"/>
      <c r="DG414" s="16"/>
      <c r="DH414" s="27"/>
      <c r="DJ414" s="27"/>
      <c r="DK414" s="16"/>
      <c r="DL414" s="16"/>
      <c r="DM414" s="27"/>
      <c r="DO414" s="27"/>
      <c r="DP414" s="16"/>
      <c r="DQ414" s="16"/>
      <c r="DR414" s="27"/>
      <c r="DT414" s="27"/>
      <c r="DU414" s="16"/>
      <c r="DV414" s="16"/>
      <c r="DW414" s="27"/>
      <c r="DY414" s="27"/>
      <c r="DZ414" s="16"/>
      <c r="EA414" s="16"/>
      <c r="EB414" s="302"/>
    </row>
    <row r="415" spans="1:132" s="14" customFormat="1" ht="21" x14ac:dyDescent="0.4">
      <c r="A415" s="27"/>
      <c r="B415" s="27"/>
      <c r="C415" s="27"/>
      <c r="E415" s="16"/>
      <c r="F415" s="27"/>
      <c r="G415" s="27"/>
      <c r="I415" s="27"/>
      <c r="J415" s="16"/>
      <c r="K415" s="16"/>
      <c r="L415" s="27"/>
      <c r="N415" s="27"/>
      <c r="O415" s="16"/>
      <c r="P415" s="16"/>
      <c r="Q415" s="27"/>
      <c r="S415" s="27"/>
      <c r="T415" s="16"/>
      <c r="U415" s="16"/>
      <c r="V415" s="27"/>
      <c r="X415" s="27"/>
      <c r="Y415" s="16"/>
      <c r="Z415" s="16"/>
      <c r="AA415" s="27"/>
      <c r="AC415" s="27"/>
      <c r="AD415" s="16"/>
      <c r="AE415" s="16"/>
      <c r="AF415" s="27"/>
      <c r="AH415" s="27"/>
      <c r="AI415" s="16"/>
      <c r="AJ415" s="16"/>
      <c r="AK415" s="27"/>
      <c r="AM415" s="27"/>
      <c r="AN415" s="16"/>
      <c r="AO415" s="16"/>
      <c r="AP415" s="27"/>
      <c r="AR415" s="27"/>
      <c r="AS415" s="16"/>
      <c r="AT415" s="16"/>
      <c r="AU415" s="27"/>
      <c r="AW415" s="27"/>
      <c r="AX415" s="16"/>
      <c r="AY415" s="16"/>
      <c r="AZ415" s="27"/>
      <c r="BB415" s="27"/>
      <c r="BC415" s="16"/>
      <c r="BD415" s="16"/>
      <c r="BE415" s="27"/>
      <c r="BG415" s="27"/>
      <c r="BH415" s="16"/>
      <c r="BI415" s="16"/>
      <c r="BJ415" s="27"/>
      <c r="BL415" s="27"/>
      <c r="BM415" s="16"/>
      <c r="BN415" s="16"/>
      <c r="BO415" s="27"/>
      <c r="BQ415" s="27"/>
      <c r="BR415" s="16"/>
      <c r="BS415" s="16"/>
      <c r="BT415" s="27"/>
      <c r="BV415" s="27"/>
      <c r="BW415" s="16"/>
      <c r="BX415" s="16"/>
      <c r="BY415" s="27"/>
      <c r="CA415" s="27"/>
      <c r="CB415" s="16"/>
      <c r="CC415" s="16"/>
      <c r="CD415" s="27"/>
      <c r="CF415" s="27"/>
      <c r="CG415" s="16"/>
      <c r="CH415" s="16"/>
      <c r="CI415" s="27"/>
      <c r="CK415" s="27"/>
      <c r="CL415" s="16"/>
      <c r="CM415" s="16"/>
      <c r="CN415" s="27"/>
      <c r="CP415" s="27"/>
      <c r="CQ415" s="16"/>
      <c r="CR415" s="16"/>
      <c r="CS415" s="27"/>
      <c r="CU415" s="27"/>
      <c r="CV415" s="16"/>
      <c r="CW415" s="16"/>
      <c r="CX415" s="27"/>
      <c r="CZ415" s="27"/>
      <c r="DA415" s="16"/>
      <c r="DB415" s="16"/>
      <c r="DC415" s="27"/>
      <c r="DE415" s="27"/>
      <c r="DF415" s="16"/>
      <c r="DG415" s="16"/>
      <c r="DH415" s="27"/>
      <c r="DJ415" s="27"/>
      <c r="DK415" s="16"/>
      <c r="DL415" s="16"/>
      <c r="DM415" s="27"/>
      <c r="DO415" s="27"/>
      <c r="DP415" s="16"/>
      <c r="DQ415" s="16"/>
      <c r="DR415" s="27"/>
      <c r="DT415" s="27"/>
      <c r="DU415" s="16"/>
      <c r="DV415" s="16"/>
      <c r="DW415" s="27"/>
      <c r="DY415" s="27"/>
      <c r="DZ415" s="16"/>
      <c r="EA415" s="16"/>
      <c r="EB415" s="302"/>
    </row>
    <row r="416" spans="1:132" s="14" customFormat="1" ht="21" x14ac:dyDescent="0.4">
      <c r="A416" s="27"/>
      <c r="B416" s="27"/>
      <c r="C416" s="27"/>
      <c r="E416" s="16"/>
      <c r="F416" s="27"/>
      <c r="G416" s="27"/>
      <c r="I416" s="27"/>
      <c r="J416" s="16"/>
      <c r="K416" s="16"/>
      <c r="L416" s="27"/>
      <c r="N416" s="27"/>
      <c r="O416" s="16"/>
      <c r="P416" s="16"/>
      <c r="Q416" s="27"/>
      <c r="S416" s="27"/>
      <c r="T416" s="16"/>
      <c r="U416" s="16"/>
      <c r="V416" s="27"/>
      <c r="X416" s="27"/>
      <c r="Y416" s="16"/>
      <c r="Z416" s="16"/>
      <c r="AA416" s="27"/>
      <c r="AC416" s="27"/>
      <c r="AD416" s="16"/>
      <c r="AE416" s="16"/>
      <c r="AF416" s="27"/>
      <c r="AH416" s="27"/>
      <c r="AI416" s="16"/>
      <c r="AJ416" s="16"/>
      <c r="AK416" s="27"/>
      <c r="AM416" s="27"/>
      <c r="AN416" s="16"/>
      <c r="AO416" s="16"/>
      <c r="AP416" s="27"/>
      <c r="AR416" s="27"/>
      <c r="AS416" s="16"/>
      <c r="AT416" s="16"/>
      <c r="AU416" s="27"/>
      <c r="AW416" s="27"/>
      <c r="AX416" s="16"/>
      <c r="AY416" s="16"/>
      <c r="AZ416" s="27"/>
      <c r="BB416" s="27"/>
      <c r="BC416" s="16"/>
      <c r="BD416" s="16"/>
      <c r="BE416" s="27"/>
      <c r="BG416" s="27"/>
      <c r="BH416" s="16"/>
      <c r="BI416" s="16"/>
      <c r="BJ416" s="27"/>
      <c r="BL416" s="27"/>
      <c r="BM416" s="16"/>
      <c r="BN416" s="16"/>
      <c r="BO416" s="27"/>
      <c r="BQ416" s="27"/>
      <c r="BR416" s="16"/>
      <c r="BS416" s="16"/>
      <c r="BT416" s="27"/>
      <c r="BV416" s="27"/>
      <c r="BW416" s="16"/>
      <c r="BX416" s="16"/>
      <c r="BY416" s="27"/>
      <c r="CA416" s="27"/>
      <c r="CB416" s="16"/>
      <c r="CC416" s="16"/>
      <c r="CD416" s="27"/>
      <c r="CF416" s="27"/>
      <c r="CG416" s="16"/>
      <c r="CH416" s="16"/>
      <c r="CI416" s="27"/>
      <c r="CK416" s="27"/>
      <c r="CL416" s="16"/>
      <c r="CM416" s="16"/>
      <c r="CN416" s="27"/>
      <c r="CP416" s="27"/>
      <c r="CQ416" s="16"/>
      <c r="CR416" s="16"/>
      <c r="CS416" s="27"/>
      <c r="CU416" s="27"/>
      <c r="CV416" s="16"/>
      <c r="CW416" s="16"/>
      <c r="CX416" s="27"/>
      <c r="CZ416" s="27"/>
      <c r="DA416" s="16"/>
      <c r="DB416" s="16"/>
      <c r="DC416" s="27"/>
      <c r="DE416" s="27"/>
      <c r="DF416" s="16"/>
      <c r="DG416" s="16"/>
      <c r="DH416" s="27"/>
      <c r="DJ416" s="27"/>
      <c r="DK416" s="16"/>
      <c r="DL416" s="16"/>
      <c r="DM416" s="27"/>
      <c r="DO416" s="27"/>
      <c r="DP416" s="16"/>
      <c r="DQ416" s="16"/>
      <c r="DR416" s="27"/>
      <c r="DT416" s="27"/>
      <c r="DU416" s="16"/>
      <c r="DV416" s="16"/>
      <c r="DW416" s="27"/>
      <c r="DY416" s="27"/>
      <c r="DZ416" s="16"/>
      <c r="EA416" s="16"/>
      <c r="EB416" s="302"/>
    </row>
    <row r="417" spans="1:132" s="14" customFormat="1" ht="21" x14ac:dyDescent="0.4">
      <c r="A417" s="27"/>
      <c r="B417" s="27"/>
      <c r="C417" s="27"/>
      <c r="E417" s="16"/>
      <c r="F417" s="27"/>
      <c r="G417" s="27"/>
      <c r="I417" s="27"/>
      <c r="J417" s="16"/>
      <c r="K417" s="16"/>
      <c r="L417" s="27"/>
      <c r="N417" s="27"/>
      <c r="O417" s="16"/>
      <c r="P417" s="16"/>
      <c r="Q417" s="27"/>
      <c r="S417" s="27"/>
      <c r="T417" s="16"/>
      <c r="U417" s="16"/>
      <c r="V417" s="27"/>
      <c r="X417" s="27"/>
      <c r="Y417" s="16"/>
      <c r="Z417" s="16"/>
      <c r="AA417" s="27"/>
      <c r="AC417" s="27"/>
      <c r="AD417" s="16"/>
      <c r="AE417" s="16"/>
      <c r="AF417" s="27"/>
      <c r="AH417" s="27"/>
      <c r="AI417" s="16"/>
      <c r="AJ417" s="16"/>
      <c r="AK417" s="27"/>
      <c r="AM417" s="27"/>
      <c r="AN417" s="16"/>
      <c r="AO417" s="16"/>
      <c r="AP417" s="27"/>
      <c r="AR417" s="27"/>
      <c r="AS417" s="16"/>
      <c r="AT417" s="16"/>
      <c r="AU417" s="27"/>
      <c r="AW417" s="27"/>
      <c r="AX417" s="16"/>
      <c r="AY417" s="16"/>
      <c r="AZ417" s="27"/>
      <c r="BB417" s="27"/>
      <c r="BC417" s="16"/>
      <c r="BD417" s="16"/>
      <c r="BE417" s="27"/>
      <c r="BG417" s="27"/>
      <c r="BH417" s="16"/>
      <c r="BI417" s="16"/>
      <c r="BJ417" s="27"/>
      <c r="BL417" s="27"/>
      <c r="BM417" s="16"/>
      <c r="BN417" s="16"/>
      <c r="BO417" s="27"/>
      <c r="BQ417" s="27"/>
      <c r="BR417" s="16"/>
      <c r="BS417" s="16"/>
      <c r="BT417" s="27"/>
      <c r="BV417" s="27"/>
      <c r="BW417" s="16"/>
      <c r="BX417" s="16"/>
      <c r="BY417" s="27"/>
      <c r="CA417" s="27"/>
      <c r="CB417" s="16"/>
      <c r="CC417" s="16"/>
      <c r="CD417" s="27"/>
      <c r="CF417" s="27"/>
      <c r="CG417" s="16"/>
      <c r="CH417" s="16"/>
      <c r="CI417" s="27"/>
      <c r="CK417" s="27"/>
      <c r="CL417" s="16"/>
      <c r="CM417" s="16"/>
      <c r="CN417" s="27"/>
      <c r="CP417" s="27"/>
      <c r="CQ417" s="16"/>
      <c r="CR417" s="16"/>
      <c r="CS417" s="27"/>
      <c r="CU417" s="27"/>
      <c r="CV417" s="16"/>
      <c r="CW417" s="16"/>
      <c r="CX417" s="27"/>
      <c r="CZ417" s="27"/>
      <c r="DA417" s="16"/>
      <c r="DB417" s="16"/>
      <c r="DC417" s="27"/>
      <c r="DE417" s="27"/>
      <c r="DF417" s="16"/>
      <c r="DG417" s="16"/>
      <c r="DH417" s="27"/>
      <c r="DJ417" s="27"/>
      <c r="DK417" s="16"/>
      <c r="DL417" s="16"/>
      <c r="DM417" s="27"/>
      <c r="DO417" s="27"/>
      <c r="DP417" s="16"/>
      <c r="DQ417" s="16"/>
      <c r="DR417" s="27"/>
      <c r="DT417" s="27"/>
      <c r="DU417" s="16"/>
      <c r="DV417" s="16"/>
      <c r="DW417" s="27"/>
      <c r="DY417" s="27"/>
      <c r="DZ417" s="16"/>
      <c r="EA417" s="16"/>
      <c r="EB417" s="302"/>
    </row>
    <row r="418" spans="1:132" s="14" customFormat="1" ht="21" x14ac:dyDescent="0.4">
      <c r="A418" s="27"/>
      <c r="B418" s="27"/>
      <c r="C418" s="27"/>
      <c r="E418" s="16"/>
      <c r="F418" s="27"/>
      <c r="G418" s="27"/>
      <c r="I418" s="27"/>
      <c r="J418" s="16"/>
      <c r="K418" s="16"/>
      <c r="L418" s="27"/>
      <c r="N418" s="27"/>
      <c r="O418" s="16"/>
      <c r="P418" s="16"/>
      <c r="Q418" s="27"/>
      <c r="S418" s="27"/>
      <c r="T418" s="16"/>
      <c r="U418" s="16"/>
      <c r="V418" s="27"/>
      <c r="X418" s="27"/>
      <c r="Y418" s="16"/>
      <c r="Z418" s="16"/>
      <c r="AA418" s="27"/>
      <c r="AC418" s="27"/>
      <c r="AD418" s="16"/>
      <c r="AE418" s="16"/>
      <c r="AF418" s="27"/>
      <c r="AH418" s="27"/>
      <c r="AI418" s="16"/>
      <c r="AJ418" s="16"/>
      <c r="AK418" s="27"/>
      <c r="AM418" s="27"/>
      <c r="AN418" s="16"/>
      <c r="AO418" s="16"/>
      <c r="AP418" s="27"/>
      <c r="AR418" s="27"/>
      <c r="AS418" s="16"/>
      <c r="AT418" s="16"/>
      <c r="AU418" s="27"/>
      <c r="AW418" s="27"/>
      <c r="AX418" s="16"/>
      <c r="AY418" s="16"/>
      <c r="AZ418" s="27"/>
      <c r="BB418" s="27"/>
      <c r="BC418" s="16"/>
      <c r="BD418" s="16"/>
      <c r="BE418" s="27"/>
      <c r="BG418" s="27"/>
      <c r="BH418" s="16"/>
      <c r="BI418" s="16"/>
      <c r="BJ418" s="27"/>
      <c r="BL418" s="27"/>
      <c r="BM418" s="16"/>
      <c r="BN418" s="16"/>
      <c r="BO418" s="27"/>
      <c r="BQ418" s="27"/>
      <c r="BR418" s="16"/>
      <c r="BS418" s="16"/>
      <c r="BT418" s="27"/>
      <c r="BV418" s="27"/>
      <c r="BW418" s="16"/>
      <c r="BX418" s="16"/>
      <c r="BY418" s="27"/>
      <c r="CA418" s="27"/>
      <c r="CB418" s="16"/>
      <c r="CC418" s="16"/>
      <c r="CD418" s="27"/>
      <c r="CF418" s="27"/>
      <c r="CG418" s="16"/>
      <c r="CH418" s="16"/>
      <c r="CI418" s="27"/>
      <c r="CK418" s="27"/>
      <c r="CL418" s="16"/>
      <c r="CM418" s="16"/>
      <c r="CN418" s="27"/>
      <c r="CP418" s="27"/>
      <c r="CQ418" s="16"/>
      <c r="CR418" s="16"/>
      <c r="CS418" s="27"/>
      <c r="CU418" s="27"/>
      <c r="CV418" s="16"/>
      <c r="CW418" s="16"/>
      <c r="CX418" s="27"/>
      <c r="CZ418" s="27"/>
      <c r="DA418" s="16"/>
      <c r="DB418" s="16"/>
      <c r="DC418" s="27"/>
      <c r="DE418" s="27"/>
      <c r="DF418" s="16"/>
      <c r="DG418" s="16"/>
      <c r="DH418" s="27"/>
      <c r="DJ418" s="27"/>
      <c r="DK418" s="16"/>
      <c r="DL418" s="16"/>
      <c r="DM418" s="27"/>
      <c r="DO418" s="27"/>
      <c r="DP418" s="16"/>
      <c r="DQ418" s="16"/>
      <c r="DR418" s="27"/>
      <c r="DT418" s="27"/>
      <c r="DU418" s="16"/>
      <c r="DV418" s="16"/>
      <c r="DW418" s="27"/>
      <c r="DY418" s="27"/>
      <c r="DZ418" s="16"/>
      <c r="EA418" s="16"/>
      <c r="EB418" s="302"/>
    </row>
    <row r="419" spans="1:132" s="14" customFormat="1" ht="21" x14ac:dyDescent="0.4">
      <c r="A419" s="27"/>
      <c r="B419" s="27"/>
      <c r="C419" s="27"/>
      <c r="E419" s="16"/>
      <c r="F419" s="27"/>
      <c r="G419" s="27"/>
      <c r="I419" s="27"/>
      <c r="J419" s="16"/>
      <c r="K419" s="16"/>
      <c r="L419" s="27"/>
      <c r="N419" s="27"/>
      <c r="O419" s="16"/>
      <c r="P419" s="16"/>
      <c r="Q419" s="27"/>
      <c r="S419" s="27"/>
      <c r="T419" s="16"/>
      <c r="U419" s="16"/>
      <c r="V419" s="27"/>
      <c r="X419" s="27"/>
      <c r="Y419" s="16"/>
      <c r="Z419" s="16"/>
      <c r="AA419" s="27"/>
      <c r="AC419" s="27"/>
      <c r="AD419" s="16"/>
      <c r="AE419" s="16"/>
      <c r="AF419" s="27"/>
      <c r="AH419" s="27"/>
      <c r="AI419" s="16"/>
      <c r="AJ419" s="16"/>
      <c r="AK419" s="27"/>
      <c r="AM419" s="27"/>
      <c r="AN419" s="16"/>
      <c r="AO419" s="16"/>
      <c r="AP419" s="27"/>
      <c r="AR419" s="27"/>
      <c r="AS419" s="16"/>
      <c r="AT419" s="16"/>
      <c r="AU419" s="27"/>
      <c r="AW419" s="27"/>
      <c r="AX419" s="16"/>
      <c r="AY419" s="16"/>
      <c r="AZ419" s="27"/>
      <c r="BB419" s="27"/>
      <c r="BC419" s="16"/>
      <c r="BD419" s="16"/>
      <c r="BE419" s="27"/>
      <c r="BG419" s="27"/>
      <c r="BH419" s="16"/>
      <c r="BI419" s="16"/>
      <c r="BJ419" s="27"/>
      <c r="BL419" s="27"/>
      <c r="BM419" s="16"/>
      <c r="BN419" s="16"/>
      <c r="BO419" s="27"/>
      <c r="BQ419" s="27"/>
      <c r="BR419" s="16"/>
      <c r="BS419" s="16"/>
      <c r="BT419" s="27"/>
      <c r="BV419" s="27"/>
      <c r="BW419" s="16"/>
      <c r="BX419" s="16"/>
      <c r="BY419" s="27"/>
      <c r="CA419" s="27"/>
      <c r="CB419" s="16"/>
      <c r="CC419" s="16"/>
      <c r="CD419" s="27"/>
      <c r="CF419" s="27"/>
      <c r="CG419" s="16"/>
      <c r="CH419" s="16"/>
      <c r="CI419" s="27"/>
      <c r="CK419" s="27"/>
      <c r="CL419" s="16"/>
      <c r="CM419" s="16"/>
      <c r="CN419" s="27"/>
      <c r="CP419" s="27"/>
      <c r="CQ419" s="16"/>
      <c r="CR419" s="16"/>
      <c r="CS419" s="27"/>
      <c r="CU419" s="27"/>
      <c r="CV419" s="16"/>
      <c r="CW419" s="16"/>
      <c r="CX419" s="27"/>
      <c r="CZ419" s="27"/>
      <c r="DA419" s="16"/>
      <c r="DB419" s="16"/>
      <c r="DC419" s="27"/>
      <c r="DE419" s="27"/>
      <c r="DF419" s="16"/>
      <c r="DG419" s="16"/>
      <c r="DH419" s="27"/>
      <c r="DJ419" s="27"/>
      <c r="DK419" s="16"/>
      <c r="DL419" s="16"/>
      <c r="DM419" s="27"/>
      <c r="DO419" s="27"/>
      <c r="DP419" s="16"/>
      <c r="DQ419" s="16"/>
      <c r="DR419" s="27"/>
      <c r="DT419" s="27"/>
      <c r="DU419" s="16"/>
      <c r="DV419" s="16"/>
      <c r="DW419" s="27"/>
      <c r="DY419" s="27"/>
      <c r="DZ419" s="16"/>
      <c r="EA419" s="16"/>
      <c r="EB419" s="302"/>
    </row>
    <row r="420" spans="1:132" s="14" customFormat="1" ht="21" x14ac:dyDescent="0.4">
      <c r="A420" s="27"/>
      <c r="B420" s="27"/>
      <c r="C420" s="27"/>
      <c r="E420" s="16"/>
      <c r="F420" s="27"/>
      <c r="G420" s="27"/>
      <c r="I420" s="27"/>
      <c r="J420" s="16"/>
      <c r="K420" s="16"/>
      <c r="L420" s="27"/>
      <c r="N420" s="27"/>
      <c r="O420" s="16"/>
      <c r="P420" s="16"/>
      <c r="Q420" s="27"/>
      <c r="S420" s="27"/>
      <c r="T420" s="16"/>
      <c r="U420" s="16"/>
      <c r="V420" s="27"/>
      <c r="X420" s="27"/>
      <c r="Y420" s="16"/>
      <c r="Z420" s="16"/>
      <c r="AA420" s="27"/>
      <c r="AC420" s="27"/>
      <c r="AD420" s="16"/>
      <c r="AE420" s="16"/>
      <c r="AF420" s="27"/>
      <c r="AH420" s="27"/>
      <c r="AI420" s="16"/>
      <c r="AJ420" s="16"/>
      <c r="AK420" s="27"/>
      <c r="AM420" s="27"/>
      <c r="AN420" s="16"/>
      <c r="AO420" s="16"/>
      <c r="AP420" s="27"/>
      <c r="AR420" s="27"/>
      <c r="AS420" s="16"/>
      <c r="AT420" s="16"/>
      <c r="AU420" s="27"/>
      <c r="AW420" s="27"/>
      <c r="AX420" s="16"/>
      <c r="AY420" s="16"/>
      <c r="AZ420" s="27"/>
      <c r="BB420" s="27"/>
      <c r="BC420" s="16"/>
      <c r="BD420" s="16"/>
      <c r="BE420" s="27"/>
      <c r="BG420" s="27"/>
      <c r="BH420" s="16"/>
      <c r="BI420" s="16"/>
      <c r="BJ420" s="27"/>
      <c r="BL420" s="27"/>
      <c r="BM420" s="16"/>
      <c r="BN420" s="16"/>
      <c r="BO420" s="27"/>
      <c r="BQ420" s="27"/>
      <c r="BR420" s="16"/>
      <c r="BS420" s="16"/>
      <c r="BT420" s="27"/>
      <c r="BV420" s="27"/>
      <c r="BW420" s="16"/>
      <c r="BX420" s="16"/>
      <c r="BY420" s="27"/>
      <c r="CA420" s="27"/>
      <c r="CB420" s="16"/>
      <c r="CC420" s="16"/>
      <c r="CD420" s="27"/>
      <c r="CF420" s="27"/>
      <c r="CG420" s="16"/>
      <c r="CH420" s="16"/>
      <c r="CI420" s="27"/>
      <c r="CK420" s="27"/>
      <c r="CL420" s="16"/>
      <c r="CM420" s="16"/>
      <c r="CN420" s="27"/>
      <c r="CP420" s="27"/>
      <c r="CQ420" s="16"/>
      <c r="CR420" s="16"/>
      <c r="CS420" s="27"/>
      <c r="CU420" s="27"/>
      <c r="CV420" s="16"/>
      <c r="CW420" s="16"/>
      <c r="CX420" s="27"/>
      <c r="CZ420" s="27"/>
      <c r="DA420" s="16"/>
      <c r="DB420" s="16"/>
      <c r="DC420" s="27"/>
      <c r="DE420" s="27"/>
      <c r="DF420" s="16"/>
      <c r="DG420" s="16"/>
      <c r="DH420" s="27"/>
      <c r="DJ420" s="27"/>
      <c r="DK420" s="16"/>
      <c r="DL420" s="16"/>
      <c r="DM420" s="27"/>
      <c r="DO420" s="27"/>
      <c r="DP420" s="16"/>
      <c r="DQ420" s="16"/>
      <c r="DR420" s="27"/>
      <c r="DT420" s="27"/>
      <c r="DU420" s="16"/>
      <c r="DV420" s="16"/>
      <c r="DW420" s="27"/>
      <c r="DY420" s="27"/>
      <c r="DZ420" s="16"/>
      <c r="EA420" s="16"/>
      <c r="EB420" s="302"/>
    </row>
    <row r="421" spans="1:132" s="14" customFormat="1" ht="21" x14ac:dyDescent="0.4">
      <c r="A421" s="27"/>
      <c r="B421" s="27"/>
      <c r="C421" s="27"/>
      <c r="E421" s="16"/>
      <c r="F421" s="27"/>
      <c r="G421" s="27"/>
      <c r="I421" s="27"/>
      <c r="J421" s="16"/>
      <c r="K421" s="16"/>
      <c r="L421" s="27"/>
      <c r="N421" s="27"/>
      <c r="O421" s="16"/>
      <c r="P421" s="16"/>
      <c r="Q421" s="27"/>
      <c r="S421" s="27"/>
      <c r="T421" s="16"/>
      <c r="U421" s="16"/>
      <c r="V421" s="27"/>
      <c r="X421" s="27"/>
      <c r="Y421" s="16"/>
      <c r="Z421" s="16"/>
      <c r="AA421" s="27"/>
      <c r="AC421" s="27"/>
      <c r="AD421" s="16"/>
      <c r="AE421" s="16"/>
      <c r="AF421" s="27"/>
      <c r="AH421" s="27"/>
      <c r="AI421" s="16"/>
      <c r="AJ421" s="16"/>
      <c r="AK421" s="27"/>
      <c r="AM421" s="27"/>
      <c r="AN421" s="16"/>
      <c r="AO421" s="16"/>
      <c r="AP421" s="27"/>
      <c r="AR421" s="27"/>
      <c r="AS421" s="16"/>
      <c r="AT421" s="16"/>
      <c r="AU421" s="27"/>
      <c r="AW421" s="27"/>
      <c r="AX421" s="16"/>
      <c r="AY421" s="16"/>
      <c r="AZ421" s="27"/>
      <c r="BB421" s="27"/>
      <c r="BC421" s="16"/>
      <c r="BD421" s="16"/>
      <c r="BE421" s="27"/>
      <c r="BG421" s="27"/>
      <c r="BH421" s="16"/>
      <c r="BI421" s="16"/>
      <c r="BJ421" s="27"/>
      <c r="BL421" s="27"/>
      <c r="BM421" s="16"/>
      <c r="BN421" s="16"/>
      <c r="BO421" s="27"/>
      <c r="BQ421" s="27"/>
      <c r="BR421" s="16"/>
      <c r="BS421" s="16"/>
      <c r="BT421" s="27"/>
      <c r="BV421" s="27"/>
      <c r="BW421" s="16"/>
      <c r="BX421" s="16"/>
      <c r="BY421" s="27"/>
      <c r="CA421" s="27"/>
      <c r="CB421" s="16"/>
      <c r="CC421" s="16"/>
      <c r="CD421" s="27"/>
      <c r="CF421" s="27"/>
      <c r="CG421" s="16"/>
      <c r="CH421" s="16"/>
      <c r="CI421" s="27"/>
      <c r="CK421" s="27"/>
      <c r="CL421" s="16"/>
      <c r="CM421" s="16"/>
      <c r="CN421" s="27"/>
      <c r="CP421" s="27"/>
      <c r="CQ421" s="16"/>
      <c r="CR421" s="16"/>
      <c r="CS421" s="27"/>
      <c r="CU421" s="27"/>
      <c r="CV421" s="16"/>
      <c r="CW421" s="16"/>
      <c r="CX421" s="27"/>
      <c r="CZ421" s="27"/>
      <c r="DA421" s="16"/>
      <c r="DB421" s="16"/>
      <c r="DC421" s="27"/>
      <c r="DE421" s="27"/>
      <c r="DF421" s="16"/>
      <c r="DG421" s="16"/>
      <c r="DH421" s="27"/>
      <c r="DJ421" s="27"/>
      <c r="DK421" s="16"/>
      <c r="DL421" s="16"/>
      <c r="DM421" s="27"/>
      <c r="DO421" s="27"/>
      <c r="DP421" s="16"/>
      <c r="DQ421" s="16"/>
      <c r="DR421" s="27"/>
      <c r="DT421" s="27"/>
      <c r="DU421" s="16"/>
      <c r="DV421" s="16"/>
      <c r="DW421" s="27"/>
      <c r="DY421" s="27"/>
      <c r="DZ421" s="16"/>
      <c r="EA421" s="16"/>
      <c r="EB421" s="302"/>
    </row>
    <row r="422" spans="1:132" s="14" customFormat="1" ht="21" x14ac:dyDescent="0.4">
      <c r="A422" s="27"/>
      <c r="B422" s="27"/>
      <c r="C422" s="27"/>
      <c r="E422" s="16"/>
      <c r="F422" s="27"/>
      <c r="G422" s="27"/>
      <c r="I422" s="27"/>
      <c r="J422" s="16"/>
      <c r="K422" s="16"/>
      <c r="L422" s="27"/>
      <c r="N422" s="27"/>
      <c r="O422" s="16"/>
      <c r="P422" s="16"/>
      <c r="Q422" s="27"/>
      <c r="S422" s="27"/>
      <c r="T422" s="16"/>
      <c r="U422" s="16"/>
      <c r="V422" s="27"/>
      <c r="X422" s="27"/>
      <c r="Y422" s="16"/>
      <c r="Z422" s="16"/>
      <c r="AA422" s="27"/>
      <c r="AC422" s="27"/>
      <c r="AD422" s="16"/>
      <c r="AE422" s="16"/>
      <c r="AF422" s="27"/>
      <c r="AH422" s="27"/>
      <c r="AI422" s="16"/>
      <c r="AJ422" s="16"/>
      <c r="AK422" s="27"/>
      <c r="AM422" s="27"/>
      <c r="AN422" s="16"/>
      <c r="AO422" s="16"/>
      <c r="AP422" s="27"/>
      <c r="AR422" s="27"/>
      <c r="AS422" s="16"/>
      <c r="AT422" s="16"/>
      <c r="AU422" s="27"/>
      <c r="AW422" s="27"/>
      <c r="AX422" s="16"/>
      <c r="AY422" s="16"/>
      <c r="AZ422" s="27"/>
      <c r="BB422" s="27"/>
      <c r="BC422" s="16"/>
      <c r="BD422" s="16"/>
      <c r="BE422" s="27"/>
      <c r="BG422" s="27"/>
      <c r="BH422" s="16"/>
      <c r="BI422" s="16"/>
      <c r="BJ422" s="27"/>
      <c r="BL422" s="27"/>
      <c r="BM422" s="16"/>
      <c r="BN422" s="16"/>
      <c r="BO422" s="27"/>
      <c r="BQ422" s="27"/>
      <c r="BR422" s="16"/>
      <c r="BS422" s="16"/>
      <c r="BT422" s="27"/>
      <c r="BV422" s="27"/>
      <c r="BW422" s="16"/>
      <c r="BX422" s="16"/>
      <c r="BY422" s="27"/>
      <c r="CA422" s="27"/>
      <c r="CB422" s="16"/>
      <c r="CC422" s="16"/>
      <c r="CD422" s="27"/>
      <c r="CF422" s="27"/>
      <c r="CG422" s="16"/>
      <c r="CH422" s="16"/>
      <c r="CI422" s="27"/>
      <c r="CK422" s="27"/>
      <c r="CL422" s="16"/>
      <c r="CM422" s="16"/>
      <c r="CN422" s="27"/>
      <c r="CP422" s="27"/>
      <c r="CQ422" s="16"/>
      <c r="CR422" s="16"/>
      <c r="CS422" s="27"/>
      <c r="CU422" s="27"/>
      <c r="CV422" s="16"/>
      <c r="CW422" s="16"/>
      <c r="CX422" s="27"/>
      <c r="CZ422" s="27"/>
      <c r="DA422" s="16"/>
      <c r="DB422" s="16"/>
      <c r="DC422" s="27"/>
      <c r="DE422" s="27"/>
      <c r="DF422" s="16"/>
      <c r="DG422" s="16"/>
      <c r="DH422" s="27"/>
      <c r="DJ422" s="27"/>
      <c r="DK422" s="16"/>
      <c r="DL422" s="16"/>
      <c r="DM422" s="27"/>
      <c r="DO422" s="27"/>
      <c r="DP422" s="16"/>
      <c r="DQ422" s="16"/>
      <c r="DR422" s="27"/>
      <c r="DT422" s="27"/>
      <c r="DU422" s="16"/>
      <c r="DV422" s="16"/>
      <c r="DW422" s="27"/>
      <c r="DY422" s="27"/>
      <c r="DZ422" s="16"/>
      <c r="EA422" s="16"/>
      <c r="EB422" s="302"/>
    </row>
    <row r="423" spans="1:132" s="14" customFormat="1" ht="21" x14ac:dyDescent="0.4">
      <c r="A423" s="27"/>
      <c r="B423" s="27"/>
      <c r="C423" s="27"/>
      <c r="E423" s="16"/>
      <c r="F423" s="27"/>
      <c r="G423" s="27"/>
      <c r="I423" s="27"/>
      <c r="J423" s="16"/>
      <c r="K423" s="16"/>
      <c r="L423" s="27"/>
      <c r="N423" s="27"/>
      <c r="O423" s="16"/>
      <c r="P423" s="16"/>
      <c r="Q423" s="27"/>
      <c r="S423" s="27"/>
      <c r="T423" s="16"/>
      <c r="U423" s="16"/>
      <c r="V423" s="27"/>
      <c r="X423" s="27"/>
      <c r="Y423" s="16"/>
      <c r="Z423" s="16"/>
      <c r="AA423" s="27"/>
      <c r="AC423" s="27"/>
      <c r="AD423" s="16"/>
      <c r="AE423" s="16"/>
      <c r="AF423" s="27"/>
      <c r="AH423" s="27"/>
      <c r="AI423" s="16"/>
      <c r="AJ423" s="16"/>
      <c r="AK423" s="27"/>
      <c r="AM423" s="27"/>
      <c r="AN423" s="16"/>
      <c r="AO423" s="16"/>
      <c r="AP423" s="27"/>
      <c r="AR423" s="27"/>
      <c r="AS423" s="16"/>
      <c r="AT423" s="16"/>
      <c r="AU423" s="27"/>
      <c r="AW423" s="27"/>
      <c r="AX423" s="16"/>
      <c r="AY423" s="16"/>
      <c r="AZ423" s="27"/>
      <c r="BB423" s="27"/>
      <c r="BC423" s="16"/>
      <c r="BD423" s="16"/>
      <c r="BE423" s="27"/>
      <c r="BG423" s="27"/>
      <c r="BH423" s="16"/>
      <c r="BI423" s="16"/>
      <c r="BJ423" s="27"/>
      <c r="BL423" s="27"/>
      <c r="BM423" s="16"/>
      <c r="BN423" s="16"/>
      <c r="BO423" s="27"/>
      <c r="BQ423" s="27"/>
      <c r="BR423" s="16"/>
      <c r="BS423" s="16"/>
      <c r="BT423" s="27"/>
      <c r="BV423" s="27"/>
      <c r="BW423" s="16"/>
      <c r="BX423" s="16"/>
      <c r="BY423" s="27"/>
      <c r="CA423" s="27"/>
      <c r="CB423" s="16"/>
      <c r="CC423" s="16"/>
      <c r="CD423" s="27"/>
      <c r="CF423" s="27"/>
      <c r="CG423" s="16"/>
      <c r="CH423" s="16"/>
      <c r="CI423" s="27"/>
      <c r="CK423" s="27"/>
      <c r="CL423" s="16"/>
      <c r="CM423" s="16"/>
      <c r="CN423" s="27"/>
      <c r="CP423" s="27"/>
      <c r="CQ423" s="16"/>
      <c r="CR423" s="16"/>
      <c r="CS423" s="27"/>
      <c r="CU423" s="27"/>
      <c r="CV423" s="16"/>
      <c r="CW423" s="16"/>
      <c r="CX423" s="27"/>
      <c r="CZ423" s="27"/>
      <c r="DA423" s="16"/>
      <c r="DB423" s="16"/>
      <c r="DC423" s="27"/>
      <c r="DE423" s="27"/>
      <c r="DF423" s="16"/>
      <c r="DG423" s="16"/>
      <c r="DH423" s="27"/>
      <c r="DJ423" s="27"/>
      <c r="DK423" s="16"/>
      <c r="DL423" s="16"/>
      <c r="DM423" s="27"/>
      <c r="DO423" s="27"/>
      <c r="DP423" s="16"/>
      <c r="DQ423" s="16"/>
      <c r="DR423" s="27"/>
      <c r="DT423" s="27"/>
      <c r="DU423" s="16"/>
      <c r="DV423" s="16"/>
      <c r="DW423" s="27"/>
      <c r="DY423" s="27"/>
      <c r="DZ423" s="16"/>
      <c r="EA423" s="16"/>
      <c r="EB423" s="302"/>
    </row>
    <row r="424" spans="1:132" s="14" customFormat="1" ht="21" x14ac:dyDescent="0.4">
      <c r="A424" s="27"/>
      <c r="B424" s="27"/>
      <c r="C424" s="27"/>
      <c r="E424" s="16"/>
      <c r="F424" s="27"/>
      <c r="G424" s="27"/>
      <c r="I424" s="27"/>
      <c r="J424" s="16"/>
      <c r="K424" s="16"/>
      <c r="L424" s="27"/>
      <c r="N424" s="27"/>
      <c r="O424" s="16"/>
      <c r="P424" s="16"/>
      <c r="Q424" s="27"/>
      <c r="S424" s="27"/>
      <c r="T424" s="16"/>
      <c r="U424" s="16"/>
      <c r="V424" s="27"/>
      <c r="X424" s="27"/>
      <c r="Y424" s="16"/>
      <c r="Z424" s="16"/>
      <c r="AA424" s="27"/>
      <c r="AC424" s="27"/>
      <c r="AD424" s="16"/>
      <c r="AE424" s="16"/>
      <c r="AF424" s="27"/>
      <c r="AH424" s="27"/>
      <c r="AI424" s="16"/>
      <c r="AJ424" s="16"/>
      <c r="AK424" s="27"/>
      <c r="AM424" s="27"/>
      <c r="AN424" s="16"/>
      <c r="AO424" s="16"/>
      <c r="AP424" s="27"/>
      <c r="AR424" s="27"/>
      <c r="AS424" s="16"/>
      <c r="AT424" s="16"/>
      <c r="AU424" s="27"/>
      <c r="AW424" s="27"/>
      <c r="AX424" s="16"/>
      <c r="AY424" s="16"/>
      <c r="AZ424" s="27"/>
      <c r="BB424" s="27"/>
      <c r="BC424" s="16"/>
      <c r="BD424" s="16"/>
      <c r="BE424" s="27"/>
      <c r="BG424" s="27"/>
      <c r="BH424" s="16"/>
      <c r="BI424" s="16"/>
      <c r="BJ424" s="27"/>
      <c r="BL424" s="27"/>
      <c r="BM424" s="16"/>
      <c r="BN424" s="16"/>
      <c r="BO424" s="27"/>
      <c r="BQ424" s="27"/>
      <c r="BR424" s="16"/>
      <c r="BS424" s="16"/>
      <c r="BT424" s="27"/>
      <c r="BV424" s="27"/>
      <c r="BW424" s="16"/>
      <c r="BX424" s="16"/>
      <c r="BY424" s="27"/>
      <c r="CA424" s="27"/>
      <c r="CB424" s="16"/>
      <c r="CC424" s="16"/>
      <c r="CD424" s="27"/>
      <c r="CF424" s="27"/>
      <c r="CG424" s="16"/>
      <c r="CH424" s="16"/>
      <c r="CI424" s="27"/>
      <c r="CK424" s="27"/>
      <c r="CL424" s="16"/>
      <c r="CM424" s="16"/>
      <c r="CN424" s="27"/>
      <c r="CP424" s="27"/>
      <c r="CQ424" s="16"/>
      <c r="CR424" s="16"/>
      <c r="CS424" s="27"/>
      <c r="CU424" s="27"/>
      <c r="CV424" s="16"/>
      <c r="CW424" s="16"/>
      <c r="CX424" s="27"/>
      <c r="CZ424" s="27"/>
      <c r="DA424" s="16"/>
      <c r="DB424" s="16"/>
      <c r="DC424" s="27"/>
      <c r="DE424" s="27"/>
      <c r="DF424" s="16"/>
      <c r="DG424" s="16"/>
      <c r="DH424" s="27"/>
      <c r="DJ424" s="27"/>
      <c r="DK424" s="16"/>
      <c r="DL424" s="16"/>
      <c r="DM424" s="27"/>
      <c r="DO424" s="27"/>
      <c r="DP424" s="16"/>
      <c r="DQ424" s="16"/>
      <c r="DR424" s="27"/>
      <c r="DT424" s="27"/>
      <c r="DU424" s="16"/>
      <c r="DV424" s="16"/>
      <c r="DW424" s="27"/>
      <c r="DY424" s="27"/>
      <c r="DZ424" s="16"/>
      <c r="EA424" s="16"/>
      <c r="EB424" s="302"/>
    </row>
    <row r="425" spans="1:132" s="14" customFormat="1" ht="21" x14ac:dyDescent="0.4">
      <c r="A425" s="27"/>
      <c r="B425" s="27"/>
      <c r="C425" s="27"/>
      <c r="E425" s="16"/>
      <c r="F425" s="27"/>
      <c r="G425" s="27"/>
      <c r="I425" s="27"/>
      <c r="J425" s="16"/>
      <c r="K425" s="16"/>
      <c r="L425" s="27"/>
      <c r="N425" s="27"/>
      <c r="O425" s="16"/>
      <c r="P425" s="16"/>
      <c r="Q425" s="27"/>
      <c r="S425" s="27"/>
      <c r="T425" s="16"/>
      <c r="U425" s="16"/>
      <c r="V425" s="27"/>
      <c r="X425" s="27"/>
      <c r="Y425" s="16"/>
      <c r="Z425" s="16"/>
      <c r="AA425" s="27"/>
      <c r="AC425" s="27"/>
      <c r="AD425" s="16"/>
      <c r="AE425" s="16"/>
      <c r="AF425" s="27"/>
      <c r="AH425" s="27"/>
      <c r="AI425" s="16"/>
      <c r="AJ425" s="16"/>
      <c r="AK425" s="27"/>
      <c r="AM425" s="27"/>
      <c r="AN425" s="16"/>
      <c r="AO425" s="16"/>
      <c r="AP425" s="27"/>
      <c r="AR425" s="27"/>
      <c r="AS425" s="16"/>
      <c r="AT425" s="16"/>
      <c r="AU425" s="27"/>
      <c r="AW425" s="27"/>
      <c r="AX425" s="16"/>
      <c r="AY425" s="16"/>
      <c r="AZ425" s="27"/>
      <c r="BB425" s="27"/>
      <c r="BC425" s="16"/>
      <c r="BD425" s="16"/>
      <c r="BE425" s="27"/>
      <c r="BG425" s="27"/>
      <c r="BH425" s="16"/>
      <c r="BI425" s="16"/>
      <c r="BJ425" s="27"/>
      <c r="BL425" s="27"/>
      <c r="BM425" s="16"/>
      <c r="BN425" s="16"/>
      <c r="BO425" s="27"/>
      <c r="BQ425" s="27"/>
      <c r="BR425" s="16"/>
      <c r="BS425" s="16"/>
      <c r="BT425" s="27"/>
      <c r="BV425" s="27"/>
      <c r="BW425" s="16"/>
      <c r="BX425" s="16"/>
      <c r="BY425" s="27"/>
      <c r="CA425" s="27"/>
      <c r="CB425" s="16"/>
      <c r="CC425" s="16"/>
      <c r="CD425" s="27"/>
      <c r="CF425" s="27"/>
      <c r="CG425" s="16"/>
      <c r="CH425" s="16"/>
      <c r="CI425" s="27"/>
      <c r="CK425" s="27"/>
      <c r="CL425" s="16"/>
      <c r="CM425" s="16"/>
      <c r="CN425" s="27"/>
      <c r="CP425" s="27"/>
      <c r="CQ425" s="16"/>
      <c r="CR425" s="16"/>
      <c r="CS425" s="27"/>
      <c r="CU425" s="27"/>
      <c r="CV425" s="16"/>
      <c r="CW425" s="16"/>
      <c r="CX425" s="27"/>
      <c r="CZ425" s="27"/>
      <c r="DA425" s="16"/>
      <c r="DB425" s="16"/>
      <c r="DC425" s="27"/>
      <c r="DE425" s="27"/>
      <c r="DF425" s="16"/>
      <c r="DG425" s="16"/>
      <c r="DH425" s="27"/>
      <c r="DJ425" s="27"/>
      <c r="DK425" s="16"/>
      <c r="DL425" s="16"/>
      <c r="DM425" s="27"/>
      <c r="DO425" s="27"/>
      <c r="DP425" s="16"/>
      <c r="DQ425" s="16"/>
      <c r="DR425" s="27"/>
      <c r="DT425" s="27"/>
      <c r="DU425" s="16"/>
      <c r="DV425" s="16"/>
      <c r="DW425" s="27"/>
      <c r="DY425" s="27"/>
      <c r="DZ425" s="16"/>
      <c r="EA425" s="16"/>
      <c r="EB425" s="302"/>
    </row>
    <row r="426" spans="1:132" s="14" customFormat="1" ht="21" x14ac:dyDescent="0.4">
      <c r="A426" s="27"/>
      <c r="B426" s="27"/>
      <c r="C426" s="27"/>
      <c r="E426" s="16"/>
      <c r="F426" s="27"/>
      <c r="G426" s="27"/>
      <c r="I426" s="27"/>
      <c r="J426" s="16"/>
      <c r="K426" s="16"/>
      <c r="L426" s="27"/>
      <c r="N426" s="27"/>
      <c r="O426" s="16"/>
      <c r="P426" s="16"/>
      <c r="Q426" s="27"/>
      <c r="S426" s="27"/>
      <c r="T426" s="16"/>
      <c r="U426" s="16"/>
      <c r="V426" s="27"/>
      <c r="X426" s="27"/>
      <c r="Y426" s="16"/>
      <c r="Z426" s="16"/>
      <c r="AA426" s="27"/>
      <c r="AC426" s="27"/>
      <c r="AD426" s="16"/>
      <c r="AE426" s="16"/>
      <c r="AF426" s="27"/>
      <c r="AH426" s="27"/>
      <c r="AI426" s="16"/>
      <c r="AJ426" s="16"/>
      <c r="AK426" s="27"/>
      <c r="AM426" s="27"/>
      <c r="AN426" s="16"/>
      <c r="AO426" s="16"/>
      <c r="AP426" s="27"/>
      <c r="AR426" s="27"/>
      <c r="AS426" s="16"/>
      <c r="AT426" s="16"/>
      <c r="AU426" s="27"/>
      <c r="AW426" s="27"/>
      <c r="AX426" s="16"/>
      <c r="AY426" s="16"/>
      <c r="AZ426" s="27"/>
      <c r="BB426" s="27"/>
      <c r="BC426" s="16"/>
      <c r="BD426" s="16"/>
      <c r="BE426" s="27"/>
      <c r="BG426" s="27"/>
      <c r="BH426" s="16"/>
      <c r="BI426" s="16"/>
      <c r="BJ426" s="27"/>
      <c r="BL426" s="27"/>
      <c r="BM426" s="16"/>
      <c r="BN426" s="16"/>
      <c r="BO426" s="27"/>
      <c r="BQ426" s="27"/>
      <c r="BR426" s="16"/>
      <c r="BS426" s="16"/>
      <c r="BT426" s="27"/>
      <c r="BV426" s="27"/>
      <c r="BW426" s="16"/>
      <c r="BX426" s="16"/>
      <c r="BY426" s="27"/>
      <c r="CA426" s="27"/>
      <c r="CB426" s="16"/>
      <c r="CC426" s="16"/>
      <c r="CD426" s="27"/>
      <c r="CF426" s="27"/>
      <c r="CG426" s="16"/>
      <c r="CH426" s="16"/>
      <c r="CI426" s="27"/>
      <c r="CK426" s="27"/>
      <c r="CL426" s="16"/>
      <c r="CM426" s="16"/>
      <c r="CN426" s="27"/>
      <c r="CP426" s="27"/>
      <c r="CQ426" s="16"/>
      <c r="CR426" s="16"/>
      <c r="CS426" s="27"/>
      <c r="CU426" s="27"/>
      <c r="CV426" s="16"/>
      <c r="CW426" s="16"/>
      <c r="CX426" s="27"/>
      <c r="CZ426" s="27"/>
      <c r="DA426" s="16"/>
      <c r="DB426" s="16"/>
      <c r="DC426" s="27"/>
      <c r="DE426" s="27"/>
      <c r="DF426" s="16"/>
      <c r="DG426" s="16"/>
      <c r="DH426" s="27"/>
      <c r="DJ426" s="27"/>
      <c r="DK426" s="16"/>
      <c r="DL426" s="16"/>
      <c r="DM426" s="27"/>
      <c r="DO426" s="27"/>
      <c r="DP426" s="16"/>
      <c r="DQ426" s="16"/>
      <c r="DR426" s="27"/>
      <c r="DT426" s="27"/>
      <c r="DU426" s="16"/>
      <c r="DV426" s="16"/>
      <c r="DW426" s="27"/>
      <c r="DY426" s="27"/>
      <c r="DZ426" s="16"/>
      <c r="EA426" s="16"/>
      <c r="EB426" s="302"/>
    </row>
    <row r="427" spans="1:132" s="14" customFormat="1" ht="21" x14ac:dyDescent="0.4">
      <c r="A427" s="27"/>
      <c r="B427" s="27"/>
      <c r="C427" s="27"/>
      <c r="E427" s="16"/>
      <c r="F427" s="27"/>
      <c r="G427" s="27"/>
      <c r="I427" s="27"/>
      <c r="J427" s="16"/>
      <c r="K427" s="16"/>
      <c r="L427" s="27"/>
      <c r="N427" s="27"/>
      <c r="O427" s="16"/>
      <c r="P427" s="16"/>
      <c r="Q427" s="27"/>
      <c r="S427" s="27"/>
      <c r="T427" s="16"/>
      <c r="U427" s="16"/>
      <c r="V427" s="27"/>
      <c r="X427" s="27"/>
      <c r="Y427" s="16"/>
      <c r="Z427" s="16"/>
      <c r="AA427" s="27"/>
      <c r="AC427" s="27"/>
      <c r="AD427" s="16"/>
      <c r="AE427" s="16"/>
      <c r="AF427" s="27"/>
      <c r="AH427" s="27"/>
      <c r="AI427" s="16"/>
      <c r="AJ427" s="16"/>
      <c r="AK427" s="27"/>
      <c r="AM427" s="27"/>
      <c r="AN427" s="16"/>
      <c r="AO427" s="16"/>
      <c r="AP427" s="27"/>
      <c r="AR427" s="27"/>
      <c r="AS427" s="16"/>
      <c r="AT427" s="16"/>
      <c r="AU427" s="27"/>
      <c r="AW427" s="27"/>
      <c r="AX427" s="16"/>
      <c r="AY427" s="16"/>
      <c r="AZ427" s="27"/>
      <c r="BB427" s="27"/>
      <c r="BC427" s="16"/>
      <c r="BD427" s="16"/>
      <c r="BE427" s="27"/>
      <c r="BG427" s="27"/>
      <c r="BH427" s="16"/>
      <c r="BI427" s="16"/>
      <c r="BJ427" s="27"/>
      <c r="BL427" s="27"/>
      <c r="BM427" s="16"/>
      <c r="BN427" s="16"/>
      <c r="BO427" s="27"/>
      <c r="BQ427" s="27"/>
      <c r="BR427" s="16"/>
      <c r="BS427" s="16"/>
      <c r="BT427" s="27"/>
      <c r="BV427" s="27"/>
      <c r="BW427" s="16"/>
      <c r="BX427" s="16"/>
      <c r="BY427" s="27"/>
      <c r="CA427" s="27"/>
      <c r="CB427" s="16"/>
      <c r="CC427" s="16"/>
      <c r="CD427" s="27"/>
      <c r="CF427" s="27"/>
      <c r="CG427" s="16"/>
      <c r="CH427" s="16"/>
      <c r="CI427" s="27"/>
      <c r="CK427" s="27"/>
      <c r="CL427" s="16"/>
      <c r="CM427" s="16"/>
      <c r="CN427" s="27"/>
      <c r="CP427" s="27"/>
      <c r="CQ427" s="16"/>
      <c r="CR427" s="16"/>
      <c r="CS427" s="27"/>
      <c r="CU427" s="27"/>
      <c r="CV427" s="16"/>
      <c r="CW427" s="16"/>
      <c r="CX427" s="27"/>
      <c r="CZ427" s="27"/>
      <c r="DA427" s="16"/>
      <c r="DB427" s="16"/>
      <c r="DC427" s="27"/>
      <c r="DE427" s="27"/>
      <c r="DF427" s="16"/>
      <c r="DG427" s="16"/>
      <c r="DH427" s="27"/>
      <c r="DJ427" s="27"/>
      <c r="DK427" s="16"/>
      <c r="DL427" s="16"/>
      <c r="DM427" s="27"/>
      <c r="DO427" s="27"/>
      <c r="DP427" s="16"/>
      <c r="DQ427" s="16"/>
      <c r="DR427" s="27"/>
      <c r="DT427" s="27"/>
      <c r="DU427" s="16"/>
      <c r="DV427" s="16"/>
      <c r="DW427" s="27"/>
      <c r="DY427" s="27"/>
      <c r="DZ427" s="16"/>
      <c r="EA427" s="16"/>
      <c r="EB427" s="302"/>
    </row>
    <row r="428" spans="1:132" s="14" customFormat="1" ht="21" x14ac:dyDescent="0.4">
      <c r="A428" s="27"/>
      <c r="B428" s="27"/>
      <c r="C428" s="27"/>
      <c r="E428" s="16"/>
      <c r="F428" s="27"/>
      <c r="G428" s="27"/>
      <c r="I428" s="27"/>
      <c r="J428" s="16"/>
      <c r="K428" s="16"/>
      <c r="L428" s="27"/>
      <c r="N428" s="27"/>
      <c r="O428" s="16"/>
      <c r="P428" s="16"/>
      <c r="Q428" s="27"/>
      <c r="S428" s="27"/>
      <c r="T428" s="16"/>
      <c r="U428" s="16"/>
      <c r="V428" s="27"/>
      <c r="X428" s="27"/>
      <c r="Y428" s="16"/>
      <c r="Z428" s="16"/>
      <c r="AA428" s="27"/>
      <c r="AC428" s="27"/>
      <c r="AD428" s="16"/>
      <c r="AE428" s="16"/>
      <c r="AF428" s="27"/>
      <c r="AH428" s="27"/>
      <c r="AI428" s="16"/>
      <c r="AJ428" s="16"/>
      <c r="AK428" s="27"/>
      <c r="AM428" s="27"/>
      <c r="AN428" s="16"/>
      <c r="AO428" s="16"/>
      <c r="AP428" s="27"/>
      <c r="AR428" s="27"/>
      <c r="AS428" s="16"/>
      <c r="AT428" s="16"/>
      <c r="AU428" s="27"/>
      <c r="AW428" s="27"/>
      <c r="AX428" s="16"/>
      <c r="AY428" s="16"/>
      <c r="AZ428" s="27"/>
      <c r="BB428" s="27"/>
      <c r="BC428" s="16"/>
      <c r="BD428" s="16"/>
      <c r="BE428" s="27"/>
      <c r="BG428" s="27"/>
      <c r="BH428" s="16"/>
      <c r="BI428" s="16"/>
      <c r="BJ428" s="27"/>
      <c r="BL428" s="27"/>
      <c r="BM428" s="16"/>
      <c r="BN428" s="16"/>
      <c r="BO428" s="27"/>
      <c r="BQ428" s="27"/>
      <c r="BR428" s="16"/>
      <c r="BS428" s="16"/>
      <c r="BT428" s="27"/>
      <c r="BV428" s="27"/>
      <c r="BW428" s="16"/>
      <c r="BX428" s="16"/>
      <c r="BY428" s="27"/>
      <c r="CA428" s="27"/>
      <c r="CB428" s="16"/>
      <c r="CC428" s="16"/>
      <c r="CD428" s="27"/>
      <c r="CF428" s="27"/>
      <c r="CG428" s="16"/>
      <c r="CH428" s="16"/>
      <c r="CI428" s="27"/>
      <c r="CK428" s="27"/>
      <c r="CL428" s="16"/>
      <c r="CM428" s="16"/>
      <c r="CN428" s="27"/>
      <c r="CP428" s="27"/>
      <c r="CQ428" s="16"/>
      <c r="CR428" s="16"/>
      <c r="CS428" s="27"/>
      <c r="CU428" s="27"/>
      <c r="CV428" s="16"/>
      <c r="CW428" s="16"/>
      <c r="CX428" s="27"/>
      <c r="CZ428" s="27"/>
      <c r="DA428" s="16"/>
      <c r="DB428" s="16"/>
      <c r="DC428" s="27"/>
      <c r="DE428" s="27"/>
      <c r="DF428" s="16"/>
      <c r="DG428" s="16"/>
      <c r="DH428" s="27"/>
      <c r="DJ428" s="27"/>
      <c r="DK428" s="16"/>
      <c r="DL428" s="16"/>
      <c r="DM428" s="27"/>
      <c r="DO428" s="27"/>
      <c r="DP428" s="16"/>
      <c r="DQ428" s="16"/>
      <c r="DR428" s="27"/>
      <c r="DT428" s="27"/>
      <c r="DU428" s="16"/>
      <c r="DV428" s="16"/>
      <c r="DW428" s="27"/>
      <c r="DY428" s="27"/>
      <c r="DZ428" s="16"/>
      <c r="EA428" s="16"/>
      <c r="EB428" s="302"/>
    </row>
    <row r="429" spans="1:132" s="14" customFormat="1" ht="21" x14ac:dyDescent="0.4">
      <c r="A429" s="27"/>
      <c r="B429" s="27"/>
      <c r="C429" s="27"/>
      <c r="E429" s="16"/>
      <c r="F429" s="27"/>
      <c r="G429" s="27"/>
      <c r="I429" s="27"/>
      <c r="J429" s="16"/>
      <c r="K429" s="16"/>
      <c r="L429" s="27"/>
      <c r="N429" s="27"/>
      <c r="O429" s="16"/>
      <c r="P429" s="16"/>
      <c r="Q429" s="27"/>
      <c r="S429" s="27"/>
      <c r="T429" s="16"/>
      <c r="U429" s="16"/>
      <c r="V429" s="27"/>
      <c r="X429" s="27"/>
      <c r="Y429" s="16"/>
      <c r="Z429" s="16"/>
      <c r="AA429" s="27"/>
      <c r="AC429" s="27"/>
      <c r="AD429" s="16"/>
      <c r="AE429" s="16"/>
      <c r="AF429" s="27"/>
      <c r="AH429" s="27"/>
      <c r="AI429" s="16"/>
      <c r="AJ429" s="16"/>
      <c r="AK429" s="27"/>
      <c r="AM429" s="27"/>
      <c r="AN429" s="16"/>
      <c r="AO429" s="16"/>
      <c r="AP429" s="27"/>
      <c r="AR429" s="27"/>
      <c r="AS429" s="16"/>
      <c r="AT429" s="16"/>
      <c r="AU429" s="27"/>
      <c r="AW429" s="27"/>
      <c r="AX429" s="16"/>
      <c r="AY429" s="16"/>
      <c r="AZ429" s="27"/>
      <c r="BB429" s="27"/>
      <c r="BC429" s="16"/>
      <c r="BD429" s="16"/>
      <c r="BE429" s="27"/>
      <c r="BG429" s="27"/>
      <c r="BH429" s="16"/>
      <c r="BI429" s="16"/>
      <c r="BJ429" s="27"/>
      <c r="BL429" s="27"/>
      <c r="BM429" s="16"/>
      <c r="BN429" s="16"/>
      <c r="BO429" s="27"/>
      <c r="BQ429" s="27"/>
      <c r="BR429" s="16"/>
      <c r="BS429" s="16"/>
      <c r="BT429" s="27"/>
      <c r="BV429" s="27"/>
      <c r="BW429" s="16"/>
      <c r="BX429" s="16"/>
      <c r="BY429" s="27"/>
      <c r="CA429" s="27"/>
      <c r="CB429" s="16"/>
      <c r="CC429" s="16"/>
      <c r="CD429" s="27"/>
      <c r="CF429" s="27"/>
      <c r="CG429" s="16"/>
      <c r="CH429" s="16"/>
      <c r="CI429" s="27"/>
      <c r="CK429" s="27"/>
      <c r="CL429" s="16"/>
      <c r="CM429" s="16"/>
      <c r="CN429" s="27"/>
      <c r="CP429" s="27"/>
      <c r="CQ429" s="16"/>
      <c r="CR429" s="16"/>
      <c r="CS429" s="27"/>
      <c r="CU429" s="27"/>
      <c r="CV429" s="16"/>
      <c r="CW429" s="16"/>
      <c r="CX429" s="27"/>
      <c r="CZ429" s="27"/>
      <c r="DA429" s="16"/>
      <c r="DB429" s="16"/>
      <c r="DC429" s="27"/>
      <c r="DE429" s="27"/>
      <c r="DF429" s="16"/>
      <c r="DG429" s="16"/>
      <c r="DH429" s="27"/>
      <c r="DJ429" s="27"/>
      <c r="DK429" s="16"/>
      <c r="DL429" s="16"/>
      <c r="DM429" s="27"/>
      <c r="DO429" s="27"/>
      <c r="DP429" s="16"/>
      <c r="DQ429" s="16"/>
      <c r="DR429" s="27"/>
      <c r="DT429" s="27"/>
      <c r="DU429" s="16"/>
      <c r="DV429" s="16"/>
      <c r="DW429" s="27"/>
      <c r="DY429" s="27"/>
      <c r="DZ429" s="16"/>
      <c r="EA429" s="16"/>
      <c r="EB429" s="302"/>
    </row>
    <row r="430" spans="1:132" s="14" customFormat="1" ht="21" x14ac:dyDescent="0.4">
      <c r="A430" s="27"/>
      <c r="B430" s="27"/>
      <c r="C430" s="27"/>
      <c r="E430" s="16"/>
      <c r="F430" s="27"/>
      <c r="G430" s="27"/>
      <c r="I430" s="27"/>
      <c r="J430" s="16"/>
      <c r="K430" s="16"/>
      <c r="L430" s="27"/>
      <c r="N430" s="27"/>
      <c r="O430" s="16"/>
      <c r="P430" s="16"/>
      <c r="Q430" s="27"/>
      <c r="S430" s="27"/>
      <c r="T430" s="16"/>
      <c r="U430" s="16"/>
      <c r="V430" s="27"/>
      <c r="X430" s="27"/>
      <c r="Y430" s="16"/>
      <c r="Z430" s="16"/>
      <c r="AA430" s="27"/>
      <c r="AC430" s="27"/>
      <c r="AD430" s="16"/>
      <c r="AE430" s="16"/>
      <c r="AF430" s="27"/>
      <c r="AH430" s="27"/>
      <c r="AI430" s="16"/>
      <c r="AJ430" s="16"/>
      <c r="AK430" s="27"/>
      <c r="AM430" s="27"/>
      <c r="AN430" s="16"/>
      <c r="AO430" s="16"/>
      <c r="AP430" s="27"/>
      <c r="AR430" s="27"/>
      <c r="AS430" s="16"/>
      <c r="AT430" s="16"/>
      <c r="AU430" s="27"/>
      <c r="AW430" s="27"/>
      <c r="AX430" s="16"/>
      <c r="AY430" s="16"/>
      <c r="AZ430" s="27"/>
      <c r="BB430" s="27"/>
      <c r="BC430" s="16"/>
      <c r="BD430" s="16"/>
      <c r="BE430" s="27"/>
      <c r="BG430" s="27"/>
      <c r="BH430" s="16"/>
      <c r="BI430" s="16"/>
      <c r="BJ430" s="27"/>
      <c r="BL430" s="27"/>
      <c r="BM430" s="16"/>
      <c r="BN430" s="16"/>
      <c r="BO430" s="27"/>
      <c r="BQ430" s="27"/>
      <c r="BR430" s="16"/>
      <c r="BS430" s="16"/>
      <c r="BT430" s="27"/>
      <c r="BV430" s="27"/>
      <c r="BW430" s="16"/>
      <c r="BX430" s="16"/>
      <c r="BY430" s="27"/>
      <c r="CA430" s="27"/>
      <c r="CB430" s="16"/>
      <c r="CC430" s="16"/>
      <c r="CD430" s="27"/>
      <c r="CF430" s="27"/>
      <c r="CG430" s="16"/>
      <c r="CH430" s="16"/>
      <c r="CI430" s="27"/>
      <c r="CK430" s="27"/>
      <c r="CL430" s="16"/>
      <c r="CM430" s="16"/>
      <c r="CN430" s="27"/>
      <c r="CP430" s="27"/>
      <c r="CQ430" s="16"/>
      <c r="CR430" s="16"/>
      <c r="CS430" s="27"/>
      <c r="CU430" s="27"/>
      <c r="CV430" s="16"/>
      <c r="CW430" s="16"/>
      <c r="CX430" s="27"/>
      <c r="CZ430" s="27"/>
      <c r="DA430" s="16"/>
      <c r="DB430" s="16"/>
      <c r="DC430" s="27"/>
      <c r="DE430" s="27"/>
      <c r="DF430" s="16"/>
      <c r="DG430" s="16"/>
      <c r="DH430" s="27"/>
      <c r="DJ430" s="27"/>
      <c r="DK430" s="16"/>
      <c r="DL430" s="16"/>
      <c r="DM430" s="27"/>
      <c r="DO430" s="27"/>
      <c r="DP430" s="16"/>
      <c r="DQ430" s="16"/>
      <c r="DR430" s="27"/>
      <c r="DT430" s="27"/>
      <c r="DU430" s="16"/>
      <c r="DV430" s="16"/>
      <c r="DW430" s="27"/>
      <c r="DY430" s="27"/>
      <c r="DZ430" s="16"/>
      <c r="EA430" s="16"/>
      <c r="EB430" s="302"/>
    </row>
    <row r="431" spans="1:132" s="14" customFormat="1" ht="21" x14ac:dyDescent="0.4">
      <c r="A431" s="27"/>
      <c r="B431" s="27"/>
      <c r="C431" s="27"/>
      <c r="E431" s="16"/>
      <c r="F431" s="27"/>
      <c r="G431" s="27"/>
      <c r="I431" s="27"/>
      <c r="J431" s="16"/>
      <c r="K431" s="16"/>
      <c r="L431" s="27"/>
      <c r="N431" s="27"/>
      <c r="O431" s="16"/>
      <c r="P431" s="16"/>
      <c r="Q431" s="27"/>
      <c r="S431" s="27"/>
      <c r="T431" s="16"/>
      <c r="U431" s="16"/>
      <c r="V431" s="27"/>
      <c r="X431" s="27"/>
      <c r="Y431" s="16"/>
      <c r="Z431" s="16"/>
      <c r="AA431" s="27"/>
      <c r="AC431" s="27"/>
      <c r="AD431" s="16"/>
      <c r="AE431" s="16"/>
      <c r="AF431" s="27"/>
      <c r="AH431" s="27"/>
      <c r="AI431" s="16"/>
      <c r="AJ431" s="16"/>
      <c r="AK431" s="27"/>
      <c r="AM431" s="27"/>
      <c r="AN431" s="16"/>
      <c r="AO431" s="16"/>
      <c r="AP431" s="27"/>
      <c r="AR431" s="27"/>
      <c r="AS431" s="16"/>
      <c r="AT431" s="16"/>
      <c r="AU431" s="27"/>
      <c r="AW431" s="27"/>
      <c r="AX431" s="16"/>
      <c r="AY431" s="16"/>
      <c r="AZ431" s="27"/>
      <c r="BB431" s="27"/>
      <c r="BC431" s="16"/>
      <c r="BD431" s="16"/>
      <c r="BE431" s="27"/>
      <c r="BG431" s="27"/>
      <c r="BH431" s="16"/>
      <c r="BI431" s="16"/>
      <c r="BJ431" s="27"/>
      <c r="BL431" s="27"/>
      <c r="BM431" s="16"/>
      <c r="BN431" s="16"/>
      <c r="BO431" s="27"/>
      <c r="BQ431" s="27"/>
      <c r="BR431" s="16"/>
      <c r="BS431" s="16"/>
      <c r="BT431" s="27"/>
      <c r="BV431" s="27"/>
      <c r="BW431" s="16"/>
      <c r="BX431" s="16"/>
      <c r="BY431" s="27"/>
      <c r="CA431" s="27"/>
      <c r="CB431" s="16"/>
      <c r="CC431" s="16"/>
      <c r="CD431" s="27"/>
      <c r="CF431" s="27"/>
      <c r="CG431" s="16"/>
      <c r="CH431" s="16"/>
      <c r="CI431" s="27"/>
      <c r="CK431" s="27"/>
      <c r="CL431" s="16"/>
      <c r="CM431" s="16"/>
      <c r="CN431" s="27"/>
      <c r="CP431" s="27"/>
      <c r="CQ431" s="16"/>
      <c r="CR431" s="16"/>
      <c r="CS431" s="27"/>
      <c r="CU431" s="27"/>
      <c r="CV431" s="16"/>
      <c r="CW431" s="16"/>
      <c r="CX431" s="27"/>
      <c r="CZ431" s="27"/>
      <c r="DA431" s="16"/>
      <c r="DB431" s="16"/>
      <c r="DC431" s="27"/>
      <c r="DE431" s="27"/>
      <c r="DF431" s="16"/>
      <c r="DG431" s="16"/>
      <c r="DH431" s="27"/>
      <c r="DJ431" s="27"/>
      <c r="DK431" s="16"/>
      <c r="DL431" s="16"/>
      <c r="DM431" s="27"/>
      <c r="DO431" s="27"/>
      <c r="DP431" s="16"/>
      <c r="DQ431" s="16"/>
      <c r="DR431" s="27"/>
      <c r="DT431" s="27"/>
      <c r="DU431" s="16"/>
      <c r="DV431" s="16"/>
      <c r="DW431" s="27"/>
      <c r="DY431" s="27"/>
      <c r="DZ431" s="16"/>
      <c r="EA431" s="16"/>
      <c r="EB431" s="302"/>
    </row>
    <row r="432" spans="1:132" s="14" customFormat="1" ht="21" x14ac:dyDescent="0.4">
      <c r="A432" s="27"/>
      <c r="B432" s="27"/>
      <c r="C432" s="27"/>
      <c r="E432" s="16"/>
      <c r="F432" s="27"/>
      <c r="G432" s="27"/>
      <c r="I432" s="27"/>
      <c r="J432" s="16"/>
      <c r="K432" s="16"/>
      <c r="L432" s="27"/>
      <c r="N432" s="27"/>
      <c r="O432" s="16"/>
      <c r="P432" s="16"/>
      <c r="Q432" s="27"/>
      <c r="S432" s="27"/>
      <c r="T432" s="16"/>
      <c r="U432" s="16"/>
      <c r="V432" s="27"/>
      <c r="X432" s="27"/>
      <c r="Y432" s="16"/>
      <c r="Z432" s="16"/>
      <c r="AA432" s="27"/>
      <c r="AC432" s="27"/>
      <c r="AD432" s="16"/>
      <c r="AE432" s="16"/>
      <c r="AF432" s="27"/>
      <c r="AH432" s="27"/>
      <c r="AI432" s="16"/>
      <c r="AJ432" s="16"/>
      <c r="AK432" s="27"/>
      <c r="AM432" s="27"/>
      <c r="AN432" s="16"/>
      <c r="AO432" s="16"/>
      <c r="AP432" s="27"/>
      <c r="AR432" s="27"/>
      <c r="AS432" s="16"/>
      <c r="AT432" s="16"/>
      <c r="AU432" s="27"/>
      <c r="AW432" s="27"/>
      <c r="AX432" s="16"/>
      <c r="AY432" s="16"/>
      <c r="AZ432" s="27"/>
      <c r="BB432" s="27"/>
      <c r="BC432" s="16"/>
      <c r="BD432" s="16"/>
      <c r="BE432" s="27"/>
      <c r="BG432" s="27"/>
      <c r="BH432" s="16"/>
      <c r="BI432" s="16"/>
      <c r="BJ432" s="27"/>
      <c r="BL432" s="27"/>
      <c r="BM432" s="16"/>
      <c r="BN432" s="16"/>
      <c r="BO432" s="27"/>
      <c r="BQ432" s="27"/>
      <c r="BR432" s="16"/>
      <c r="BS432" s="16"/>
      <c r="BT432" s="27"/>
      <c r="BV432" s="27"/>
      <c r="BW432" s="16"/>
      <c r="BX432" s="16"/>
      <c r="BY432" s="27"/>
      <c r="CA432" s="27"/>
      <c r="CB432" s="16"/>
      <c r="CC432" s="16"/>
      <c r="CD432" s="27"/>
      <c r="CF432" s="27"/>
      <c r="CG432" s="16"/>
      <c r="CH432" s="16"/>
      <c r="CI432" s="27"/>
      <c r="CK432" s="27"/>
      <c r="CL432" s="16"/>
      <c r="CM432" s="16"/>
      <c r="CN432" s="27"/>
      <c r="CP432" s="27"/>
      <c r="CQ432" s="16"/>
      <c r="CR432" s="16"/>
      <c r="CS432" s="27"/>
      <c r="CU432" s="27"/>
      <c r="CV432" s="16"/>
      <c r="CW432" s="16"/>
      <c r="CX432" s="27"/>
      <c r="CZ432" s="27"/>
      <c r="DA432" s="16"/>
      <c r="DB432" s="16"/>
      <c r="DC432" s="27"/>
      <c r="DE432" s="27"/>
      <c r="DF432" s="16"/>
      <c r="DG432" s="16"/>
      <c r="DH432" s="27"/>
      <c r="DJ432" s="27"/>
      <c r="DK432" s="16"/>
      <c r="DL432" s="16"/>
      <c r="DM432" s="27"/>
      <c r="DO432" s="27"/>
      <c r="DP432" s="16"/>
      <c r="DQ432" s="16"/>
      <c r="DR432" s="27"/>
      <c r="DT432" s="27"/>
      <c r="DU432" s="16"/>
      <c r="DV432" s="16"/>
      <c r="DW432" s="27"/>
      <c r="DY432" s="27"/>
      <c r="DZ432" s="16"/>
      <c r="EA432" s="16"/>
      <c r="EB432" s="302"/>
    </row>
    <row r="433" spans="1:132" s="14" customFormat="1" ht="21" x14ac:dyDescent="0.4">
      <c r="A433" s="27"/>
      <c r="B433" s="27"/>
      <c r="C433" s="27"/>
      <c r="E433" s="16"/>
      <c r="F433" s="27"/>
      <c r="G433" s="27"/>
      <c r="I433" s="27"/>
      <c r="J433" s="16"/>
      <c r="K433" s="16"/>
      <c r="L433" s="27"/>
      <c r="N433" s="27"/>
      <c r="O433" s="16"/>
      <c r="P433" s="16"/>
      <c r="Q433" s="27"/>
      <c r="S433" s="27"/>
      <c r="T433" s="16"/>
      <c r="U433" s="16"/>
      <c r="V433" s="27"/>
      <c r="X433" s="27"/>
      <c r="Y433" s="16"/>
      <c r="Z433" s="16"/>
      <c r="AA433" s="27"/>
      <c r="AC433" s="27"/>
      <c r="AD433" s="16"/>
      <c r="AE433" s="16"/>
      <c r="AF433" s="27"/>
      <c r="AH433" s="27"/>
      <c r="AI433" s="16"/>
      <c r="AJ433" s="16"/>
      <c r="AK433" s="27"/>
      <c r="AM433" s="27"/>
      <c r="AN433" s="16"/>
      <c r="AO433" s="16"/>
      <c r="AP433" s="27"/>
      <c r="AR433" s="27"/>
      <c r="AS433" s="16"/>
      <c r="AT433" s="16"/>
      <c r="AU433" s="27"/>
      <c r="AW433" s="27"/>
      <c r="AX433" s="16"/>
      <c r="AY433" s="16"/>
      <c r="AZ433" s="27"/>
      <c r="BB433" s="27"/>
      <c r="BC433" s="16"/>
      <c r="BD433" s="16"/>
      <c r="BE433" s="27"/>
      <c r="BG433" s="27"/>
      <c r="BH433" s="16"/>
      <c r="BI433" s="16"/>
      <c r="BJ433" s="27"/>
      <c r="BL433" s="27"/>
      <c r="BM433" s="16"/>
      <c r="BN433" s="16"/>
      <c r="BO433" s="27"/>
      <c r="BQ433" s="27"/>
      <c r="BR433" s="16"/>
      <c r="BS433" s="16"/>
      <c r="BT433" s="27"/>
      <c r="BV433" s="27"/>
      <c r="BW433" s="16"/>
      <c r="BX433" s="16"/>
      <c r="BY433" s="27"/>
      <c r="CA433" s="27"/>
      <c r="CB433" s="16"/>
      <c r="CC433" s="16"/>
      <c r="CD433" s="27"/>
      <c r="CF433" s="27"/>
      <c r="CG433" s="16"/>
      <c r="CH433" s="16"/>
      <c r="CI433" s="27"/>
      <c r="CK433" s="27"/>
      <c r="CL433" s="16"/>
      <c r="CM433" s="16"/>
      <c r="CN433" s="27"/>
      <c r="CP433" s="27"/>
      <c r="CQ433" s="16"/>
      <c r="CR433" s="16"/>
      <c r="CS433" s="27"/>
      <c r="CU433" s="27"/>
      <c r="CV433" s="16"/>
      <c r="CW433" s="16"/>
      <c r="CX433" s="27"/>
      <c r="CZ433" s="27"/>
      <c r="DA433" s="16"/>
      <c r="DB433" s="16"/>
      <c r="DC433" s="27"/>
      <c r="DE433" s="27"/>
      <c r="DF433" s="16"/>
      <c r="DG433" s="16"/>
      <c r="DH433" s="27"/>
      <c r="DJ433" s="27"/>
      <c r="DK433" s="16"/>
      <c r="DL433" s="16"/>
      <c r="DM433" s="27"/>
      <c r="DO433" s="27"/>
      <c r="DP433" s="16"/>
      <c r="DQ433" s="16"/>
      <c r="DR433" s="27"/>
      <c r="DT433" s="27"/>
      <c r="DU433" s="16"/>
      <c r="DV433" s="16"/>
      <c r="DW433" s="27"/>
      <c r="DY433" s="27"/>
      <c r="DZ433" s="16"/>
      <c r="EA433" s="16"/>
      <c r="EB433" s="302"/>
    </row>
    <row r="434" spans="1:132" s="14" customFormat="1" ht="21" x14ac:dyDescent="0.4">
      <c r="A434" s="27"/>
      <c r="B434" s="27"/>
      <c r="C434" s="27"/>
      <c r="E434" s="16"/>
      <c r="F434" s="27"/>
      <c r="G434" s="27"/>
      <c r="I434" s="27"/>
      <c r="J434" s="16"/>
      <c r="K434" s="16"/>
      <c r="L434" s="27"/>
      <c r="N434" s="27"/>
      <c r="O434" s="16"/>
      <c r="P434" s="16"/>
      <c r="Q434" s="27"/>
      <c r="S434" s="27"/>
      <c r="T434" s="16"/>
      <c r="U434" s="16"/>
      <c r="V434" s="27"/>
      <c r="X434" s="27"/>
      <c r="Y434" s="16"/>
      <c r="Z434" s="16"/>
      <c r="AA434" s="27"/>
      <c r="AC434" s="27"/>
      <c r="AD434" s="16"/>
      <c r="AE434" s="16"/>
      <c r="AF434" s="27"/>
      <c r="AH434" s="27"/>
      <c r="AI434" s="16"/>
      <c r="AJ434" s="16"/>
      <c r="AK434" s="27"/>
      <c r="AM434" s="27"/>
      <c r="AN434" s="16"/>
      <c r="AO434" s="16"/>
      <c r="AP434" s="27"/>
      <c r="AR434" s="27"/>
      <c r="AS434" s="16"/>
      <c r="AT434" s="16"/>
      <c r="AU434" s="27"/>
      <c r="AW434" s="27"/>
      <c r="AX434" s="16"/>
      <c r="AY434" s="16"/>
      <c r="AZ434" s="27"/>
      <c r="BB434" s="27"/>
      <c r="BC434" s="16"/>
      <c r="BD434" s="16"/>
      <c r="BE434" s="27"/>
      <c r="BG434" s="27"/>
      <c r="BH434" s="16"/>
      <c r="BI434" s="16"/>
      <c r="BJ434" s="27"/>
      <c r="BL434" s="27"/>
      <c r="BM434" s="16"/>
      <c r="BN434" s="16"/>
      <c r="BO434" s="27"/>
      <c r="BQ434" s="27"/>
      <c r="BR434" s="16"/>
      <c r="BS434" s="16"/>
      <c r="BT434" s="27"/>
      <c r="BV434" s="27"/>
      <c r="BW434" s="16"/>
      <c r="BX434" s="16"/>
      <c r="BY434" s="27"/>
      <c r="CA434" s="27"/>
      <c r="CB434" s="16"/>
      <c r="CC434" s="16"/>
      <c r="CD434" s="27"/>
      <c r="CF434" s="27"/>
      <c r="CG434" s="16"/>
      <c r="CH434" s="16"/>
      <c r="CI434" s="27"/>
      <c r="CK434" s="27"/>
      <c r="CL434" s="16"/>
      <c r="CM434" s="16"/>
      <c r="CN434" s="27"/>
      <c r="CP434" s="27"/>
      <c r="CQ434" s="16"/>
      <c r="CR434" s="16"/>
      <c r="CS434" s="27"/>
      <c r="CU434" s="27"/>
      <c r="CV434" s="16"/>
      <c r="CW434" s="16"/>
      <c r="CX434" s="27"/>
      <c r="CZ434" s="27"/>
      <c r="DA434" s="16"/>
      <c r="DB434" s="16"/>
      <c r="DC434" s="27"/>
      <c r="DE434" s="27"/>
      <c r="DF434" s="16"/>
      <c r="DG434" s="16"/>
      <c r="DH434" s="27"/>
      <c r="DJ434" s="27"/>
      <c r="DK434" s="16"/>
      <c r="DL434" s="16"/>
      <c r="DM434" s="27"/>
      <c r="DO434" s="27"/>
      <c r="DP434" s="16"/>
      <c r="DQ434" s="16"/>
      <c r="DR434" s="27"/>
      <c r="DT434" s="27"/>
      <c r="DU434" s="16"/>
      <c r="DV434" s="16"/>
      <c r="DW434" s="27"/>
      <c r="DY434" s="27"/>
      <c r="DZ434" s="16"/>
      <c r="EA434" s="16"/>
      <c r="EB434" s="302"/>
    </row>
    <row r="435" spans="1:132" s="14" customFormat="1" ht="21" x14ac:dyDescent="0.4">
      <c r="A435" s="27"/>
      <c r="B435" s="27"/>
      <c r="C435" s="27"/>
      <c r="E435" s="16"/>
      <c r="F435" s="27"/>
      <c r="G435" s="27"/>
      <c r="I435" s="27"/>
      <c r="J435" s="16"/>
      <c r="K435" s="16"/>
      <c r="L435" s="27"/>
      <c r="N435" s="27"/>
      <c r="O435" s="16"/>
      <c r="P435" s="16"/>
      <c r="Q435" s="27"/>
      <c r="S435" s="27"/>
      <c r="T435" s="16"/>
      <c r="U435" s="16"/>
      <c r="V435" s="27"/>
      <c r="X435" s="27"/>
      <c r="Y435" s="16"/>
      <c r="Z435" s="16"/>
      <c r="AA435" s="27"/>
      <c r="AC435" s="27"/>
      <c r="AD435" s="16"/>
      <c r="AE435" s="16"/>
      <c r="AF435" s="27"/>
      <c r="AH435" s="27"/>
      <c r="AI435" s="16"/>
      <c r="AJ435" s="16"/>
      <c r="AK435" s="27"/>
      <c r="AM435" s="27"/>
      <c r="AN435" s="16"/>
      <c r="AO435" s="16"/>
      <c r="AP435" s="27"/>
      <c r="AR435" s="27"/>
      <c r="AS435" s="16"/>
      <c r="AT435" s="16"/>
      <c r="AU435" s="27"/>
      <c r="AW435" s="27"/>
      <c r="AX435" s="16"/>
      <c r="AY435" s="16"/>
      <c r="AZ435" s="27"/>
      <c r="BB435" s="27"/>
      <c r="BC435" s="16"/>
      <c r="BD435" s="16"/>
      <c r="BE435" s="27"/>
      <c r="BG435" s="27"/>
      <c r="BH435" s="16"/>
      <c r="BI435" s="16"/>
      <c r="BJ435" s="27"/>
      <c r="BL435" s="27"/>
      <c r="BM435" s="16"/>
      <c r="BN435" s="16"/>
      <c r="BO435" s="27"/>
      <c r="BQ435" s="27"/>
      <c r="BR435" s="16"/>
      <c r="BS435" s="16"/>
      <c r="BT435" s="27"/>
      <c r="BV435" s="27"/>
      <c r="BW435" s="16"/>
      <c r="BX435" s="16"/>
      <c r="BY435" s="27"/>
      <c r="CA435" s="27"/>
      <c r="CB435" s="16"/>
      <c r="CC435" s="16"/>
      <c r="CD435" s="27"/>
      <c r="CF435" s="27"/>
      <c r="CG435" s="16"/>
      <c r="CH435" s="16"/>
      <c r="CI435" s="27"/>
      <c r="CK435" s="27"/>
      <c r="CL435" s="16"/>
      <c r="CM435" s="16"/>
      <c r="CN435" s="27"/>
      <c r="CP435" s="27"/>
      <c r="CQ435" s="16"/>
      <c r="CR435" s="16"/>
      <c r="CS435" s="27"/>
      <c r="CU435" s="27"/>
      <c r="CV435" s="16"/>
      <c r="CW435" s="16"/>
      <c r="CX435" s="27"/>
      <c r="CZ435" s="27"/>
      <c r="DA435" s="16"/>
      <c r="DB435" s="16"/>
      <c r="DC435" s="27"/>
      <c r="DE435" s="27"/>
      <c r="DF435" s="16"/>
      <c r="DG435" s="16"/>
      <c r="DH435" s="27"/>
      <c r="DJ435" s="27"/>
      <c r="DK435" s="16"/>
      <c r="DL435" s="16"/>
      <c r="DM435" s="27"/>
      <c r="DO435" s="27"/>
      <c r="DP435" s="16"/>
      <c r="DQ435" s="16"/>
      <c r="DR435" s="27"/>
      <c r="DT435" s="27"/>
      <c r="DU435" s="16"/>
      <c r="DV435" s="16"/>
      <c r="DW435" s="27"/>
      <c r="DY435" s="27"/>
      <c r="DZ435" s="16"/>
      <c r="EA435" s="16"/>
      <c r="EB435" s="302"/>
    </row>
    <row r="436" spans="1:132" s="14" customFormat="1" ht="21" x14ac:dyDescent="0.4">
      <c r="A436" s="27"/>
      <c r="B436" s="27"/>
      <c r="C436" s="27"/>
      <c r="E436" s="16"/>
      <c r="F436" s="27"/>
      <c r="G436" s="27"/>
      <c r="I436" s="27"/>
      <c r="J436" s="16"/>
      <c r="K436" s="16"/>
      <c r="L436" s="27"/>
      <c r="N436" s="27"/>
      <c r="O436" s="16"/>
      <c r="P436" s="16"/>
      <c r="Q436" s="27"/>
      <c r="S436" s="27"/>
      <c r="T436" s="16"/>
      <c r="U436" s="16"/>
      <c r="V436" s="27"/>
      <c r="X436" s="27"/>
      <c r="Y436" s="16"/>
      <c r="Z436" s="16"/>
      <c r="AA436" s="27"/>
      <c r="AC436" s="27"/>
      <c r="AD436" s="16"/>
      <c r="AE436" s="16"/>
      <c r="AF436" s="27"/>
      <c r="AH436" s="27"/>
      <c r="AI436" s="16"/>
      <c r="AJ436" s="16"/>
      <c r="AK436" s="27"/>
      <c r="AM436" s="27"/>
      <c r="AN436" s="16"/>
      <c r="AO436" s="16"/>
      <c r="AP436" s="27"/>
      <c r="AR436" s="27"/>
      <c r="AS436" s="16"/>
      <c r="AT436" s="16"/>
      <c r="AU436" s="27"/>
      <c r="AW436" s="27"/>
      <c r="AX436" s="16"/>
      <c r="AY436" s="16"/>
      <c r="AZ436" s="27"/>
      <c r="BB436" s="27"/>
      <c r="BC436" s="16"/>
      <c r="BD436" s="16"/>
      <c r="BE436" s="27"/>
      <c r="BG436" s="27"/>
      <c r="BH436" s="16"/>
      <c r="BI436" s="16"/>
      <c r="BJ436" s="27"/>
      <c r="BL436" s="27"/>
      <c r="BM436" s="16"/>
      <c r="BN436" s="16"/>
      <c r="BO436" s="27"/>
      <c r="BQ436" s="27"/>
      <c r="BR436" s="16"/>
      <c r="BS436" s="16"/>
      <c r="BT436" s="27"/>
      <c r="BV436" s="27"/>
      <c r="BW436" s="16"/>
      <c r="BX436" s="16"/>
      <c r="BY436" s="27"/>
      <c r="CA436" s="27"/>
      <c r="CB436" s="16"/>
      <c r="CC436" s="16"/>
      <c r="CD436" s="27"/>
      <c r="CF436" s="27"/>
      <c r="CG436" s="16"/>
      <c r="CH436" s="16"/>
      <c r="CI436" s="27"/>
      <c r="CK436" s="27"/>
      <c r="CL436" s="16"/>
      <c r="CM436" s="16"/>
      <c r="CN436" s="27"/>
      <c r="CP436" s="27"/>
      <c r="CQ436" s="16"/>
      <c r="CR436" s="16"/>
      <c r="CS436" s="27"/>
      <c r="CU436" s="27"/>
      <c r="CV436" s="16"/>
      <c r="CW436" s="16"/>
      <c r="CX436" s="27"/>
      <c r="CZ436" s="27"/>
      <c r="DA436" s="16"/>
      <c r="DB436" s="16"/>
      <c r="DC436" s="27"/>
      <c r="DE436" s="27"/>
      <c r="DF436" s="16"/>
      <c r="DG436" s="16"/>
      <c r="DH436" s="27"/>
      <c r="DJ436" s="27"/>
      <c r="DK436" s="16"/>
      <c r="DL436" s="16"/>
      <c r="DM436" s="27"/>
      <c r="DO436" s="27"/>
      <c r="DP436" s="16"/>
      <c r="DQ436" s="16"/>
      <c r="DR436" s="27"/>
      <c r="DT436" s="27"/>
      <c r="DU436" s="16"/>
      <c r="DV436" s="16"/>
      <c r="DW436" s="27"/>
      <c r="DY436" s="27"/>
      <c r="DZ436" s="16"/>
      <c r="EA436" s="16"/>
      <c r="EB436" s="302"/>
    </row>
    <row r="437" spans="1:132" s="14" customFormat="1" ht="21" x14ac:dyDescent="0.4">
      <c r="A437" s="27"/>
      <c r="B437" s="27"/>
      <c r="C437" s="27"/>
      <c r="E437" s="16"/>
      <c r="F437" s="27"/>
      <c r="G437" s="27"/>
      <c r="I437" s="27"/>
      <c r="J437" s="16"/>
      <c r="K437" s="16"/>
      <c r="L437" s="27"/>
      <c r="N437" s="27"/>
      <c r="O437" s="16"/>
      <c r="P437" s="16"/>
      <c r="Q437" s="27"/>
      <c r="S437" s="27"/>
      <c r="T437" s="16"/>
      <c r="U437" s="16"/>
      <c r="V437" s="27"/>
      <c r="X437" s="27"/>
      <c r="Y437" s="16"/>
      <c r="Z437" s="16"/>
      <c r="AA437" s="27"/>
      <c r="AC437" s="27"/>
      <c r="AD437" s="16"/>
      <c r="AE437" s="16"/>
      <c r="AF437" s="27"/>
      <c r="AH437" s="27"/>
      <c r="AI437" s="16"/>
      <c r="AJ437" s="16"/>
      <c r="AK437" s="27"/>
      <c r="AM437" s="27"/>
      <c r="AN437" s="16"/>
      <c r="AO437" s="16"/>
      <c r="AP437" s="27"/>
      <c r="AR437" s="27"/>
      <c r="AS437" s="16"/>
      <c r="AT437" s="16"/>
      <c r="AU437" s="27"/>
      <c r="AW437" s="27"/>
      <c r="AX437" s="16"/>
      <c r="AY437" s="16"/>
      <c r="AZ437" s="27"/>
      <c r="BB437" s="27"/>
      <c r="BC437" s="16"/>
      <c r="BD437" s="16"/>
      <c r="BE437" s="27"/>
      <c r="BG437" s="27"/>
      <c r="BH437" s="16"/>
      <c r="BI437" s="16"/>
      <c r="BJ437" s="27"/>
      <c r="BL437" s="27"/>
      <c r="BM437" s="16"/>
      <c r="BN437" s="16"/>
      <c r="BO437" s="27"/>
      <c r="BQ437" s="27"/>
      <c r="BR437" s="16"/>
      <c r="BS437" s="16"/>
      <c r="BT437" s="27"/>
      <c r="BV437" s="27"/>
      <c r="BW437" s="16"/>
      <c r="BX437" s="16"/>
      <c r="BY437" s="27"/>
      <c r="CA437" s="27"/>
      <c r="CB437" s="16"/>
      <c r="CC437" s="16"/>
      <c r="CD437" s="27"/>
      <c r="CF437" s="27"/>
      <c r="CG437" s="16"/>
      <c r="CH437" s="16"/>
      <c r="CI437" s="27"/>
      <c r="CK437" s="27"/>
      <c r="CL437" s="16"/>
      <c r="CM437" s="16"/>
      <c r="CN437" s="27"/>
      <c r="CP437" s="27"/>
      <c r="CQ437" s="16"/>
      <c r="CR437" s="16"/>
      <c r="CS437" s="27"/>
      <c r="CU437" s="27"/>
      <c r="CV437" s="16"/>
      <c r="CW437" s="16"/>
      <c r="CX437" s="27"/>
      <c r="CZ437" s="27"/>
      <c r="DA437" s="16"/>
      <c r="DB437" s="16"/>
      <c r="DC437" s="27"/>
      <c r="DE437" s="27"/>
      <c r="DF437" s="16"/>
      <c r="DG437" s="16"/>
      <c r="DH437" s="27"/>
      <c r="DJ437" s="27"/>
      <c r="DK437" s="16"/>
      <c r="DL437" s="16"/>
      <c r="DM437" s="27"/>
      <c r="DO437" s="27"/>
      <c r="DP437" s="16"/>
      <c r="DQ437" s="16"/>
      <c r="DR437" s="27"/>
      <c r="DT437" s="27"/>
      <c r="DU437" s="16"/>
      <c r="DV437" s="16"/>
      <c r="DW437" s="27"/>
      <c r="DY437" s="27"/>
      <c r="DZ437" s="16"/>
      <c r="EA437" s="16"/>
      <c r="EB437" s="302"/>
    </row>
    <row r="438" spans="1:132" s="14" customFormat="1" ht="21" x14ac:dyDescent="0.4">
      <c r="A438" s="27"/>
      <c r="B438" s="27"/>
      <c r="C438" s="27"/>
      <c r="E438" s="16"/>
      <c r="F438" s="27"/>
      <c r="G438" s="27"/>
      <c r="I438" s="27"/>
      <c r="J438" s="16"/>
      <c r="K438" s="16"/>
      <c r="L438" s="27"/>
      <c r="N438" s="27"/>
      <c r="O438" s="16"/>
      <c r="P438" s="16"/>
      <c r="Q438" s="27"/>
      <c r="S438" s="27"/>
      <c r="T438" s="16"/>
      <c r="U438" s="16"/>
      <c r="V438" s="27"/>
      <c r="X438" s="27"/>
      <c r="Y438" s="16"/>
      <c r="Z438" s="16"/>
      <c r="AA438" s="27"/>
      <c r="AC438" s="27"/>
      <c r="AD438" s="16"/>
      <c r="AE438" s="16"/>
      <c r="AF438" s="27"/>
      <c r="AH438" s="27"/>
      <c r="AI438" s="16"/>
      <c r="AJ438" s="16"/>
      <c r="AK438" s="27"/>
      <c r="AM438" s="27"/>
      <c r="AN438" s="16"/>
      <c r="AO438" s="16"/>
      <c r="AP438" s="27"/>
      <c r="AR438" s="27"/>
      <c r="AS438" s="16"/>
      <c r="AT438" s="16"/>
      <c r="AU438" s="27"/>
      <c r="AW438" s="27"/>
      <c r="AX438" s="16"/>
      <c r="AY438" s="16"/>
      <c r="AZ438" s="27"/>
      <c r="BB438" s="27"/>
      <c r="BC438" s="16"/>
      <c r="BD438" s="16"/>
      <c r="BE438" s="27"/>
      <c r="BG438" s="27"/>
      <c r="BH438" s="16"/>
      <c r="BI438" s="16"/>
      <c r="BJ438" s="27"/>
      <c r="BL438" s="27"/>
      <c r="BM438" s="16"/>
      <c r="BN438" s="16"/>
      <c r="BO438" s="27"/>
      <c r="BQ438" s="27"/>
      <c r="BR438" s="16"/>
      <c r="BS438" s="16"/>
      <c r="BT438" s="27"/>
      <c r="BV438" s="27"/>
      <c r="BW438" s="16"/>
      <c r="BX438" s="16"/>
      <c r="BY438" s="27"/>
      <c r="CA438" s="27"/>
      <c r="CB438" s="16"/>
      <c r="CC438" s="16"/>
      <c r="CD438" s="27"/>
      <c r="CF438" s="27"/>
      <c r="CG438" s="16"/>
      <c r="CH438" s="16"/>
      <c r="CI438" s="27"/>
      <c r="CK438" s="27"/>
      <c r="CL438" s="16"/>
      <c r="CM438" s="16"/>
      <c r="CN438" s="27"/>
      <c r="CP438" s="27"/>
      <c r="CQ438" s="16"/>
      <c r="CR438" s="16"/>
      <c r="CS438" s="27"/>
      <c r="CU438" s="27"/>
      <c r="CV438" s="16"/>
      <c r="CW438" s="16"/>
      <c r="CX438" s="27"/>
      <c r="CZ438" s="27"/>
      <c r="DA438" s="16"/>
      <c r="DB438" s="16"/>
      <c r="DC438" s="27"/>
      <c r="DE438" s="27"/>
      <c r="DF438" s="16"/>
      <c r="DG438" s="16"/>
      <c r="DH438" s="27"/>
      <c r="DJ438" s="27"/>
      <c r="DK438" s="16"/>
      <c r="DL438" s="16"/>
      <c r="DM438" s="27"/>
      <c r="DO438" s="27"/>
      <c r="DP438" s="16"/>
      <c r="DQ438" s="16"/>
      <c r="DR438" s="27"/>
      <c r="DT438" s="27"/>
      <c r="DU438" s="16"/>
      <c r="DV438" s="16"/>
      <c r="DW438" s="27"/>
      <c r="DY438" s="27"/>
      <c r="DZ438" s="16"/>
      <c r="EA438" s="16"/>
      <c r="EB438" s="302"/>
    </row>
    <row r="439" spans="1:132" s="14" customFormat="1" ht="21" x14ac:dyDescent="0.4">
      <c r="A439" s="27"/>
      <c r="B439" s="27"/>
      <c r="C439" s="27"/>
      <c r="E439" s="16"/>
      <c r="F439" s="27"/>
      <c r="G439" s="27"/>
      <c r="I439" s="27"/>
      <c r="J439" s="16"/>
      <c r="K439" s="16"/>
      <c r="L439" s="27"/>
      <c r="N439" s="27"/>
      <c r="O439" s="16"/>
      <c r="P439" s="16"/>
      <c r="Q439" s="27"/>
      <c r="S439" s="27"/>
      <c r="T439" s="16"/>
      <c r="U439" s="16"/>
      <c r="V439" s="27"/>
      <c r="X439" s="27"/>
      <c r="Y439" s="16"/>
      <c r="Z439" s="16"/>
      <c r="AA439" s="27"/>
      <c r="AC439" s="27"/>
      <c r="AD439" s="16"/>
      <c r="AE439" s="16"/>
      <c r="AF439" s="27"/>
      <c r="AH439" s="27"/>
      <c r="AI439" s="16"/>
      <c r="AJ439" s="16"/>
      <c r="AK439" s="27"/>
      <c r="AM439" s="27"/>
      <c r="AN439" s="16"/>
      <c r="AO439" s="16"/>
      <c r="AP439" s="27"/>
      <c r="AR439" s="27"/>
      <c r="AS439" s="16"/>
      <c r="AT439" s="16"/>
      <c r="AU439" s="27"/>
      <c r="AW439" s="27"/>
      <c r="AX439" s="16"/>
      <c r="AY439" s="16"/>
      <c r="AZ439" s="27"/>
      <c r="BB439" s="27"/>
      <c r="BC439" s="16"/>
      <c r="BD439" s="16"/>
      <c r="BE439" s="27"/>
      <c r="BG439" s="27"/>
      <c r="BH439" s="16"/>
      <c r="BI439" s="16"/>
      <c r="BJ439" s="27"/>
      <c r="BL439" s="27"/>
      <c r="BM439" s="16"/>
      <c r="BN439" s="16"/>
      <c r="BO439" s="27"/>
      <c r="BQ439" s="27"/>
      <c r="BR439" s="16"/>
      <c r="BS439" s="16"/>
      <c r="BT439" s="27"/>
      <c r="BV439" s="27"/>
      <c r="BW439" s="16"/>
      <c r="BX439" s="16"/>
      <c r="BY439" s="27"/>
      <c r="CA439" s="27"/>
      <c r="CB439" s="16"/>
      <c r="CC439" s="16"/>
      <c r="CD439" s="27"/>
      <c r="CF439" s="27"/>
      <c r="CG439" s="16"/>
      <c r="CH439" s="16"/>
      <c r="CI439" s="27"/>
      <c r="CK439" s="27"/>
      <c r="CL439" s="16"/>
      <c r="CM439" s="16"/>
      <c r="CN439" s="27"/>
      <c r="CP439" s="27"/>
      <c r="CQ439" s="16"/>
      <c r="CR439" s="16"/>
      <c r="CS439" s="27"/>
      <c r="CU439" s="27"/>
      <c r="CV439" s="16"/>
      <c r="CW439" s="16"/>
      <c r="CX439" s="27"/>
      <c r="CZ439" s="27"/>
      <c r="DA439" s="16"/>
      <c r="DB439" s="16"/>
      <c r="DC439" s="27"/>
      <c r="DE439" s="27"/>
      <c r="DF439" s="16"/>
      <c r="DG439" s="16"/>
      <c r="DH439" s="27"/>
      <c r="DJ439" s="27"/>
      <c r="DK439" s="16"/>
      <c r="DL439" s="16"/>
      <c r="DM439" s="27"/>
      <c r="DO439" s="27"/>
      <c r="DP439" s="16"/>
      <c r="DQ439" s="16"/>
      <c r="DR439" s="27"/>
      <c r="DT439" s="27"/>
      <c r="DU439" s="16"/>
      <c r="DV439" s="16"/>
      <c r="DW439" s="27"/>
      <c r="DY439" s="27"/>
      <c r="DZ439" s="16"/>
      <c r="EA439" s="16"/>
      <c r="EB439" s="302"/>
    </row>
    <row r="440" spans="1:132" s="14" customFormat="1" ht="21" x14ac:dyDescent="0.4">
      <c r="A440" s="27"/>
      <c r="B440" s="27"/>
      <c r="C440" s="27"/>
      <c r="E440" s="16"/>
      <c r="F440" s="27"/>
      <c r="G440" s="27"/>
      <c r="I440" s="27"/>
      <c r="J440" s="16"/>
      <c r="K440" s="16"/>
      <c r="L440" s="27"/>
      <c r="N440" s="27"/>
      <c r="O440" s="16"/>
      <c r="P440" s="16"/>
      <c r="Q440" s="27"/>
      <c r="S440" s="27"/>
      <c r="T440" s="16"/>
      <c r="U440" s="16"/>
      <c r="V440" s="27"/>
      <c r="X440" s="27"/>
      <c r="Y440" s="16"/>
      <c r="Z440" s="16"/>
      <c r="AA440" s="27"/>
      <c r="AC440" s="27"/>
      <c r="AD440" s="16"/>
      <c r="AE440" s="16"/>
      <c r="AF440" s="27"/>
      <c r="AH440" s="27"/>
      <c r="AI440" s="16"/>
      <c r="AJ440" s="16"/>
      <c r="AK440" s="27"/>
      <c r="AM440" s="27"/>
      <c r="AN440" s="16"/>
      <c r="AO440" s="16"/>
      <c r="AP440" s="27"/>
      <c r="AR440" s="27"/>
      <c r="AS440" s="16"/>
      <c r="AT440" s="16"/>
      <c r="AU440" s="27"/>
      <c r="AW440" s="27"/>
      <c r="AX440" s="16"/>
      <c r="AY440" s="16"/>
      <c r="AZ440" s="27"/>
      <c r="BB440" s="27"/>
      <c r="BC440" s="16"/>
      <c r="BD440" s="16"/>
      <c r="BE440" s="27"/>
      <c r="BG440" s="27"/>
      <c r="BH440" s="16"/>
      <c r="BI440" s="16"/>
      <c r="BJ440" s="27"/>
      <c r="BL440" s="27"/>
      <c r="BM440" s="16"/>
      <c r="BN440" s="16"/>
      <c r="BO440" s="27"/>
      <c r="BQ440" s="27"/>
      <c r="BR440" s="16"/>
      <c r="BS440" s="16"/>
      <c r="BT440" s="27"/>
      <c r="BV440" s="27"/>
      <c r="BW440" s="16"/>
      <c r="BX440" s="16"/>
      <c r="BY440" s="27"/>
      <c r="CA440" s="27"/>
      <c r="CB440" s="16"/>
      <c r="CC440" s="16"/>
      <c r="CD440" s="27"/>
      <c r="CF440" s="27"/>
      <c r="CG440" s="16"/>
      <c r="CH440" s="16"/>
      <c r="CI440" s="27"/>
      <c r="CK440" s="27"/>
      <c r="CL440" s="16"/>
      <c r="CM440" s="16"/>
      <c r="CN440" s="27"/>
      <c r="CP440" s="27"/>
      <c r="CQ440" s="16"/>
      <c r="CR440" s="16"/>
      <c r="CS440" s="27"/>
      <c r="CU440" s="27"/>
      <c r="CV440" s="16"/>
      <c r="CW440" s="16"/>
      <c r="CX440" s="27"/>
      <c r="CZ440" s="27"/>
      <c r="DA440" s="16"/>
      <c r="DB440" s="16"/>
      <c r="DC440" s="27"/>
      <c r="DE440" s="27"/>
      <c r="DF440" s="16"/>
      <c r="DG440" s="16"/>
      <c r="DH440" s="27"/>
      <c r="DJ440" s="27"/>
      <c r="DK440" s="16"/>
      <c r="DL440" s="16"/>
      <c r="DM440" s="27"/>
      <c r="DO440" s="27"/>
      <c r="DP440" s="16"/>
      <c r="DQ440" s="16"/>
      <c r="DR440" s="27"/>
      <c r="DT440" s="27"/>
      <c r="DU440" s="16"/>
      <c r="DV440" s="16"/>
      <c r="DW440" s="27"/>
      <c r="DY440" s="27"/>
      <c r="DZ440" s="16"/>
      <c r="EA440" s="16"/>
      <c r="EB440" s="302"/>
    </row>
    <row r="441" spans="1:132" s="14" customFormat="1" ht="21" x14ac:dyDescent="0.4">
      <c r="A441" s="27"/>
      <c r="B441" s="27"/>
      <c r="C441" s="27"/>
      <c r="E441" s="16"/>
      <c r="F441" s="27"/>
      <c r="G441" s="27"/>
      <c r="I441" s="27"/>
      <c r="J441" s="16"/>
      <c r="K441" s="16"/>
      <c r="L441" s="27"/>
      <c r="N441" s="27"/>
      <c r="O441" s="16"/>
      <c r="P441" s="16"/>
      <c r="Q441" s="27"/>
      <c r="S441" s="27"/>
      <c r="T441" s="16"/>
      <c r="U441" s="16"/>
      <c r="V441" s="27"/>
      <c r="X441" s="27"/>
      <c r="Y441" s="16"/>
      <c r="Z441" s="16"/>
      <c r="AA441" s="27"/>
      <c r="AC441" s="27"/>
      <c r="AD441" s="16"/>
      <c r="AE441" s="16"/>
      <c r="AF441" s="27"/>
      <c r="AH441" s="27"/>
      <c r="AI441" s="16"/>
      <c r="AJ441" s="16"/>
      <c r="AK441" s="27"/>
      <c r="AM441" s="27"/>
      <c r="AN441" s="16"/>
      <c r="AO441" s="16"/>
      <c r="AP441" s="27"/>
      <c r="AR441" s="27"/>
      <c r="AS441" s="16"/>
      <c r="AT441" s="16"/>
      <c r="AU441" s="27"/>
      <c r="AW441" s="27"/>
      <c r="AX441" s="16"/>
      <c r="AY441" s="16"/>
      <c r="AZ441" s="27"/>
      <c r="BB441" s="27"/>
      <c r="BC441" s="16"/>
      <c r="BD441" s="16"/>
      <c r="BE441" s="27"/>
      <c r="BG441" s="27"/>
      <c r="BH441" s="16"/>
      <c r="BI441" s="16"/>
      <c r="BJ441" s="27"/>
      <c r="BL441" s="27"/>
      <c r="BM441" s="16"/>
      <c r="BN441" s="16"/>
      <c r="BO441" s="27"/>
      <c r="BQ441" s="27"/>
      <c r="BR441" s="16"/>
      <c r="BS441" s="16"/>
      <c r="BT441" s="27"/>
      <c r="BV441" s="27"/>
      <c r="BW441" s="16"/>
      <c r="BX441" s="16"/>
      <c r="BY441" s="27"/>
      <c r="CA441" s="27"/>
      <c r="CB441" s="16"/>
      <c r="CC441" s="16"/>
      <c r="CD441" s="27"/>
      <c r="CF441" s="27"/>
      <c r="CG441" s="16"/>
      <c r="CH441" s="16"/>
      <c r="CI441" s="27"/>
      <c r="CK441" s="27"/>
      <c r="CL441" s="16"/>
      <c r="CM441" s="16"/>
      <c r="CN441" s="27"/>
      <c r="CP441" s="27"/>
      <c r="CQ441" s="16"/>
      <c r="CR441" s="16"/>
      <c r="CS441" s="27"/>
      <c r="CU441" s="27"/>
      <c r="CV441" s="16"/>
      <c r="CW441" s="16"/>
      <c r="CX441" s="27"/>
      <c r="CZ441" s="27"/>
      <c r="DA441" s="16"/>
      <c r="DB441" s="16"/>
      <c r="DC441" s="27"/>
      <c r="DE441" s="27"/>
      <c r="DF441" s="16"/>
      <c r="DG441" s="16"/>
      <c r="DH441" s="27"/>
      <c r="DJ441" s="27"/>
      <c r="DK441" s="16"/>
      <c r="DL441" s="16"/>
      <c r="DM441" s="27"/>
      <c r="DO441" s="27"/>
      <c r="DP441" s="16"/>
      <c r="DQ441" s="16"/>
      <c r="DR441" s="27"/>
      <c r="DT441" s="27"/>
      <c r="DU441" s="16"/>
      <c r="DV441" s="16"/>
      <c r="DW441" s="27"/>
      <c r="DY441" s="27"/>
      <c r="DZ441" s="16"/>
      <c r="EA441" s="16"/>
      <c r="EB441" s="302"/>
    </row>
    <row r="442" spans="1:132" s="14" customFormat="1" ht="21" x14ac:dyDescent="0.4">
      <c r="A442" s="27"/>
      <c r="B442" s="27"/>
      <c r="C442" s="27"/>
      <c r="E442" s="16"/>
      <c r="F442" s="27"/>
      <c r="G442" s="27"/>
      <c r="I442" s="27"/>
      <c r="J442" s="16"/>
      <c r="K442" s="16"/>
      <c r="L442" s="27"/>
      <c r="N442" s="27"/>
      <c r="O442" s="16"/>
      <c r="P442" s="16"/>
      <c r="Q442" s="27"/>
      <c r="S442" s="27"/>
      <c r="T442" s="16"/>
      <c r="U442" s="16"/>
      <c r="V442" s="27"/>
      <c r="X442" s="27"/>
      <c r="Y442" s="16"/>
      <c r="Z442" s="16"/>
      <c r="AA442" s="27"/>
      <c r="AC442" s="27"/>
      <c r="AD442" s="16"/>
      <c r="AE442" s="16"/>
      <c r="AF442" s="27"/>
      <c r="AH442" s="27"/>
      <c r="AI442" s="16"/>
      <c r="AJ442" s="16"/>
      <c r="AK442" s="27"/>
      <c r="AM442" s="27"/>
      <c r="AN442" s="16"/>
      <c r="AO442" s="16"/>
      <c r="AP442" s="27"/>
      <c r="AR442" s="27"/>
      <c r="AS442" s="16"/>
      <c r="AT442" s="16"/>
      <c r="AU442" s="27"/>
      <c r="AW442" s="27"/>
      <c r="AX442" s="16"/>
      <c r="AY442" s="16"/>
      <c r="AZ442" s="27"/>
      <c r="BB442" s="27"/>
      <c r="BC442" s="16"/>
      <c r="BD442" s="16"/>
      <c r="BE442" s="27"/>
      <c r="BG442" s="27"/>
      <c r="BH442" s="16"/>
      <c r="BI442" s="16"/>
      <c r="BJ442" s="27"/>
      <c r="BL442" s="27"/>
      <c r="BM442" s="16"/>
      <c r="BN442" s="16"/>
      <c r="BO442" s="27"/>
      <c r="BQ442" s="27"/>
      <c r="BR442" s="16"/>
      <c r="BS442" s="16"/>
      <c r="BT442" s="27"/>
      <c r="BV442" s="27"/>
      <c r="BW442" s="16"/>
      <c r="BX442" s="16"/>
      <c r="BY442" s="27"/>
      <c r="CA442" s="27"/>
      <c r="CB442" s="16"/>
      <c r="CC442" s="16"/>
      <c r="CD442" s="27"/>
      <c r="CF442" s="27"/>
      <c r="CG442" s="16"/>
      <c r="CH442" s="16"/>
      <c r="CI442" s="27"/>
      <c r="CK442" s="27"/>
      <c r="CL442" s="16"/>
      <c r="CM442" s="16"/>
      <c r="CN442" s="27"/>
      <c r="CP442" s="27"/>
      <c r="CQ442" s="16"/>
      <c r="CR442" s="16"/>
      <c r="CS442" s="27"/>
      <c r="CU442" s="27"/>
      <c r="CV442" s="16"/>
      <c r="CW442" s="16"/>
      <c r="CX442" s="27"/>
      <c r="CZ442" s="27"/>
      <c r="DA442" s="16"/>
      <c r="DB442" s="16"/>
      <c r="DC442" s="27"/>
      <c r="DE442" s="27"/>
      <c r="DF442" s="16"/>
      <c r="DG442" s="16"/>
      <c r="DH442" s="27"/>
      <c r="DJ442" s="27"/>
      <c r="DK442" s="16"/>
      <c r="DL442" s="16"/>
      <c r="DM442" s="27"/>
      <c r="DO442" s="27"/>
      <c r="DP442" s="16"/>
      <c r="DQ442" s="16"/>
      <c r="DR442" s="27"/>
      <c r="DT442" s="27"/>
      <c r="DU442" s="16"/>
      <c r="DV442" s="16"/>
      <c r="DW442" s="27"/>
      <c r="DY442" s="27"/>
      <c r="DZ442" s="16"/>
      <c r="EA442" s="16"/>
      <c r="EB442" s="302"/>
    </row>
    <row r="443" spans="1:132" s="14" customFormat="1" ht="21" x14ac:dyDescent="0.4">
      <c r="A443" s="27"/>
      <c r="B443" s="27"/>
      <c r="C443" s="27"/>
      <c r="E443" s="16"/>
      <c r="F443" s="27"/>
      <c r="G443" s="27"/>
      <c r="I443" s="27"/>
      <c r="J443" s="16"/>
      <c r="K443" s="16"/>
      <c r="L443" s="27"/>
      <c r="N443" s="27"/>
      <c r="O443" s="16"/>
      <c r="P443" s="16"/>
      <c r="Q443" s="27"/>
      <c r="S443" s="27"/>
      <c r="T443" s="16"/>
      <c r="U443" s="16"/>
      <c r="V443" s="27"/>
      <c r="X443" s="27"/>
      <c r="Y443" s="16"/>
      <c r="Z443" s="16"/>
      <c r="AA443" s="27"/>
      <c r="AC443" s="27"/>
      <c r="AD443" s="16"/>
      <c r="AE443" s="16"/>
      <c r="AF443" s="27"/>
      <c r="AH443" s="27"/>
      <c r="AI443" s="16"/>
      <c r="AJ443" s="16"/>
      <c r="AK443" s="27"/>
      <c r="AM443" s="27"/>
      <c r="AN443" s="16"/>
      <c r="AO443" s="16"/>
      <c r="AP443" s="27"/>
      <c r="AR443" s="27"/>
      <c r="AS443" s="16"/>
      <c r="AT443" s="16"/>
      <c r="AU443" s="27"/>
      <c r="AW443" s="27"/>
      <c r="AX443" s="16"/>
      <c r="AY443" s="16"/>
      <c r="AZ443" s="27"/>
      <c r="BB443" s="27"/>
      <c r="BC443" s="16"/>
      <c r="BD443" s="16"/>
      <c r="BE443" s="27"/>
      <c r="BG443" s="27"/>
      <c r="BH443" s="16"/>
      <c r="BI443" s="16"/>
      <c r="BJ443" s="27"/>
      <c r="BL443" s="27"/>
      <c r="BM443" s="16"/>
      <c r="BN443" s="16"/>
      <c r="BO443" s="27"/>
      <c r="BQ443" s="27"/>
      <c r="BR443" s="16"/>
      <c r="BS443" s="16"/>
      <c r="BT443" s="27"/>
      <c r="BV443" s="27"/>
      <c r="BW443" s="16"/>
      <c r="BX443" s="16"/>
      <c r="BY443" s="27"/>
      <c r="CA443" s="27"/>
      <c r="CB443" s="16"/>
      <c r="CC443" s="16"/>
      <c r="CD443" s="27"/>
      <c r="CF443" s="27"/>
      <c r="CG443" s="16"/>
      <c r="CH443" s="16"/>
      <c r="CI443" s="27"/>
      <c r="CK443" s="27"/>
      <c r="CL443" s="16"/>
      <c r="CM443" s="16"/>
      <c r="CN443" s="27"/>
      <c r="CP443" s="27"/>
      <c r="CQ443" s="16"/>
      <c r="CR443" s="16"/>
      <c r="CS443" s="27"/>
      <c r="CU443" s="27"/>
      <c r="CV443" s="16"/>
      <c r="CW443" s="16"/>
      <c r="CX443" s="27"/>
      <c r="CZ443" s="27"/>
      <c r="DA443" s="16"/>
      <c r="DB443" s="16"/>
      <c r="DC443" s="27"/>
      <c r="DE443" s="27"/>
      <c r="DF443" s="16"/>
      <c r="DG443" s="16"/>
      <c r="DH443" s="27"/>
      <c r="DJ443" s="27"/>
      <c r="DK443" s="16"/>
      <c r="DL443" s="16"/>
      <c r="DM443" s="27"/>
      <c r="DO443" s="27"/>
      <c r="DP443" s="16"/>
      <c r="DQ443" s="16"/>
      <c r="DR443" s="27"/>
      <c r="DT443" s="27"/>
      <c r="DU443" s="16"/>
      <c r="DV443" s="16"/>
      <c r="DW443" s="27"/>
      <c r="DY443" s="27"/>
      <c r="DZ443" s="16"/>
      <c r="EA443" s="16"/>
      <c r="EB443" s="302"/>
    </row>
    <row r="444" spans="1:132" s="14" customFormat="1" ht="21" x14ac:dyDescent="0.4">
      <c r="A444" s="27"/>
      <c r="B444" s="27"/>
      <c r="C444" s="27"/>
      <c r="E444" s="16"/>
      <c r="F444" s="27"/>
      <c r="G444" s="27"/>
      <c r="I444" s="27"/>
      <c r="J444" s="16"/>
      <c r="K444" s="16"/>
      <c r="L444" s="27"/>
      <c r="N444" s="27"/>
      <c r="O444" s="16"/>
      <c r="P444" s="16"/>
      <c r="Q444" s="27"/>
      <c r="S444" s="27"/>
      <c r="T444" s="16"/>
      <c r="U444" s="16"/>
      <c r="V444" s="27"/>
      <c r="X444" s="27"/>
      <c r="Y444" s="16"/>
      <c r="Z444" s="16"/>
      <c r="AA444" s="27"/>
      <c r="AC444" s="27"/>
      <c r="AD444" s="16"/>
      <c r="AE444" s="16"/>
      <c r="AF444" s="27"/>
      <c r="AH444" s="27"/>
      <c r="AI444" s="16"/>
      <c r="AJ444" s="16"/>
      <c r="AK444" s="27"/>
      <c r="AM444" s="27"/>
      <c r="AN444" s="16"/>
      <c r="AO444" s="16"/>
      <c r="AP444" s="27"/>
      <c r="AR444" s="27"/>
      <c r="AS444" s="16"/>
      <c r="AT444" s="16"/>
      <c r="AU444" s="27"/>
      <c r="AW444" s="27"/>
      <c r="AX444" s="16"/>
      <c r="AY444" s="16"/>
      <c r="AZ444" s="27"/>
      <c r="BB444" s="27"/>
      <c r="BC444" s="16"/>
      <c r="BD444" s="16"/>
      <c r="BE444" s="27"/>
      <c r="BG444" s="27"/>
      <c r="BH444" s="16"/>
      <c r="BI444" s="16"/>
      <c r="BJ444" s="27"/>
      <c r="BL444" s="27"/>
      <c r="BM444" s="16"/>
      <c r="BN444" s="16"/>
      <c r="BO444" s="27"/>
      <c r="BQ444" s="27"/>
      <c r="BR444" s="16"/>
      <c r="BS444" s="16"/>
      <c r="BT444" s="27"/>
      <c r="BV444" s="27"/>
      <c r="BW444" s="16"/>
      <c r="BX444" s="16"/>
      <c r="BY444" s="27"/>
      <c r="CA444" s="27"/>
      <c r="CB444" s="16"/>
      <c r="CC444" s="16"/>
      <c r="CD444" s="27"/>
      <c r="CF444" s="27"/>
      <c r="CG444" s="16"/>
      <c r="CH444" s="16"/>
      <c r="CI444" s="27"/>
      <c r="CK444" s="27"/>
      <c r="CL444" s="16"/>
      <c r="CM444" s="16"/>
      <c r="CN444" s="27"/>
      <c r="CP444" s="27"/>
      <c r="CQ444" s="16"/>
      <c r="CR444" s="16"/>
      <c r="CS444" s="27"/>
      <c r="CU444" s="27"/>
      <c r="CV444" s="16"/>
      <c r="CW444" s="16"/>
      <c r="CX444" s="27"/>
      <c r="CZ444" s="27"/>
      <c r="DA444" s="16"/>
      <c r="DB444" s="16"/>
      <c r="DC444" s="27"/>
      <c r="DE444" s="27"/>
      <c r="DF444" s="16"/>
      <c r="DG444" s="16"/>
      <c r="DH444" s="27"/>
      <c r="DJ444" s="27"/>
      <c r="DK444" s="16"/>
      <c r="DL444" s="16"/>
      <c r="DM444" s="27"/>
      <c r="DO444" s="27"/>
      <c r="DP444" s="16"/>
      <c r="DQ444" s="16"/>
      <c r="DR444" s="27"/>
      <c r="DT444" s="27"/>
      <c r="DU444" s="16"/>
      <c r="DV444" s="16"/>
      <c r="DW444" s="27"/>
      <c r="DY444" s="27"/>
      <c r="DZ444" s="16"/>
      <c r="EA444" s="16"/>
      <c r="EB444" s="302"/>
    </row>
    <row r="445" spans="1:132" s="14" customFormat="1" ht="21" x14ac:dyDescent="0.4">
      <c r="A445" s="27"/>
      <c r="B445" s="27"/>
      <c r="C445" s="27"/>
      <c r="E445" s="16"/>
      <c r="F445" s="27"/>
      <c r="G445" s="27"/>
      <c r="I445" s="27"/>
      <c r="J445" s="16"/>
      <c r="K445" s="16"/>
      <c r="L445" s="27"/>
      <c r="N445" s="27"/>
      <c r="O445" s="16"/>
      <c r="P445" s="16"/>
      <c r="Q445" s="27"/>
      <c r="S445" s="27"/>
      <c r="T445" s="16"/>
      <c r="U445" s="16"/>
      <c r="V445" s="27"/>
      <c r="X445" s="27"/>
      <c r="Y445" s="16"/>
      <c r="Z445" s="16"/>
      <c r="AA445" s="27"/>
      <c r="AC445" s="27"/>
      <c r="AD445" s="16"/>
      <c r="AE445" s="16"/>
      <c r="AF445" s="27"/>
      <c r="AH445" s="27"/>
      <c r="AI445" s="16"/>
      <c r="AJ445" s="16"/>
      <c r="AK445" s="27"/>
      <c r="AM445" s="27"/>
      <c r="AN445" s="16"/>
      <c r="AO445" s="16"/>
      <c r="AP445" s="27"/>
      <c r="AR445" s="27"/>
      <c r="AS445" s="16"/>
      <c r="AT445" s="16"/>
      <c r="AU445" s="27"/>
      <c r="AW445" s="27"/>
      <c r="AX445" s="16"/>
      <c r="AY445" s="16"/>
      <c r="AZ445" s="27"/>
      <c r="BB445" s="27"/>
      <c r="BC445" s="16"/>
      <c r="BD445" s="16"/>
      <c r="BE445" s="27"/>
      <c r="BG445" s="27"/>
      <c r="BH445" s="16"/>
      <c r="BI445" s="16"/>
      <c r="BJ445" s="27"/>
      <c r="BL445" s="27"/>
      <c r="BM445" s="16"/>
      <c r="BN445" s="16"/>
      <c r="BO445" s="27"/>
      <c r="BQ445" s="27"/>
      <c r="BR445" s="16"/>
      <c r="BS445" s="16"/>
      <c r="BT445" s="27"/>
      <c r="BV445" s="27"/>
      <c r="BW445" s="16"/>
      <c r="BX445" s="16"/>
      <c r="BY445" s="27"/>
      <c r="CA445" s="27"/>
      <c r="CB445" s="16"/>
      <c r="CC445" s="16"/>
      <c r="CD445" s="27"/>
      <c r="CF445" s="27"/>
      <c r="CG445" s="16"/>
      <c r="CH445" s="16"/>
      <c r="CI445" s="27"/>
      <c r="CK445" s="27"/>
      <c r="CL445" s="16"/>
      <c r="CM445" s="16"/>
      <c r="CN445" s="27"/>
      <c r="CP445" s="27"/>
      <c r="CQ445" s="16"/>
      <c r="CR445" s="16"/>
      <c r="CS445" s="27"/>
      <c r="CU445" s="27"/>
      <c r="CV445" s="16"/>
      <c r="CW445" s="16"/>
      <c r="CX445" s="27"/>
      <c r="CZ445" s="27"/>
      <c r="DA445" s="16"/>
      <c r="DB445" s="16"/>
      <c r="DC445" s="27"/>
      <c r="DE445" s="27"/>
      <c r="DF445" s="16"/>
      <c r="DG445" s="16"/>
      <c r="DH445" s="27"/>
      <c r="DJ445" s="27"/>
      <c r="DK445" s="16"/>
      <c r="DL445" s="16"/>
      <c r="DM445" s="27"/>
      <c r="DO445" s="27"/>
      <c r="DP445" s="16"/>
      <c r="DQ445" s="16"/>
      <c r="DR445" s="27"/>
      <c r="DT445" s="27"/>
      <c r="DU445" s="16"/>
      <c r="DV445" s="16"/>
      <c r="DW445" s="27"/>
      <c r="DY445" s="27"/>
      <c r="DZ445" s="16"/>
      <c r="EA445" s="16"/>
      <c r="EB445" s="302"/>
    </row>
    <row r="446" spans="1:132" s="14" customFormat="1" ht="21" x14ac:dyDescent="0.4">
      <c r="A446" s="27"/>
      <c r="B446" s="27"/>
      <c r="C446" s="27"/>
      <c r="E446" s="16"/>
      <c r="F446" s="27"/>
      <c r="G446" s="27"/>
      <c r="I446" s="27"/>
      <c r="J446" s="16"/>
      <c r="K446" s="16"/>
      <c r="L446" s="27"/>
      <c r="N446" s="27"/>
      <c r="O446" s="16"/>
      <c r="P446" s="16"/>
      <c r="Q446" s="27"/>
      <c r="S446" s="27"/>
      <c r="T446" s="16"/>
      <c r="U446" s="16"/>
      <c r="V446" s="27"/>
      <c r="X446" s="27"/>
      <c r="Y446" s="16"/>
      <c r="Z446" s="16"/>
      <c r="AA446" s="27"/>
      <c r="AC446" s="27"/>
      <c r="AD446" s="16"/>
      <c r="AE446" s="16"/>
      <c r="AF446" s="27"/>
      <c r="AH446" s="27"/>
      <c r="AI446" s="16"/>
      <c r="AJ446" s="16"/>
      <c r="AK446" s="27"/>
      <c r="AM446" s="27"/>
      <c r="AN446" s="16"/>
      <c r="AO446" s="16"/>
      <c r="AP446" s="27"/>
      <c r="AR446" s="27"/>
      <c r="AS446" s="16"/>
      <c r="AT446" s="16"/>
      <c r="AU446" s="27"/>
      <c r="AW446" s="27"/>
      <c r="AX446" s="16"/>
      <c r="AY446" s="16"/>
      <c r="AZ446" s="27"/>
      <c r="BB446" s="27"/>
      <c r="BC446" s="16"/>
      <c r="BD446" s="16"/>
      <c r="BE446" s="27"/>
      <c r="BG446" s="27"/>
      <c r="BH446" s="16"/>
      <c r="BI446" s="16"/>
      <c r="BJ446" s="27"/>
      <c r="BL446" s="27"/>
      <c r="BM446" s="16"/>
      <c r="BN446" s="16"/>
      <c r="BO446" s="27"/>
      <c r="BQ446" s="27"/>
      <c r="BR446" s="16"/>
      <c r="BS446" s="16"/>
      <c r="BT446" s="27"/>
      <c r="BV446" s="27"/>
      <c r="BW446" s="16"/>
      <c r="BX446" s="16"/>
      <c r="BY446" s="27"/>
      <c r="CA446" s="27"/>
      <c r="CB446" s="16"/>
      <c r="CC446" s="16"/>
      <c r="CD446" s="27"/>
      <c r="CF446" s="27"/>
      <c r="CG446" s="16"/>
      <c r="CH446" s="16"/>
      <c r="CI446" s="27"/>
      <c r="CK446" s="27"/>
      <c r="CL446" s="16"/>
      <c r="CM446" s="16"/>
      <c r="CN446" s="27"/>
      <c r="CP446" s="27"/>
      <c r="CQ446" s="16"/>
      <c r="CR446" s="16"/>
      <c r="CS446" s="27"/>
      <c r="CU446" s="27"/>
      <c r="CV446" s="16"/>
      <c r="CW446" s="16"/>
      <c r="CX446" s="27"/>
      <c r="CZ446" s="27"/>
      <c r="DA446" s="16"/>
      <c r="DB446" s="16"/>
      <c r="DC446" s="27"/>
      <c r="DE446" s="27"/>
      <c r="DF446" s="16"/>
      <c r="DG446" s="16"/>
      <c r="DH446" s="27"/>
      <c r="DJ446" s="27"/>
      <c r="DK446" s="16"/>
      <c r="DL446" s="16"/>
      <c r="DM446" s="27"/>
      <c r="DO446" s="27"/>
      <c r="DP446" s="16"/>
      <c r="DQ446" s="16"/>
      <c r="DR446" s="27"/>
      <c r="DT446" s="27"/>
      <c r="DU446" s="16"/>
      <c r="DV446" s="16"/>
      <c r="DW446" s="27"/>
      <c r="DY446" s="27"/>
      <c r="DZ446" s="16"/>
      <c r="EA446" s="16"/>
      <c r="EB446" s="302"/>
    </row>
    <row r="447" spans="1:132" s="14" customFormat="1" ht="21" x14ac:dyDescent="0.4">
      <c r="A447" s="27"/>
      <c r="B447" s="27"/>
      <c r="C447" s="27"/>
      <c r="E447" s="16"/>
      <c r="F447" s="27"/>
      <c r="G447" s="27"/>
      <c r="I447" s="27"/>
      <c r="J447" s="16"/>
      <c r="K447" s="16"/>
      <c r="L447" s="27"/>
      <c r="N447" s="27"/>
      <c r="O447" s="16"/>
      <c r="P447" s="16"/>
      <c r="Q447" s="27"/>
      <c r="S447" s="27"/>
      <c r="T447" s="16"/>
      <c r="U447" s="16"/>
      <c r="V447" s="27"/>
      <c r="X447" s="27"/>
      <c r="Y447" s="16"/>
      <c r="Z447" s="16"/>
      <c r="AA447" s="27"/>
      <c r="AC447" s="27"/>
      <c r="AD447" s="16"/>
      <c r="AE447" s="16"/>
      <c r="AF447" s="27"/>
      <c r="AH447" s="27"/>
      <c r="AI447" s="16"/>
      <c r="AJ447" s="16"/>
      <c r="AK447" s="27"/>
      <c r="AM447" s="27"/>
      <c r="AN447" s="16"/>
      <c r="AO447" s="16"/>
      <c r="AP447" s="27"/>
      <c r="AR447" s="27"/>
      <c r="AS447" s="16"/>
      <c r="AT447" s="16"/>
      <c r="AU447" s="27"/>
      <c r="AW447" s="27"/>
      <c r="AX447" s="16"/>
      <c r="AY447" s="16"/>
      <c r="AZ447" s="27"/>
      <c r="BB447" s="27"/>
      <c r="BC447" s="16"/>
      <c r="BD447" s="16"/>
      <c r="BE447" s="27"/>
      <c r="BG447" s="27"/>
      <c r="BH447" s="16"/>
      <c r="BI447" s="16"/>
      <c r="BJ447" s="27"/>
      <c r="BL447" s="27"/>
      <c r="BM447" s="16"/>
      <c r="BN447" s="16"/>
      <c r="BO447" s="27"/>
      <c r="BQ447" s="27"/>
      <c r="BR447" s="16"/>
      <c r="BS447" s="16"/>
      <c r="BT447" s="27"/>
      <c r="BV447" s="27"/>
      <c r="BW447" s="16"/>
      <c r="BX447" s="16"/>
      <c r="BY447" s="27"/>
      <c r="CA447" s="27"/>
      <c r="CB447" s="16"/>
      <c r="CC447" s="16"/>
      <c r="CD447" s="27"/>
      <c r="CF447" s="27"/>
      <c r="CG447" s="16"/>
      <c r="CH447" s="16"/>
      <c r="CI447" s="27"/>
      <c r="CK447" s="27"/>
      <c r="CL447" s="16"/>
      <c r="CM447" s="16"/>
      <c r="CN447" s="27"/>
      <c r="CP447" s="27"/>
      <c r="CQ447" s="16"/>
      <c r="CR447" s="16"/>
      <c r="CS447" s="27"/>
      <c r="CU447" s="27"/>
      <c r="CV447" s="16"/>
      <c r="CW447" s="16"/>
      <c r="CX447" s="27"/>
      <c r="CZ447" s="27"/>
      <c r="DA447" s="16"/>
      <c r="DB447" s="16"/>
      <c r="DC447" s="27"/>
      <c r="DE447" s="27"/>
      <c r="DF447" s="16"/>
      <c r="DG447" s="16"/>
      <c r="DH447" s="27"/>
      <c r="DJ447" s="27"/>
      <c r="DK447" s="16"/>
      <c r="DL447" s="16"/>
      <c r="DM447" s="27"/>
      <c r="DO447" s="27"/>
      <c r="DP447" s="16"/>
      <c r="DQ447" s="16"/>
      <c r="DR447" s="27"/>
      <c r="DT447" s="27"/>
      <c r="DU447" s="16"/>
      <c r="DV447" s="16"/>
      <c r="DW447" s="27"/>
      <c r="DY447" s="27"/>
      <c r="DZ447" s="16"/>
      <c r="EA447" s="16"/>
      <c r="EB447" s="302"/>
    </row>
    <row r="448" spans="1:132" s="14" customFormat="1" ht="21" x14ac:dyDescent="0.4">
      <c r="A448" s="27"/>
      <c r="B448" s="27"/>
      <c r="C448" s="27"/>
      <c r="E448" s="16"/>
      <c r="F448" s="27"/>
      <c r="G448" s="27"/>
      <c r="I448" s="27"/>
      <c r="J448" s="16"/>
      <c r="K448" s="16"/>
      <c r="L448" s="27"/>
      <c r="N448" s="27"/>
      <c r="O448" s="16"/>
      <c r="P448" s="16"/>
      <c r="Q448" s="27"/>
      <c r="S448" s="27"/>
      <c r="T448" s="16"/>
      <c r="U448" s="16"/>
      <c r="V448" s="27"/>
      <c r="X448" s="27"/>
      <c r="Y448" s="16"/>
      <c r="Z448" s="16"/>
      <c r="AA448" s="27"/>
      <c r="AC448" s="27"/>
      <c r="AD448" s="16"/>
      <c r="AE448" s="16"/>
      <c r="AF448" s="27"/>
      <c r="AH448" s="27"/>
      <c r="AI448" s="16"/>
      <c r="AJ448" s="16"/>
      <c r="AK448" s="27"/>
      <c r="AM448" s="27"/>
      <c r="AN448" s="16"/>
      <c r="AO448" s="16"/>
      <c r="AP448" s="27"/>
      <c r="AR448" s="27"/>
      <c r="AS448" s="16"/>
      <c r="AT448" s="16"/>
      <c r="AU448" s="27"/>
      <c r="AW448" s="27"/>
      <c r="AX448" s="16"/>
      <c r="AY448" s="16"/>
      <c r="AZ448" s="27"/>
      <c r="BB448" s="27"/>
      <c r="BC448" s="16"/>
      <c r="BD448" s="16"/>
      <c r="BE448" s="27"/>
      <c r="BG448" s="27"/>
      <c r="BH448" s="16"/>
      <c r="BI448" s="16"/>
      <c r="BJ448" s="27"/>
      <c r="BL448" s="27"/>
      <c r="BM448" s="16"/>
      <c r="BN448" s="16"/>
      <c r="BO448" s="27"/>
      <c r="BQ448" s="27"/>
      <c r="BR448" s="16"/>
      <c r="BS448" s="16"/>
      <c r="BT448" s="27"/>
      <c r="BV448" s="27"/>
      <c r="BW448" s="16"/>
      <c r="BX448" s="16"/>
      <c r="BY448" s="27"/>
      <c r="CA448" s="27"/>
      <c r="CB448" s="16"/>
      <c r="CC448" s="16"/>
      <c r="CD448" s="27"/>
      <c r="CF448" s="27"/>
      <c r="CG448" s="16"/>
      <c r="CH448" s="16"/>
      <c r="CI448" s="27"/>
      <c r="CK448" s="27"/>
      <c r="CL448" s="16"/>
      <c r="CM448" s="16"/>
      <c r="CN448" s="27"/>
      <c r="CP448" s="27"/>
      <c r="CQ448" s="16"/>
      <c r="CR448" s="16"/>
      <c r="CS448" s="27"/>
      <c r="CU448" s="27"/>
      <c r="CV448" s="16"/>
      <c r="CW448" s="16"/>
      <c r="CX448" s="27"/>
      <c r="CZ448" s="27"/>
      <c r="DA448" s="16"/>
      <c r="DB448" s="16"/>
      <c r="DC448" s="27"/>
      <c r="DE448" s="27"/>
      <c r="DF448" s="16"/>
      <c r="DG448" s="16"/>
      <c r="DH448" s="27"/>
      <c r="DJ448" s="27"/>
      <c r="DK448" s="16"/>
      <c r="DL448" s="16"/>
      <c r="DM448" s="27"/>
      <c r="DO448" s="27"/>
      <c r="DP448" s="16"/>
      <c r="DQ448" s="16"/>
      <c r="DR448" s="27"/>
      <c r="DT448" s="27"/>
      <c r="DU448" s="16"/>
      <c r="DV448" s="16"/>
      <c r="DW448" s="27"/>
      <c r="DY448" s="27"/>
      <c r="DZ448" s="16"/>
      <c r="EA448" s="16"/>
      <c r="EB448" s="302"/>
    </row>
    <row r="449" spans="1:132" s="14" customFormat="1" ht="21" x14ac:dyDescent="0.4">
      <c r="A449" s="27"/>
      <c r="B449" s="27"/>
      <c r="C449" s="27"/>
      <c r="E449" s="16"/>
      <c r="F449" s="27"/>
      <c r="G449" s="27"/>
      <c r="I449" s="27"/>
      <c r="J449" s="16"/>
      <c r="K449" s="16"/>
      <c r="L449" s="27"/>
      <c r="N449" s="27"/>
      <c r="O449" s="16"/>
      <c r="P449" s="16"/>
      <c r="Q449" s="27"/>
      <c r="S449" s="27"/>
      <c r="T449" s="16"/>
      <c r="U449" s="16"/>
      <c r="V449" s="27"/>
      <c r="X449" s="27"/>
      <c r="Y449" s="16"/>
      <c r="Z449" s="16"/>
      <c r="AA449" s="27"/>
      <c r="AC449" s="27"/>
      <c r="AD449" s="16"/>
      <c r="AE449" s="16"/>
      <c r="AF449" s="27"/>
      <c r="AH449" s="27"/>
      <c r="AI449" s="16"/>
      <c r="AJ449" s="16"/>
      <c r="AK449" s="27"/>
      <c r="AM449" s="27"/>
      <c r="AN449" s="16"/>
      <c r="AO449" s="16"/>
      <c r="AP449" s="27"/>
      <c r="AR449" s="27"/>
      <c r="AS449" s="16"/>
      <c r="AT449" s="16"/>
      <c r="AU449" s="27"/>
      <c r="AW449" s="27"/>
      <c r="AX449" s="16"/>
      <c r="AY449" s="16"/>
      <c r="AZ449" s="27"/>
      <c r="BB449" s="27"/>
      <c r="BC449" s="16"/>
      <c r="BD449" s="16"/>
      <c r="BE449" s="27"/>
      <c r="BG449" s="27"/>
      <c r="BH449" s="16"/>
      <c r="BI449" s="16"/>
      <c r="BJ449" s="27"/>
      <c r="BL449" s="27"/>
      <c r="BM449" s="16"/>
      <c r="BN449" s="16"/>
      <c r="BO449" s="27"/>
      <c r="BQ449" s="27"/>
      <c r="BR449" s="16"/>
      <c r="BS449" s="16"/>
      <c r="BT449" s="27"/>
      <c r="BV449" s="27"/>
      <c r="BW449" s="16"/>
      <c r="BX449" s="16"/>
      <c r="BY449" s="27"/>
      <c r="CA449" s="27"/>
      <c r="CB449" s="16"/>
      <c r="CC449" s="16"/>
      <c r="CD449" s="27"/>
      <c r="CF449" s="27"/>
      <c r="CG449" s="16"/>
      <c r="CH449" s="16"/>
      <c r="CI449" s="27"/>
      <c r="CK449" s="27"/>
      <c r="CL449" s="16"/>
      <c r="CM449" s="16"/>
      <c r="CN449" s="27"/>
      <c r="CP449" s="27"/>
      <c r="CQ449" s="16"/>
      <c r="CR449" s="16"/>
      <c r="CS449" s="27"/>
      <c r="CU449" s="27"/>
      <c r="CV449" s="16"/>
      <c r="CW449" s="16"/>
      <c r="CX449" s="27"/>
      <c r="CZ449" s="27"/>
      <c r="DA449" s="16"/>
      <c r="DB449" s="16"/>
      <c r="DC449" s="27"/>
      <c r="DE449" s="27"/>
      <c r="DF449" s="16"/>
      <c r="DG449" s="16"/>
      <c r="DH449" s="27"/>
      <c r="DJ449" s="27"/>
      <c r="DK449" s="16"/>
      <c r="DL449" s="16"/>
      <c r="DM449" s="27"/>
      <c r="DO449" s="27"/>
      <c r="DP449" s="16"/>
      <c r="DQ449" s="16"/>
      <c r="DR449" s="27"/>
      <c r="DT449" s="27"/>
      <c r="DU449" s="16"/>
      <c r="DV449" s="16"/>
      <c r="DW449" s="27"/>
      <c r="DY449" s="27"/>
      <c r="DZ449" s="16"/>
      <c r="EA449" s="16"/>
      <c r="EB449" s="302"/>
    </row>
    <row r="450" spans="1:132" s="14" customFormat="1" ht="21" x14ac:dyDescent="0.4">
      <c r="A450" s="27"/>
      <c r="B450" s="27"/>
      <c r="C450" s="27"/>
      <c r="E450" s="16"/>
      <c r="F450" s="27"/>
      <c r="G450" s="27"/>
      <c r="I450" s="27"/>
      <c r="J450" s="16"/>
      <c r="K450" s="16"/>
      <c r="L450" s="27"/>
      <c r="N450" s="27"/>
      <c r="O450" s="16"/>
      <c r="P450" s="16"/>
      <c r="Q450" s="27"/>
      <c r="S450" s="27"/>
      <c r="T450" s="16"/>
      <c r="U450" s="16"/>
      <c r="V450" s="27"/>
      <c r="X450" s="27"/>
      <c r="Y450" s="16"/>
      <c r="Z450" s="16"/>
      <c r="AA450" s="27"/>
      <c r="AC450" s="27"/>
      <c r="AD450" s="16"/>
      <c r="AE450" s="16"/>
      <c r="AF450" s="27"/>
      <c r="AH450" s="27"/>
      <c r="AI450" s="16"/>
      <c r="AJ450" s="16"/>
      <c r="AK450" s="27"/>
      <c r="AM450" s="27"/>
      <c r="AN450" s="16"/>
      <c r="AO450" s="16"/>
      <c r="AP450" s="27"/>
      <c r="AR450" s="27"/>
      <c r="AS450" s="16"/>
      <c r="AT450" s="16"/>
      <c r="AU450" s="27"/>
      <c r="AW450" s="27"/>
      <c r="AX450" s="16"/>
      <c r="AY450" s="16"/>
      <c r="AZ450" s="27"/>
      <c r="BB450" s="27"/>
      <c r="BC450" s="16"/>
      <c r="BD450" s="16"/>
      <c r="BE450" s="27"/>
      <c r="BG450" s="27"/>
      <c r="BH450" s="16"/>
      <c r="BI450" s="16"/>
      <c r="BJ450" s="27"/>
      <c r="BL450" s="27"/>
      <c r="BM450" s="16"/>
      <c r="BN450" s="16"/>
      <c r="BO450" s="27"/>
      <c r="BQ450" s="27"/>
      <c r="BR450" s="16"/>
      <c r="BS450" s="16"/>
      <c r="BT450" s="27"/>
      <c r="BV450" s="27"/>
      <c r="BW450" s="16"/>
      <c r="BX450" s="16"/>
      <c r="BY450" s="27"/>
      <c r="CA450" s="27"/>
      <c r="CB450" s="16"/>
      <c r="CC450" s="16"/>
      <c r="CD450" s="27"/>
      <c r="CF450" s="27"/>
      <c r="CG450" s="16"/>
      <c r="CH450" s="16"/>
      <c r="CI450" s="27"/>
      <c r="CK450" s="27"/>
      <c r="CL450" s="16"/>
      <c r="CM450" s="16"/>
      <c r="CN450" s="27"/>
      <c r="CP450" s="27"/>
      <c r="CQ450" s="16"/>
      <c r="CR450" s="16"/>
      <c r="CS450" s="27"/>
      <c r="CU450" s="27"/>
      <c r="CV450" s="16"/>
      <c r="CW450" s="16"/>
      <c r="CX450" s="27"/>
      <c r="CZ450" s="27"/>
      <c r="DA450" s="16"/>
      <c r="DB450" s="16"/>
      <c r="DC450" s="27"/>
      <c r="DE450" s="27"/>
      <c r="DF450" s="16"/>
      <c r="DG450" s="16"/>
      <c r="DH450" s="27"/>
      <c r="DJ450" s="27"/>
      <c r="DK450" s="16"/>
      <c r="DL450" s="16"/>
      <c r="DM450" s="27"/>
      <c r="DO450" s="27"/>
      <c r="DP450" s="16"/>
      <c r="DQ450" s="16"/>
      <c r="DR450" s="27"/>
      <c r="DT450" s="27"/>
      <c r="DU450" s="16"/>
      <c r="DV450" s="16"/>
      <c r="DW450" s="27"/>
      <c r="DY450" s="27"/>
      <c r="DZ450" s="16"/>
      <c r="EA450" s="16"/>
      <c r="EB450" s="302"/>
    </row>
    <row r="451" spans="1:132" s="14" customFormat="1" ht="21" x14ac:dyDescent="0.4">
      <c r="A451" s="27"/>
      <c r="B451" s="27"/>
      <c r="C451" s="27"/>
      <c r="E451" s="16"/>
      <c r="F451" s="27"/>
      <c r="G451" s="27"/>
      <c r="I451" s="27"/>
      <c r="J451" s="16"/>
      <c r="K451" s="16"/>
      <c r="L451" s="27"/>
      <c r="N451" s="27"/>
      <c r="O451" s="16"/>
      <c r="P451" s="16"/>
      <c r="Q451" s="27"/>
      <c r="S451" s="27"/>
      <c r="T451" s="16"/>
      <c r="U451" s="16"/>
      <c r="V451" s="27"/>
      <c r="X451" s="27"/>
      <c r="Y451" s="16"/>
      <c r="Z451" s="16"/>
      <c r="AA451" s="27"/>
      <c r="AC451" s="27"/>
      <c r="AD451" s="16"/>
      <c r="AE451" s="16"/>
      <c r="AF451" s="27"/>
      <c r="AH451" s="27"/>
      <c r="AI451" s="16"/>
      <c r="AJ451" s="16"/>
      <c r="AK451" s="27"/>
      <c r="AM451" s="27"/>
      <c r="AN451" s="16"/>
      <c r="AO451" s="16"/>
      <c r="AP451" s="27"/>
      <c r="AR451" s="27"/>
      <c r="AS451" s="16"/>
      <c r="AT451" s="16"/>
      <c r="AU451" s="27"/>
      <c r="AW451" s="27"/>
      <c r="AX451" s="16"/>
      <c r="AY451" s="16"/>
      <c r="AZ451" s="27"/>
      <c r="BB451" s="27"/>
      <c r="BC451" s="16"/>
      <c r="BD451" s="16"/>
      <c r="BE451" s="27"/>
      <c r="BG451" s="27"/>
      <c r="BH451" s="16"/>
      <c r="BI451" s="16"/>
      <c r="BJ451" s="27"/>
      <c r="BL451" s="27"/>
      <c r="BM451" s="16"/>
      <c r="BN451" s="16"/>
      <c r="BO451" s="27"/>
      <c r="BQ451" s="27"/>
      <c r="BR451" s="16"/>
      <c r="BS451" s="16"/>
      <c r="BT451" s="27"/>
      <c r="BV451" s="27"/>
      <c r="BW451" s="16"/>
      <c r="BX451" s="16"/>
      <c r="BY451" s="27"/>
      <c r="CA451" s="27"/>
      <c r="CB451" s="16"/>
      <c r="CC451" s="16"/>
      <c r="CD451" s="27"/>
      <c r="CF451" s="27"/>
      <c r="CG451" s="16"/>
      <c r="CH451" s="16"/>
      <c r="CI451" s="27"/>
      <c r="CK451" s="27"/>
      <c r="CL451" s="16"/>
      <c r="CM451" s="16"/>
      <c r="CN451" s="27"/>
      <c r="CP451" s="27"/>
      <c r="CQ451" s="16"/>
      <c r="CR451" s="16"/>
      <c r="CS451" s="27"/>
      <c r="CU451" s="27"/>
      <c r="CV451" s="16"/>
      <c r="CW451" s="16"/>
      <c r="CX451" s="27"/>
      <c r="CZ451" s="27"/>
      <c r="DA451" s="16"/>
      <c r="DB451" s="16"/>
      <c r="DC451" s="27"/>
      <c r="DE451" s="27"/>
      <c r="DF451" s="16"/>
      <c r="DG451" s="16"/>
      <c r="DH451" s="27"/>
      <c r="DJ451" s="27"/>
      <c r="DK451" s="16"/>
      <c r="DL451" s="16"/>
      <c r="DM451" s="27"/>
      <c r="DO451" s="27"/>
      <c r="DP451" s="16"/>
      <c r="DQ451" s="16"/>
      <c r="DR451" s="27"/>
      <c r="DT451" s="27"/>
      <c r="DU451" s="16"/>
      <c r="DV451" s="16"/>
      <c r="DW451" s="27"/>
      <c r="DY451" s="27"/>
      <c r="DZ451" s="16"/>
      <c r="EA451" s="16"/>
      <c r="EB451" s="302"/>
    </row>
    <row r="452" spans="1:132" s="14" customFormat="1" ht="21" x14ac:dyDescent="0.4">
      <c r="A452" s="27"/>
      <c r="B452" s="27"/>
      <c r="C452" s="27"/>
      <c r="E452" s="16"/>
      <c r="F452" s="27"/>
      <c r="G452" s="27"/>
      <c r="I452" s="27"/>
      <c r="J452" s="16"/>
      <c r="K452" s="16"/>
      <c r="L452" s="27"/>
      <c r="N452" s="27"/>
      <c r="O452" s="16"/>
      <c r="P452" s="16"/>
      <c r="Q452" s="27"/>
      <c r="S452" s="27"/>
      <c r="T452" s="16"/>
      <c r="U452" s="16"/>
      <c r="V452" s="27"/>
      <c r="X452" s="27"/>
      <c r="Y452" s="16"/>
      <c r="Z452" s="16"/>
      <c r="AA452" s="27"/>
      <c r="AC452" s="27"/>
      <c r="AD452" s="16"/>
      <c r="AE452" s="16"/>
      <c r="AF452" s="27"/>
      <c r="AH452" s="27"/>
      <c r="AI452" s="16"/>
      <c r="AJ452" s="16"/>
      <c r="AK452" s="27"/>
      <c r="AM452" s="27"/>
      <c r="AN452" s="16"/>
      <c r="AO452" s="16"/>
      <c r="AP452" s="27"/>
      <c r="AR452" s="27"/>
      <c r="AS452" s="16"/>
      <c r="AT452" s="16"/>
      <c r="AU452" s="27"/>
      <c r="AW452" s="27"/>
      <c r="AX452" s="16"/>
      <c r="AY452" s="16"/>
      <c r="AZ452" s="27"/>
      <c r="BB452" s="27"/>
      <c r="BC452" s="16"/>
      <c r="BD452" s="16"/>
      <c r="BE452" s="27"/>
      <c r="BG452" s="27"/>
      <c r="BH452" s="16"/>
      <c r="BI452" s="16"/>
      <c r="BJ452" s="27"/>
      <c r="BL452" s="27"/>
      <c r="BM452" s="16"/>
      <c r="BN452" s="16"/>
      <c r="BO452" s="27"/>
      <c r="BQ452" s="27"/>
      <c r="BR452" s="16"/>
      <c r="BS452" s="16"/>
      <c r="BT452" s="27"/>
      <c r="BV452" s="27"/>
      <c r="BW452" s="16"/>
      <c r="BX452" s="16"/>
      <c r="BY452" s="27"/>
      <c r="CA452" s="27"/>
      <c r="CB452" s="16"/>
      <c r="CC452" s="16"/>
      <c r="CD452" s="27"/>
      <c r="CF452" s="27"/>
      <c r="CG452" s="16"/>
      <c r="CH452" s="16"/>
      <c r="CI452" s="27"/>
      <c r="CK452" s="27"/>
      <c r="CL452" s="16"/>
      <c r="CM452" s="16"/>
      <c r="CN452" s="27"/>
      <c r="CP452" s="27"/>
      <c r="CQ452" s="16"/>
      <c r="CR452" s="16"/>
      <c r="CS452" s="27"/>
      <c r="CU452" s="27"/>
      <c r="CV452" s="16"/>
      <c r="CW452" s="16"/>
      <c r="CX452" s="27"/>
      <c r="CZ452" s="27"/>
      <c r="DA452" s="16"/>
      <c r="DB452" s="16"/>
      <c r="DC452" s="27"/>
      <c r="DE452" s="27"/>
      <c r="DF452" s="16"/>
      <c r="DG452" s="16"/>
      <c r="DH452" s="27"/>
      <c r="DJ452" s="27"/>
      <c r="DK452" s="16"/>
      <c r="DL452" s="16"/>
      <c r="DM452" s="27"/>
      <c r="DO452" s="27"/>
      <c r="DP452" s="16"/>
      <c r="DQ452" s="16"/>
      <c r="DR452" s="27"/>
      <c r="DT452" s="27"/>
      <c r="DU452" s="16"/>
      <c r="DV452" s="16"/>
      <c r="DW452" s="27"/>
      <c r="DY452" s="27"/>
      <c r="DZ452" s="16"/>
      <c r="EA452" s="16"/>
      <c r="EB452" s="302"/>
    </row>
    <row r="453" spans="1:132" s="14" customFormat="1" ht="21" x14ac:dyDescent="0.4">
      <c r="A453" s="27"/>
      <c r="B453" s="27"/>
      <c r="C453" s="27"/>
      <c r="E453" s="16"/>
      <c r="F453" s="27"/>
      <c r="G453" s="27"/>
      <c r="I453" s="27"/>
      <c r="J453" s="16"/>
      <c r="K453" s="16"/>
      <c r="L453" s="27"/>
      <c r="N453" s="27"/>
      <c r="O453" s="16"/>
      <c r="P453" s="16"/>
      <c r="Q453" s="27"/>
      <c r="S453" s="27"/>
      <c r="T453" s="16"/>
      <c r="U453" s="16"/>
      <c r="V453" s="27"/>
      <c r="X453" s="27"/>
      <c r="Y453" s="16"/>
      <c r="Z453" s="16"/>
      <c r="AA453" s="27"/>
      <c r="AC453" s="27"/>
      <c r="AD453" s="16"/>
      <c r="AE453" s="16"/>
      <c r="AF453" s="27"/>
      <c r="AH453" s="27"/>
      <c r="AI453" s="16"/>
      <c r="AJ453" s="16"/>
      <c r="AK453" s="27"/>
      <c r="AM453" s="27"/>
      <c r="AN453" s="16"/>
      <c r="AO453" s="16"/>
      <c r="AP453" s="27"/>
      <c r="AR453" s="27"/>
      <c r="AS453" s="16"/>
      <c r="AT453" s="16"/>
      <c r="AU453" s="27"/>
      <c r="AW453" s="27"/>
      <c r="AX453" s="16"/>
      <c r="AY453" s="16"/>
      <c r="AZ453" s="27"/>
      <c r="BB453" s="27"/>
      <c r="BC453" s="16"/>
      <c r="BD453" s="16"/>
      <c r="BE453" s="27"/>
      <c r="BG453" s="27"/>
      <c r="BH453" s="16"/>
      <c r="BI453" s="16"/>
      <c r="BJ453" s="27"/>
      <c r="BL453" s="27"/>
      <c r="BM453" s="16"/>
      <c r="BN453" s="16"/>
      <c r="BO453" s="27"/>
      <c r="BQ453" s="27"/>
      <c r="BR453" s="16"/>
      <c r="BS453" s="16"/>
      <c r="BT453" s="27"/>
      <c r="BV453" s="27"/>
      <c r="BW453" s="16"/>
      <c r="BX453" s="16"/>
      <c r="BY453" s="27"/>
      <c r="CA453" s="27"/>
      <c r="CB453" s="16"/>
      <c r="CC453" s="16"/>
      <c r="CD453" s="27"/>
      <c r="CF453" s="27"/>
      <c r="CG453" s="16"/>
      <c r="CH453" s="16"/>
      <c r="CI453" s="27"/>
      <c r="CK453" s="27"/>
      <c r="CL453" s="16"/>
      <c r="CM453" s="16"/>
      <c r="CN453" s="27"/>
      <c r="CP453" s="27"/>
      <c r="CQ453" s="16"/>
      <c r="CR453" s="16"/>
      <c r="CS453" s="27"/>
      <c r="CU453" s="27"/>
      <c r="CV453" s="16"/>
      <c r="CW453" s="16"/>
      <c r="CX453" s="27"/>
      <c r="CZ453" s="27"/>
      <c r="DA453" s="16"/>
      <c r="DB453" s="16"/>
      <c r="DC453" s="27"/>
      <c r="DE453" s="27"/>
      <c r="DF453" s="16"/>
      <c r="DG453" s="16"/>
      <c r="DH453" s="27"/>
      <c r="DJ453" s="27"/>
      <c r="DK453" s="16"/>
      <c r="DL453" s="16"/>
      <c r="DM453" s="27"/>
      <c r="DO453" s="27"/>
      <c r="DP453" s="16"/>
      <c r="DQ453" s="16"/>
      <c r="DR453" s="27"/>
      <c r="DT453" s="27"/>
      <c r="DU453" s="16"/>
      <c r="DV453" s="16"/>
      <c r="DW453" s="27"/>
      <c r="DY453" s="27"/>
      <c r="DZ453" s="16"/>
      <c r="EA453" s="16"/>
      <c r="EB453" s="302"/>
    </row>
    <row r="454" spans="1:132" s="14" customFormat="1" ht="21" x14ac:dyDescent="0.4">
      <c r="A454" s="27"/>
      <c r="B454" s="27"/>
      <c r="C454" s="27"/>
      <c r="E454" s="16"/>
      <c r="F454" s="27"/>
      <c r="G454" s="27"/>
      <c r="I454" s="27"/>
      <c r="J454" s="16"/>
      <c r="K454" s="16"/>
      <c r="L454" s="27"/>
      <c r="N454" s="27"/>
      <c r="O454" s="16"/>
      <c r="P454" s="16"/>
      <c r="Q454" s="27"/>
      <c r="S454" s="27"/>
      <c r="T454" s="16"/>
      <c r="U454" s="16"/>
      <c r="V454" s="27"/>
      <c r="X454" s="27"/>
      <c r="Y454" s="16"/>
      <c r="Z454" s="16"/>
      <c r="AA454" s="27"/>
      <c r="AC454" s="27"/>
      <c r="AD454" s="16"/>
      <c r="AE454" s="16"/>
      <c r="AF454" s="27"/>
      <c r="AH454" s="27"/>
      <c r="AI454" s="16"/>
      <c r="AJ454" s="16"/>
      <c r="AK454" s="27"/>
      <c r="AM454" s="27"/>
      <c r="AN454" s="16"/>
      <c r="AO454" s="16"/>
      <c r="AP454" s="27"/>
      <c r="AR454" s="27"/>
      <c r="AS454" s="16"/>
      <c r="AT454" s="16"/>
      <c r="AU454" s="27"/>
      <c r="AW454" s="27"/>
      <c r="AX454" s="16"/>
      <c r="AY454" s="16"/>
      <c r="AZ454" s="27"/>
      <c r="BB454" s="27"/>
      <c r="BC454" s="16"/>
      <c r="BD454" s="16"/>
      <c r="BE454" s="27"/>
      <c r="BG454" s="27"/>
      <c r="BH454" s="16"/>
      <c r="BI454" s="16"/>
      <c r="BJ454" s="27"/>
      <c r="BL454" s="27"/>
      <c r="BM454" s="16"/>
      <c r="BN454" s="16"/>
      <c r="BO454" s="27"/>
      <c r="BQ454" s="27"/>
      <c r="BR454" s="16"/>
      <c r="BS454" s="16"/>
      <c r="BT454" s="27"/>
      <c r="BV454" s="27"/>
      <c r="BW454" s="16"/>
      <c r="BX454" s="16"/>
      <c r="BY454" s="27"/>
      <c r="CA454" s="27"/>
      <c r="CB454" s="16"/>
      <c r="CC454" s="16"/>
      <c r="CD454" s="27"/>
      <c r="CF454" s="27"/>
      <c r="CG454" s="16"/>
      <c r="CH454" s="16"/>
      <c r="CI454" s="27"/>
      <c r="CK454" s="27"/>
      <c r="CL454" s="16"/>
      <c r="CM454" s="16"/>
      <c r="CN454" s="27"/>
      <c r="CP454" s="27"/>
      <c r="CQ454" s="16"/>
      <c r="CR454" s="16"/>
      <c r="CS454" s="27"/>
      <c r="CU454" s="27"/>
      <c r="CV454" s="16"/>
      <c r="CW454" s="16"/>
      <c r="CX454" s="27"/>
      <c r="CZ454" s="27"/>
      <c r="DA454" s="16"/>
      <c r="DB454" s="16"/>
      <c r="DC454" s="27"/>
      <c r="DE454" s="27"/>
      <c r="DF454" s="16"/>
      <c r="DG454" s="16"/>
      <c r="DH454" s="27"/>
      <c r="DJ454" s="27"/>
      <c r="DK454" s="16"/>
      <c r="DL454" s="16"/>
      <c r="DM454" s="27"/>
      <c r="DO454" s="27"/>
      <c r="DP454" s="16"/>
      <c r="DQ454" s="16"/>
      <c r="DR454" s="27"/>
      <c r="DT454" s="27"/>
      <c r="DU454" s="16"/>
      <c r="DV454" s="16"/>
      <c r="DW454" s="27"/>
      <c r="DY454" s="27"/>
      <c r="DZ454" s="16"/>
      <c r="EA454" s="16"/>
      <c r="EB454" s="302"/>
    </row>
    <row r="455" spans="1:132" s="14" customFormat="1" ht="21" x14ac:dyDescent="0.4">
      <c r="A455" s="27"/>
      <c r="B455" s="27"/>
      <c r="C455" s="27"/>
      <c r="E455" s="16"/>
      <c r="F455" s="27"/>
      <c r="G455" s="27"/>
      <c r="I455" s="27"/>
      <c r="J455" s="16"/>
      <c r="K455" s="16"/>
      <c r="L455" s="27"/>
      <c r="N455" s="27"/>
      <c r="O455" s="16"/>
      <c r="P455" s="16"/>
      <c r="Q455" s="27"/>
      <c r="S455" s="27"/>
      <c r="T455" s="16"/>
      <c r="U455" s="16"/>
      <c r="V455" s="27"/>
      <c r="X455" s="27"/>
      <c r="Y455" s="16"/>
      <c r="Z455" s="16"/>
      <c r="AA455" s="27"/>
      <c r="AC455" s="27"/>
      <c r="AD455" s="16"/>
      <c r="AE455" s="16"/>
      <c r="AF455" s="27"/>
      <c r="AH455" s="27"/>
      <c r="AI455" s="16"/>
      <c r="AJ455" s="16"/>
      <c r="AK455" s="27"/>
      <c r="AM455" s="27"/>
      <c r="AN455" s="16"/>
      <c r="AO455" s="16"/>
      <c r="AP455" s="27"/>
      <c r="AR455" s="27"/>
      <c r="AS455" s="16"/>
      <c r="AT455" s="16"/>
      <c r="AU455" s="27"/>
      <c r="AW455" s="27"/>
      <c r="AX455" s="16"/>
      <c r="AY455" s="16"/>
      <c r="AZ455" s="27"/>
      <c r="BB455" s="27"/>
      <c r="BC455" s="16"/>
      <c r="BD455" s="16"/>
      <c r="BE455" s="27"/>
      <c r="BG455" s="27"/>
      <c r="BH455" s="16"/>
      <c r="BI455" s="16"/>
      <c r="BJ455" s="27"/>
      <c r="BL455" s="27"/>
      <c r="BM455" s="16"/>
      <c r="BN455" s="16"/>
      <c r="BO455" s="27"/>
      <c r="BQ455" s="27"/>
      <c r="BR455" s="16"/>
      <c r="BS455" s="16"/>
      <c r="BT455" s="27"/>
      <c r="BV455" s="27"/>
      <c r="BW455" s="16"/>
      <c r="BX455" s="16"/>
      <c r="BY455" s="27"/>
      <c r="CA455" s="27"/>
      <c r="CB455" s="16"/>
      <c r="CC455" s="16"/>
      <c r="CD455" s="27"/>
      <c r="CF455" s="27"/>
      <c r="CG455" s="16"/>
      <c r="CH455" s="16"/>
      <c r="CI455" s="27"/>
      <c r="CK455" s="27"/>
      <c r="CL455" s="16"/>
      <c r="CM455" s="16"/>
      <c r="CN455" s="27"/>
      <c r="CP455" s="27"/>
      <c r="CQ455" s="16"/>
      <c r="CR455" s="16"/>
      <c r="CS455" s="27"/>
      <c r="CU455" s="27"/>
      <c r="CV455" s="16"/>
      <c r="CW455" s="16"/>
      <c r="CX455" s="27"/>
      <c r="CZ455" s="27"/>
      <c r="DA455" s="16"/>
      <c r="DB455" s="16"/>
      <c r="DC455" s="27"/>
      <c r="DE455" s="27"/>
      <c r="DF455" s="16"/>
      <c r="DG455" s="16"/>
      <c r="DH455" s="27"/>
      <c r="DJ455" s="27"/>
      <c r="DK455" s="16"/>
      <c r="DL455" s="16"/>
      <c r="DM455" s="27"/>
      <c r="DO455" s="27"/>
      <c r="DP455" s="16"/>
      <c r="DQ455" s="16"/>
      <c r="DR455" s="27"/>
      <c r="DT455" s="27"/>
      <c r="DU455" s="16"/>
      <c r="DV455" s="16"/>
      <c r="DW455" s="27"/>
      <c r="DY455" s="27"/>
      <c r="DZ455" s="16"/>
      <c r="EA455" s="16"/>
      <c r="EB455" s="302"/>
    </row>
    <row r="456" spans="1:132" s="14" customFormat="1" ht="21" x14ac:dyDescent="0.4">
      <c r="A456" s="27"/>
      <c r="B456" s="27"/>
      <c r="C456" s="27"/>
      <c r="E456" s="16"/>
      <c r="F456" s="27"/>
      <c r="G456" s="27"/>
      <c r="I456" s="27"/>
      <c r="J456" s="16"/>
      <c r="K456" s="16"/>
      <c r="L456" s="27"/>
      <c r="N456" s="27"/>
      <c r="O456" s="16"/>
      <c r="P456" s="16"/>
      <c r="Q456" s="27"/>
      <c r="S456" s="27"/>
      <c r="T456" s="16"/>
      <c r="U456" s="16"/>
      <c r="V456" s="27"/>
      <c r="X456" s="27"/>
      <c r="Y456" s="16"/>
      <c r="Z456" s="16"/>
      <c r="AA456" s="27"/>
      <c r="AC456" s="27"/>
      <c r="AD456" s="16"/>
      <c r="AE456" s="16"/>
      <c r="AF456" s="27"/>
      <c r="AH456" s="27"/>
      <c r="AI456" s="16"/>
      <c r="AJ456" s="16"/>
      <c r="AK456" s="27"/>
      <c r="AM456" s="27"/>
      <c r="AN456" s="16"/>
      <c r="AO456" s="16"/>
      <c r="AP456" s="27"/>
      <c r="AR456" s="27"/>
      <c r="AS456" s="16"/>
      <c r="AT456" s="16"/>
      <c r="AU456" s="27"/>
      <c r="AW456" s="27"/>
      <c r="AX456" s="16"/>
      <c r="AY456" s="16"/>
      <c r="AZ456" s="27"/>
      <c r="BB456" s="27"/>
      <c r="BC456" s="16"/>
      <c r="BD456" s="16"/>
      <c r="BE456" s="27"/>
      <c r="BG456" s="27"/>
      <c r="BH456" s="16"/>
      <c r="BI456" s="16"/>
      <c r="BJ456" s="27"/>
      <c r="BL456" s="27"/>
      <c r="BM456" s="16"/>
      <c r="BN456" s="16"/>
      <c r="BO456" s="27"/>
      <c r="BQ456" s="27"/>
      <c r="BR456" s="16"/>
      <c r="BS456" s="16"/>
      <c r="BT456" s="27"/>
      <c r="BV456" s="27"/>
      <c r="BW456" s="16"/>
      <c r="BX456" s="16"/>
      <c r="BY456" s="27"/>
      <c r="CA456" s="27"/>
      <c r="CB456" s="16"/>
      <c r="CC456" s="16"/>
      <c r="CD456" s="27"/>
      <c r="CF456" s="27"/>
      <c r="CG456" s="16"/>
      <c r="CH456" s="16"/>
      <c r="CI456" s="27"/>
      <c r="CK456" s="27"/>
      <c r="CL456" s="16"/>
      <c r="CM456" s="16"/>
      <c r="CN456" s="27"/>
      <c r="CP456" s="27"/>
      <c r="CQ456" s="16"/>
      <c r="CR456" s="16"/>
      <c r="CS456" s="27"/>
      <c r="CU456" s="27"/>
      <c r="CV456" s="16"/>
      <c r="CW456" s="16"/>
      <c r="CX456" s="27"/>
      <c r="CZ456" s="27"/>
      <c r="DA456" s="16"/>
      <c r="DB456" s="16"/>
      <c r="DC456" s="27"/>
      <c r="DE456" s="27"/>
      <c r="DF456" s="16"/>
      <c r="DG456" s="16"/>
      <c r="DH456" s="27"/>
      <c r="DJ456" s="27"/>
      <c r="DK456" s="16"/>
      <c r="DL456" s="16"/>
      <c r="DM456" s="27"/>
      <c r="DO456" s="27"/>
      <c r="DP456" s="16"/>
      <c r="DQ456" s="16"/>
      <c r="DR456" s="27"/>
      <c r="DT456" s="27"/>
      <c r="DU456" s="16"/>
      <c r="DV456" s="16"/>
      <c r="DW456" s="27"/>
      <c r="DY456" s="27"/>
      <c r="DZ456" s="16"/>
      <c r="EA456" s="16"/>
      <c r="EB456" s="302"/>
    </row>
    <row r="457" spans="1:132" s="14" customFormat="1" ht="21" x14ac:dyDescent="0.4">
      <c r="A457" s="27"/>
      <c r="B457" s="27"/>
      <c r="C457" s="27"/>
      <c r="E457" s="16"/>
      <c r="F457" s="27"/>
      <c r="G457" s="27"/>
      <c r="I457" s="27"/>
      <c r="J457" s="16"/>
      <c r="K457" s="16"/>
      <c r="L457" s="27"/>
      <c r="N457" s="27"/>
      <c r="O457" s="16"/>
      <c r="P457" s="16"/>
      <c r="Q457" s="27"/>
      <c r="S457" s="27"/>
      <c r="T457" s="16"/>
      <c r="U457" s="16"/>
      <c r="V457" s="27"/>
      <c r="X457" s="27"/>
      <c r="Y457" s="16"/>
      <c r="Z457" s="16"/>
      <c r="AA457" s="27"/>
      <c r="AC457" s="27"/>
      <c r="AD457" s="16"/>
      <c r="AE457" s="16"/>
      <c r="AF457" s="27"/>
      <c r="AH457" s="27"/>
      <c r="AI457" s="16"/>
      <c r="AJ457" s="16"/>
      <c r="AK457" s="27"/>
      <c r="AM457" s="27"/>
      <c r="AN457" s="16"/>
      <c r="AO457" s="16"/>
      <c r="AP457" s="27"/>
      <c r="AR457" s="27"/>
      <c r="AS457" s="16"/>
      <c r="AT457" s="16"/>
      <c r="AU457" s="27"/>
      <c r="AW457" s="27"/>
      <c r="AX457" s="16"/>
      <c r="AY457" s="16"/>
      <c r="AZ457" s="27"/>
      <c r="BB457" s="27"/>
      <c r="BC457" s="16"/>
      <c r="BD457" s="16"/>
      <c r="BE457" s="27"/>
      <c r="BG457" s="27"/>
      <c r="BH457" s="16"/>
      <c r="BI457" s="16"/>
      <c r="BJ457" s="27"/>
      <c r="BL457" s="27"/>
      <c r="BM457" s="16"/>
      <c r="BN457" s="16"/>
      <c r="BO457" s="27"/>
      <c r="BQ457" s="27"/>
      <c r="BR457" s="16"/>
      <c r="BS457" s="16"/>
      <c r="BT457" s="27"/>
      <c r="BV457" s="27"/>
      <c r="BW457" s="16"/>
      <c r="BX457" s="16"/>
      <c r="BY457" s="27"/>
      <c r="CA457" s="27"/>
      <c r="CB457" s="16"/>
      <c r="CC457" s="16"/>
      <c r="CD457" s="27"/>
      <c r="CF457" s="27"/>
      <c r="CG457" s="16"/>
      <c r="CH457" s="16"/>
      <c r="CI457" s="27"/>
      <c r="CK457" s="27"/>
      <c r="CL457" s="16"/>
      <c r="CM457" s="16"/>
      <c r="CN457" s="27"/>
      <c r="CP457" s="27"/>
      <c r="CQ457" s="16"/>
      <c r="CR457" s="16"/>
      <c r="CS457" s="27"/>
      <c r="CU457" s="27"/>
      <c r="CV457" s="16"/>
      <c r="CW457" s="16"/>
      <c r="CX457" s="27"/>
      <c r="CZ457" s="27"/>
      <c r="DA457" s="16"/>
      <c r="DB457" s="16"/>
      <c r="DC457" s="27"/>
      <c r="DE457" s="27"/>
      <c r="DF457" s="16"/>
      <c r="DG457" s="16"/>
      <c r="DH457" s="27"/>
      <c r="DJ457" s="27"/>
      <c r="DK457" s="16"/>
      <c r="DL457" s="16"/>
      <c r="DM457" s="27"/>
      <c r="DO457" s="27"/>
      <c r="DP457" s="16"/>
      <c r="DQ457" s="16"/>
      <c r="DR457" s="27"/>
      <c r="DT457" s="27"/>
      <c r="DU457" s="16"/>
      <c r="DV457" s="16"/>
      <c r="DW457" s="27"/>
      <c r="DY457" s="27"/>
      <c r="DZ457" s="16"/>
      <c r="EA457" s="16"/>
      <c r="EB457" s="302"/>
    </row>
    <row r="458" spans="1:132" s="14" customFormat="1" ht="21" x14ac:dyDescent="0.4">
      <c r="A458" s="27"/>
      <c r="B458" s="27"/>
      <c r="C458" s="27"/>
      <c r="E458" s="16"/>
      <c r="F458" s="27"/>
      <c r="G458" s="27"/>
      <c r="I458" s="27"/>
      <c r="J458" s="16"/>
      <c r="K458" s="16"/>
      <c r="L458" s="27"/>
      <c r="N458" s="27"/>
      <c r="O458" s="16"/>
      <c r="P458" s="16"/>
      <c r="Q458" s="27"/>
      <c r="S458" s="27"/>
      <c r="T458" s="16"/>
      <c r="U458" s="16"/>
      <c r="V458" s="27"/>
      <c r="X458" s="27"/>
      <c r="Y458" s="16"/>
      <c r="Z458" s="16"/>
      <c r="AA458" s="27"/>
      <c r="AC458" s="27"/>
      <c r="AD458" s="16"/>
      <c r="AE458" s="16"/>
      <c r="AF458" s="27"/>
      <c r="AH458" s="27"/>
      <c r="AI458" s="16"/>
      <c r="AJ458" s="16"/>
      <c r="AK458" s="27"/>
      <c r="AM458" s="27"/>
      <c r="AN458" s="16"/>
      <c r="AO458" s="16"/>
      <c r="AP458" s="27"/>
      <c r="AR458" s="27"/>
      <c r="AS458" s="16"/>
      <c r="AT458" s="16"/>
      <c r="AU458" s="27"/>
      <c r="AW458" s="27"/>
      <c r="AX458" s="16"/>
      <c r="AY458" s="16"/>
      <c r="AZ458" s="27"/>
      <c r="BB458" s="27"/>
      <c r="BC458" s="16"/>
      <c r="BD458" s="16"/>
      <c r="BE458" s="27"/>
      <c r="BG458" s="27"/>
      <c r="BH458" s="16"/>
      <c r="BI458" s="16"/>
      <c r="BJ458" s="27"/>
      <c r="BL458" s="27"/>
      <c r="BM458" s="16"/>
      <c r="BN458" s="16"/>
      <c r="BO458" s="27"/>
      <c r="BQ458" s="27"/>
      <c r="BR458" s="16"/>
      <c r="BS458" s="16"/>
      <c r="BT458" s="27"/>
      <c r="BV458" s="27"/>
      <c r="BW458" s="16"/>
      <c r="BX458" s="16"/>
      <c r="BY458" s="27"/>
      <c r="CA458" s="27"/>
      <c r="CB458" s="16"/>
      <c r="CC458" s="16"/>
      <c r="CD458" s="27"/>
      <c r="CF458" s="27"/>
      <c r="CG458" s="16"/>
      <c r="CH458" s="16"/>
      <c r="CI458" s="27"/>
      <c r="CK458" s="27"/>
      <c r="CL458" s="16"/>
      <c r="CM458" s="16"/>
      <c r="CN458" s="27"/>
      <c r="CP458" s="27"/>
      <c r="CQ458" s="16"/>
      <c r="CR458" s="16"/>
      <c r="CS458" s="27"/>
      <c r="CU458" s="27"/>
      <c r="CV458" s="16"/>
      <c r="CW458" s="16"/>
      <c r="CX458" s="27"/>
      <c r="CZ458" s="27"/>
      <c r="DA458" s="16"/>
      <c r="DB458" s="16"/>
      <c r="DC458" s="27"/>
      <c r="DE458" s="27"/>
      <c r="DF458" s="16"/>
      <c r="DG458" s="16"/>
      <c r="DH458" s="27"/>
      <c r="DJ458" s="27"/>
      <c r="DK458" s="16"/>
      <c r="DL458" s="16"/>
      <c r="DM458" s="27"/>
      <c r="DO458" s="27"/>
      <c r="DP458" s="16"/>
      <c r="DQ458" s="16"/>
      <c r="DR458" s="27"/>
      <c r="DT458" s="27"/>
      <c r="DU458" s="16"/>
      <c r="DV458" s="16"/>
      <c r="DW458" s="27"/>
      <c r="DY458" s="27"/>
      <c r="DZ458" s="16"/>
      <c r="EA458" s="16"/>
      <c r="EB458" s="302"/>
    </row>
    <row r="459" spans="1:132" s="14" customFormat="1" ht="21" x14ac:dyDescent="0.4">
      <c r="A459" s="27"/>
      <c r="B459" s="27"/>
      <c r="C459" s="27"/>
      <c r="E459" s="16"/>
      <c r="F459" s="27"/>
      <c r="G459" s="27"/>
      <c r="I459" s="27"/>
      <c r="J459" s="16"/>
      <c r="K459" s="16"/>
      <c r="L459" s="27"/>
      <c r="N459" s="27"/>
      <c r="O459" s="16"/>
      <c r="P459" s="16"/>
      <c r="Q459" s="27"/>
      <c r="S459" s="27"/>
      <c r="T459" s="16"/>
      <c r="U459" s="16"/>
      <c r="V459" s="27"/>
      <c r="X459" s="27"/>
      <c r="Y459" s="16"/>
      <c r="Z459" s="16"/>
      <c r="AA459" s="27"/>
      <c r="AC459" s="27"/>
      <c r="AD459" s="16"/>
      <c r="AE459" s="16"/>
      <c r="AF459" s="27"/>
      <c r="AH459" s="27"/>
      <c r="AI459" s="16"/>
      <c r="AJ459" s="16"/>
      <c r="AK459" s="27"/>
      <c r="AM459" s="27"/>
      <c r="AN459" s="16"/>
      <c r="AO459" s="16"/>
      <c r="AP459" s="27"/>
      <c r="AR459" s="27"/>
      <c r="AS459" s="16"/>
      <c r="AT459" s="16"/>
      <c r="AU459" s="27"/>
      <c r="AW459" s="27"/>
      <c r="AX459" s="16"/>
      <c r="AY459" s="16"/>
      <c r="AZ459" s="27"/>
      <c r="BB459" s="27"/>
      <c r="BC459" s="16"/>
      <c r="BD459" s="16"/>
      <c r="BE459" s="27"/>
      <c r="BG459" s="27"/>
      <c r="BH459" s="16"/>
      <c r="BI459" s="16"/>
      <c r="BJ459" s="27"/>
      <c r="BL459" s="27"/>
      <c r="BM459" s="16"/>
      <c r="BN459" s="16"/>
      <c r="BO459" s="27"/>
      <c r="BQ459" s="27"/>
      <c r="BR459" s="16"/>
      <c r="BS459" s="16"/>
      <c r="BT459" s="27"/>
      <c r="BV459" s="27"/>
      <c r="BW459" s="16"/>
      <c r="BX459" s="16"/>
      <c r="BY459" s="27"/>
      <c r="CA459" s="27"/>
      <c r="CB459" s="16"/>
      <c r="CC459" s="16"/>
      <c r="CD459" s="27"/>
      <c r="CF459" s="27"/>
      <c r="CG459" s="16"/>
      <c r="CH459" s="16"/>
      <c r="CI459" s="27"/>
      <c r="CK459" s="27"/>
      <c r="CL459" s="16"/>
      <c r="CM459" s="16"/>
      <c r="CN459" s="27"/>
      <c r="CP459" s="27"/>
      <c r="CQ459" s="16"/>
      <c r="CR459" s="16"/>
      <c r="CS459" s="27"/>
      <c r="CU459" s="27"/>
      <c r="CV459" s="16"/>
      <c r="CW459" s="16"/>
      <c r="CX459" s="27"/>
      <c r="CZ459" s="27"/>
      <c r="DA459" s="16"/>
      <c r="DB459" s="16"/>
      <c r="DC459" s="27"/>
      <c r="DE459" s="27"/>
      <c r="DF459" s="16"/>
      <c r="DG459" s="16"/>
      <c r="DH459" s="27"/>
      <c r="DJ459" s="27"/>
      <c r="DK459" s="16"/>
      <c r="DL459" s="16"/>
      <c r="DM459" s="27"/>
      <c r="DO459" s="27"/>
      <c r="DP459" s="16"/>
      <c r="DQ459" s="16"/>
      <c r="DR459" s="27"/>
      <c r="DT459" s="27"/>
      <c r="DU459" s="16"/>
      <c r="DV459" s="16"/>
      <c r="DW459" s="27"/>
      <c r="DY459" s="27"/>
      <c r="DZ459" s="16"/>
      <c r="EA459" s="16"/>
      <c r="EB459" s="302"/>
    </row>
    <row r="460" spans="1:132" s="14" customFormat="1" ht="21" x14ac:dyDescent="0.4">
      <c r="A460" s="27"/>
      <c r="B460" s="27"/>
      <c r="C460" s="27"/>
      <c r="E460" s="16"/>
      <c r="F460" s="27"/>
      <c r="G460" s="27"/>
      <c r="I460" s="27"/>
      <c r="J460" s="16"/>
      <c r="K460" s="16"/>
      <c r="L460" s="27"/>
      <c r="N460" s="27"/>
      <c r="O460" s="16"/>
      <c r="P460" s="16"/>
      <c r="Q460" s="27"/>
      <c r="S460" s="27"/>
      <c r="T460" s="16"/>
      <c r="U460" s="16"/>
      <c r="V460" s="27"/>
      <c r="X460" s="27"/>
      <c r="Y460" s="16"/>
      <c r="Z460" s="16"/>
      <c r="AA460" s="27"/>
      <c r="AC460" s="27"/>
      <c r="AD460" s="16"/>
      <c r="AE460" s="16"/>
      <c r="AF460" s="27"/>
      <c r="AH460" s="27"/>
      <c r="AI460" s="16"/>
      <c r="AJ460" s="16"/>
      <c r="AK460" s="27"/>
      <c r="AM460" s="27"/>
      <c r="AN460" s="16"/>
      <c r="AO460" s="16"/>
      <c r="AP460" s="27"/>
      <c r="AR460" s="27"/>
      <c r="AS460" s="16"/>
      <c r="AT460" s="16"/>
      <c r="AU460" s="27"/>
      <c r="AW460" s="27"/>
      <c r="AX460" s="16"/>
      <c r="AY460" s="16"/>
      <c r="AZ460" s="27"/>
      <c r="BB460" s="27"/>
      <c r="BC460" s="16"/>
      <c r="BD460" s="16"/>
      <c r="BE460" s="27"/>
      <c r="BG460" s="27"/>
      <c r="BH460" s="16"/>
      <c r="BI460" s="16"/>
      <c r="BJ460" s="27"/>
      <c r="BL460" s="27"/>
      <c r="BM460" s="16"/>
      <c r="BN460" s="16"/>
      <c r="BO460" s="27"/>
      <c r="BQ460" s="27"/>
      <c r="BR460" s="16"/>
      <c r="BS460" s="16"/>
      <c r="BT460" s="27"/>
      <c r="BV460" s="27"/>
      <c r="BW460" s="16"/>
      <c r="BX460" s="16"/>
      <c r="BY460" s="27"/>
      <c r="CA460" s="27"/>
      <c r="CB460" s="16"/>
      <c r="CC460" s="16"/>
      <c r="CD460" s="27"/>
      <c r="CF460" s="27"/>
      <c r="CG460" s="16"/>
      <c r="CH460" s="16"/>
      <c r="CI460" s="27"/>
      <c r="CK460" s="27"/>
      <c r="CL460" s="16"/>
      <c r="CM460" s="16"/>
      <c r="CN460" s="27"/>
      <c r="CP460" s="27"/>
      <c r="CQ460" s="16"/>
      <c r="CR460" s="16"/>
      <c r="CS460" s="27"/>
      <c r="CU460" s="27"/>
      <c r="CV460" s="16"/>
      <c r="CW460" s="16"/>
      <c r="CX460" s="27"/>
      <c r="CZ460" s="27"/>
      <c r="DA460" s="16"/>
      <c r="DB460" s="16"/>
      <c r="DC460" s="27"/>
      <c r="DE460" s="27"/>
      <c r="DF460" s="16"/>
      <c r="DG460" s="16"/>
      <c r="DH460" s="27"/>
      <c r="DJ460" s="27"/>
      <c r="DK460" s="16"/>
      <c r="DL460" s="16"/>
      <c r="DM460" s="27"/>
      <c r="DO460" s="27"/>
      <c r="DP460" s="16"/>
      <c r="DQ460" s="16"/>
      <c r="DR460" s="27"/>
      <c r="DT460" s="27"/>
      <c r="DU460" s="16"/>
      <c r="DV460" s="16"/>
      <c r="DW460" s="27"/>
      <c r="DY460" s="27"/>
      <c r="DZ460" s="16"/>
      <c r="EA460" s="16"/>
      <c r="EB460" s="302"/>
    </row>
    <row r="461" spans="1:132" s="14" customFormat="1" ht="21" x14ac:dyDescent="0.4">
      <c r="A461" s="27"/>
      <c r="B461" s="27"/>
      <c r="C461" s="27"/>
      <c r="E461" s="16"/>
      <c r="F461" s="27"/>
      <c r="G461" s="27"/>
      <c r="I461" s="27"/>
      <c r="J461" s="16"/>
      <c r="K461" s="16"/>
      <c r="L461" s="27"/>
      <c r="N461" s="27"/>
      <c r="O461" s="16"/>
      <c r="P461" s="16"/>
      <c r="Q461" s="27"/>
      <c r="S461" s="27"/>
      <c r="T461" s="16"/>
      <c r="U461" s="16"/>
      <c r="V461" s="27"/>
      <c r="X461" s="27"/>
      <c r="Y461" s="16"/>
      <c r="Z461" s="16"/>
      <c r="AA461" s="27"/>
      <c r="AC461" s="27"/>
      <c r="AD461" s="16"/>
      <c r="AE461" s="16"/>
      <c r="AF461" s="27"/>
      <c r="AH461" s="27"/>
      <c r="AI461" s="16"/>
      <c r="AJ461" s="16"/>
      <c r="AK461" s="27"/>
      <c r="AM461" s="27"/>
      <c r="AN461" s="16"/>
      <c r="AO461" s="16"/>
      <c r="AP461" s="27"/>
      <c r="AR461" s="27"/>
      <c r="AS461" s="16"/>
      <c r="AT461" s="16"/>
      <c r="AU461" s="27"/>
      <c r="AW461" s="27"/>
      <c r="AX461" s="16"/>
      <c r="AY461" s="16"/>
      <c r="AZ461" s="27"/>
      <c r="BB461" s="27"/>
      <c r="BC461" s="16"/>
      <c r="BD461" s="16"/>
      <c r="BE461" s="27"/>
      <c r="BG461" s="27"/>
      <c r="BH461" s="16"/>
      <c r="BI461" s="16"/>
      <c r="BJ461" s="27"/>
      <c r="BL461" s="27"/>
      <c r="BM461" s="16"/>
      <c r="BN461" s="16"/>
      <c r="BO461" s="27"/>
      <c r="BQ461" s="27"/>
      <c r="BR461" s="16"/>
      <c r="BS461" s="16"/>
      <c r="BT461" s="27"/>
      <c r="BV461" s="27"/>
      <c r="BW461" s="16"/>
      <c r="BX461" s="16"/>
      <c r="BY461" s="27"/>
      <c r="CA461" s="27"/>
      <c r="CB461" s="16"/>
      <c r="CC461" s="16"/>
      <c r="CD461" s="27"/>
      <c r="CF461" s="27"/>
      <c r="CG461" s="16"/>
      <c r="CH461" s="16"/>
      <c r="CI461" s="27"/>
      <c r="CK461" s="27"/>
      <c r="CL461" s="16"/>
      <c r="CM461" s="16"/>
      <c r="CN461" s="27"/>
      <c r="CP461" s="27"/>
      <c r="CQ461" s="16"/>
      <c r="CR461" s="16"/>
      <c r="CS461" s="27"/>
      <c r="CU461" s="27"/>
      <c r="CV461" s="16"/>
      <c r="CW461" s="16"/>
      <c r="CX461" s="27"/>
      <c r="CZ461" s="27"/>
      <c r="DA461" s="16"/>
      <c r="DB461" s="16"/>
      <c r="DC461" s="27"/>
      <c r="DE461" s="27"/>
      <c r="DF461" s="16"/>
      <c r="DG461" s="16"/>
      <c r="DH461" s="27"/>
      <c r="DJ461" s="27"/>
      <c r="DK461" s="16"/>
      <c r="DL461" s="16"/>
      <c r="DM461" s="27"/>
      <c r="DO461" s="27"/>
      <c r="DP461" s="16"/>
      <c r="DQ461" s="16"/>
      <c r="DR461" s="27"/>
      <c r="DT461" s="27"/>
      <c r="DU461" s="16"/>
      <c r="DV461" s="16"/>
      <c r="DW461" s="27"/>
      <c r="DY461" s="27"/>
      <c r="DZ461" s="16"/>
      <c r="EA461" s="16"/>
      <c r="EB461" s="302"/>
    </row>
    <row r="462" spans="1:132" s="14" customFormat="1" ht="21" x14ac:dyDescent="0.4">
      <c r="A462" s="27"/>
      <c r="B462" s="27"/>
      <c r="C462" s="27"/>
      <c r="E462" s="16"/>
      <c r="F462" s="27"/>
      <c r="G462" s="27"/>
      <c r="I462" s="27"/>
      <c r="J462" s="16"/>
      <c r="K462" s="16"/>
      <c r="L462" s="27"/>
      <c r="N462" s="27"/>
      <c r="O462" s="16"/>
      <c r="P462" s="16"/>
      <c r="Q462" s="27"/>
      <c r="S462" s="27"/>
      <c r="T462" s="16"/>
      <c r="U462" s="16"/>
      <c r="V462" s="27"/>
      <c r="X462" s="27"/>
      <c r="Y462" s="16"/>
      <c r="Z462" s="16"/>
      <c r="AA462" s="27"/>
      <c r="AC462" s="27"/>
      <c r="AD462" s="16"/>
      <c r="AE462" s="16"/>
      <c r="AF462" s="27"/>
      <c r="AH462" s="27"/>
      <c r="AI462" s="16"/>
      <c r="AJ462" s="16"/>
      <c r="AK462" s="27"/>
      <c r="AM462" s="27"/>
      <c r="AN462" s="16"/>
      <c r="AO462" s="16"/>
      <c r="AP462" s="27"/>
      <c r="AR462" s="27"/>
      <c r="AS462" s="16"/>
      <c r="AT462" s="16"/>
      <c r="AU462" s="27"/>
      <c r="AW462" s="27"/>
      <c r="AX462" s="16"/>
      <c r="AY462" s="16"/>
      <c r="AZ462" s="27"/>
      <c r="BB462" s="27"/>
      <c r="BC462" s="16"/>
      <c r="BD462" s="16"/>
      <c r="BE462" s="27"/>
      <c r="BG462" s="27"/>
      <c r="BH462" s="16"/>
      <c r="BI462" s="16"/>
      <c r="BJ462" s="27"/>
      <c r="BL462" s="27"/>
      <c r="BM462" s="16"/>
      <c r="BN462" s="16"/>
      <c r="BO462" s="27"/>
      <c r="BQ462" s="27"/>
      <c r="BR462" s="16"/>
      <c r="BS462" s="16"/>
      <c r="BT462" s="27"/>
      <c r="BV462" s="27"/>
      <c r="BW462" s="16"/>
      <c r="BX462" s="16"/>
      <c r="BY462" s="27"/>
      <c r="CA462" s="27"/>
      <c r="CB462" s="16"/>
      <c r="CC462" s="16"/>
      <c r="CD462" s="27"/>
      <c r="CF462" s="27"/>
      <c r="CG462" s="16"/>
      <c r="CH462" s="16"/>
      <c r="CI462" s="27"/>
      <c r="CK462" s="27"/>
      <c r="CL462" s="16"/>
      <c r="CM462" s="16"/>
      <c r="CN462" s="27"/>
      <c r="CP462" s="27"/>
      <c r="CQ462" s="16"/>
      <c r="CR462" s="16"/>
      <c r="CS462" s="27"/>
      <c r="CU462" s="27"/>
      <c r="CV462" s="16"/>
      <c r="CW462" s="16"/>
      <c r="CX462" s="27"/>
      <c r="CZ462" s="27"/>
      <c r="DA462" s="16"/>
      <c r="DB462" s="16"/>
      <c r="DC462" s="27"/>
      <c r="DE462" s="27"/>
      <c r="DF462" s="16"/>
      <c r="DG462" s="16"/>
      <c r="DH462" s="27"/>
      <c r="DJ462" s="27"/>
      <c r="DK462" s="16"/>
      <c r="DL462" s="16"/>
      <c r="DM462" s="27"/>
      <c r="DO462" s="27"/>
      <c r="DP462" s="16"/>
      <c r="DQ462" s="16"/>
      <c r="DR462" s="27"/>
      <c r="DT462" s="27"/>
      <c r="DU462" s="16"/>
      <c r="DV462" s="16"/>
      <c r="DW462" s="27"/>
      <c r="DY462" s="27"/>
      <c r="DZ462" s="16"/>
      <c r="EA462" s="16"/>
      <c r="EB462" s="302"/>
    </row>
    <row r="463" spans="1:132" s="14" customFormat="1" ht="21" x14ac:dyDescent="0.4">
      <c r="A463" s="27"/>
      <c r="B463" s="27"/>
      <c r="C463" s="27"/>
      <c r="E463" s="16"/>
      <c r="F463" s="27"/>
      <c r="G463" s="27"/>
      <c r="I463" s="27"/>
      <c r="J463" s="16"/>
      <c r="K463" s="16"/>
      <c r="L463" s="27"/>
      <c r="N463" s="27"/>
      <c r="O463" s="16"/>
      <c r="P463" s="16"/>
      <c r="Q463" s="27"/>
      <c r="S463" s="27"/>
      <c r="T463" s="16"/>
      <c r="U463" s="16"/>
      <c r="V463" s="27"/>
      <c r="X463" s="27"/>
      <c r="Y463" s="16"/>
      <c r="Z463" s="16"/>
      <c r="AA463" s="27"/>
      <c r="AC463" s="27"/>
      <c r="AD463" s="16"/>
      <c r="AE463" s="16"/>
      <c r="AF463" s="27"/>
      <c r="AH463" s="27"/>
      <c r="AI463" s="16"/>
      <c r="AJ463" s="16"/>
      <c r="AK463" s="27"/>
      <c r="AM463" s="27"/>
      <c r="AN463" s="16"/>
      <c r="AO463" s="16"/>
      <c r="AP463" s="27"/>
      <c r="AR463" s="27"/>
      <c r="AS463" s="16"/>
      <c r="AT463" s="16"/>
      <c r="AU463" s="27"/>
      <c r="AW463" s="27"/>
      <c r="AX463" s="16"/>
      <c r="AY463" s="16"/>
      <c r="AZ463" s="27"/>
      <c r="BB463" s="27"/>
      <c r="BC463" s="16"/>
      <c r="BD463" s="16"/>
      <c r="BE463" s="27"/>
      <c r="BG463" s="27"/>
      <c r="BH463" s="16"/>
      <c r="BI463" s="16"/>
      <c r="BJ463" s="27"/>
      <c r="BL463" s="27"/>
      <c r="BM463" s="16"/>
      <c r="BN463" s="16"/>
      <c r="BO463" s="27"/>
      <c r="BQ463" s="27"/>
      <c r="BR463" s="16"/>
      <c r="BS463" s="16"/>
      <c r="BT463" s="27"/>
      <c r="BV463" s="27"/>
      <c r="BW463" s="16"/>
      <c r="BX463" s="16"/>
      <c r="BY463" s="27"/>
      <c r="CA463" s="27"/>
      <c r="CB463" s="16"/>
      <c r="CC463" s="16"/>
      <c r="CD463" s="27"/>
      <c r="CF463" s="27"/>
      <c r="CG463" s="16"/>
      <c r="CH463" s="16"/>
      <c r="CI463" s="27"/>
      <c r="CK463" s="27"/>
      <c r="CL463" s="16"/>
      <c r="CM463" s="16"/>
      <c r="CN463" s="27"/>
      <c r="CP463" s="27"/>
      <c r="CQ463" s="16"/>
      <c r="CR463" s="16"/>
      <c r="CS463" s="27"/>
      <c r="CU463" s="27"/>
      <c r="CV463" s="16"/>
      <c r="CW463" s="16"/>
      <c r="CX463" s="27"/>
      <c r="CZ463" s="27"/>
      <c r="DA463" s="16"/>
      <c r="DB463" s="16"/>
      <c r="DC463" s="27"/>
      <c r="DE463" s="27"/>
      <c r="DF463" s="16"/>
      <c r="DG463" s="16"/>
      <c r="DH463" s="27"/>
      <c r="DJ463" s="27"/>
      <c r="DK463" s="16"/>
      <c r="DL463" s="16"/>
      <c r="DM463" s="27"/>
      <c r="DO463" s="27"/>
      <c r="DP463" s="16"/>
      <c r="DQ463" s="16"/>
      <c r="DR463" s="27"/>
      <c r="DT463" s="27"/>
      <c r="DU463" s="16"/>
      <c r="DV463" s="16"/>
      <c r="DW463" s="27"/>
      <c r="DY463" s="27"/>
      <c r="DZ463" s="16"/>
      <c r="EA463" s="16"/>
      <c r="EB463" s="302"/>
    </row>
    <row r="464" spans="1:132" s="14" customFormat="1" ht="21" x14ac:dyDescent="0.4">
      <c r="A464" s="27"/>
      <c r="B464" s="27"/>
      <c r="C464" s="27"/>
      <c r="E464" s="16"/>
      <c r="F464" s="27"/>
      <c r="G464" s="27"/>
      <c r="I464" s="27"/>
      <c r="J464" s="16"/>
      <c r="K464" s="16"/>
      <c r="L464" s="27"/>
      <c r="N464" s="27"/>
      <c r="O464" s="16"/>
      <c r="P464" s="16"/>
      <c r="Q464" s="27"/>
      <c r="S464" s="27"/>
      <c r="T464" s="16"/>
      <c r="U464" s="16"/>
      <c r="V464" s="27"/>
      <c r="X464" s="27"/>
      <c r="Y464" s="16"/>
      <c r="Z464" s="16"/>
      <c r="AA464" s="27"/>
      <c r="AC464" s="27"/>
      <c r="AD464" s="16"/>
      <c r="AE464" s="16"/>
      <c r="AF464" s="27"/>
      <c r="AH464" s="27"/>
      <c r="AI464" s="16"/>
      <c r="AJ464" s="16"/>
      <c r="AK464" s="27"/>
      <c r="AM464" s="27"/>
      <c r="AN464" s="16"/>
      <c r="AO464" s="16"/>
      <c r="AP464" s="27"/>
      <c r="AR464" s="27"/>
      <c r="AS464" s="16"/>
      <c r="AT464" s="16"/>
      <c r="AU464" s="27"/>
      <c r="AW464" s="27"/>
      <c r="AX464" s="16"/>
      <c r="AY464" s="16"/>
      <c r="AZ464" s="27"/>
      <c r="BB464" s="27"/>
      <c r="BC464" s="16"/>
      <c r="BD464" s="16"/>
      <c r="BE464" s="27"/>
      <c r="BG464" s="27"/>
      <c r="BH464" s="16"/>
      <c r="BI464" s="16"/>
      <c r="BJ464" s="27"/>
      <c r="BL464" s="27"/>
      <c r="BM464" s="16"/>
      <c r="BN464" s="16"/>
      <c r="BO464" s="27"/>
      <c r="BQ464" s="27"/>
      <c r="BR464" s="16"/>
      <c r="BS464" s="16"/>
      <c r="BT464" s="27"/>
      <c r="BV464" s="27"/>
      <c r="BW464" s="16"/>
      <c r="BX464" s="16"/>
      <c r="BY464" s="27"/>
      <c r="CA464" s="27"/>
      <c r="CB464" s="16"/>
      <c r="CC464" s="16"/>
      <c r="CD464" s="27"/>
      <c r="CF464" s="27"/>
      <c r="CG464" s="16"/>
      <c r="CH464" s="16"/>
      <c r="CI464" s="27"/>
      <c r="CK464" s="27"/>
      <c r="CL464" s="16"/>
      <c r="CM464" s="16"/>
      <c r="CN464" s="27"/>
      <c r="CP464" s="27"/>
      <c r="CQ464" s="16"/>
      <c r="CR464" s="16"/>
      <c r="CS464" s="27"/>
      <c r="CU464" s="27"/>
      <c r="CV464" s="16"/>
      <c r="CW464" s="16"/>
      <c r="CX464" s="27"/>
      <c r="CZ464" s="27"/>
      <c r="DA464" s="16"/>
      <c r="DB464" s="16"/>
      <c r="DC464" s="27"/>
      <c r="DE464" s="27"/>
      <c r="DF464" s="16"/>
      <c r="DG464" s="16"/>
      <c r="DH464" s="27"/>
      <c r="DJ464" s="27"/>
      <c r="DK464" s="16"/>
      <c r="DL464" s="16"/>
      <c r="DM464" s="27"/>
      <c r="DO464" s="27"/>
      <c r="DP464" s="16"/>
      <c r="DQ464" s="16"/>
      <c r="DR464" s="27"/>
      <c r="DT464" s="27"/>
      <c r="DU464" s="16"/>
      <c r="DV464" s="16"/>
      <c r="DW464" s="27"/>
      <c r="DY464" s="27"/>
      <c r="DZ464" s="16"/>
      <c r="EA464" s="16"/>
      <c r="EB464" s="302"/>
    </row>
    <row r="465" spans="1:132" s="14" customFormat="1" ht="21" x14ac:dyDescent="0.4">
      <c r="A465" s="27"/>
      <c r="B465" s="27"/>
      <c r="C465" s="27"/>
      <c r="E465" s="16"/>
      <c r="F465" s="27"/>
      <c r="G465" s="27"/>
      <c r="I465" s="27"/>
      <c r="J465" s="16"/>
      <c r="K465" s="16"/>
      <c r="L465" s="27"/>
      <c r="N465" s="27"/>
      <c r="O465" s="16"/>
      <c r="P465" s="16"/>
      <c r="Q465" s="27"/>
      <c r="S465" s="27"/>
      <c r="T465" s="16"/>
      <c r="U465" s="16"/>
      <c r="V465" s="27"/>
      <c r="X465" s="27"/>
      <c r="Y465" s="16"/>
      <c r="Z465" s="16"/>
      <c r="AA465" s="27"/>
      <c r="AC465" s="27"/>
      <c r="AD465" s="16"/>
      <c r="AE465" s="16"/>
      <c r="AF465" s="27"/>
      <c r="AH465" s="27"/>
      <c r="AI465" s="16"/>
      <c r="AJ465" s="16"/>
      <c r="AK465" s="27"/>
      <c r="AM465" s="27"/>
      <c r="AN465" s="16"/>
      <c r="AO465" s="16"/>
      <c r="AP465" s="27"/>
      <c r="AR465" s="27"/>
      <c r="AS465" s="16"/>
      <c r="AT465" s="16"/>
      <c r="AU465" s="27"/>
      <c r="AW465" s="27"/>
      <c r="AX465" s="16"/>
      <c r="AY465" s="16"/>
      <c r="AZ465" s="27"/>
      <c r="BB465" s="27"/>
      <c r="BC465" s="16"/>
      <c r="BD465" s="16"/>
      <c r="BE465" s="27"/>
      <c r="BG465" s="27"/>
      <c r="BH465" s="16"/>
      <c r="BI465" s="16"/>
      <c r="BJ465" s="27"/>
      <c r="BL465" s="27"/>
      <c r="BM465" s="16"/>
      <c r="BN465" s="16"/>
      <c r="BO465" s="27"/>
      <c r="BQ465" s="27"/>
      <c r="BR465" s="16"/>
      <c r="BS465" s="16"/>
      <c r="BT465" s="27"/>
      <c r="BV465" s="27"/>
      <c r="BW465" s="16"/>
      <c r="BX465" s="16"/>
      <c r="BY465" s="27"/>
      <c r="CA465" s="27"/>
      <c r="CB465" s="16"/>
      <c r="CC465" s="16"/>
      <c r="CD465" s="27"/>
      <c r="CF465" s="27"/>
      <c r="CG465" s="16"/>
      <c r="CH465" s="16"/>
      <c r="CI465" s="27"/>
      <c r="CK465" s="27"/>
      <c r="CL465" s="16"/>
      <c r="CM465" s="16"/>
      <c r="CN465" s="27"/>
      <c r="CP465" s="27"/>
      <c r="CQ465" s="16"/>
      <c r="CR465" s="16"/>
      <c r="CS465" s="27"/>
      <c r="CU465" s="27"/>
      <c r="CV465" s="16"/>
      <c r="CW465" s="16"/>
      <c r="CX465" s="27"/>
      <c r="CZ465" s="27"/>
      <c r="DA465" s="16"/>
      <c r="DB465" s="16"/>
      <c r="DC465" s="27"/>
      <c r="DE465" s="27"/>
      <c r="DF465" s="16"/>
      <c r="DG465" s="16"/>
      <c r="DH465" s="27"/>
      <c r="DJ465" s="27"/>
      <c r="DK465" s="16"/>
      <c r="DL465" s="16"/>
      <c r="DM465" s="27"/>
      <c r="DO465" s="27"/>
      <c r="DP465" s="16"/>
      <c r="DQ465" s="16"/>
      <c r="DR465" s="27"/>
      <c r="DT465" s="27"/>
      <c r="DU465" s="16"/>
      <c r="DV465" s="16"/>
      <c r="DW465" s="27"/>
      <c r="DY465" s="27"/>
      <c r="DZ465" s="16"/>
      <c r="EA465" s="16"/>
      <c r="EB465" s="302"/>
    </row>
    <row r="466" spans="1:132" s="14" customFormat="1" ht="21" x14ac:dyDescent="0.4">
      <c r="A466" s="27"/>
      <c r="B466" s="27"/>
      <c r="C466" s="27"/>
      <c r="E466" s="16"/>
      <c r="F466" s="27"/>
      <c r="G466" s="27"/>
      <c r="I466" s="27"/>
      <c r="J466" s="16"/>
      <c r="K466" s="16"/>
      <c r="L466" s="27"/>
      <c r="N466" s="27"/>
      <c r="O466" s="16"/>
      <c r="P466" s="16"/>
      <c r="Q466" s="27"/>
      <c r="S466" s="27"/>
      <c r="T466" s="16"/>
      <c r="U466" s="16"/>
      <c r="V466" s="27"/>
      <c r="X466" s="27"/>
      <c r="Y466" s="16"/>
      <c r="Z466" s="16"/>
      <c r="AA466" s="27"/>
      <c r="AC466" s="27"/>
      <c r="AD466" s="16"/>
      <c r="AE466" s="16"/>
      <c r="AF466" s="27"/>
      <c r="AH466" s="27"/>
      <c r="AI466" s="16"/>
      <c r="AJ466" s="16"/>
      <c r="AK466" s="27"/>
      <c r="AM466" s="27"/>
      <c r="AN466" s="16"/>
      <c r="AO466" s="16"/>
      <c r="AP466" s="27"/>
      <c r="AR466" s="27"/>
      <c r="AS466" s="16"/>
      <c r="AT466" s="16"/>
      <c r="AU466" s="27"/>
      <c r="AW466" s="27"/>
      <c r="AX466" s="16"/>
      <c r="AY466" s="16"/>
      <c r="AZ466" s="27"/>
      <c r="BB466" s="27"/>
      <c r="BC466" s="16"/>
      <c r="BD466" s="16"/>
      <c r="BE466" s="27"/>
      <c r="BG466" s="27"/>
      <c r="BH466" s="16"/>
      <c r="BI466" s="16"/>
      <c r="BJ466" s="27"/>
      <c r="BL466" s="27"/>
      <c r="BM466" s="16"/>
      <c r="BN466" s="16"/>
      <c r="BO466" s="27"/>
      <c r="BQ466" s="27"/>
      <c r="BR466" s="16"/>
      <c r="BS466" s="16"/>
      <c r="BT466" s="27"/>
      <c r="BV466" s="27"/>
      <c r="BW466" s="16"/>
      <c r="BX466" s="16"/>
      <c r="BY466" s="27"/>
      <c r="CA466" s="27"/>
      <c r="CB466" s="16"/>
      <c r="CC466" s="16"/>
      <c r="CD466" s="27"/>
      <c r="CF466" s="27"/>
      <c r="CG466" s="16"/>
      <c r="CH466" s="16"/>
      <c r="CI466" s="27"/>
      <c r="CK466" s="27"/>
      <c r="CL466" s="16"/>
      <c r="CM466" s="16"/>
      <c r="CN466" s="27"/>
      <c r="CP466" s="27"/>
      <c r="CQ466" s="16"/>
      <c r="CR466" s="16"/>
      <c r="CS466" s="27"/>
      <c r="CU466" s="27"/>
      <c r="CV466" s="16"/>
      <c r="CW466" s="16"/>
      <c r="CX466" s="27"/>
      <c r="CZ466" s="27"/>
      <c r="DA466" s="16"/>
      <c r="DB466" s="16"/>
      <c r="DC466" s="27"/>
      <c r="DE466" s="27"/>
      <c r="DF466" s="16"/>
      <c r="DG466" s="16"/>
      <c r="DH466" s="27"/>
      <c r="DJ466" s="27"/>
      <c r="DK466" s="16"/>
      <c r="DL466" s="16"/>
      <c r="DM466" s="27"/>
      <c r="DO466" s="27"/>
      <c r="DP466" s="16"/>
      <c r="DQ466" s="16"/>
      <c r="DR466" s="27"/>
      <c r="DT466" s="27"/>
      <c r="DU466" s="16"/>
      <c r="DV466" s="16"/>
      <c r="DW466" s="27"/>
      <c r="DY466" s="27"/>
      <c r="DZ466" s="16"/>
      <c r="EA466" s="16"/>
      <c r="EB466" s="302"/>
    </row>
    <row r="467" spans="1:132" s="14" customFormat="1" ht="21" x14ac:dyDescent="0.4">
      <c r="A467" s="27"/>
      <c r="B467" s="27"/>
      <c r="C467" s="27"/>
      <c r="E467" s="16"/>
      <c r="F467" s="27"/>
      <c r="G467" s="27"/>
      <c r="I467" s="27"/>
      <c r="J467" s="16"/>
      <c r="K467" s="16"/>
      <c r="L467" s="27"/>
      <c r="N467" s="27"/>
      <c r="O467" s="16"/>
      <c r="P467" s="16"/>
      <c r="Q467" s="27"/>
      <c r="S467" s="27"/>
      <c r="T467" s="16"/>
      <c r="U467" s="16"/>
      <c r="V467" s="27"/>
      <c r="X467" s="27"/>
      <c r="Y467" s="16"/>
      <c r="Z467" s="16"/>
      <c r="AA467" s="27"/>
      <c r="AC467" s="27"/>
      <c r="AD467" s="16"/>
      <c r="AE467" s="16"/>
      <c r="AF467" s="27"/>
      <c r="AH467" s="27"/>
      <c r="AI467" s="16"/>
      <c r="AJ467" s="16"/>
      <c r="AK467" s="27"/>
      <c r="AM467" s="27"/>
      <c r="AN467" s="16"/>
      <c r="AO467" s="16"/>
      <c r="AP467" s="27"/>
      <c r="AR467" s="27"/>
      <c r="AS467" s="16"/>
      <c r="AT467" s="16"/>
      <c r="AU467" s="27"/>
      <c r="AW467" s="27"/>
      <c r="AX467" s="16"/>
      <c r="AY467" s="16"/>
      <c r="AZ467" s="27"/>
      <c r="BB467" s="27"/>
      <c r="BC467" s="16"/>
      <c r="BD467" s="16"/>
      <c r="BE467" s="27"/>
      <c r="BG467" s="27"/>
      <c r="BH467" s="16"/>
      <c r="BI467" s="16"/>
      <c r="BJ467" s="27"/>
      <c r="BL467" s="27"/>
      <c r="BM467" s="16"/>
      <c r="BN467" s="16"/>
      <c r="BO467" s="27"/>
      <c r="BQ467" s="27"/>
      <c r="BR467" s="16"/>
      <c r="BS467" s="16"/>
      <c r="BT467" s="27"/>
      <c r="BV467" s="27"/>
      <c r="BW467" s="16"/>
      <c r="BX467" s="16"/>
      <c r="BY467" s="27"/>
      <c r="CA467" s="27"/>
      <c r="CB467" s="16"/>
      <c r="CC467" s="16"/>
      <c r="CD467" s="27"/>
      <c r="CF467" s="27"/>
      <c r="CG467" s="16"/>
      <c r="CH467" s="16"/>
      <c r="CI467" s="27"/>
      <c r="CK467" s="27"/>
      <c r="CL467" s="16"/>
      <c r="CM467" s="16"/>
      <c r="CN467" s="27"/>
      <c r="CP467" s="27"/>
      <c r="CQ467" s="16"/>
      <c r="CR467" s="16"/>
      <c r="CS467" s="27"/>
      <c r="CU467" s="27"/>
      <c r="CV467" s="16"/>
      <c r="CW467" s="16"/>
      <c r="CX467" s="27"/>
      <c r="CZ467" s="27"/>
      <c r="DA467" s="16"/>
      <c r="DB467" s="16"/>
      <c r="DC467" s="27"/>
      <c r="DE467" s="27"/>
      <c r="DF467" s="16"/>
      <c r="DG467" s="16"/>
      <c r="DH467" s="27"/>
      <c r="DJ467" s="27"/>
      <c r="DK467" s="16"/>
      <c r="DL467" s="16"/>
      <c r="DM467" s="27"/>
      <c r="DO467" s="27"/>
      <c r="DP467" s="16"/>
      <c r="DQ467" s="16"/>
      <c r="DR467" s="27"/>
      <c r="DT467" s="27"/>
      <c r="DU467" s="16"/>
      <c r="DV467" s="16"/>
      <c r="DW467" s="27"/>
      <c r="DY467" s="27"/>
      <c r="DZ467" s="16"/>
      <c r="EA467" s="16"/>
      <c r="EB467" s="302"/>
    </row>
    <row r="468" spans="1:132" s="14" customFormat="1" ht="21" x14ac:dyDescent="0.4">
      <c r="A468" s="27"/>
      <c r="B468" s="27"/>
      <c r="C468" s="27"/>
      <c r="E468" s="16"/>
      <c r="F468" s="27"/>
      <c r="G468" s="27"/>
      <c r="I468" s="27"/>
      <c r="J468" s="16"/>
      <c r="K468" s="16"/>
      <c r="L468" s="27"/>
      <c r="N468" s="27"/>
      <c r="O468" s="16"/>
      <c r="P468" s="16"/>
      <c r="Q468" s="27"/>
      <c r="S468" s="27"/>
      <c r="T468" s="16"/>
      <c r="U468" s="16"/>
      <c r="V468" s="27"/>
      <c r="X468" s="27"/>
      <c r="Y468" s="16"/>
      <c r="Z468" s="16"/>
      <c r="AA468" s="27"/>
      <c r="AC468" s="27"/>
      <c r="AD468" s="16"/>
      <c r="AE468" s="16"/>
      <c r="AF468" s="27"/>
      <c r="AH468" s="27"/>
      <c r="AI468" s="16"/>
      <c r="AJ468" s="16"/>
      <c r="AK468" s="27"/>
      <c r="AM468" s="27"/>
      <c r="AN468" s="16"/>
      <c r="AO468" s="16"/>
      <c r="AP468" s="27"/>
      <c r="AR468" s="27"/>
      <c r="AS468" s="16"/>
      <c r="AT468" s="16"/>
      <c r="AU468" s="27"/>
      <c r="AW468" s="27"/>
      <c r="AX468" s="16"/>
      <c r="AY468" s="16"/>
      <c r="AZ468" s="27"/>
      <c r="BB468" s="27"/>
      <c r="BC468" s="16"/>
      <c r="BD468" s="16"/>
      <c r="BE468" s="27"/>
      <c r="BG468" s="27"/>
      <c r="BH468" s="16"/>
      <c r="BI468" s="16"/>
      <c r="BJ468" s="27"/>
      <c r="BL468" s="27"/>
      <c r="BM468" s="16"/>
      <c r="BN468" s="16"/>
      <c r="BO468" s="27"/>
      <c r="BQ468" s="27"/>
      <c r="BR468" s="16"/>
      <c r="BS468" s="16"/>
      <c r="BT468" s="27"/>
      <c r="BV468" s="27"/>
      <c r="BW468" s="16"/>
      <c r="BX468" s="16"/>
      <c r="BY468" s="27"/>
      <c r="CA468" s="27"/>
      <c r="CB468" s="16"/>
      <c r="CC468" s="16"/>
      <c r="CD468" s="27"/>
      <c r="CF468" s="27"/>
      <c r="CG468" s="16"/>
      <c r="CH468" s="16"/>
      <c r="CI468" s="27"/>
      <c r="CK468" s="27"/>
      <c r="CL468" s="16"/>
      <c r="CM468" s="16"/>
      <c r="CN468" s="27"/>
      <c r="CP468" s="27"/>
      <c r="CQ468" s="16"/>
      <c r="CR468" s="16"/>
      <c r="CS468" s="27"/>
      <c r="CU468" s="27"/>
      <c r="CV468" s="16"/>
      <c r="CW468" s="16"/>
      <c r="CX468" s="27"/>
      <c r="CZ468" s="27"/>
      <c r="DA468" s="16"/>
      <c r="DB468" s="16"/>
      <c r="DC468" s="27"/>
      <c r="DE468" s="27"/>
      <c r="DF468" s="16"/>
      <c r="DG468" s="16"/>
      <c r="DH468" s="27"/>
      <c r="DJ468" s="27"/>
      <c r="DK468" s="16"/>
      <c r="DL468" s="16"/>
      <c r="DM468" s="27"/>
      <c r="DO468" s="27"/>
      <c r="DP468" s="16"/>
      <c r="DQ468" s="16"/>
      <c r="DR468" s="27"/>
      <c r="DT468" s="27"/>
      <c r="DU468" s="16"/>
      <c r="DV468" s="16"/>
      <c r="DW468" s="27"/>
      <c r="DY468" s="27"/>
      <c r="DZ468" s="16"/>
      <c r="EA468" s="16"/>
      <c r="EB468" s="302"/>
    </row>
    <row r="469" spans="1:132" s="14" customFormat="1" ht="21" x14ac:dyDescent="0.4">
      <c r="A469" s="27"/>
      <c r="B469" s="27"/>
      <c r="C469" s="27"/>
      <c r="E469" s="16"/>
      <c r="F469" s="27"/>
      <c r="G469" s="27"/>
      <c r="I469" s="27"/>
      <c r="J469" s="16"/>
      <c r="K469" s="16"/>
      <c r="L469" s="27"/>
      <c r="N469" s="27"/>
      <c r="O469" s="16"/>
      <c r="P469" s="16"/>
      <c r="Q469" s="27"/>
      <c r="S469" s="27"/>
      <c r="T469" s="16"/>
      <c r="U469" s="16"/>
      <c r="V469" s="27"/>
      <c r="X469" s="27"/>
      <c r="Y469" s="16"/>
      <c r="Z469" s="16"/>
      <c r="AA469" s="27"/>
      <c r="AC469" s="27"/>
      <c r="AD469" s="16"/>
      <c r="AE469" s="16"/>
      <c r="AF469" s="27"/>
      <c r="AH469" s="27"/>
      <c r="AI469" s="16"/>
      <c r="AJ469" s="16"/>
      <c r="AK469" s="27"/>
      <c r="AM469" s="27"/>
      <c r="AN469" s="16"/>
      <c r="AO469" s="16"/>
      <c r="AP469" s="27"/>
      <c r="AR469" s="27"/>
      <c r="AS469" s="16"/>
      <c r="AT469" s="16"/>
      <c r="AU469" s="27"/>
      <c r="AW469" s="27"/>
      <c r="AX469" s="16"/>
      <c r="AY469" s="16"/>
      <c r="AZ469" s="27"/>
      <c r="BB469" s="27"/>
      <c r="BC469" s="16"/>
      <c r="BD469" s="16"/>
      <c r="BE469" s="27"/>
      <c r="BG469" s="27"/>
      <c r="BH469" s="16"/>
      <c r="BI469" s="16"/>
      <c r="BJ469" s="27"/>
      <c r="BL469" s="27"/>
      <c r="BM469" s="16"/>
      <c r="BN469" s="16"/>
      <c r="BO469" s="27"/>
      <c r="BQ469" s="27"/>
      <c r="BR469" s="16"/>
      <c r="BS469" s="16"/>
      <c r="BT469" s="27"/>
      <c r="BV469" s="27"/>
      <c r="BW469" s="16"/>
      <c r="BX469" s="16"/>
      <c r="BY469" s="27"/>
      <c r="CA469" s="27"/>
      <c r="CB469" s="16"/>
      <c r="CC469" s="16"/>
      <c r="CD469" s="27"/>
      <c r="CF469" s="27"/>
      <c r="CG469" s="16"/>
      <c r="CH469" s="16"/>
      <c r="CI469" s="27"/>
      <c r="CK469" s="27"/>
      <c r="CL469" s="16"/>
      <c r="CM469" s="16"/>
      <c r="CN469" s="27"/>
      <c r="CP469" s="27"/>
      <c r="CQ469" s="16"/>
      <c r="CR469" s="16"/>
      <c r="CS469" s="27"/>
      <c r="CU469" s="27"/>
      <c r="CV469" s="16"/>
      <c r="CW469" s="16"/>
      <c r="CX469" s="27"/>
      <c r="CZ469" s="27"/>
      <c r="DA469" s="16"/>
      <c r="DB469" s="16"/>
      <c r="DC469" s="27"/>
      <c r="DE469" s="27"/>
      <c r="DF469" s="16"/>
      <c r="DG469" s="16"/>
      <c r="DH469" s="27"/>
      <c r="DJ469" s="27"/>
      <c r="DK469" s="16"/>
      <c r="DL469" s="16"/>
      <c r="DM469" s="27"/>
      <c r="DO469" s="27"/>
      <c r="DP469" s="16"/>
      <c r="DQ469" s="16"/>
      <c r="DR469" s="27"/>
      <c r="DT469" s="27"/>
      <c r="DU469" s="16"/>
      <c r="DV469" s="16"/>
      <c r="DW469" s="27"/>
      <c r="DY469" s="27"/>
      <c r="DZ469" s="16"/>
      <c r="EA469" s="16"/>
      <c r="EB469" s="302"/>
    </row>
    <row r="470" spans="1:132" s="14" customFormat="1" ht="21" x14ac:dyDescent="0.4">
      <c r="A470" s="27"/>
      <c r="B470" s="27"/>
      <c r="C470" s="27"/>
      <c r="E470" s="16"/>
      <c r="F470" s="27"/>
      <c r="G470" s="27"/>
      <c r="I470" s="27"/>
      <c r="J470" s="16"/>
      <c r="K470" s="16"/>
      <c r="L470" s="27"/>
      <c r="N470" s="27"/>
      <c r="O470" s="16"/>
      <c r="P470" s="16"/>
      <c r="Q470" s="27"/>
      <c r="S470" s="27"/>
      <c r="T470" s="16"/>
      <c r="U470" s="16"/>
      <c r="V470" s="27"/>
      <c r="X470" s="27"/>
      <c r="Y470" s="16"/>
      <c r="Z470" s="16"/>
      <c r="AA470" s="27"/>
      <c r="AC470" s="27"/>
      <c r="AD470" s="16"/>
      <c r="AE470" s="16"/>
      <c r="AF470" s="27"/>
      <c r="AH470" s="27"/>
      <c r="AI470" s="16"/>
      <c r="AJ470" s="16"/>
      <c r="AK470" s="27"/>
      <c r="AM470" s="27"/>
      <c r="AN470" s="16"/>
      <c r="AO470" s="16"/>
      <c r="AP470" s="27"/>
      <c r="AR470" s="27"/>
      <c r="AS470" s="16"/>
      <c r="AT470" s="16"/>
      <c r="AU470" s="27"/>
      <c r="AW470" s="27"/>
      <c r="AX470" s="16"/>
      <c r="AY470" s="16"/>
      <c r="AZ470" s="27"/>
      <c r="BB470" s="27"/>
      <c r="BC470" s="16"/>
      <c r="BD470" s="16"/>
      <c r="BE470" s="27"/>
      <c r="BG470" s="27"/>
      <c r="BH470" s="16"/>
      <c r="BI470" s="16"/>
      <c r="BJ470" s="27"/>
      <c r="BL470" s="27"/>
      <c r="BM470" s="16"/>
      <c r="BN470" s="16"/>
      <c r="BO470" s="27"/>
      <c r="BQ470" s="27"/>
      <c r="BR470" s="16"/>
      <c r="BS470" s="16"/>
      <c r="BT470" s="27"/>
      <c r="BV470" s="27"/>
      <c r="BW470" s="16"/>
      <c r="BX470" s="16"/>
      <c r="BY470" s="27"/>
      <c r="CA470" s="27"/>
      <c r="CB470" s="16"/>
      <c r="CC470" s="16"/>
      <c r="CD470" s="27"/>
      <c r="CF470" s="27"/>
      <c r="CG470" s="16"/>
      <c r="CH470" s="16"/>
      <c r="CI470" s="27"/>
      <c r="CK470" s="27"/>
      <c r="CL470" s="16"/>
      <c r="CM470" s="16"/>
      <c r="CN470" s="27"/>
      <c r="CP470" s="27"/>
      <c r="CQ470" s="16"/>
      <c r="CR470" s="16"/>
      <c r="CS470" s="27"/>
      <c r="CU470" s="27"/>
      <c r="CV470" s="16"/>
      <c r="CW470" s="16"/>
      <c r="CX470" s="27"/>
      <c r="CZ470" s="27"/>
      <c r="DA470" s="16"/>
      <c r="DB470" s="16"/>
      <c r="DC470" s="27"/>
      <c r="DE470" s="27"/>
      <c r="DF470" s="16"/>
      <c r="DG470" s="16"/>
      <c r="DH470" s="27"/>
      <c r="DJ470" s="27"/>
      <c r="DK470" s="16"/>
      <c r="DL470" s="16"/>
      <c r="DM470" s="27"/>
      <c r="DO470" s="27"/>
      <c r="DP470" s="16"/>
      <c r="DQ470" s="16"/>
      <c r="DR470" s="27"/>
      <c r="DT470" s="27"/>
      <c r="DU470" s="16"/>
      <c r="DV470" s="16"/>
      <c r="DW470" s="27"/>
      <c r="DY470" s="27"/>
      <c r="DZ470" s="16"/>
      <c r="EA470" s="16"/>
      <c r="EB470" s="302"/>
    </row>
    <row r="471" spans="1:132" s="14" customFormat="1" ht="21" x14ac:dyDescent="0.4">
      <c r="A471" s="27"/>
      <c r="B471" s="27"/>
      <c r="C471" s="27"/>
      <c r="E471" s="16"/>
      <c r="F471" s="27"/>
      <c r="G471" s="27"/>
      <c r="I471" s="27"/>
      <c r="J471" s="16"/>
      <c r="K471" s="16"/>
      <c r="L471" s="27"/>
      <c r="N471" s="27"/>
      <c r="O471" s="16"/>
      <c r="P471" s="16"/>
      <c r="Q471" s="27"/>
      <c r="S471" s="27"/>
      <c r="T471" s="16"/>
      <c r="U471" s="16"/>
      <c r="V471" s="27"/>
      <c r="X471" s="27"/>
      <c r="Y471" s="16"/>
      <c r="Z471" s="16"/>
      <c r="AA471" s="27"/>
      <c r="AC471" s="27"/>
      <c r="AD471" s="16"/>
      <c r="AE471" s="16"/>
      <c r="AF471" s="27"/>
      <c r="AH471" s="27"/>
      <c r="AI471" s="16"/>
      <c r="AJ471" s="16"/>
      <c r="AK471" s="27"/>
      <c r="AM471" s="27"/>
      <c r="AN471" s="16"/>
      <c r="AO471" s="16"/>
      <c r="AP471" s="27"/>
      <c r="AR471" s="27"/>
      <c r="AS471" s="16"/>
      <c r="AT471" s="16"/>
      <c r="AU471" s="27"/>
      <c r="AW471" s="27"/>
      <c r="AX471" s="16"/>
      <c r="AY471" s="16"/>
      <c r="AZ471" s="27"/>
      <c r="BB471" s="27"/>
      <c r="BC471" s="16"/>
      <c r="BD471" s="16"/>
      <c r="BE471" s="27"/>
      <c r="BG471" s="27"/>
      <c r="BH471" s="16"/>
      <c r="BI471" s="16"/>
      <c r="BJ471" s="27"/>
      <c r="BL471" s="27"/>
      <c r="BM471" s="16"/>
      <c r="BN471" s="16"/>
      <c r="BO471" s="27"/>
      <c r="BQ471" s="27"/>
      <c r="BR471" s="16"/>
      <c r="BS471" s="16"/>
      <c r="BT471" s="27"/>
      <c r="BV471" s="27"/>
      <c r="BW471" s="16"/>
      <c r="BX471" s="16"/>
      <c r="BY471" s="27"/>
      <c r="CA471" s="27"/>
      <c r="CB471" s="16"/>
      <c r="CC471" s="16"/>
      <c r="CD471" s="27"/>
      <c r="CF471" s="27"/>
      <c r="CG471" s="16"/>
      <c r="CH471" s="16"/>
      <c r="CI471" s="27"/>
      <c r="CK471" s="27"/>
      <c r="CL471" s="16"/>
      <c r="CM471" s="16"/>
      <c r="CN471" s="27"/>
      <c r="CP471" s="27"/>
      <c r="CQ471" s="16"/>
      <c r="CR471" s="16"/>
      <c r="CS471" s="27"/>
      <c r="CU471" s="27"/>
      <c r="CV471" s="16"/>
      <c r="CW471" s="16"/>
      <c r="CX471" s="27"/>
      <c r="CZ471" s="27"/>
      <c r="DA471" s="16"/>
      <c r="DB471" s="16"/>
      <c r="DC471" s="27"/>
      <c r="DE471" s="27"/>
      <c r="DF471" s="16"/>
      <c r="DG471" s="16"/>
      <c r="DH471" s="27"/>
      <c r="DJ471" s="27"/>
      <c r="DK471" s="16"/>
      <c r="DL471" s="16"/>
      <c r="DM471" s="27"/>
      <c r="DO471" s="27"/>
      <c r="DP471" s="16"/>
      <c r="DQ471" s="16"/>
      <c r="DR471" s="27"/>
      <c r="DT471" s="27"/>
      <c r="DU471" s="16"/>
      <c r="DV471" s="16"/>
      <c r="DW471" s="27"/>
      <c r="DY471" s="27"/>
      <c r="DZ471" s="16"/>
      <c r="EA471" s="16"/>
      <c r="EB471" s="302"/>
    </row>
    <row r="472" spans="1:132" s="14" customFormat="1" ht="21" x14ac:dyDescent="0.4">
      <c r="A472" s="27"/>
      <c r="B472" s="27"/>
      <c r="C472" s="27"/>
      <c r="E472" s="16"/>
      <c r="F472" s="27"/>
      <c r="G472" s="27"/>
      <c r="I472" s="27"/>
      <c r="J472" s="16"/>
      <c r="K472" s="16"/>
      <c r="L472" s="27"/>
      <c r="N472" s="27"/>
      <c r="O472" s="16"/>
      <c r="P472" s="16"/>
      <c r="Q472" s="27"/>
      <c r="S472" s="27"/>
      <c r="T472" s="16"/>
      <c r="U472" s="16"/>
      <c r="V472" s="27"/>
      <c r="X472" s="27"/>
      <c r="Y472" s="16"/>
      <c r="Z472" s="16"/>
      <c r="AA472" s="27"/>
      <c r="AC472" s="27"/>
      <c r="AD472" s="16"/>
      <c r="AE472" s="16"/>
      <c r="AF472" s="27"/>
      <c r="AH472" s="27"/>
      <c r="AI472" s="16"/>
      <c r="AJ472" s="16"/>
      <c r="AK472" s="27"/>
      <c r="AM472" s="27"/>
      <c r="AN472" s="16"/>
      <c r="AO472" s="16"/>
      <c r="AP472" s="27"/>
      <c r="AR472" s="27"/>
      <c r="AS472" s="16"/>
      <c r="AT472" s="16"/>
      <c r="AU472" s="27"/>
      <c r="AW472" s="27"/>
      <c r="AX472" s="16"/>
      <c r="AY472" s="16"/>
      <c r="AZ472" s="27"/>
      <c r="BB472" s="27"/>
      <c r="BC472" s="16"/>
      <c r="BD472" s="16"/>
      <c r="BE472" s="27"/>
      <c r="BG472" s="27"/>
      <c r="BH472" s="16"/>
      <c r="BI472" s="16"/>
      <c r="BJ472" s="27"/>
      <c r="BL472" s="27"/>
      <c r="BM472" s="16"/>
      <c r="BN472" s="16"/>
      <c r="BO472" s="27"/>
      <c r="BQ472" s="27"/>
      <c r="BR472" s="16"/>
      <c r="BS472" s="16"/>
      <c r="BT472" s="27"/>
      <c r="BV472" s="27"/>
      <c r="BW472" s="16"/>
      <c r="BX472" s="16"/>
      <c r="BY472" s="27"/>
      <c r="CA472" s="27"/>
      <c r="CB472" s="16"/>
      <c r="CC472" s="16"/>
      <c r="CD472" s="27"/>
      <c r="CF472" s="27"/>
      <c r="CG472" s="16"/>
      <c r="CH472" s="16"/>
      <c r="CI472" s="27"/>
      <c r="CK472" s="27"/>
      <c r="CL472" s="16"/>
      <c r="CM472" s="16"/>
      <c r="CN472" s="27"/>
      <c r="CP472" s="27"/>
      <c r="CQ472" s="16"/>
      <c r="CR472" s="16"/>
      <c r="CS472" s="27"/>
      <c r="CU472" s="27"/>
      <c r="CV472" s="16"/>
      <c r="CW472" s="16"/>
      <c r="CX472" s="27"/>
      <c r="CZ472" s="27"/>
      <c r="DA472" s="16"/>
      <c r="DB472" s="16"/>
      <c r="DC472" s="27"/>
      <c r="DE472" s="27"/>
      <c r="DF472" s="16"/>
      <c r="DG472" s="16"/>
      <c r="DH472" s="27"/>
      <c r="DJ472" s="27"/>
      <c r="DK472" s="16"/>
      <c r="DL472" s="16"/>
      <c r="DM472" s="27"/>
      <c r="DO472" s="27"/>
      <c r="DP472" s="16"/>
      <c r="DQ472" s="16"/>
      <c r="DR472" s="27"/>
      <c r="DT472" s="27"/>
      <c r="DU472" s="16"/>
      <c r="DV472" s="16"/>
      <c r="DW472" s="27"/>
      <c r="DY472" s="27"/>
      <c r="DZ472" s="16"/>
      <c r="EA472" s="16"/>
      <c r="EB472" s="302"/>
    </row>
    <row r="473" spans="1:132" s="14" customFormat="1" ht="21" x14ac:dyDescent="0.4">
      <c r="A473" s="27"/>
      <c r="B473" s="27"/>
      <c r="C473" s="27"/>
      <c r="E473" s="16"/>
      <c r="F473" s="27"/>
      <c r="G473" s="27"/>
      <c r="I473" s="27"/>
      <c r="J473" s="16"/>
      <c r="K473" s="16"/>
      <c r="L473" s="27"/>
      <c r="N473" s="27"/>
      <c r="O473" s="16"/>
      <c r="P473" s="16"/>
      <c r="Q473" s="27"/>
      <c r="S473" s="27"/>
      <c r="T473" s="16"/>
      <c r="U473" s="16"/>
      <c r="V473" s="27"/>
      <c r="X473" s="27"/>
      <c r="Y473" s="16"/>
      <c r="Z473" s="16"/>
      <c r="AA473" s="27"/>
      <c r="AC473" s="27"/>
      <c r="AD473" s="16"/>
      <c r="AE473" s="16"/>
      <c r="AF473" s="27"/>
      <c r="AH473" s="27"/>
      <c r="AI473" s="16"/>
      <c r="AJ473" s="16"/>
      <c r="AK473" s="27"/>
      <c r="AM473" s="27"/>
      <c r="AN473" s="16"/>
      <c r="AO473" s="16"/>
      <c r="AP473" s="27"/>
      <c r="AR473" s="27"/>
      <c r="AS473" s="16"/>
      <c r="AT473" s="16"/>
      <c r="AU473" s="27"/>
      <c r="AW473" s="27"/>
      <c r="AX473" s="16"/>
      <c r="AY473" s="16"/>
      <c r="AZ473" s="27"/>
      <c r="BB473" s="27"/>
      <c r="BC473" s="16"/>
      <c r="BD473" s="16"/>
      <c r="BE473" s="27"/>
      <c r="BG473" s="27"/>
      <c r="BH473" s="16"/>
      <c r="BI473" s="16"/>
      <c r="BJ473" s="27"/>
      <c r="BL473" s="27"/>
      <c r="BM473" s="16"/>
      <c r="BN473" s="16"/>
      <c r="BO473" s="27"/>
      <c r="BQ473" s="27"/>
      <c r="BR473" s="16"/>
      <c r="BS473" s="16"/>
      <c r="BT473" s="27"/>
      <c r="BV473" s="27"/>
      <c r="BW473" s="16"/>
      <c r="BX473" s="16"/>
      <c r="BY473" s="27"/>
      <c r="CA473" s="27"/>
      <c r="CB473" s="16"/>
      <c r="CC473" s="16"/>
      <c r="CD473" s="27"/>
      <c r="CF473" s="27"/>
      <c r="CG473" s="16"/>
      <c r="CH473" s="16"/>
      <c r="CI473" s="27"/>
      <c r="CK473" s="27"/>
      <c r="CL473" s="16"/>
      <c r="CM473" s="16"/>
      <c r="CN473" s="27"/>
      <c r="CP473" s="27"/>
      <c r="CQ473" s="16"/>
      <c r="CR473" s="16"/>
      <c r="CS473" s="27"/>
      <c r="CU473" s="27"/>
      <c r="CV473" s="16"/>
      <c r="CW473" s="16"/>
      <c r="CX473" s="27"/>
      <c r="CZ473" s="27"/>
      <c r="DA473" s="16"/>
      <c r="DB473" s="16"/>
      <c r="DC473" s="27"/>
      <c r="DE473" s="27"/>
      <c r="DF473" s="16"/>
      <c r="DG473" s="16"/>
      <c r="DH473" s="27"/>
      <c r="DJ473" s="27"/>
      <c r="DK473" s="16"/>
      <c r="DL473" s="16"/>
      <c r="DM473" s="27"/>
      <c r="DO473" s="27"/>
      <c r="DP473" s="16"/>
      <c r="DQ473" s="16"/>
      <c r="DR473" s="27"/>
      <c r="DT473" s="27"/>
      <c r="DU473" s="16"/>
      <c r="DV473" s="16"/>
      <c r="DW473" s="27"/>
      <c r="DY473" s="27"/>
      <c r="DZ473" s="16"/>
      <c r="EA473" s="16"/>
      <c r="EB473" s="302"/>
    </row>
    <row r="474" spans="1:132" s="14" customFormat="1" ht="21" x14ac:dyDescent="0.4">
      <c r="A474" s="27"/>
      <c r="B474" s="27"/>
      <c r="C474" s="27"/>
      <c r="E474" s="16"/>
      <c r="F474" s="27"/>
      <c r="G474" s="27"/>
      <c r="I474" s="27"/>
      <c r="J474" s="16"/>
      <c r="K474" s="16"/>
      <c r="L474" s="27"/>
      <c r="N474" s="27"/>
      <c r="O474" s="16"/>
      <c r="P474" s="16"/>
      <c r="Q474" s="27"/>
      <c r="S474" s="27"/>
      <c r="T474" s="16"/>
      <c r="U474" s="16"/>
      <c r="V474" s="27"/>
      <c r="X474" s="27"/>
      <c r="Y474" s="16"/>
      <c r="Z474" s="16"/>
      <c r="AA474" s="27"/>
      <c r="AC474" s="27"/>
      <c r="AD474" s="16"/>
      <c r="AE474" s="16"/>
      <c r="AF474" s="27"/>
      <c r="AH474" s="27"/>
      <c r="AI474" s="16"/>
      <c r="AJ474" s="16"/>
      <c r="AK474" s="27"/>
      <c r="AM474" s="27"/>
      <c r="AN474" s="16"/>
      <c r="AO474" s="16"/>
      <c r="AP474" s="27"/>
      <c r="AR474" s="27"/>
      <c r="AS474" s="16"/>
      <c r="AT474" s="16"/>
      <c r="AU474" s="27"/>
      <c r="AW474" s="27"/>
      <c r="AX474" s="16"/>
      <c r="AY474" s="16"/>
      <c r="AZ474" s="27"/>
      <c r="BB474" s="27"/>
      <c r="BC474" s="16"/>
      <c r="BD474" s="16"/>
      <c r="BE474" s="27"/>
      <c r="BG474" s="27"/>
      <c r="BH474" s="16"/>
      <c r="BI474" s="16"/>
      <c r="BJ474" s="27"/>
      <c r="BL474" s="27"/>
      <c r="BM474" s="16"/>
      <c r="BN474" s="16"/>
      <c r="BO474" s="27"/>
      <c r="BQ474" s="27"/>
      <c r="BR474" s="16"/>
      <c r="BS474" s="16"/>
      <c r="BT474" s="27"/>
      <c r="BV474" s="27"/>
      <c r="BW474" s="16"/>
      <c r="BX474" s="16"/>
      <c r="BY474" s="27"/>
      <c r="CA474" s="27"/>
      <c r="CB474" s="16"/>
      <c r="CC474" s="16"/>
      <c r="CD474" s="27"/>
      <c r="CF474" s="27"/>
      <c r="CG474" s="16"/>
      <c r="CH474" s="16"/>
      <c r="CI474" s="27"/>
      <c r="CK474" s="27"/>
      <c r="CL474" s="16"/>
      <c r="CM474" s="16"/>
      <c r="CN474" s="27"/>
      <c r="CP474" s="27"/>
      <c r="CQ474" s="16"/>
      <c r="CR474" s="16"/>
      <c r="CS474" s="27"/>
      <c r="CU474" s="27"/>
      <c r="CV474" s="16"/>
      <c r="CW474" s="16"/>
      <c r="CX474" s="27"/>
      <c r="CZ474" s="27"/>
      <c r="DA474" s="16"/>
      <c r="DB474" s="16"/>
      <c r="DC474" s="27"/>
      <c r="DE474" s="27"/>
      <c r="DF474" s="16"/>
      <c r="DG474" s="16"/>
      <c r="DH474" s="27"/>
      <c r="DJ474" s="27"/>
      <c r="DK474" s="16"/>
      <c r="DL474" s="16"/>
      <c r="DM474" s="27"/>
      <c r="DO474" s="27"/>
      <c r="DP474" s="16"/>
      <c r="DQ474" s="16"/>
      <c r="DR474" s="27"/>
      <c r="DT474" s="27"/>
      <c r="DU474" s="16"/>
      <c r="DV474" s="16"/>
      <c r="DW474" s="27"/>
      <c r="DY474" s="27"/>
      <c r="DZ474" s="16"/>
      <c r="EA474" s="16"/>
      <c r="EB474" s="302"/>
    </row>
    <row r="475" spans="1:132" s="14" customFormat="1" ht="21" x14ac:dyDescent="0.4">
      <c r="A475" s="27"/>
      <c r="B475" s="27"/>
      <c r="C475" s="27"/>
      <c r="E475" s="16"/>
      <c r="F475" s="27"/>
      <c r="G475" s="27"/>
      <c r="I475" s="27"/>
      <c r="J475" s="16"/>
      <c r="K475" s="16"/>
      <c r="L475" s="27"/>
      <c r="N475" s="27"/>
      <c r="O475" s="16"/>
      <c r="P475" s="16"/>
      <c r="Q475" s="27"/>
      <c r="S475" s="27"/>
      <c r="T475" s="16"/>
      <c r="U475" s="16"/>
      <c r="V475" s="27"/>
      <c r="X475" s="27"/>
      <c r="Y475" s="16"/>
      <c r="Z475" s="16"/>
      <c r="AA475" s="27"/>
      <c r="AC475" s="27"/>
      <c r="AD475" s="16"/>
      <c r="AE475" s="16"/>
      <c r="AF475" s="27"/>
      <c r="AH475" s="27"/>
      <c r="AI475" s="16"/>
      <c r="AJ475" s="16"/>
      <c r="AK475" s="27"/>
      <c r="AM475" s="27"/>
      <c r="AN475" s="16"/>
      <c r="AO475" s="16"/>
      <c r="AP475" s="27"/>
      <c r="AR475" s="27"/>
      <c r="AS475" s="16"/>
      <c r="AT475" s="16"/>
      <c r="AU475" s="27"/>
      <c r="AW475" s="27"/>
      <c r="AX475" s="16"/>
      <c r="AY475" s="16"/>
      <c r="AZ475" s="27"/>
      <c r="BB475" s="27"/>
      <c r="BC475" s="16"/>
      <c r="BD475" s="16"/>
      <c r="BE475" s="27"/>
      <c r="BG475" s="27"/>
      <c r="BH475" s="16"/>
      <c r="BI475" s="16"/>
      <c r="BJ475" s="27"/>
      <c r="BL475" s="27"/>
      <c r="BM475" s="16"/>
      <c r="BN475" s="16"/>
      <c r="BO475" s="27"/>
      <c r="BQ475" s="27"/>
      <c r="BR475" s="16"/>
      <c r="BS475" s="16"/>
      <c r="BT475" s="27"/>
      <c r="BV475" s="27"/>
      <c r="BW475" s="16"/>
      <c r="BX475" s="16"/>
      <c r="BY475" s="27"/>
      <c r="CA475" s="27"/>
      <c r="CB475" s="16"/>
      <c r="CC475" s="16"/>
      <c r="CD475" s="27"/>
      <c r="CF475" s="27"/>
      <c r="CG475" s="16"/>
      <c r="CH475" s="16"/>
      <c r="CI475" s="27"/>
      <c r="CK475" s="27"/>
      <c r="CL475" s="16"/>
      <c r="CM475" s="16"/>
      <c r="CN475" s="27"/>
      <c r="CP475" s="27"/>
      <c r="CQ475" s="16"/>
      <c r="CR475" s="16"/>
      <c r="CS475" s="27"/>
      <c r="CU475" s="27"/>
      <c r="CV475" s="16"/>
      <c r="CW475" s="16"/>
      <c r="CX475" s="27"/>
      <c r="CZ475" s="27"/>
      <c r="DA475" s="16"/>
      <c r="DB475" s="16"/>
      <c r="DC475" s="27"/>
      <c r="DE475" s="27"/>
      <c r="DF475" s="16"/>
      <c r="DG475" s="16"/>
      <c r="DH475" s="27"/>
      <c r="DJ475" s="27"/>
      <c r="DK475" s="16"/>
      <c r="DL475" s="16"/>
      <c r="DM475" s="27"/>
      <c r="DO475" s="27"/>
      <c r="DP475" s="16"/>
      <c r="DQ475" s="16"/>
      <c r="DR475" s="27"/>
      <c r="DT475" s="27"/>
      <c r="DU475" s="16"/>
      <c r="DV475" s="16"/>
      <c r="DW475" s="27"/>
      <c r="DY475" s="27"/>
      <c r="DZ475" s="16"/>
      <c r="EA475" s="16"/>
      <c r="EB475" s="302"/>
    </row>
    <row r="476" spans="1:132" s="14" customFormat="1" ht="21" x14ac:dyDescent="0.4">
      <c r="A476" s="27"/>
      <c r="B476" s="27"/>
      <c r="C476" s="27"/>
      <c r="E476" s="16"/>
      <c r="F476" s="27"/>
      <c r="G476" s="27"/>
      <c r="I476" s="27"/>
      <c r="J476" s="16"/>
      <c r="K476" s="16"/>
      <c r="L476" s="27"/>
      <c r="N476" s="27"/>
      <c r="O476" s="16"/>
      <c r="P476" s="16"/>
      <c r="Q476" s="27"/>
      <c r="S476" s="27"/>
      <c r="T476" s="16"/>
      <c r="U476" s="16"/>
      <c r="V476" s="27"/>
      <c r="X476" s="27"/>
      <c r="Y476" s="16"/>
      <c r="Z476" s="16"/>
      <c r="AA476" s="27"/>
      <c r="AC476" s="27"/>
      <c r="AD476" s="16"/>
      <c r="AE476" s="16"/>
      <c r="AF476" s="27"/>
      <c r="AH476" s="27"/>
      <c r="AI476" s="16"/>
      <c r="AJ476" s="16"/>
      <c r="AK476" s="27"/>
      <c r="AM476" s="27"/>
      <c r="AN476" s="16"/>
      <c r="AO476" s="16"/>
      <c r="AP476" s="27"/>
      <c r="AR476" s="27"/>
      <c r="AS476" s="16"/>
      <c r="AT476" s="16"/>
      <c r="AU476" s="27"/>
      <c r="AW476" s="27"/>
      <c r="AX476" s="16"/>
      <c r="AY476" s="16"/>
      <c r="AZ476" s="27"/>
      <c r="BB476" s="27"/>
      <c r="BC476" s="16"/>
      <c r="BD476" s="16"/>
      <c r="BE476" s="27"/>
      <c r="BG476" s="27"/>
      <c r="BH476" s="16"/>
      <c r="BI476" s="16"/>
      <c r="BJ476" s="27"/>
      <c r="BL476" s="27"/>
      <c r="BM476" s="16"/>
      <c r="BN476" s="16"/>
      <c r="BO476" s="27"/>
      <c r="BQ476" s="27"/>
      <c r="BR476" s="16"/>
      <c r="BS476" s="16"/>
      <c r="BT476" s="27"/>
      <c r="BV476" s="27"/>
      <c r="BW476" s="16"/>
      <c r="BX476" s="16"/>
      <c r="BY476" s="27"/>
      <c r="CA476" s="27"/>
      <c r="CB476" s="16"/>
      <c r="CC476" s="16"/>
      <c r="CD476" s="27"/>
      <c r="CF476" s="27"/>
      <c r="CG476" s="16"/>
      <c r="CH476" s="16"/>
      <c r="CI476" s="27"/>
      <c r="CK476" s="27"/>
      <c r="CL476" s="16"/>
      <c r="CM476" s="16"/>
      <c r="CN476" s="27"/>
      <c r="CP476" s="27"/>
      <c r="CQ476" s="16"/>
      <c r="CR476" s="16"/>
      <c r="CS476" s="27"/>
      <c r="CU476" s="27"/>
      <c r="CV476" s="16"/>
      <c r="CW476" s="16"/>
      <c r="CX476" s="27"/>
      <c r="CZ476" s="27"/>
      <c r="DA476" s="16"/>
      <c r="DB476" s="16"/>
      <c r="DC476" s="27"/>
      <c r="DE476" s="27"/>
      <c r="DF476" s="16"/>
      <c r="DG476" s="16"/>
      <c r="DH476" s="27"/>
      <c r="DJ476" s="27"/>
      <c r="DK476" s="16"/>
      <c r="DL476" s="16"/>
      <c r="DM476" s="27"/>
      <c r="DO476" s="27"/>
      <c r="DP476" s="16"/>
      <c r="DQ476" s="16"/>
      <c r="DR476" s="27"/>
      <c r="DT476" s="27"/>
      <c r="DU476" s="16"/>
      <c r="DV476" s="16"/>
      <c r="DW476" s="27"/>
      <c r="DY476" s="27"/>
      <c r="DZ476" s="16"/>
      <c r="EA476" s="16"/>
      <c r="EB476" s="302"/>
    </row>
    <row r="477" spans="1:132" s="14" customFormat="1" ht="21" x14ac:dyDescent="0.4">
      <c r="A477" s="27"/>
      <c r="B477" s="27"/>
      <c r="C477" s="27"/>
      <c r="E477" s="16"/>
      <c r="F477" s="27"/>
      <c r="G477" s="27"/>
      <c r="I477" s="27"/>
      <c r="J477" s="16"/>
      <c r="K477" s="16"/>
      <c r="L477" s="27"/>
      <c r="N477" s="27"/>
      <c r="O477" s="16"/>
      <c r="P477" s="16"/>
      <c r="Q477" s="27"/>
      <c r="S477" s="27"/>
      <c r="T477" s="16"/>
      <c r="U477" s="16"/>
      <c r="V477" s="27"/>
      <c r="X477" s="27"/>
      <c r="Y477" s="16"/>
      <c r="Z477" s="16"/>
      <c r="AA477" s="27"/>
      <c r="AC477" s="27"/>
      <c r="AD477" s="16"/>
      <c r="AE477" s="16"/>
      <c r="AF477" s="27"/>
      <c r="AH477" s="27"/>
      <c r="AI477" s="16"/>
      <c r="AJ477" s="16"/>
      <c r="AK477" s="27"/>
      <c r="AM477" s="27"/>
      <c r="AN477" s="16"/>
      <c r="AO477" s="16"/>
      <c r="AP477" s="27"/>
      <c r="AR477" s="27"/>
      <c r="AS477" s="16"/>
      <c r="AT477" s="16"/>
      <c r="AU477" s="27"/>
      <c r="AW477" s="27"/>
      <c r="AX477" s="16"/>
      <c r="AY477" s="16"/>
      <c r="AZ477" s="27"/>
      <c r="BB477" s="27"/>
      <c r="BC477" s="16"/>
      <c r="BD477" s="16"/>
      <c r="BE477" s="27"/>
      <c r="BG477" s="27"/>
      <c r="BH477" s="16"/>
      <c r="BI477" s="16"/>
      <c r="BJ477" s="27"/>
      <c r="BL477" s="27"/>
      <c r="BM477" s="16"/>
      <c r="BN477" s="16"/>
      <c r="BO477" s="27"/>
      <c r="BQ477" s="27"/>
      <c r="BR477" s="16"/>
      <c r="BS477" s="16"/>
      <c r="BT477" s="27"/>
      <c r="BV477" s="27"/>
      <c r="BW477" s="16"/>
      <c r="BX477" s="16"/>
      <c r="BY477" s="27"/>
      <c r="CA477" s="27"/>
      <c r="CB477" s="16"/>
      <c r="CC477" s="16"/>
      <c r="CD477" s="27"/>
      <c r="CF477" s="27"/>
      <c r="CG477" s="16"/>
      <c r="CH477" s="16"/>
      <c r="CI477" s="27"/>
      <c r="CK477" s="27"/>
      <c r="CL477" s="16"/>
      <c r="CM477" s="16"/>
      <c r="CN477" s="27"/>
      <c r="CP477" s="27"/>
      <c r="CQ477" s="16"/>
      <c r="CR477" s="16"/>
      <c r="CS477" s="27"/>
      <c r="CU477" s="27"/>
      <c r="CV477" s="16"/>
      <c r="CW477" s="16"/>
      <c r="CX477" s="27"/>
      <c r="CZ477" s="27"/>
      <c r="DA477" s="16"/>
      <c r="DB477" s="16"/>
      <c r="DC477" s="27"/>
      <c r="DE477" s="27"/>
      <c r="DF477" s="16"/>
      <c r="DG477" s="16"/>
      <c r="DH477" s="27"/>
      <c r="DJ477" s="27"/>
      <c r="DK477" s="16"/>
      <c r="DL477" s="16"/>
      <c r="DM477" s="27"/>
      <c r="DO477" s="27"/>
      <c r="DP477" s="16"/>
      <c r="DQ477" s="16"/>
      <c r="DR477" s="27"/>
      <c r="DT477" s="27"/>
      <c r="DU477" s="16"/>
      <c r="DV477" s="16"/>
      <c r="DW477" s="27"/>
      <c r="DY477" s="27"/>
      <c r="DZ477" s="16"/>
      <c r="EA477" s="16"/>
      <c r="EB477" s="302"/>
    </row>
    <row r="478" spans="1:132" s="14" customFormat="1" ht="21" x14ac:dyDescent="0.4">
      <c r="A478" s="27"/>
      <c r="B478" s="27"/>
      <c r="C478" s="27"/>
      <c r="E478" s="16"/>
      <c r="F478" s="27"/>
      <c r="G478" s="27"/>
      <c r="I478" s="27"/>
      <c r="J478" s="16"/>
      <c r="K478" s="16"/>
      <c r="L478" s="27"/>
      <c r="N478" s="27"/>
      <c r="O478" s="16"/>
      <c r="P478" s="16"/>
      <c r="Q478" s="27"/>
      <c r="S478" s="27"/>
      <c r="T478" s="16"/>
      <c r="U478" s="16"/>
      <c r="V478" s="27"/>
      <c r="X478" s="27"/>
      <c r="Y478" s="16"/>
      <c r="Z478" s="16"/>
      <c r="AA478" s="27"/>
      <c r="AC478" s="27"/>
      <c r="AD478" s="16"/>
      <c r="AE478" s="16"/>
      <c r="AF478" s="27"/>
      <c r="AH478" s="27"/>
      <c r="AI478" s="16"/>
      <c r="AJ478" s="16"/>
      <c r="AK478" s="27"/>
      <c r="AM478" s="27"/>
      <c r="AN478" s="16"/>
      <c r="AO478" s="16"/>
      <c r="AP478" s="27"/>
      <c r="AR478" s="27"/>
      <c r="AS478" s="16"/>
      <c r="AT478" s="16"/>
      <c r="AU478" s="27"/>
      <c r="AW478" s="27"/>
      <c r="AX478" s="16"/>
      <c r="AY478" s="16"/>
      <c r="AZ478" s="27"/>
      <c r="BB478" s="27"/>
      <c r="BC478" s="16"/>
      <c r="BD478" s="16"/>
      <c r="BE478" s="27"/>
      <c r="BG478" s="27"/>
      <c r="BH478" s="16"/>
      <c r="BI478" s="16"/>
      <c r="BJ478" s="27"/>
      <c r="BL478" s="27"/>
      <c r="BM478" s="16"/>
      <c r="BN478" s="16"/>
      <c r="BO478" s="27"/>
      <c r="BQ478" s="27"/>
      <c r="BR478" s="16"/>
      <c r="BS478" s="16"/>
      <c r="BT478" s="27"/>
      <c r="BV478" s="27"/>
      <c r="BW478" s="16"/>
      <c r="BX478" s="16"/>
      <c r="BY478" s="27"/>
      <c r="CA478" s="27"/>
      <c r="CB478" s="16"/>
      <c r="CC478" s="16"/>
      <c r="CD478" s="27"/>
      <c r="CF478" s="27"/>
      <c r="CG478" s="16"/>
      <c r="CH478" s="16"/>
      <c r="CI478" s="27"/>
      <c r="CK478" s="27"/>
      <c r="CL478" s="16"/>
      <c r="CM478" s="16"/>
      <c r="CN478" s="27"/>
      <c r="CP478" s="27"/>
      <c r="CQ478" s="16"/>
      <c r="CR478" s="16"/>
      <c r="CS478" s="27"/>
      <c r="CU478" s="27"/>
      <c r="CV478" s="16"/>
      <c r="CW478" s="16"/>
      <c r="CX478" s="27"/>
      <c r="CZ478" s="27"/>
      <c r="DA478" s="16"/>
      <c r="DB478" s="16"/>
      <c r="DC478" s="27"/>
      <c r="DE478" s="27"/>
      <c r="DF478" s="16"/>
      <c r="DG478" s="16"/>
      <c r="DH478" s="27"/>
      <c r="DJ478" s="27"/>
      <c r="DK478" s="16"/>
      <c r="DL478" s="16"/>
      <c r="DM478" s="27"/>
      <c r="DO478" s="27"/>
      <c r="DP478" s="16"/>
      <c r="DQ478" s="16"/>
      <c r="DR478" s="27"/>
      <c r="DT478" s="27"/>
      <c r="DU478" s="16"/>
      <c r="DV478" s="16"/>
      <c r="DW478" s="27"/>
      <c r="DY478" s="27"/>
      <c r="DZ478" s="16"/>
      <c r="EA478" s="16"/>
      <c r="EB478" s="302"/>
    </row>
    <row r="479" spans="1:132" s="14" customFormat="1" ht="21" x14ac:dyDescent="0.4">
      <c r="A479" s="27"/>
      <c r="B479" s="27"/>
      <c r="C479" s="27"/>
      <c r="E479" s="16"/>
      <c r="F479" s="27"/>
      <c r="G479" s="27"/>
      <c r="I479" s="27"/>
      <c r="J479" s="16"/>
      <c r="K479" s="16"/>
      <c r="L479" s="27"/>
      <c r="N479" s="27"/>
      <c r="O479" s="16"/>
      <c r="P479" s="16"/>
      <c r="Q479" s="27"/>
      <c r="S479" s="27"/>
      <c r="T479" s="16"/>
      <c r="U479" s="16"/>
      <c r="V479" s="27"/>
      <c r="X479" s="27"/>
      <c r="Y479" s="16"/>
      <c r="Z479" s="16"/>
      <c r="AA479" s="27"/>
      <c r="AC479" s="27"/>
      <c r="AD479" s="16"/>
      <c r="AE479" s="16"/>
      <c r="AF479" s="27"/>
      <c r="AH479" s="27"/>
      <c r="AI479" s="16"/>
      <c r="AJ479" s="16"/>
      <c r="AK479" s="27"/>
      <c r="AM479" s="27"/>
      <c r="AN479" s="16"/>
      <c r="AO479" s="16"/>
      <c r="AP479" s="27"/>
      <c r="AR479" s="27"/>
      <c r="AS479" s="16"/>
      <c r="AT479" s="16"/>
      <c r="AU479" s="27"/>
      <c r="AW479" s="27"/>
      <c r="AX479" s="16"/>
      <c r="AY479" s="16"/>
      <c r="AZ479" s="27"/>
      <c r="BB479" s="27"/>
      <c r="BC479" s="16"/>
      <c r="BD479" s="16"/>
      <c r="BE479" s="27"/>
      <c r="BG479" s="27"/>
      <c r="BH479" s="16"/>
      <c r="BI479" s="16"/>
      <c r="BJ479" s="27"/>
      <c r="BL479" s="27"/>
      <c r="BM479" s="16"/>
      <c r="BN479" s="16"/>
      <c r="BO479" s="27"/>
      <c r="BQ479" s="27"/>
      <c r="BR479" s="16"/>
      <c r="BS479" s="16"/>
      <c r="BT479" s="27"/>
      <c r="BV479" s="27"/>
      <c r="BW479" s="16"/>
      <c r="BX479" s="16"/>
      <c r="BY479" s="27"/>
      <c r="CA479" s="27"/>
      <c r="CB479" s="16"/>
      <c r="CC479" s="16"/>
      <c r="CD479" s="27"/>
      <c r="CF479" s="27"/>
      <c r="CG479" s="16"/>
      <c r="CH479" s="16"/>
      <c r="CI479" s="27"/>
      <c r="CK479" s="27"/>
      <c r="CL479" s="16"/>
      <c r="CM479" s="16"/>
      <c r="CN479" s="27"/>
      <c r="CP479" s="27"/>
      <c r="CQ479" s="16"/>
      <c r="CR479" s="16"/>
      <c r="CS479" s="27"/>
      <c r="CU479" s="27"/>
      <c r="CV479" s="16"/>
      <c r="CW479" s="16"/>
      <c r="CX479" s="27"/>
      <c r="CZ479" s="27"/>
      <c r="DA479" s="16"/>
      <c r="DB479" s="16"/>
      <c r="DC479" s="27"/>
      <c r="DE479" s="27"/>
      <c r="DF479" s="16"/>
      <c r="DG479" s="16"/>
      <c r="DH479" s="27"/>
      <c r="DJ479" s="27"/>
      <c r="DK479" s="16"/>
      <c r="DL479" s="16"/>
      <c r="DM479" s="27"/>
      <c r="DO479" s="27"/>
      <c r="DP479" s="16"/>
      <c r="DQ479" s="16"/>
      <c r="DR479" s="27"/>
      <c r="DT479" s="27"/>
      <c r="DU479" s="16"/>
      <c r="DV479" s="16"/>
      <c r="DW479" s="27"/>
      <c r="DY479" s="27"/>
      <c r="DZ479" s="16"/>
      <c r="EA479" s="16"/>
      <c r="EB479" s="302"/>
    </row>
    <row r="480" spans="1:132" s="14" customFormat="1" ht="21" x14ac:dyDescent="0.4">
      <c r="A480" s="27"/>
      <c r="B480" s="27"/>
      <c r="C480" s="27"/>
      <c r="E480" s="16"/>
      <c r="F480" s="27"/>
      <c r="G480" s="27"/>
      <c r="I480" s="27"/>
      <c r="J480" s="16"/>
      <c r="K480" s="16"/>
      <c r="L480" s="27"/>
      <c r="N480" s="27"/>
      <c r="O480" s="16"/>
      <c r="P480" s="16"/>
      <c r="Q480" s="27"/>
      <c r="S480" s="27"/>
      <c r="T480" s="16"/>
      <c r="U480" s="16"/>
      <c r="V480" s="27"/>
      <c r="X480" s="27"/>
      <c r="Y480" s="16"/>
      <c r="Z480" s="16"/>
      <c r="AA480" s="27"/>
      <c r="AC480" s="27"/>
      <c r="AD480" s="16"/>
      <c r="AE480" s="16"/>
      <c r="AF480" s="27"/>
      <c r="AH480" s="27"/>
      <c r="AI480" s="16"/>
      <c r="AJ480" s="16"/>
      <c r="AK480" s="27"/>
      <c r="AM480" s="27"/>
      <c r="AN480" s="16"/>
      <c r="AO480" s="16"/>
      <c r="AP480" s="27"/>
      <c r="AR480" s="27"/>
      <c r="AS480" s="16"/>
      <c r="AT480" s="16"/>
      <c r="AU480" s="27"/>
      <c r="AW480" s="27"/>
      <c r="AX480" s="16"/>
      <c r="AY480" s="16"/>
      <c r="AZ480" s="27"/>
      <c r="BB480" s="27"/>
      <c r="BC480" s="16"/>
      <c r="BD480" s="16"/>
      <c r="BE480" s="27"/>
      <c r="BG480" s="27"/>
      <c r="BH480" s="16"/>
      <c r="BI480" s="16"/>
      <c r="BJ480" s="27"/>
      <c r="BL480" s="27"/>
      <c r="BM480" s="16"/>
      <c r="BN480" s="16"/>
      <c r="BO480" s="27"/>
      <c r="BQ480" s="27"/>
      <c r="BR480" s="16"/>
      <c r="BS480" s="16"/>
      <c r="BT480" s="27"/>
      <c r="BV480" s="27"/>
      <c r="BW480" s="16"/>
      <c r="BX480" s="16"/>
      <c r="BY480" s="27"/>
      <c r="CA480" s="27"/>
      <c r="CB480" s="16"/>
      <c r="CC480" s="16"/>
      <c r="CD480" s="27"/>
      <c r="CF480" s="27"/>
      <c r="CG480" s="16"/>
      <c r="CH480" s="16"/>
      <c r="CI480" s="27"/>
      <c r="CK480" s="27"/>
      <c r="CL480" s="16"/>
      <c r="CM480" s="16"/>
      <c r="CN480" s="27"/>
      <c r="CP480" s="27"/>
      <c r="CQ480" s="16"/>
      <c r="CR480" s="16"/>
      <c r="CS480" s="27"/>
      <c r="CU480" s="27"/>
      <c r="CV480" s="16"/>
      <c r="CW480" s="16"/>
      <c r="CX480" s="27"/>
      <c r="CZ480" s="27"/>
      <c r="DA480" s="16"/>
      <c r="DB480" s="16"/>
      <c r="DC480" s="27"/>
      <c r="DE480" s="27"/>
      <c r="DF480" s="16"/>
      <c r="DG480" s="16"/>
      <c r="DH480" s="27"/>
      <c r="DJ480" s="27"/>
      <c r="DK480" s="16"/>
      <c r="DL480" s="16"/>
      <c r="DM480" s="27"/>
      <c r="DO480" s="27"/>
      <c r="DP480" s="16"/>
      <c r="DQ480" s="16"/>
      <c r="DR480" s="27"/>
      <c r="DT480" s="27"/>
      <c r="DU480" s="16"/>
      <c r="DV480" s="16"/>
      <c r="DW480" s="27"/>
      <c r="DY480" s="27"/>
      <c r="DZ480" s="16"/>
      <c r="EA480" s="16"/>
      <c r="EB480" s="302"/>
    </row>
    <row r="481" spans="1:132" s="14" customFormat="1" ht="21" x14ac:dyDescent="0.4">
      <c r="A481" s="27"/>
      <c r="B481" s="27"/>
      <c r="C481" s="27"/>
      <c r="E481" s="16"/>
      <c r="F481" s="27"/>
      <c r="G481" s="27"/>
      <c r="I481" s="27"/>
      <c r="J481" s="16"/>
      <c r="K481" s="16"/>
      <c r="L481" s="27"/>
      <c r="N481" s="27"/>
      <c r="O481" s="16"/>
      <c r="P481" s="16"/>
      <c r="Q481" s="27"/>
      <c r="S481" s="27"/>
      <c r="T481" s="16"/>
      <c r="U481" s="16"/>
      <c r="V481" s="27"/>
      <c r="X481" s="27"/>
      <c r="Y481" s="16"/>
      <c r="Z481" s="16"/>
      <c r="AA481" s="27"/>
      <c r="AC481" s="27"/>
      <c r="AD481" s="16"/>
      <c r="AE481" s="16"/>
      <c r="AF481" s="27"/>
      <c r="AH481" s="27"/>
      <c r="AI481" s="16"/>
      <c r="AJ481" s="16"/>
      <c r="AK481" s="27"/>
      <c r="AM481" s="27"/>
      <c r="AN481" s="16"/>
      <c r="AO481" s="16"/>
      <c r="AP481" s="27"/>
      <c r="AR481" s="27"/>
      <c r="AS481" s="16"/>
      <c r="AT481" s="16"/>
      <c r="AU481" s="27"/>
      <c r="AW481" s="27"/>
      <c r="AX481" s="16"/>
      <c r="AY481" s="16"/>
      <c r="AZ481" s="27"/>
      <c r="BB481" s="27"/>
      <c r="BC481" s="16"/>
      <c r="BD481" s="16"/>
      <c r="BE481" s="27"/>
      <c r="BG481" s="27"/>
      <c r="BH481" s="16"/>
      <c r="BI481" s="16"/>
      <c r="BJ481" s="27"/>
      <c r="BL481" s="27"/>
      <c r="BM481" s="16"/>
      <c r="BN481" s="16"/>
      <c r="BO481" s="27"/>
      <c r="BQ481" s="27"/>
      <c r="BR481" s="16"/>
      <c r="BS481" s="16"/>
      <c r="BT481" s="27"/>
      <c r="BV481" s="27"/>
      <c r="BW481" s="16"/>
      <c r="BX481" s="16"/>
      <c r="BY481" s="27"/>
      <c r="CA481" s="27"/>
      <c r="CB481" s="16"/>
      <c r="CC481" s="16"/>
      <c r="CD481" s="27"/>
      <c r="CF481" s="27"/>
      <c r="CG481" s="16"/>
      <c r="CH481" s="16"/>
      <c r="CI481" s="27"/>
      <c r="CK481" s="27"/>
      <c r="CL481" s="16"/>
      <c r="CM481" s="16"/>
      <c r="CN481" s="27"/>
      <c r="CP481" s="27"/>
      <c r="CQ481" s="16"/>
      <c r="CR481" s="16"/>
      <c r="CS481" s="27"/>
      <c r="CU481" s="27"/>
      <c r="CV481" s="16"/>
      <c r="CW481" s="16"/>
      <c r="CX481" s="27"/>
      <c r="CZ481" s="27"/>
      <c r="DA481" s="16"/>
      <c r="DB481" s="16"/>
      <c r="DC481" s="27"/>
      <c r="DE481" s="27"/>
      <c r="DF481" s="16"/>
      <c r="DG481" s="16"/>
      <c r="DH481" s="27"/>
      <c r="DJ481" s="27"/>
      <c r="DK481" s="16"/>
      <c r="DL481" s="16"/>
      <c r="DM481" s="27"/>
      <c r="DO481" s="27"/>
      <c r="DP481" s="16"/>
      <c r="DQ481" s="16"/>
      <c r="DR481" s="27"/>
      <c r="DT481" s="27"/>
      <c r="DU481" s="16"/>
      <c r="DV481" s="16"/>
      <c r="DW481" s="27"/>
      <c r="DY481" s="27"/>
      <c r="DZ481" s="16"/>
      <c r="EA481" s="16"/>
      <c r="EB481" s="302"/>
    </row>
    <row r="482" spans="1:132" s="14" customFormat="1" ht="21" x14ac:dyDescent="0.4">
      <c r="A482" s="27"/>
      <c r="B482" s="27"/>
      <c r="C482" s="27"/>
      <c r="E482" s="16"/>
      <c r="F482" s="27"/>
      <c r="G482" s="27"/>
      <c r="I482" s="27"/>
      <c r="J482" s="16"/>
      <c r="K482" s="16"/>
      <c r="L482" s="27"/>
      <c r="N482" s="27"/>
      <c r="O482" s="16"/>
      <c r="P482" s="16"/>
      <c r="Q482" s="27"/>
      <c r="S482" s="27"/>
      <c r="T482" s="16"/>
      <c r="U482" s="16"/>
      <c r="V482" s="27"/>
      <c r="X482" s="27"/>
      <c r="Y482" s="16"/>
      <c r="Z482" s="16"/>
      <c r="AA482" s="27"/>
      <c r="AC482" s="27"/>
      <c r="AD482" s="16"/>
      <c r="AE482" s="16"/>
      <c r="AF482" s="27"/>
      <c r="AH482" s="27"/>
      <c r="AI482" s="16"/>
      <c r="AJ482" s="16"/>
      <c r="AK482" s="27"/>
      <c r="AM482" s="27"/>
      <c r="AN482" s="16"/>
      <c r="AO482" s="16"/>
      <c r="AP482" s="27"/>
      <c r="AR482" s="27"/>
      <c r="AS482" s="16"/>
      <c r="AT482" s="16"/>
      <c r="AU482" s="27"/>
      <c r="AW482" s="27"/>
      <c r="AX482" s="16"/>
      <c r="AY482" s="16"/>
      <c r="AZ482" s="27"/>
      <c r="BB482" s="27"/>
      <c r="BC482" s="16"/>
      <c r="BD482" s="16"/>
      <c r="BE482" s="27"/>
      <c r="BG482" s="27"/>
      <c r="BH482" s="16"/>
      <c r="BI482" s="16"/>
      <c r="BJ482" s="27"/>
      <c r="BL482" s="27"/>
      <c r="BM482" s="16"/>
      <c r="BN482" s="16"/>
      <c r="BO482" s="27"/>
      <c r="BQ482" s="27"/>
      <c r="BR482" s="16"/>
      <c r="BS482" s="16"/>
      <c r="BT482" s="27"/>
      <c r="BV482" s="27"/>
      <c r="BW482" s="16"/>
      <c r="BX482" s="16"/>
      <c r="BY482" s="27"/>
      <c r="CA482" s="27"/>
      <c r="CB482" s="16"/>
      <c r="CC482" s="16"/>
      <c r="CD482" s="27"/>
      <c r="CF482" s="27"/>
      <c r="CG482" s="16"/>
      <c r="CH482" s="16"/>
      <c r="CI482" s="27"/>
      <c r="CK482" s="27"/>
      <c r="CL482" s="16"/>
      <c r="CM482" s="16"/>
      <c r="CN482" s="27"/>
      <c r="CP482" s="27"/>
      <c r="CQ482" s="16"/>
      <c r="CR482" s="16"/>
      <c r="CS482" s="27"/>
      <c r="CU482" s="27"/>
      <c r="CV482" s="16"/>
      <c r="CW482" s="16"/>
      <c r="CX482" s="27"/>
      <c r="CZ482" s="27"/>
      <c r="DA482" s="16"/>
      <c r="DB482" s="16"/>
      <c r="DC482" s="27"/>
      <c r="DE482" s="27"/>
      <c r="DF482" s="16"/>
      <c r="DG482" s="16"/>
      <c r="DH482" s="27"/>
      <c r="DJ482" s="27"/>
      <c r="DK482" s="16"/>
      <c r="DL482" s="16"/>
      <c r="DM482" s="27"/>
      <c r="DO482" s="27"/>
      <c r="DP482" s="16"/>
      <c r="DQ482" s="16"/>
      <c r="DR482" s="27"/>
      <c r="DT482" s="27"/>
      <c r="DU482" s="16"/>
      <c r="DV482" s="16"/>
      <c r="DW482" s="27"/>
      <c r="DY482" s="27"/>
      <c r="DZ482" s="16"/>
      <c r="EA482" s="16"/>
      <c r="EB482" s="302"/>
    </row>
    <row r="483" spans="1:132" s="14" customFormat="1" ht="21" x14ac:dyDescent="0.4">
      <c r="A483" s="27"/>
      <c r="B483" s="27"/>
      <c r="C483" s="27"/>
      <c r="E483" s="16"/>
      <c r="F483" s="27"/>
      <c r="G483" s="27"/>
      <c r="I483" s="27"/>
      <c r="J483" s="16"/>
      <c r="K483" s="16"/>
      <c r="L483" s="27"/>
      <c r="N483" s="27"/>
      <c r="O483" s="16"/>
      <c r="P483" s="16"/>
      <c r="Q483" s="27"/>
      <c r="S483" s="27"/>
      <c r="T483" s="16"/>
      <c r="U483" s="16"/>
      <c r="V483" s="27"/>
      <c r="X483" s="27"/>
      <c r="Y483" s="16"/>
      <c r="Z483" s="16"/>
      <c r="AA483" s="27"/>
      <c r="AC483" s="27"/>
      <c r="AD483" s="16"/>
      <c r="AE483" s="16"/>
      <c r="AF483" s="27"/>
      <c r="AH483" s="27"/>
      <c r="AI483" s="16"/>
      <c r="AJ483" s="16"/>
      <c r="AK483" s="27"/>
      <c r="AM483" s="27"/>
      <c r="AN483" s="16"/>
      <c r="AO483" s="16"/>
      <c r="AP483" s="27"/>
      <c r="AR483" s="27"/>
      <c r="AS483" s="16"/>
      <c r="AT483" s="16"/>
      <c r="AU483" s="27"/>
      <c r="AW483" s="27"/>
      <c r="AX483" s="16"/>
      <c r="AY483" s="16"/>
      <c r="AZ483" s="27"/>
      <c r="BB483" s="27"/>
      <c r="BC483" s="16"/>
      <c r="BD483" s="16"/>
      <c r="BE483" s="27"/>
      <c r="BG483" s="27"/>
      <c r="BH483" s="16"/>
      <c r="BI483" s="16"/>
      <c r="BJ483" s="27"/>
      <c r="BL483" s="27"/>
      <c r="BM483" s="16"/>
      <c r="BN483" s="16"/>
      <c r="BO483" s="27"/>
      <c r="BQ483" s="27"/>
      <c r="BR483" s="16"/>
      <c r="BS483" s="16"/>
      <c r="BT483" s="27"/>
      <c r="BV483" s="27"/>
      <c r="BW483" s="16"/>
      <c r="BX483" s="16"/>
      <c r="BY483" s="27"/>
      <c r="CA483" s="27"/>
      <c r="CB483" s="16"/>
      <c r="CC483" s="16"/>
      <c r="CD483" s="27"/>
      <c r="CF483" s="27"/>
      <c r="CG483" s="16"/>
      <c r="CH483" s="16"/>
      <c r="CI483" s="27"/>
      <c r="CK483" s="27"/>
      <c r="CL483" s="16"/>
      <c r="CM483" s="16"/>
      <c r="CN483" s="27"/>
      <c r="CP483" s="27"/>
      <c r="CQ483" s="16"/>
      <c r="CR483" s="16"/>
      <c r="CS483" s="27"/>
      <c r="CU483" s="27"/>
      <c r="CV483" s="16"/>
      <c r="CW483" s="16"/>
      <c r="CX483" s="27"/>
      <c r="CZ483" s="27"/>
      <c r="DA483" s="16"/>
      <c r="DB483" s="16"/>
      <c r="DC483" s="27"/>
      <c r="DE483" s="27"/>
      <c r="DF483" s="16"/>
      <c r="DG483" s="16"/>
      <c r="DH483" s="27"/>
      <c r="DJ483" s="27"/>
      <c r="DK483" s="16"/>
      <c r="DL483" s="16"/>
      <c r="DM483" s="27"/>
      <c r="DO483" s="27"/>
      <c r="DP483" s="16"/>
      <c r="DQ483" s="16"/>
      <c r="DR483" s="27"/>
      <c r="DT483" s="27"/>
      <c r="DU483" s="16"/>
      <c r="DV483" s="16"/>
      <c r="DW483" s="27"/>
      <c r="DY483" s="27"/>
      <c r="DZ483" s="16"/>
      <c r="EA483" s="16"/>
      <c r="EB483" s="302"/>
    </row>
    <row r="484" spans="1:132" s="14" customFormat="1" ht="21" x14ac:dyDescent="0.4">
      <c r="A484" s="27"/>
      <c r="B484" s="27"/>
      <c r="C484" s="27"/>
      <c r="E484" s="16"/>
      <c r="F484" s="27"/>
      <c r="G484" s="27"/>
      <c r="I484" s="27"/>
      <c r="J484" s="16"/>
      <c r="K484" s="16"/>
      <c r="L484" s="27"/>
      <c r="N484" s="27"/>
      <c r="O484" s="16"/>
      <c r="P484" s="16"/>
      <c r="Q484" s="27"/>
      <c r="S484" s="27"/>
      <c r="T484" s="16"/>
      <c r="U484" s="16"/>
      <c r="V484" s="27"/>
      <c r="X484" s="27"/>
      <c r="Y484" s="16"/>
      <c r="Z484" s="16"/>
      <c r="AA484" s="27"/>
      <c r="AC484" s="27"/>
      <c r="AD484" s="16"/>
      <c r="AE484" s="16"/>
      <c r="AF484" s="27"/>
      <c r="AH484" s="27"/>
      <c r="AI484" s="16"/>
      <c r="AJ484" s="16"/>
      <c r="AK484" s="27"/>
      <c r="AM484" s="27"/>
      <c r="AN484" s="16"/>
      <c r="AO484" s="16"/>
      <c r="AP484" s="27"/>
      <c r="AR484" s="27"/>
      <c r="AS484" s="16"/>
      <c r="AT484" s="16"/>
      <c r="AU484" s="27"/>
      <c r="AW484" s="27"/>
      <c r="AX484" s="16"/>
      <c r="AY484" s="16"/>
      <c r="AZ484" s="27"/>
      <c r="BB484" s="27"/>
      <c r="BC484" s="16"/>
      <c r="BD484" s="16"/>
      <c r="BE484" s="27"/>
      <c r="BG484" s="27"/>
      <c r="BH484" s="16"/>
      <c r="BI484" s="16"/>
      <c r="BJ484" s="27"/>
      <c r="BL484" s="27"/>
      <c r="BM484" s="16"/>
      <c r="BN484" s="16"/>
      <c r="BO484" s="27"/>
      <c r="BQ484" s="27"/>
      <c r="BR484" s="16"/>
      <c r="BS484" s="16"/>
      <c r="BT484" s="27"/>
      <c r="BV484" s="27"/>
      <c r="BW484" s="16"/>
      <c r="BX484" s="16"/>
      <c r="BY484" s="27"/>
      <c r="CA484" s="27"/>
      <c r="CB484" s="16"/>
      <c r="CC484" s="16"/>
      <c r="CD484" s="27"/>
      <c r="CF484" s="27"/>
      <c r="CG484" s="16"/>
      <c r="CH484" s="16"/>
      <c r="CI484" s="27"/>
      <c r="CK484" s="27"/>
      <c r="CL484" s="16"/>
      <c r="CM484" s="16"/>
      <c r="CN484" s="27"/>
      <c r="CP484" s="27"/>
      <c r="CQ484" s="16"/>
      <c r="CR484" s="16"/>
      <c r="CS484" s="27"/>
      <c r="CU484" s="27"/>
      <c r="CV484" s="16"/>
      <c r="CW484" s="16"/>
      <c r="CX484" s="27"/>
      <c r="CZ484" s="27"/>
      <c r="DA484" s="16"/>
      <c r="DB484" s="16"/>
      <c r="DC484" s="27"/>
      <c r="DE484" s="27"/>
      <c r="DF484" s="16"/>
      <c r="DG484" s="16"/>
      <c r="DH484" s="27"/>
      <c r="DJ484" s="27"/>
      <c r="DK484" s="16"/>
      <c r="DL484" s="16"/>
      <c r="DM484" s="27"/>
      <c r="DO484" s="27"/>
      <c r="DP484" s="16"/>
      <c r="DQ484" s="16"/>
      <c r="DR484" s="27"/>
      <c r="DT484" s="27"/>
      <c r="DU484" s="16"/>
      <c r="DV484" s="16"/>
      <c r="DW484" s="27"/>
      <c r="DY484" s="27"/>
      <c r="DZ484" s="16"/>
      <c r="EA484" s="16"/>
      <c r="EB484" s="302"/>
    </row>
  </sheetData>
  <sheetProtection algorithmName="SHA-512" hashValue="sxphEaX9OJUDIeMI/mE2C7PtCQJf9Y/WHzRsyEFNvXpaIYU85fWDoeQg4YGcye8DqEUlzXIy0OyJcCi+upLbog==" saltValue="n4NF/GchdsBOUIEqA24XGA==" spinCount="100000" sheet="1" objects="1" scenarios="1"/>
  <mergeCells count="121">
    <mergeCell ref="A4:A5"/>
    <mergeCell ref="EK2:ET2"/>
    <mergeCell ref="EK3:EL4"/>
    <mergeCell ref="EM3:EN4"/>
    <mergeCell ref="EO3:EP4"/>
    <mergeCell ref="EQ3:ER4"/>
    <mergeCell ref="ES3:ET4"/>
    <mergeCell ref="H4:H5"/>
    <mergeCell ref="I4:I5"/>
    <mergeCell ref="L4:L5"/>
    <mergeCell ref="M4:M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B4:AB5"/>
    <mergeCell ref="AC4:AC5"/>
    <mergeCell ref="AF4:AF5"/>
    <mergeCell ref="AG4:AG5"/>
    <mergeCell ref="AH4:AH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V4:AV5"/>
    <mergeCell ref="AW4:AW5"/>
    <mergeCell ref="AZ4:AZ5"/>
    <mergeCell ref="BA4:BA5"/>
    <mergeCell ref="BB4:BB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BP4:BP5"/>
    <mergeCell ref="BQ4:BQ5"/>
    <mergeCell ref="BT4:BT5"/>
    <mergeCell ref="BU4:BU5"/>
    <mergeCell ref="BV4:BV5"/>
    <mergeCell ref="BY4:BY5"/>
    <mergeCell ref="BS4:BS5"/>
    <mergeCell ref="BX4:BX5"/>
    <mergeCell ref="BF4:BF5"/>
    <mergeCell ref="BG4:BG5"/>
    <mergeCell ref="BJ4:BJ5"/>
    <mergeCell ref="BK4:BK5"/>
    <mergeCell ref="BL4:BL5"/>
    <mergeCell ref="BO4:BO5"/>
    <mergeCell ref="BI4:BI5"/>
    <mergeCell ref="BN4:BN5"/>
    <mergeCell ref="CJ4:CJ5"/>
    <mergeCell ref="CK4:CK5"/>
    <mergeCell ref="CN4:CN5"/>
    <mergeCell ref="CO4:CO5"/>
    <mergeCell ref="CP4:CP5"/>
    <mergeCell ref="CS4:CS5"/>
    <mergeCell ref="CM4:CM5"/>
    <mergeCell ref="CR4:CR5"/>
    <mergeCell ref="BZ4:BZ5"/>
    <mergeCell ref="CA4:CA5"/>
    <mergeCell ref="CD4:CD5"/>
    <mergeCell ref="CE4:CE5"/>
    <mergeCell ref="CF4:CF5"/>
    <mergeCell ref="CI4:CI5"/>
    <mergeCell ref="CC4:CC5"/>
    <mergeCell ref="CH4:CH5"/>
    <mergeCell ref="DD4:DD5"/>
    <mergeCell ref="DE4:DE5"/>
    <mergeCell ref="DH4:DH5"/>
    <mergeCell ref="DI4:DI5"/>
    <mergeCell ref="DJ4:DJ5"/>
    <mergeCell ref="DM4:DM5"/>
    <mergeCell ref="DG4:DG5"/>
    <mergeCell ref="DL4:DL5"/>
    <mergeCell ref="CT4:CT5"/>
    <mergeCell ref="CU4:CU5"/>
    <mergeCell ref="CX4:CX5"/>
    <mergeCell ref="CY4:CY5"/>
    <mergeCell ref="CZ4:CZ5"/>
    <mergeCell ref="DC4:DC5"/>
    <mergeCell ref="CW4:CW5"/>
    <mergeCell ref="DB4:DB5"/>
    <mergeCell ref="ED2:EG2"/>
    <mergeCell ref="EH2:EH5"/>
    <mergeCell ref="EI2:EI5"/>
    <mergeCell ref="ED3:ED5"/>
    <mergeCell ref="EE3:EE5"/>
    <mergeCell ref="EF3:EF5"/>
    <mergeCell ref="EG3:EG5"/>
    <mergeCell ref="DN4:DN5"/>
    <mergeCell ref="DO4:DO5"/>
    <mergeCell ref="DR4:DR5"/>
    <mergeCell ref="DS4:DS5"/>
    <mergeCell ref="DT4:DT5"/>
    <mergeCell ref="EC4:EC5"/>
    <mergeCell ref="DQ4:DQ5"/>
    <mergeCell ref="DV4:DV5"/>
    <mergeCell ref="EB4:EB5"/>
    <mergeCell ref="DW4:DW5"/>
    <mergeCell ref="DX4:DX5"/>
    <mergeCell ref="DY4:DY5"/>
    <mergeCell ref="EA4:EA5"/>
  </mergeCells>
  <dataValidations count="1">
    <dataValidation type="list" allowBlank="1" showInputMessage="1" showErrorMessage="1" error="พิมพ์ได้เฉพาะค่า 0,1,2,3" sqref="ED6:EG50" xr:uid="{00000000-0002-0000-0500-000000000000}">
      <formula1>"ผ,มผ"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</sheetPr>
  <dimension ref="A1:CN62"/>
  <sheetViews>
    <sheetView view="pageBreakPreview" topLeftCell="A7" zoomScale="113" zoomScaleSheetLayoutView="113" workbookViewId="0">
      <pane xSplit="12" ySplit="2" topLeftCell="M43" activePane="bottomRight" state="frozen"/>
      <selection activeCell="A7" sqref="A7"/>
      <selection pane="topRight" activeCell="M7" sqref="M7"/>
      <selection pane="bottomLeft" activeCell="A9" sqref="A9"/>
      <selection pane="bottomRight" activeCell="N51" sqref="N51"/>
    </sheetView>
  </sheetViews>
  <sheetFormatPr defaultColWidth="9.33203125" defaultRowHeight="21" x14ac:dyDescent="0.4"/>
  <cols>
    <col min="1" max="1" width="3.44140625" style="14" customWidth="1"/>
    <col min="2" max="2" width="9.6640625" style="14" customWidth="1"/>
    <col min="3" max="48" width="3.44140625" style="14" customWidth="1"/>
    <col min="49" max="49" width="4.33203125" style="14" customWidth="1"/>
    <col min="50" max="50" width="4.33203125" style="14" hidden="1" customWidth="1"/>
    <col min="51" max="85" width="3.44140625" style="106" hidden="1" customWidth="1"/>
    <col min="86" max="87" width="4.33203125" style="14" hidden="1" customWidth="1"/>
    <col min="88" max="91" width="9.33203125" style="14"/>
    <col min="92" max="92" width="17.109375" style="14" customWidth="1"/>
    <col min="93" max="16384" width="9.33203125" style="14"/>
  </cols>
  <sheetData>
    <row r="1" spans="1:92" s="13" customFormat="1" ht="21" customHeight="1" x14ac:dyDescent="0.35">
      <c r="A1" s="752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 t="str">
        <f>IF(Z9="","ประกาศผลสอบปลายภาคเรียนที่.................../.................................",CONCATENATE("ประกาศผลสอบปลายภาคเรียนที่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2"/>
      <c r="AV1" s="752"/>
      <c r="AW1" s="752"/>
      <c r="AX1" s="752"/>
      <c r="AY1" s="754"/>
      <c r="AZ1" s="754"/>
      <c r="BA1" s="754"/>
      <c r="BB1" s="754"/>
      <c r="BC1" s="754"/>
      <c r="BD1" s="754"/>
      <c r="BE1" s="754"/>
      <c r="BF1" s="754"/>
      <c r="BG1" s="754"/>
      <c r="BH1" s="754"/>
      <c r="BI1" s="754"/>
      <c r="BJ1" s="754"/>
      <c r="BK1" s="754"/>
      <c r="BL1" s="754"/>
      <c r="BM1" s="754"/>
      <c r="BN1" s="754"/>
      <c r="BO1" s="166"/>
      <c r="BP1" s="166"/>
      <c r="BQ1" s="754"/>
      <c r="BR1" s="754"/>
      <c r="BS1" s="754"/>
      <c r="BT1" s="754"/>
      <c r="BU1" s="754"/>
      <c r="BV1" s="754"/>
      <c r="BW1" s="754"/>
      <c r="BX1" s="754"/>
      <c r="BY1" s="754"/>
      <c r="BZ1" s="754"/>
      <c r="CA1" s="754"/>
      <c r="CB1" s="754"/>
      <c r="CC1" s="754"/>
      <c r="CD1" s="754"/>
      <c r="CE1" s="754"/>
      <c r="CF1" s="754"/>
      <c r="CG1" s="166"/>
      <c r="CJ1" s="753" t="s">
        <v>1124</v>
      </c>
      <c r="CK1" s="753"/>
      <c r="CL1" s="753"/>
      <c r="CM1" s="753"/>
      <c r="CN1" s="753"/>
    </row>
    <row r="2" spans="1:92" s="13" customFormat="1" ht="21" customHeight="1" x14ac:dyDescent="0.35">
      <c r="A2" s="752" t="s">
        <v>693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 t="s">
        <v>693</v>
      </c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166"/>
      <c r="BP2" s="166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166"/>
      <c r="CJ2" s="753"/>
      <c r="CK2" s="753"/>
      <c r="CL2" s="753"/>
      <c r="CM2" s="753"/>
      <c r="CN2" s="753"/>
    </row>
    <row r="3" spans="1:92" s="13" customFormat="1" ht="21" customHeight="1" x14ac:dyDescent="0.35">
      <c r="A3" s="752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 t="str">
        <f>IF(C9="","ชั้นมัธยมศึกษาปีที่..............",CONCATENATE("ชั้นมัธยมศึกษาปีที่ ",Class))</f>
        <v>ชั้นมัธยมศึกษาปีที่..............</v>
      </c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2"/>
      <c r="AO3" s="752"/>
      <c r="AP3" s="752"/>
      <c r="AQ3" s="752"/>
      <c r="AR3" s="752"/>
      <c r="AS3" s="752"/>
      <c r="AT3" s="752"/>
      <c r="AU3" s="752"/>
      <c r="AV3" s="752"/>
      <c r="AW3" s="752"/>
      <c r="AX3" s="752"/>
      <c r="AY3" s="754" t="s">
        <v>6</v>
      </c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166"/>
      <c r="BQ3" s="754" t="s">
        <v>74</v>
      </c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166"/>
      <c r="CJ3" s="753"/>
      <c r="CK3" s="753"/>
      <c r="CL3" s="753"/>
      <c r="CM3" s="753"/>
      <c r="CN3" s="753"/>
    </row>
    <row r="4" spans="1:92" ht="10.5" customHeight="1" thickBot="1" x14ac:dyDescent="0.45">
      <c r="N4" s="15"/>
      <c r="AK4" s="15"/>
      <c r="AZ4" s="107"/>
      <c r="BL4" s="107"/>
      <c r="BR4" s="107"/>
      <c r="CD4" s="107"/>
      <c r="CJ4" s="753"/>
      <c r="CK4" s="753"/>
      <c r="CL4" s="753"/>
      <c r="CM4" s="753"/>
      <c r="CN4" s="753"/>
    </row>
    <row r="5" spans="1:92" s="16" customFormat="1" ht="21" customHeight="1" x14ac:dyDescent="0.4">
      <c r="A5" s="651" t="s">
        <v>0</v>
      </c>
      <c r="B5" s="291"/>
      <c r="C5" s="654" t="s">
        <v>1</v>
      </c>
      <c r="D5" s="738"/>
      <c r="E5" s="738"/>
      <c r="F5" s="738"/>
      <c r="G5" s="738"/>
      <c r="H5" s="738"/>
      <c r="I5" s="738"/>
      <c r="J5" s="738"/>
      <c r="K5" s="738"/>
      <c r="L5" s="655"/>
      <c r="M5" s="660" t="s">
        <v>2</v>
      </c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2"/>
      <c r="Y5" s="651" t="s">
        <v>0</v>
      </c>
      <c r="Z5" s="743" t="s">
        <v>60</v>
      </c>
      <c r="AA5" s="744"/>
      <c r="AB5" s="744"/>
      <c r="AC5" s="744"/>
      <c r="AD5" s="744"/>
      <c r="AE5" s="744"/>
      <c r="AF5" s="744"/>
      <c r="AG5" s="744"/>
      <c r="AH5" s="744"/>
      <c r="AI5" s="745"/>
      <c r="AJ5" s="660" t="s">
        <v>3</v>
      </c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2"/>
      <c r="AW5" s="674" t="s">
        <v>13</v>
      </c>
      <c r="AX5" s="720" t="s">
        <v>5</v>
      </c>
      <c r="AY5" s="726" t="s">
        <v>2</v>
      </c>
      <c r="AZ5" s="727"/>
      <c r="BA5" s="727"/>
      <c r="BB5" s="727"/>
      <c r="BC5" s="727"/>
      <c r="BD5" s="727"/>
      <c r="BE5" s="727"/>
      <c r="BF5" s="727"/>
      <c r="BG5" s="727"/>
      <c r="BH5" s="728"/>
      <c r="BI5" s="728"/>
      <c r="BJ5" s="729"/>
      <c r="BK5" s="723" t="s">
        <v>3</v>
      </c>
      <c r="BL5" s="724"/>
      <c r="BM5" s="724"/>
      <c r="BN5" s="724"/>
      <c r="BO5" s="725"/>
      <c r="BP5" s="285"/>
      <c r="BQ5" s="726" t="s">
        <v>2</v>
      </c>
      <c r="BR5" s="727"/>
      <c r="BS5" s="727"/>
      <c r="BT5" s="727"/>
      <c r="BU5" s="727"/>
      <c r="BV5" s="727"/>
      <c r="BW5" s="727"/>
      <c r="BX5" s="727"/>
      <c r="BY5" s="727"/>
      <c r="BZ5" s="728"/>
      <c r="CA5" s="728"/>
      <c r="CB5" s="729"/>
      <c r="CC5" s="723" t="s">
        <v>3</v>
      </c>
      <c r="CD5" s="724"/>
      <c r="CE5" s="724"/>
      <c r="CF5" s="724"/>
      <c r="CG5" s="725"/>
      <c r="CH5" s="713" t="s">
        <v>13</v>
      </c>
      <c r="CI5" s="716" t="s">
        <v>5</v>
      </c>
      <c r="CJ5" s="753"/>
      <c r="CK5" s="753"/>
      <c r="CL5" s="753"/>
      <c r="CM5" s="753"/>
      <c r="CN5" s="753"/>
    </row>
    <row r="6" spans="1:92" ht="23.25" hidden="1" customHeight="1" x14ac:dyDescent="0.4">
      <c r="A6" s="652"/>
      <c r="B6" s="292"/>
      <c r="C6" s="656"/>
      <c r="D6" s="739"/>
      <c r="E6" s="739"/>
      <c r="F6" s="739"/>
      <c r="G6" s="739"/>
      <c r="H6" s="739"/>
      <c r="I6" s="739"/>
      <c r="J6" s="739"/>
      <c r="K6" s="739"/>
      <c r="L6" s="657"/>
      <c r="M6" s="17"/>
      <c r="N6" s="18"/>
      <c r="O6" s="18"/>
      <c r="P6" s="18"/>
      <c r="Q6" s="19"/>
      <c r="R6" s="19"/>
      <c r="S6" s="20"/>
      <c r="T6" s="20"/>
      <c r="U6" s="20"/>
      <c r="V6" s="134"/>
      <c r="W6" s="134"/>
      <c r="X6" s="21"/>
      <c r="Y6" s="652"/>
      <c r="Z6" s="746"/>
      <c r="AA6" s="747"/>
      <c r="AB6" s="747"/>
      <c r="AC6" s="747"/>
      <c r="AD6" s="747"/>
      <c r="AE6" s="747"/>
      <c r="AF6" s="747"/>
      <c r="AG6" s="747"/>
      <c r="AH6" s="747"/>
      <c r="AI6" s="748"/>
      <c r="AJ6" s="17"/>
      <c r="AK6" s="18"/>
      <c r="AL6" s="18"/>
      <c r="AM6" s="383"/>
      <c r="AN6" s="383"/>
      <c r="AO6" s="383"/>
      <c r="AP6" s="383"/>
      <c r="AQ6" s="383"/>
      <c r="AR6" s="383"/>
      <c r="AS6" s="383"/>
      <c r="AT6" s="383"/>
      <c r="AU6" s="383"/>
      <c r="AV6" s="491"/>
      <c r="AW6" s="675"/>
      <c r="AX6" s="721"/>
      <c r="AY6" s="108"/>
      <c r="AZ6" s="109"/>
      <c r="BA6" s="109"/>
      <c r="BB6" s="109"/>
      <c r="BC6" s="109"/>
      <c r="BD6" s="109"/>
      <c r="BE6" s="110"/>
      <c r="BF6" s="110"/>
      <c r="BG6" s="110"/>
      <c r="BH6" s="151"/>
      <c r="BI6" s="151"/>
      <c r="BJ6" s="111"/>
      <c r="BK6" s="108"/>
      <c r="BL6" s="109"/>
      <c r="BM6" s="109"/>
      <c r="BN6" s="113"/>
      <c r="BO6" s="113"/>
      <c r="BP6" s="285"/>
      <c r="BQ6" s="108"/>
      <c r="BR6" s="109"/>
      <c r="BS6" s="109"/>
      <c r="BT6" s="109"/>
      <c r="BU6" s="109"/>
      <c r="BV6" s="109"/>
      <c r="BW6" s="110"/>
      <c r="BX6" s="110"/>
      <c r="BY6" s="110"/>
      <c r="BZ6" s="151"/>
      <c r="CA6" s="151"/>
      <c r="CB6" s="111"/>
      <c r="CC6" s="108"/>
      <c r="CD6" s="109"/>
      <c r="CE6" s="109"/>
      <c r="CF6" s="112"/>
      <c r="CG6" s="113"/>
      <c r="CH6" s="714"/>
      <c r="CI6" s="717"/>
    </row>
    <row r="7" spans="1:92" ht="73.5" customHeight="1" x14ac:dyDescent="0.4">
      <c r="A7" s="652"/>
      <c r="B7" s="292" t="s">
        <v>24</v>
      </c>
      <c r="C7" s="656"/>
      <c r="D7" s="739"/>
      <c r="E7" s="739"/>
      <c r="F7" s="739"/>
      <c r="G7" s="739"/>
      <c r="H7" s="739"/>
      <c r="I7" s="739"/>
      <c r="J7" s="739"/>
      <c r="K7" s="739"/>
      <c r="L7" s="657"/>
      <c r="M7" s="38" t="str">
        <f>IF(SubGen1="","",SubGen1)</f>
        <v/>
      </c>
      <c r="N7" s="22" t="str">
        <f>IF(SubGen2="","",SubGen2)</f>
        <v/>
      </c>
      <c r="O7" s="22" t="str">
        <f>IF(SubGen3="","",SubGen3)</f>
        <v/>
      </c>
      <c r="P7" s="22" t="str">
        <f>IF(SubGen4="","",SubGen4)</f>
        <v/>
      </c>
      <c r="Q7" s="22" t="str">
        <f>IF(SubGen5="","",SubGen5)</f>
        <v/>
      </c>
      <c r="R7" s="22" t="str">
        <f>IF(SubGen6="","",SubGen6)</f>
        <v/>
      </c>
      <c r="S7" s="22" t="str">
        <f>IF(SubGen7="","",SubGen7)</f>
        <v/>
      </c>
      <c r="T7" s="22" t="str">
        <f>IF(SubGen8="","",SubGen8)</f>
        <v/>
      </c>
      <c r="U7" s="22" t="str">
        <f>IF(SubGen9="","",SubGen9)</f>
        <v/>
      </c>
      <c r="V7" s="22" t="str">
        <f>IF(SubGen10="","",SubGen10)</f>
        <v/>
      </c>
      <c r="W7" s="22" t="str">
        <f>IF(SubGen11="","",SubGen11)</f>
        <v/>
      </c>
      <c r="X7" s="39" t="str">
        <f>IF(SubGen12="","",SubGen12)</f>
        <v/>
      </c>
      <c r="Y7" s="652"/>
      <c r="Z7" s="746"/>
      <c r="AA7" s="747"/>
      <c r="AB7" s="747"/>
      <c r="AC7" s="747"/>
      <c r="AD7" s="747"/>
      <c r="AE7" s="747"/>
      <c r="AF7" s="747"/>
      <c r="AG7" s="747"/>
      <c r="AH7" s="747"/>
      <c r="AI7" s="748"/>
      <c r="AJ7" s="38" t="str">
        <f>IF(SubEle1="","",SubEle1)</f>
        <v/>
      </c>
      <c r="AK7" s="22" t="str">
        <f>IF(SubEle2="","",SubEle2)</f>
        <v/>
      </c>
      <c r="AL7" s="22" t="str">
        <f>IF(SubEle3="","",SubEle3)</f>
        <v/>
      </c>
      <c r="AM7" s="22" t="str">
        <f>IF(SubEle4="","",SubEle4)</f>
        <v/>
      </c>
      <c r="AN7" s="22" t="str">
        <f>IF(SubEle5="","",SubEle5)</f>
        <v/>
      </c>
      <c r="AO7" s="22" t="str">
        <f>IF(SubEle6="","",SubEle6)</f>
        <v/>
      </c>
      <c r="AP7" s="22" t="str">
        <f>IF(SubEle7="","",SubEle7)</f>
        <v/>
      </c>
      <c r="AQ7" s="22" t="str">
        <f>IF(SubEle8="","",SubEle8)</f>
        <v/>
      </c>
      <c r="AR7" s="22" t="str">
        <f>IF(SubEle9="","",SubEle9)</f>
        <v/>
      </c>
      <c r="AS7" s="22" t="str">
        <f>IF(SubEle10="","",SubEle10)</f>
        <v/>
      </c>
      <c r="AT7" s="22" t="str">
        <f>IF(SubEle11="","",SubEle11)</f>
        <v/>
      </c>
      <c r="AU7" s="150" t="str">
        <f>IF(SubEle12="","",SubEle12)</f>
        <v/>
      </c>
      <c r="AV7" s="316" t="str">
        <f>IF('1.ข้อมูลเบื้องต้น'!$C$32="","",'1.ข้อมูลเบื้องต้น'!$C$32)</f>
        <v/>
      </c>
      <c r="AW7" s="675"/>
      <c r="AX7" s="721"/>
      <c r="AY7" s="38" t="str">
        <f>IF(SubGen1="","",SubGen1)</f>
        <v/>
      </c>
      <c r="AZ7" s="22" t="str">
        <f>IF(SubGen2="","",SubGen2)</f>
        <v/>
      </c>
      <c r="BA7" s="22" t="str">
        <f>IF(SubGen3="","",SubGen3)</f>
        <v/>
      </c>
      <c r="BB7" s="22" t="str">
        <f>IF(SubGen4="","",SubGen4)</f>
        <v/>
      </c>
      <c r="BC7" s="22" t="str">
        <f>IF(SubGen5="","",SubGen5)</f>
        <v/>
      </c>
      <c r="BD7" s="22" t="str">
        <f>IF(SubGen6="","",SubGen6)</f>
        <v/>
      </c>
      <c r="BE7" s="22" t="str">
        <f>IF(SubGen7="","",SubGen7)</f>
        <v/>
      </c>
      <c r="BF7" s="22" t="str">
        <f>IF(SubGen8="","",SubGen8)</f>
        <v/>
      </c>
      <c r="BG7" s="22" t="str">
        <f>IF(SubGen9="","",SubGen9)</f>
        <v/>
      </c>
      <c r="BH7" s="22" t="str">
        <f>IF(SubGen10="","",SubGen10)</f>
        <v/>
      </c>
      <c r="BI7" s="22" t="str">
        <f>IF(SubGen11="","",SubGen11)</f>
        <v/>
      </c>
      <c r="BJ7" s="39" t="str">
        <f>IF(SubGen12="","",SubGen12)</f>
        <v/>
      </c>
      <c r="BK7" s="38" t="str">
        <f>IF(SubEle1="","",IF('1.ข้อมูลเบื้องต้น'!F20="SBMLD","SBMLD",SubEle1))</f>
        <v/>
      </c>
      <c r="BL7" s="22" t="str">
        <f>IF(SubEle2="","",IF(BK7="SBMLD","",IF('1.ข้อมูลเบื้องต้น'!F21="SBMLD","SBMLD",SubEle2)))</f>
        <v/>
      </c>
      <c r="BM7" s="150" t="str">
        <f>IF(SubEle3="","",IF(BL7="SBMLD","",IF('1.ข้อมูลเบื้องต้น'!F22="SBMLD","SBMLD",SubEle3)))</f>
        <v/>
      </c>
      <c r="BN7" s="150" t="str">
        <f>IF(SubEle4="","",IF(BM7="SBMLD","",IF('1.ข้อมูลเบื้องต้น'!F23="SBMLD","SBMLD",SubEle4)))</f>
        <v/>
      </c>
      <c r="BO7" s="39" t="str">
        <f>IF(SubEle5="","",IF(BN7="SBMLD","",IF(BN7="","",IF('1.ข้อมูลเบื้องต้น'!F24="SBMLD","SBMLD",SubEle5))))</f>
        <v/>
      </c>
      <c r="BP7" s="286"/>
      <c r="BQ7" s="38" t="str">
        <f>IF(SubGen1="","",SubGen1)</f>
        <v/>
      </c>
      <c r="BR7" s="22" t="str">
        <f>IF(SubGen2="","",SubGen2)</f>
        <v/>
      </c>
      <c r="BS7" s="22" t="str">
        <f>IF(SubGen3="","",SubGen3)</f>
        <v/>
      </c>
      <c r="BT7" s="22" t="str">
        <f>IF(SubGen4="","",SubGen4)</f>
        <v/>
      </c>
      <c r="BU7" s="22" t="str">
        <f>IF(SubGen5="","",SubGen5)</f>
        <v/>
      </c>
      <c r="BV7" s="22" t="str">
        <f>IF(SubGen6="","",SubGen6)</f>
        <v/>
      </c>
      <c r="BW7" s="22" t="str">
        <f>IF(SubGen7="","",SubGen7)</f>
        <v/>
      </c>
      <c r="BX7" s="22" t="str">
        <f>IF(SubGen8="","",SubGen8)</f>
        <v/>
      </c>
      <c r="BY7" s="22" t="str">
        <f>IF(SubGen9="","",SubGen9)</f>
        <v/>
      </c>
      <c r="BZ7" s="22" t="str">
        <f>IF(SubGen10="","",SubGen10)</f>
        <v/>
      </c>
      <c r="CA7" s="22" t="str">
        <f>IF(SubGen11="","",SubGen11)</f>
        <v/>
      </c>
      <c r="CB7" s="39" t="str">
        <f>IF(SubGen12="","",SubGen12)</f>
        <v/>
      </c>
      <c r="CC7" s="38" t="str">
        <f>BK7</f>
        <v/>
      </c>
      <c r="CD7" s="22" t="str">
        <f>BL7</f>
        <v/>
      </c>
      <c r="CE7" s="150" t="str">
        <f>BM7</f>
        <v/>
      </c>
      <c r="CF7" s="150" t="str">
        <f>BN7</f>
        <v/>
      </c>
      <c r="CG7" s="39" t="str">
        <f>BO7</f>
        <v/>
      </c>
      <c r="CH7" s="714"/>
      <c r="CI7" s="717"/>
      <c r="CJ7" s="711" t="s">
        <v>1123</v>
      </c>
      <c r="CK7" s="712"/>
      <c r="CL7" s="712"/>
      <c r="CM7" s="712"/>
      <c r="CN7" s="712"/>
    </row>
    <row r="8" spans="1:92" s="27" customFormat="1" ht="16.5" customHeight="1" thickBot="1" x14ac:dyDescent="0.3">
      <c r="A8" s="653"/>
      <c r="B8" s="293"/>
      <c r="C8" s="658"/>
      <c r="D8" s="740"/>
      <c r="E8" s="740"/>
      <c r="F8" s="740"/>
      <c r="G8" s="740"/>
      <c r="H8" s="740"/>
      <c r="I8" s="740"/>
      <c r="J8" s="740"/>
      <c r="K8" s="740"/>
      <c r="L8" s="659"/>
      <c r="M8" s="23" t="str">
        <f>IF(CreditGen1="","",CreditGen1)</f>
        <v/>
      </c>
      <c r="N8" s="24" t="str">
        <f>IF(CreditGen2="","",CreditGen2)</f>
        <v/>
      </c>
      <c r="O8" s="24" t="str">
        <f>IF(CreditGen3="","",CreditGen3)</f>
        <v/>
      </c>
      <c r="P8" s="24" t="str">
        <f>IF(CreditGen4="","",CreditGen4)</f>
        <v/>
      </c>
      <c r="Q8" s="24" t="str">
        <f>IF(CreditGen5="","",CreditGen5)</f>
        <v/>
      </c>
      <c r="R8" s="24" t="str">
        <f>IF(CreditGen6="","",CreditGen6)</f>
        <v/>
      </c>
      <c r="S8" s="24" t="str">
        <f>IF(CreditGen7="","",CreditGen7)</f>
        <v/>
      </c>
      <c r="T8" s="24" t="str">
        <f>IF(CreditGen8="","",CreditGen8)</f>
        <v/>
      </c>
      <c r="U8" s="24" t="str">
        <f>IF(CreditGen9="","",CreditGen9)</f>
        <v/>
      </c>
      <c r="V8" s="26" t="str">
        <f>IF(CreditGen10="","",CreditGen10)</f>
        <v/>
      </c>
      <c r="W8" s="26" t="str">
        <f>IF(CreditGen11="","",CreditGen11)</f>
        <v/>
      </c>
      <c r="X8" s="25" t="str">
        <f>IF(CreditGen12="","",CreditGen12)</f>
        <v/>
      </c>
      <c r="Y8" s="653"/>
      <c r="Z8" s="749"/>
      <c r="AA8" s="750"/>
      <c r="AB8" s="750"/>
      <c r="AC8" s="750"/>
      <c r="AD8" s="750"/>
      <c r="AE8" s="750"/>
      <c r="AF8" s="750"/>
      <c r="AG8" s="750"/>
      <c r="AH8" s="750"/>
      <c r="AI8" s="751"/>
      <c r="AJ8" s="23" t="str">
        <f>IF(CreditEle1="","",CreditEle1)</f>
        <v/>
      </c>
      <c r="AK8" s="24" t="str">
        <f>IF(CreditEle2="","",CreditEle2)</f>
        <v/>
      </c>
      <c r="AL8" s="24" t="str">
        <f>IF(CreditEle3="","",CreditEle3)</f>
        <v/>
      </c>
      <c r="AM8" s="26" t="str">
        <f>IF(CreditEle4="","",CreditEle4)</f>
        <v/>
      </c>
      <c r="AN8" s="26" t="str">
        <f>IF(CreditEle5="","",CreditEle5)</f>
        <v/>
      </c>
      <c r="AO8" s="26" t="str">
        <f>IF(CreditEle6="","",CreditEle6)</f>
        <v/>
      </c>
      <c r="AP8" s="26" t="str">
        <f>IF(CreditEle7="","",CreditEle7)</f>
        <v/>
      </c>
      <c r="AQ8" s="26" t="str">
        <f>IF(CreditEle8="","",CreditEle8)</f>
        <v/>
      </c>
      <c r="AR8" s="26" t="str">
        <f>IF(CreditEle9="","",CreditEle9)</f>
        <v/>
      </c>
      <c r="AS8" s="26" t="str">
        <f>IF(CreditEle10="","",CreditEle10)</f>
        <v/>
      </c>
      <c r="AT8" s="26" t="str">
        <f>IF(CreditEle11="","",CreditEle11)</f>
        <v/>
      </c>
      <c r="AU8" s="24" t="str">
        <f>IF(CreditEle12="","",CreditEle12)</f>
        <v/>
      </c>
      <c r="AV8" s="216" t="str">
        <f>IF('1.ข้อมูลเบื้องต้น'!$D$32="","",'1.ข้อมูลเบื้องต้น'!$D$32)</f>
        <v/>
      </c>
      <c r="AW8" s="719"/>
      <c r="AX8" s="722"/>
      <c r="AY8" s="23" t="str">
        <f>IF(CreditGen1="","",CreditGen1)</f>
        <v/>
      </c>
      <c r="AZ8" s="24" t="str">
        <f>IF(CreditGen2="","",CreditGen2)</f>
        <v/>
      </c>
      <c r="BA8" s="24" t="str">
        <f>IF(CreditGen3="","",CreditGen3)</f>
        <v/>
      </c>
      <c r="BB8" s="24" t="str">
        <f>IF(CreditGen4="","",CreditGen4)</f>
        <v/>
      </c>
      <c r="BC8" s="24" t="str">
        <f>IF(CreditGen5="","",CreditGen5)</f>
        <v/>
      </c>
      <c r="BD8" s="24" t="str">
        <f>IF(CreditGen6="","",CreditGen6)</f>
        <v/>
      </c>
      <c r="BE8" s="24" t="str">
        <f>IF(CreditGen7="","",CreditGen7)</f>
        <v/>
      </c>
      <c r="BF8" s="24" t="str">
        <f>IF(CreditGen8="","",CreditGen8)</f>
        <v/>
      </c>
      <c r="BG8" s="24" t="str">
        <f>IF(CreditGen9="","",CreditGen9)</f>
        <v/>
      </c>
      <c r="BH8" s="26" t="str">
        <f>IF(CreditGen10="","",CreditGen10)</f>
        <v/>
      </c>
      <c r="BI8" s="26" t="str">
        <f>IF(CreditGen11="","",CreditGen11)</f>
        <v/>
      </c>
      <c r="BJ8" s="25" t="str">
        <f>IF(CreditGen12="","",CreditGen12)</f>
        <v/>
      </c>
      <c r="BK8" s="23" t="str">
        <f>IF(CreditEle1="","",CreditEle1)</f>
        <v/>
      </c>
      <c r="BL8" s="24" t="str">
        <f>IF(CreditEle2="","",CreditEle2)</f>
        <v/>
      </c>
      <c r="BM8" s="24" t="str">
        <f>IF(CreditEle3="","",CreditEle3)</f>
        <v/>
      </c>
      <c r="BN8" s="24" t="str">
        <f>IF(BN7="","",CreditEle4)</f>
        <v/>
      </c>
      <c r="BO8" s="25" t="str">
        <f>IF(BO7="","",CreditEle12)</f>
        <v/>
      </c>
      <c r="BP8" s="287"/>
      <c r="BQ8" s="23" t="str">
        <f>IF(CreditGen1="","",CreditGen1)</f>
        <v/>
      </c>
      <c r="BR8" s="24" t="str">
        <f>IF(CreditGen2="","",CreditGen2)</f>
        <v/>
      </c>
      <c r="BS8" s="24" t="str">
        <f>IF(CreditGen3="","",CreditGen3)</f>
        <v/>
      </c>
      <c r="BT8" s="24" t="str">
        <f>IF(CreditGen4="","",CreditGen4)</f>
        <v/>
      </c>
      <c r="BU8" s="24" t="str">
        <f>IF(CreditGen5="","",CreditGen5)</f>
        <v/>
      </c>
      <c r="BV8" s="24" t="str">
        <f>IF(CreditGen6="","",CreditGen6)</f>
        <v/>
      </c>
      <c r="BW8" s="24" t="str">
        <f>IF(CreditGen7="","",CreditGen7)</f>
        <v/>
      </c>
      <c r="BX8" s="24" t="str">
        <f>IF(CreditGen8="","",CreditGen8)</f>
        <v/>
      </c>
      <c r="BY8" s="24" t="str">
        <f>IF(CreditGen9="","",CreditGen9)</f>
        <v/>
      </c>
      <c r="BZ8" s="26" t="str">
        <f>IF(CreditGen10="","",CreditGen10)</f>
        <v/>
      </c>
      <c r="CA8" s="26" t="str">
        <f>IF(CreditGen11="","",CreditGen11)</f>
        <v/>
      </c>
      <c r="CB8" s="25" t="str">
        <f>IF(CreditGen12="","",CreditGen12)</f>
        <v/>
      </c>
      <c r="CC8" s="23" t="str">
        <f>IF(CreditEle1="","",CreditEle1)</f>
        <v/>
      </c>
      <c r="CD8" s="24" t="str">
        <f>IF(CreditEle2="","",CreditEle2)</f>
        <v/>
      </c>
      <c r="CE8" s="24" t="str">
        <f>IF(CreditEle3="","",CreditEle3)</f>
        <v/>
      </c>
      <c r="CF8" s="24" t="str">
        <f>IF(CF7="","",CreditEle4)</f>
        <v/>
      </c>
      <c r="CG8" s="25" t="str">
        <f>IF(CG7="","",CreditEle12)</f>
        <v/>
      </c>
      <c r="CH8" s="715"/>
      <c r="CI8" s="718"/>
      <c r="CJ8" s="730"/>
      <c r="CK8" s="731"/>
      <c r="CL8" s="731"/>
      <c r="CM8" s="731"/>
      <c r="CN8" s="731"/>
    </row>
    <row r="9" spans="1:92" s="29" customFormat="1" ht="16.5" customHeight="1" x14ac:dyDescent="0.25">
      <c r="A9" s="28">
        <v>1</v>
      </c>
      <c r="B9" s="304" t="str">
        <f>IF(IDstu1="","",IDstu1)</f>
        <v/>
      </c>
      <c r="C9" s="734" t="str">
        <f>IF(Name1="","",Name1)</f>
        <v/>
      </c>
      <c r="D9" s="735"/>
      <c r="E9" s="735"/>
      <c r="F9" s="735"/>
      <c r="G9" s="735"/>
      <c r="H9" s="736" t="str">
        <f>IF(Surname1="","",Surname1)</f>
        <v/>
      </c>
      <c r="I9" s="736"/>
      <c r="J9" s="736"/>
      <c r="K9" s="736"/>
      <c r="L9" s="737"/>
      <c r="M9" s="233" t="str">
        <f>VLOOKUP($B9,'6.คีย์ปลายภาค'!$C$6:$EI$50,9,FALSE)</f>
        <v/>
      </c>
      <c r="N9" s="225" t="str">
        <f>VLOOKUP($B9,'6.คีย์ปลายภาค'!$C$6:$EI$50,14,FALSE)</f>
        <v/>
      </c>
      <c r="O9" s="226" t="str">
        <f>VLOOKUP($B9,'6.คีย์ปลายภาค'!$C$6:$EI$50,19,FALSE)</f>
        <v/>
      </c>
      <c r="P9" s="225" t="str">
        <f>VLOOKUP($B9,'6.คีย์ปลายภาค'!$C$6:$EI$50,24,FALSE)</f>
        <v/>
      </c>
      <c r="Q9" s="225" t="str">
        <f>VLOOKUP($B9,'6.คีย์ปลายภาค'!$C$6:$EI$50,29,FALSE)</f>
        <v/>
      </c>
      <c r="R9" s="225" t="str">
        <f>VLOOKUP($B9,'6.คีย์ปลายภาค'!$C$6:$EI$50,34,FALSE)</f>
        <v/>
      </c>
      <c r="S9" s="226" t="str">
        <f>VLOOKUP($B9,'6.คีย์ปลายภาค'!$C$6:$EI$50,39,FALSE)</f>
        <v/>
      </c>
      <c r="T9" s="226" t="str">
        <f>VLOOKUP($B9,'6.คีย์ปลายภาค'!$C$6:$EI$50,44,FALSE)</f>
        <v/>
      </c>
      <c r="U9" s="225" t="str">
        <f>VLOOKUP($B9,'6.คีย์ปลายภาค'!$C$6:$EI$50,49,FALSE)</f>
        <v/>
      </c>
      <c r="V9" s="227" t="str">
        <f>VLOOKUP($B9,'6.คีย์ปลายภาค'!$C$6:$EI$50,54,FALSE)</f>
        <v/>
      </c>
      <c r="W9" s="227" t="str">
        <f>VLOOKUP($B9,'6.คีย์ปลายภาค'!$C$6:$EI$50,59,FALSE)</f>
        <v/>
      </c>
      <c r="X9" s="228" t="str">
        <f>VLOOKUP($B9,'6.คีย์ปลายภาค'!$C$6:$EI$50,64,FALSE)</f>
        <v/>
      </c>
      <c r="Y9" s="28">
        <v>1</v>
      </c>
      <c r="Z9" s="734" t="str">
        <f>IF(Name1="","",Name1)</f>
        <v/>
      </c>
      <c r="AA9" s="735"/>
      <c r="AB9" s="735"/>
      <c r="AC9" s="735"/>
      <c r="AD9" s="735"/>
      <c r="AE9" s="736" t="str">
        <f>IF(Surname1="","",Surname1)</f>
        <v/>
      </c>
      <c r="AF9" s="736"/>
      <c r="AG9" s="736"/>
      <c r="AH9" s="736"/>
      <c r="AI9" s="737"/>
      <c r="AJ9" s="233" t="str">
        <f>VLOOKUP($B9,'6.คีย์ปลายภาค'!$C$6:$EI$50,69,FALSE)</f>
        <v/>
      </c>
      <c r="AK9" s="225" t="str">
        <f>VLOOKUP($B9,'6.คีย์ปลายภาค'!$C$6:$EI$50,74,FALSE)</f>
        <v/>
      </c>
      <c r="AL9" s="226" t="str">
        <f>VLOOKUP($B9,'6.คีย์ปลายภาค'!$C$6:$EI$50,79,FALSE)</f>
        <v/>
      </c>
      <c r="AM9" s="518" t="str">
        <f>VLOOKUP($B9,'6.คีย์ปลายภาค'!$C$6:$EI$50,84,FALSE)</f>
        <v/>
      </c>
      <c r="AN9" s="518" t="str">
        <f>VLOOKUP($B9,'6.คีย์ปลายภาค'!$C$6:$EI$50,89,FALSE)</f>
        <v/>
      </c>
      <c r="AO9" s="518" t="str">
        <f>VLOOKUP($B9,'6.คีย์ปลายภาค'!$C$6:$EI$50,94,FALSE)</f>
        <v/>
      </c>
      <c r="AP9" s="518" t="str">
        <f>VLOOKUP($B9,'6.คีย์ปลายภาค'!$C$6:$EI$50,99,FALSE)</f>
        <v/>
      </c>
      <c r="AQ9" s="518" t="str">
        <f>VLOOKUP($B9,'6.คีย์ปลายภาค'!$C$6:$EI$50,104,FALSE)</f>
        <v/>
      </c>
      <c r="AR9" s="518" t="str">
        <f>VLOOKUP($B9,'6.คีย์ปลายภาค'!$C$6:$EI$50,109,FALSE)</f>
        <v/>
      </c>
      <c r="AS9" s="518" t="str">
        <f>VLOOKUP($B9,'6.คีย์ปลายภาค'!$C$6:$EI$50,114,FALSE)</f>
        <v/>
      </c>
      <c r="AT9" s="518" t="str">
        <f>VLOOKUP($B9,'6.คีย์ปลายภาค'!$C$6:$EI$50,119,FALSE)</f>
        <v/>
      </c>
      <c r="AU9" s="226" t="str">
        <f>VLOOKUP($B9,'6.คีย์ปลายภาค'!$C$6:$EI$50,124,FALSE)</f>
        <v/>
      </c>
      <c r="AV9" s="519" t="str">
        <f>VLOOKUP($B9,'6.คีย์ปลายภาค'!$C$6:$EI$50,129,FALSE)</f>
        <v/>
      </c>
      <c r="AW9" s="546" t="str">
        <f>IF(CH9="","",IF(C9="","",CH9))</f>
        <v/>
      </c>
      <c r="AX9" s="519" t="str">
        <f>IF('2.ชื่อนักเรียน'!R11="มส","มส",IF('2.ชื่อนักเรียน'!R11="ย้าย","ย้าย",IF('2.ชื่อนักเรียน'!R11="ร","ร",IF(AW9="","",RANK(AW9,$AW$9:$AW$53,0)))))</f>
        <v/>
      </c>
      <c r="AY9" s="114" t="str">
        <f t="array" ref="AY9:AY53">IF(Gengrade1="","",Gengrade1)</f>
        <v/>
      </c>
      <c r="AZ9" s="115" t="str">
        <f t="array" ref="AZ9:AZ53">IF(Gengrade2="","",Gengrade2)</f>
        <v/>
      </c>
      <c r="BA9" s="116" t="str">
        <f t="array" ref="BA9:BA53">IF(Gengrade3="","",Gengrade3)</f>
        <v/>
      </c>
      <c r="BB9" s="115" t="str">
        <f t="array" ref="BB9:BB53">IF(Gengrade4="","",Gengrade4)</f>
        <v/>
      </c>
      <c r="BC9" s="115" t="str">
        <f t="array" ref="BC9:BC53">IF(Gengrade5="","",Gengrade5)</f>
        <v/>
      </c>
      <c r="BD9" s="115" t="str">
        <f t="array" ref="BD9:BD53">IF(Gengrade6="","",Gengrade6)</f>
        <v/>
      </c>
      <c r="BE9" s="116" t="str">
        <f t="array" ref="BE9:BE53">IF(Gengrade7="","",Gengrade7)</f>
        <v/>
      </c>
      <c r="BF9" s="116" t="str">
        <f t="array" ref="BF9:BF53">IF(Gengrade8="","",Gengrade8)</f>
        <v/>
      </c>
      <c r="BG9" s="115" t="str">
        <f t="array" ref="BG9:BG53">IF(Gengrade9="","",Gengrade9)</f>
        <v/>
      </c>
      <c r="BH9" s="152" t="str">
        <f t="array" ref="BH9:BH53">IF(Gengrade10="","",Gengrade10)</f>
        <v/>
      </c>
      <c r="BI9" s="152" t="str">
        <f t="array" ref="BI9:BI53">IF(Gengrade11="","",Gengrade11)</f>
        <v/>
      </c>
      <c r="BJ9" s="117" t="str">
        <f t="array" ref="BJ9:BJ53">IF(Gengrade12="","",Gengrade12)</f>
        <v/>
      </c>
      <c r="BK9" s="289" t="str">
        <f>IF(AJ9="มส","มส",IF('5.กลางภาค'!AG8="","",IF($BK$7="","",IF($BK$7="SBMLD",SUM($AJ9:$AV9),AJ9))))</f>
        <v/>
      </c>
      <c r="BL9" s="138" t="str">
        <f>IF(AK9="มส","มส",IF('5.กลางภาค'!AG8="","",IF($BL$7="","",IF($BL$7="SBMLD",SUM($AK9:$AV9),AK9))))</f>
        <v/>
      </c>
      <c r="BM9" s="138" t="str">
        <f>IF(AL9="มส","มส",IF('5.กลางภาค'!AG8="","",IF($BM$7="","",IF($BM$7="SBMLD",SUM($AL9:$AV9),AL9))))</f>
        <v/>
      </c>
      <c r="BN9" s="138" t="str">
        <f>IF(AM9="มส","มส",IF('5.กลางภาค'!AG8="","",IF($BN$7="","",IF($BN$7="SBMLD",SUM($AM9:$AV9),AM9))))</f>
        <v/>
      </c>
      <c r="BO9" s="139" t="str">
        <f>IF(AN9="มส","มส",IF('5.กลางภาค'!AG8="","",IF($BO$7="","",IF($BO$7="SBMLD",SUM($AN9:$AV9),AN9))))</f>
        <v/>
      </c>
      <c r="BP9" s="288"/>
      <c r="BQ9" s="114" t="str">
        <f t="shared" ref="BQ9:CG9" si="0">IF(AY9="","",IF(AY9="ร","0",IF(AY9="มส","0",AY9*AY$8)))</f>
        <v/>
      </c>
      <c r="BR9" s="115" t="str">
        <f t="shared" si="0"/>
        <v/>
      </c>
      <c r="BS9" s="116" t="str">
        <f t="shared" si="0"/>
        <v/>
      </c>
      <c r="BT9" s="115" t="str">
        <f t="shared" si="0"/>
        <v/>
      </c>
      <c r="BU9" s="115" t="str">
        <f t="shared" si="0"/>
        <v/>
      </c>
      <c r="BV9" s="115" t="str">
        <f t="shared" si="0"/>
        <v/>
      </c>
      <c r="BW9" s="116" t="str">
        <f t="shared" si="0"/>
        <v/>
      </c>
      <c r="BX9" s="116" t="str">
        <f t="shared" si="0"/>
        <v/>
      </c>
      <c r="BY9" s="115" t="str">
        <f t="shared" si="0"/>
        <v/>
      </c>
      <c r="BZ9" s="152" t="str">
        <f t="shared" si="0"/>
        <v/>
      </c>
      <c r="CA9" s="152" t="str">
        <f t="shared" si="0"/>
        <v/>
      </c>
      <c r="CB9" s="117" t="str">
        <f t="shared" si="0"/>
        <v/>
      </c>
      <c r="CC9" s="137" t="str">
        <f t="shared" si="0"/>
        <v/>
      </c>
      <c r="CD9" s="138" t="str">
        <f t="shared" si="0"/>
        <v/>
      </c>
      <c r="CE9" s="138" t="str">
        <f t="shared" si="0"/>
        <v/>
      </c>
      <c r="CF9" s="138" t="str">
        <f>IF(BN9="","",IF(BN9="ร","0",IF(BN9="มส","0",BN9*BN$8)))</f>
        <v/>
      </c>
      <c r="CG9" s="139" t="str">
        <f t="shared" si="0"/>
        <v/>
      </c>
      <c r="CH9" s="146" t="str">
        <f>IF('2.ชื่อนักเรียน'!R11="มส","",IF('2.ชื่อนักเรียน'!R11="ย้าย","",IF(C9="","",SUM(BQ9:CG9)/SUM(top))))</f>
        <v/>
      </c>
      <c r="CI9" s="135" t="str">
        <f>IF('2.ชื่อนักเรียน'!R11="มส","มส",IF('2.ชื่อนักเรียน'!R11="ย้าย","ย้าย",IF('2.ชื่อนักเรียน'!R11="ร","ร",IF(CH9="","",RANK(CH9,$CH$9:$CH$53,0)))))</f>
        <v/>
      </c>
      <c r="CJ9" s="730"/>
      <c r="CK9" s="731"/>
      <c r="CL9" s="731"/>
      <c r="CM9" s="731"/>
      <c r="CN9" s="731"/>
    </row>
    <row r="10" spans="1:92" s="29" customFormat="1" ht="16.5" customHeight="1" x14ac:dyDescent="0.25">
      <c r="A10" s="31">
        <v>2</v>
      </c>
      <c r="B10" s="305" t="str">
        <f>IF(IDstu2="","",IDstu2)</f>
        <v/>
      </c>
      <c r="C10" s="709" t="str">
        <f>IF(Name2="","",Name2)</f>
        <v/>
      </c>
      <c r="D10" s="710"/>
      <c r="E10" s="710"/>
      <c r="F10" s="710"/>
      <c r="G10" s="710"/>
      <c r="H10" s="700" t="str">
        <f>IF(Surname2="","",Surname2)</f>
        <v/>
      </c>
      <c r="I10" s="700"/>
      <c r="J10" s="700"/>
      <c r="K10" s="700"/>
      <c r="L10" s="701"/>
      <c r="M10" s="234" t="str">
        <f>VLOOKUP($B10,'6.คีย์ปลายภาค'!$C$6:$EI$50,9,FALSE)</f>
        <v/>
      </c>
      <c r="N10" s="230" t="str">
        <f>VLOOKUP($B10,'6.คีย์ปลายภาค'!$C$6:$EI$50,14,FALSE)</f>
        <v/>
      </c>
      <c r="O10" s="230" t="str">
        <f>VLOOKUP($B10,'6.คีย์ปลายภาค'!$C$6:$EI$50,19,FALSE)</f>
        <v/>
      </c>
      <c r="P10" s="230" t="str">
        <f>VLOOKUP($B10,'6.คีย์ปลายภาค'!$C$6:$EI$50,24,FALSE)</f>
        <v/>
      </c>
      <c r="Q10" s="230" t="str">
        <f>VLOOKUP($B10,'6.คีย์ปลายภาค'!$C$6:$EI$50,29,FALSE)</f>
        <v/>
      </c>
      <c r="R10" s="230" t="str">
        <f>VLOOKUP($B10,'6.คีย์ปลายภาค'!$C$6:$EI$50,34,FALSE)</f>
        <v/>
      </c>
      <c r="S10" s="230" t="str">
        <f>VLOOKUP($B10,'6.คีย์ปลายภาค'!$C$6:$EI$50,39,FALSE)</f>
        <v/>
      </c>
      <c r="T10" s="230" t="str">
        <f>VLOOKUP($B10,'6.คีย์ปลายภาค'!$C$6:$EI$50,44,FALSE)</f>
        <v/>
      </c>
      <c r="U10" s="230" t="str">
        <f>VLOOKUP($B10,'6.คีย์ปลายภาค'!$C$6:$EI$50,49,FALSE)</f>
        <v/>
      </c>
      <c r="V10" s="231" t="str">
        <f>VLOOKUP($B10,'6.คีย์ปลายภาค'!$C$6:$EI$50,54,FALSE)</f>
        <v/>
      </c>
      <c r="W10" s="231" t="str">
        <f>VLOOKUP($B10,'6.คีย์ปลายภาค'!$C$6:$EI$50,59,FALSE)</f>
        <v/>
      </c>
      <c r="X10" s="232" t="str">
        <f>VLOOKUP($B10,'6.คีย์ปลายภาค'!$C$6:$EI$50,64,FALSE)</f>
        <v/>
      </c>
      <c r="Y10" s="31">
        <v>2</v>
      </c>
      <c r="Z10" s="709" t="str">
        <f>IF(Name2="","",Name2)</f>
        <v/>
      </c>
      <c r="AA10" s="710"/>
      <c r="AB10" s="710"/>
      <c r="AC10" s="710"/>
      <c r="AD10" s="710"/>
      <c r="AE10" s="700" t="str">
        <f>IF(Surname2="","",Surname2)</f>
        <v/>
      </c>
      <c r="AF10" s="700"/>
      <c r="AG10" s="700"/>
      <c r="AH10" s="700"/>
      <c r="AI10" s="701"/>
      <c r="AJ10" s="234" t="str">
        <f>VLOOKUP($B10,'6.คีย์ปลายภาค'!$C$6:$EI$50,69,FALSE)</f>
        <v/>
      </c>
      <c r="AK10" s="230" t="str">
        <f>VLOOKUP($B10,'6.คีย์ปลายภาค'!$C$6:$EI$50,74,FALSE)</f>
        <v/>
      </c>
      <c r="AL10" s="230" t="str">
        <f>VLOOKUP($B10,'6.คีย์ปลายภาค'!$C$6:$EI$50,79,FALSE)</f>
        <v/>
      </c>
      <c r="AM10" s="231" t="str">
        <f>VLOOKUP($B10,'6.คีย์ปลายภาค'!$C$6:$EI$50,84,FALSE)</f>
        <v/>
      </c>
      <c r="AN10" s="231" t="str">
        <f>VLOOKUP($B10,'6.คีย์ปลายภาค'!$C$6:$EI$50,89,FALSE)</f>
        <v/>
      </c>
      <c r="AO10" s="231" t="str">
        <f>VLOOKUP($B10,'6.คีย์ปลายภาค'!$C$6:$EI$50,94,FALSE)</f>
        <v/>
      </c>
      <c r="AP10" s="231" t="str">
        <f>VLOOKUP($B10,'6.คีย์ปลายภาค'!$C$6:$EI$50,99,FALSE)</f>
        <v/>
      </c>
      <c r="AQ10" s="231" t="str">
        <f>VLOOKUP($B10,'6.คีย์ปลายภาค'!$C$6:$EI$50,104,FALSE)</f>
        <v/>
      </c>
      <c r="AR10" s="231" t="str">
        <f>VLOOKUP($B10,'6.คีย์ปลายภาค'!$C$6:$EI$50,109,FALSE)</f>
        <v/>
      </c>
      <c r="AS10" s="231" t="str">
        <f>VLOOKUP($B10,'6.คีย์ปลายภาค'!$C$6:$EI$50,114,FALSE)</f>
        <v/>
      </c>
      <c r="AT10" s="231" t="str">
        <f>VLOOKUP($B10,'6.คีย์ปลายภาค'!$C$6:$EI$50,119,FALSE)</f>
        <v/>
      </c>
      <c r="AU10" s="230" t="str">
        <f>VLOOKUP($B10,'6.คีย์ปลายภาค'!$C$6:$EI$50,124,FALSE)</f>
        <v/>
      </c>
      <c r="AV10" s="520" t="str">
        <f>VLOOKUP($B10,'6.คีย์ปลายภาค'!$C$6:$EI$50,129,FALSE)</f>
        <v/>
      </c>
      <c r="AW10" s="547" t="str">
        <f t="shared" ref="AW10:AW53" si="1">IF(CH10="","",IF(C10="","",CH10))</f>
        <v/>
      </c>
      <c r="AX10" s="520" t="str">
        <f>IF('2.ชื่อนักเรียน'!R12="มส","มส",IF('2.ชื่อนักเรียน'!R12="ย้าย","ย้าย",IF('2.ชื่อนักเรียน'!R12="ร","ร",IF(AW10="","",RANK(AW10,$AW$9:$AW$53,0)))))</f>
        <v/>
      </c>
      <c r="AY10" s="118" t="str">
        <v/>
      </c>
      <c r="AZ10" s="119" t="str">
        <v/>
      </c>
      <c r="BA10" s="119" t="str">
        <v/>
      </c>
      <c r="BB10" s="110" t="str">
        <v/>
      </c>
      <c r="BC10" s="119" t="str">
        <v/>
      </c>
      <c r="BD10" s="119" t="str">
        <v/>
      </c>
      <c r="BE10" s="119" t="str">
        <v/>
      </c>
      <c r="BF10" s="119" t="str">
        <v/>
      </c>
      <c r="BG10" s="110" t="str">
        <v/>
      </c>
      <c r="BH10" s="151" t="str">
        <v/>
      </c>
      <c r="BI10" s="151" t="str">
        <v/>
      </c>
      <c r="BJ10" s="111" t="str">
        <v/>
      </c>
      <c r="BK10" s="118" t="str">
        <f>IF(AJ10="มส","มส",IF('5.กลางภาค'!AG9="","",IF($BK$7="","",IF($BK$7="SBMLD",SUM($AJ10:$AV10),AJ10))))</f>
        <v/>
      </c>
      <c r="BL10" s="119" t="str">
        <f>IF(AK10="มส","มส",IF('5.กลางภาค'!AG9="","",IF($BL$7="","",IF($BL$7="SBMLD",SUM($AK10:$AV10),AK10))))</f>
        <v/>
      </c>
      <c r="BM10" s="119" t="str">
        <f>IF(AL10="มส","มส",IF('5.กลางภาค'!AG9="","",IF($BM$7="","",IF($BM$7="SBMLD",SUM($AL10:$AV10),AL10))))</f>
        <v/>
      </c>
      <c r="BN10" s="110" t="str">
        <f>IF(AM10="มส","มส",IF('5.กลางภาค'!AG9="","",IF($BN$7="","",IF($BN$7="SBMLD",SUM($AM10:$AV10),AM10))))</f>
        <v/>
      </c>
      <c r="BO10" s="111" t="str">
        <f>IF(AN10="มส","มส",IF('5.กลางภาค'!AG9="","",IF($BO$7="","",IF($BO$7="SBMLD",SUM($AN10:$AV10),AN10))))</f>
        <v/>
      </c>
      <c r="BP10" s="288"/>
      <c r="BQ10" s="118" t="str">
        <f t="shared" ref="BQ10:BQ53" si="2">IF(AY10="","",IF(AY10="ร","0",IF(AY10="มส","0",AY10*AY$8)))</f>
        <v/>
      </c>
      <c r="BR10" s="119" t="str">
        <f t="shared" ref="BR10:BR53" si="3">IF(AZ10="","",IF(AZ10="ร","0",IF(AZ10="มส","0",AZ10*AZ$8)))</f>
        <v/>
      </c>
      <c r="BS10" s="119" t="str">
        <f t="shared" ref="BS10:BS53" si="4">IF(BA10="","",IF(BA10="ร","0",IF(BA10="มส","0",BA10*BA$8)))</f>
        <v/>
      </c>
      <c r="BT10" s="110" t="str">
        <f t="shared" ref="BT10:BT53" si="5">IF(BB10="","",IF(BB10="ร","0",IF(BB10="มส","0",BB10*BB$8)))</f>
        <v/>
      </c>
      <c r="BU10" s="119" t="str">
        <f t="shared" ref="BU10:BU53" si="6">IF(BC10="","",IF(BC10="ร","0",IF(BC10="มส","0",BC10*BC$8)))</f>
        <v/>
      </c>
      <c r="BV10" s="119" t="str">
        <f t="shared" ref="BV10:BV53" si="7">IF(BD10="","",IF(BD10="ร","0",IF(BD10="มส","0",BD10*BD$8)))</f>
        <v/>
      </c>
      <c r="BW10" s="119" t="str">
        <f t="shared" ref="BW10:BW53" si="8">IF(BE10="","",IF(BE10="ร","0",IF(BE10="มส","0",BE10*BE$8)))</f>
        <v/>
      </c>
      <c r="BX10" s="119" t="str">
        <f t="shared" ref="BX10:BX53" si="9">IF(BF10="","",IF(BF10="ร","0",IF(BF10="มส","0",BF10*BF$8)))</f>
        <v/>
      </c>
      <c r="BY10" s="110" t="str">
        <f t="shared" ref="BY10:BY53" si="10">IF(BG10="","",IF(BG10="ร","0",IF(BG10="มส","0",BG10*BG$8)))</f>
        <v/>
      </c>
      <c r="BZ10" s="151" t="str">
        <f t="shared" ref="BZ10:BZ53" si="11">IF(BH10="","",IF(BH10="ร","0",IF(BH10="มส","0",BH10*BH$8)))</f>
        <v/>
      </c>
      <c r="CA10" s="151" t="str">
        <f t="shared" ref="CA10:CA53" si="12">IF(BI10="","",IF(BI10="ร","0",IF(BI10="มส","0",BI10*BI$8)))</f>
        <v/>
      </c>
      <c r="CB10" s="111" t="str">
        <f>IF(BJ10="","",IF(BJ10="ร","0",IF(BJ10="มส","0",BJ10*BJ$8)))</f>
        <v/>
      </c>
      <c r="CC10" s="118" t="str">
        <f t="shared" ref="CC10:CC53" si="13">IF(BK10="","",IF(BK10="ร","0",IF(BK10="มส","0",BK10*BK$8)))</f>
        <v/>
      </c>
      <c r="CD10" s="119" t="str">
        <f t="shared" ref="CD10:CD53" si="14">IF(BL10="","",IF(BL10="ร","0",IF(BL10="มส","0",BL10*BL$8)))</f>
        <v/>
      </c>
      <c r="CE10" s="119" t="str">
        <f t="shared" ref="CE10:CE53" si="15">IF(BM10="","",IF(BM10="ร","0",IF(BM10="มส","0",BM10*BM$8)))</f>
        <v/>
      </c>
      <c r="CF10" s="119" t="str">
        <f>IF(BN10="","",IF(BN10="ร","0",IF(BN10="มส","0",BN10*BN$8)))</f>
        <v/>
      </c>
      <c r="CG10" s="111" t="str">
        <f t="shared" ref="CG10:CG53" si="16">IF(BO10="","",IF(BO10="ร","0",IF(BO10="มส","0",BO10*BO$8)))</f>
        <v/>
      </c>
      <c r="CH10" s="148" t="str">
        <f>IF('2.ชื่อนักเรียน'!R12="มส","",IF('2.ชื่อนักเรียน'!R12="ย้าย","",IF(C10="","",SUM(BQ10:CG10)/SUM(top))))</f>
        <v/>
      </c>
      <c r="CI10" s="21" t="str">
        <f>IF('2.ชื่อนักเรียน'!R12="มส","มส",IF('2.ชื่อนักเรียน'!R12="ย้าย","ย้าย",IF('2.ชื่อนักเรียน'!R12="ร","ร",IF(CH10="","",RANK(CH10,$CH$9:$CH$53,0)))))</f>
        <v/>
      </c>
      <c r="CJ10" s="730"/>
      <c r="CK10" s="731"/>
      <c r="CL10" s="731"/>
      <c r="CM10" s="731"/>
      <c r="CN10" s="731"/>
    </row>
    <row r="11" spans="1:92" s="29" customFormat="1" ht="16.5" customHeight="1" x14ac:dyDescent="0.25">
      <c r="A11" s="31">
        <v>3</v>
      </c>
      <c r="B11" s="305" t="str">
        <f>IF(IDstu3="","",IDstu3)</f>
        <v/>
      </c>
      <c r="C11" s="709" t="str">
        <f>IF(Name3="","",Name3)</f>
        <v/>
      </c>
      <c r="D11" s="710"/>
      <c r="E11" s="710"/>
      <c r="F11" s="710"/>
      <c r="G11" s="710"/>
      <c r="H11" s="700" t="str">
        <f>IF(Surname3="","",Surname3)</f>
        <v/>
      </c>
      <c r="I11" s="700"/>
      <c r="J11" s="700"/>
      <c r="K11" s="700"/>
      <c r="L11" s="701"/>
      <c r="M11" s="234" t="str">
        <f>VLOOKUP($B11,'6.คีย์ปลายภาค'!$C$6:$EI$50,9,FALSE)</f>
        <v/>
      </c>
      <c r="N11" s="230" t="str">
        <f>VLOOKUP($B11,'6.คีย์ปลายภาค'!$C$6:$EI$50,14,FALSE)</f>
        <v/>
      </c>
      <c r="O11" s="230" t="str">
        <f>VLOOKUP($B11,'6.คีย์ปลายภาค'!$C$6:$EI$50,19,FALSE)</f>
        <v/>
      </c>
      <c r="P11" s="230" t="str">
        <f>VLOOKUP($B11,'6.คีย์ปลายภาค'!$C$6:$EI$50,24,FALSE)</f>
        <v/>
      </c>
      <c r="Q11" s="230" t="str">
        <f>VLOOKUP($B11,'6.คีย์ปลายภาค'!$C$6:$EI$50,29,FALSE)</f>
        <v/>
      </c>
      <c r="R11" s="230" t="str">
        <f>VLOOKUP($B11,'6.คีย์ปลายภาค'!$C$6:$EI$50,34,FALSE)</f>
        <v/>
      </c>
      <c r="S11" s="230" t="str">
        <f>VLOOKUP($B11,'6.คีย์ปลายภาค'!$C$6:$EI$50,39,FALSE)</f>
        <v/>
      </c>
      <c r="T11" s="230" t="str">
        <f>VLOOKUP($B11,'6.คีย์ปลายภาค'!$C$6:$EI$50,44,FALSE)</f>
        <v/>
      </c>
      <c r="U11" s="230" t="str">
        <f>VLOOKUP($B11,'6.คีย์ปลายภาค'!$C$6:$EI$50,49,FALSE)</f>
        <v/>
      </c>
      <c r="V11" s="231" t="str">
        <f>VLOOKUP($B11,'6.คีย์ปลายภาค'!$C$6:$EI$50,54,FALSE)</f>
        <v/>
      </c>
      <c r="W11" s="231" t="str">
        <f>VLOOKUP($B11,'6.คีย์ปลายภาค'!$C$6:$EI$50,59,FALSE)</f>
        <v/>
      </c>
      <c r="X11" s="232" t="str">
        <f>VLOOKUP($B11,'6.คีย์ปลายภาค'!$C$6:$EI$50,64,FALSE)</f>
        <v/>
      </c>
      <c r="Y11" s="31">
        <v>3</v>
      </c>
      <c r="Z11" s="709" t="str">
        <f>IF(Name3="","",Name3)</f>
        <v/>
      </c>
      <c r="AA11" s="710"/>
      <c r="AB11" s="710"/>
      <c r="AC11" s="710"/>
      <c r="AD11" s="710"/>
      <c r="AE11" s="700" t="str">
        <f>IF(Surname3="","",Surname3)</f>
        <v/>
      </c>
      <c r="AF11" s="700"/>
      <c r="AG11" s="700"/>
      <c r="AH11" s="700"/>
      <c r="AI11" s="701"/>
      <c r="AJ11" s="234" t="str">
        <f>VLOOKUP($B11,'6.คีย์ปลายภาค'!$C$6:$EI$50,69,FALSE)</f>
        <v/>
      </c>
      <c r="AK11" s="230" t="str">
        <f>VLOOKUP($B11,'6.คีย์ปลายภาค'!$C$6:$EI$50,74,FALSE)</f>
        <v/>
      </c>
      <c r="AL11" s="230" t="str">
        <f>VLOOKUP($B11,'6.คีย์ปลายภาค'!$C$6:$EI$50,79,FALSE)</f>
        <v/>
      </c>
      <c r="AM11" s="231" t="str">
        <f>VLOOKUP($B11,'6.คีย์ปลายภาค'!$C$6:$EI$50,84,FALSE)</f>
        <v/>
      </c>
      <c r="AN11" s="231" t="str">
        <f>VLOOKUP($B11,'6.คีย์ปลายภาค'!$C$6:$EI$50,89,FALSE)</f>
        <v/>
      </c>
      <c r="AO11" s="231" t="str">
        <f>VLOOKUP($B11,'6.คีย์ปลายภาค'!$C$6:$EI$50,94,FALSE)</f>
        <v/>
      </c>
      <c r="AP11" s="231" t="str">
        <f>VLOOKUP($B11,'6.คีย์ปลายภาค'!$C$6:$EI$50,99,FALSE)</f>
        <v/>
      </c>
      <c r="AQ11" s="231" t="str">
        <f>VLOOKUP($B11,'6.คีย์ปลายภาค'!$C$6:$EI$50,104,FALSE)</f>
        <v/>
      </c>
      <c r="AR11" s="231" t="str">
        <f>VLOOKUP($B11,'6.คีย์ปลายภาค'!$C$6:$EI$50,109,FALSE)</f>
        <v/>
      </c>
      <c r="AS11" s="231" t="str">
        <f>VLOOKUP($B11,'6.คีย์ปลายภาค'!$C$6:$EI$50,114,FALSE)</f>
        <v/>
      </c>
      <c r="AT11" s="231" t="str">
        <f>VLOOKUP($B11,'6.คีย์ปลายภาค'!$C$6:$EI$50,119,FALSE)</f>
        <v/>
      </c>
      <c r="AU11" s="230" t="str">
        <f>VLOOKUP($B11,'6.คีย์ปลายภาค'!$C$6:$EI$50,124,FALSE)</f>
        <v/>
      </c>
      <c r="AV11" s="520" t="str">
        <f>VLOOKUP($B11,'6.คีย์ปลายภาค'!$C$6:$EI$50,129,FALSE)</f>
        <v/>
      </c>
      <c r="AW11" s="547" t="str">
        <f t="shared" si="1"/>
        <v/>
      </c>
      <c r="AX11" s="520" t="str">
        <f>IF('2.ชื่อนักเรียน'!R13="มส","มส",IF('2.ชื่อนักเรียน'!R13="ย้าย","ย้าย",IF('2.ชื่อนักเรียน'!R13="ร","ร",IF(AW11="","",RANK(AW11,$AW$9:$AW$53,0)))))</f>
        <v/>
      </c>
      <c r="AY11" s="118" t="str">
        <v/>
      </c>
      <c r="AZ11" s="119" t="str">
        <v/>
      </c>
      <c r="BA11" s="119" t="str">
        <v/>
      </c>
      <c r="BB11" s="110" t="str">
        <v/>
      </c>
      <c r="BC11" s="119" t="str">
        <v/>
      </c>
      <c r="BD11" s="119" t="str">
        <v/>
      </c>
      <c r="BE11" s="119" t="str">
        <v/>
      </c>
      <c r="BF11" s="119" t="str">
        <v/>
      </c>
      <c r="BG11" s="110" t="str">
        <v/>
      </c>
      <c r="BH11" s="151" t="str">
        <v/>
      </c>
      <c r="BI11" s="151" t="str">
        <v/>
      </c>
      <c r="BJ11" s="111" t="str">
        <v/>
      </c>
      <c r="BK11" s="118" t="str">
        <f>IF(AJ11="มส","มส",IF('5.กลางภาค'!AG10="","",IF($BK$7="","",IF($BK$7="SBMLD",SUM($AJ11:$AV11),AJ11))))</f>
        <v/>
      </c>
      <c r="BL11" s="119" t="str">
        <f>IF(AK11="มส","มส",IF('5.กลางภาค'!AG10="","",IF($BL$7="","",IF($BL$7="SBMLD",SUM($AK11:$AV11),AK11))))</f>
        <v/>
      </c>
      <c r="BM11" s="119" t="str">
        <f>IF(AL11="มส","มส",IF('5.กลางภาค'!AG10="","",IF($BM$7="","",IF($BM$7="SBMLD",SUM($AL11:$AV11),AL11))))</f>
        <v/>
      </c>
      <c r="BN11" s="110" t="str">
        <f>IF(AM11="มส","มส",IF('5.กลางภาค'!AG10="","",IF($BN$7="","",IF($BN$7="SBMLD",SUM($AM11:$AV11),AM11))))</f>
        <v/>
      </c>
      <c r="BO11" s="111" t="str">
        <f>IF(AN11="มส","มส",IF('5.กลางภาค'!AG10="","",IF($BO$7="","",IF($BO$7="SBMLD",SUM($AN11:$AV11),AN11))))</f>
        <v/>
      </c>
      <c r="BP11" s="288"/>
      <c r="BQ11" s="118" t="str">
        <f t="shared" si="2"/>
        <v/>
      </c>
      <c r="BR11" s="119" t="str">
        <f t="shared" si="3"/>
        <v/>
      </c>
      <c r="BS11" s="119" t="str">
        <f t="shared" si="4"/>
        <v/>
      </c>
      <c r="BT11" s="110" t="str">
        <f t="shared" si="5"/>
        <v/>
      </c>
      <c r="BU11" s="119" t="str">
        <f t="shared" si="6"/>
        <v/>
      </c>
      <c r="BV11" s="119" t="str">
        <f t="shared" si="7"/>
        <v/>
      </c>
      <c r="BW11" s="119" t="str">
        <f t="shared" si="8"/>
        <v/>
      </c>
      <c r="BX11" s="119" t="str">
        <f t="shared" si="9"/>
        <v/>
      </c>
      <c r="BY11" s="110" t="str">
        <f t="shared" si="10"/>
        <v/>
      </c>
      <c r="BZ11" s="151" t="str">
        <f t="shared" si="11"/>
        <v/>
      </c>
      <c r="CA11" s="151" t="str">
        <f t="shared" si="12"/>
        <v/>
      </c>
      <c r="CB11" s="111" t="str">
        <f t="shared" ref="CB11:CB53" si="17">IF(BJ11="","",IF(BJ11="ร","0",IF(BJ11="มส","0",BJ11*BJ$8)))</f>
        <v/>
      </c>
      <c r="CC11" s="118" t="str">
        <f t="shared" si="13"/>
        <v/>
      </c>
      <c r="CD11" s="119" t="str">
        <f t="shared" si="14"/>
        <v/>
      </c>
      <c r="CE11" s="119" t="str">
        <f t="shared" si="15"/>
        <v/>
      </c>
      <c r="CF11" s="119" t="str">
        <f t="shared" ref="CF11:CF53" si="18">IF(BN11="","",IF(BN11="ร","0",IF(BN11="มส","0",BN11*BN$8)))</f>
        <v/>
      </c>
      <c r="CG11" s="111" t="str">
        <f t="shared" si="16"/>
        <v/>
      </c>
      <c r="CH11" s="148" t="str">
        <f>IF('2.ชื่อนักเรียน'!R13="มส","",IF('2.ชื่อนักเรียน'!R13="ย้าย","",IF(C11="","",SUM(BQ11:CG11)/SUM(top))))</f>
        <v/>
      </c>
      <c r="CI11" s="21" t="str">
        <f>IF('2.ชื่อนักเรียน'!R13="มส","มส",IF('2.ชื่อนักเรียน'!R13="ย้าย","ย้าย",IF('2.ชื่อนักเรียน'!R13="ร","ร",IF(CH11="","",RANK(CH11,$CH$9:$CH$53,0)))))</f>
        <v/>
      </c>
      <c r="CJ11" s="730"/>
      <c r="CK11" s="731"/>
      <c r="CL11" s="731"/>
      <c r="CM11" s="731"/>
      <c r="CN11" s="731"/>
    </row>
    <row r="12" spans="1:92" s="29" customFormat="1" ht="16.5" customHeight="1" x14ac:dyDescent="0.25">
      <c r="A12" s="31">
        <v>4</v>
      </c>
      <c r="B12" s="305" t="str">
        <f>IF(IDstu4="","",IDstu4)</f>
        <v/>
      </c>
      <c r="C12" s="709" t="str">
        <f>IF(Name4="","",Name4)</f>
        <v/>
      </c>
      <c r="D12" s="710"/>
      <c r="E12" s="710"/>
      <c r="F12" s="710"/>
      <c r="G12" s="710"/>
      <c r="H12" s="700" t="str">
        <f>IF(Surname4="","",Surname4)</f>
        <v/>
      </c>
      <c r="I12" s="700"/>
      <c r="J12" s="700"/>
      <c r="K12" s="700"/>
      <c r="L12" s="701"/>
      <c r="M12" s="234" t="str">
        <f>VLOOKUP($B12,'6.คีย์ปลายภาค'!$C$6:$EI$50,9,FALSE)</f>
        <v/>
      </c>
      <c r="N12" s="230" t="str">
        <f>VLOOKUP($B12,'6.คีย์ปลายภาค'!$C$6:$EI$50,14,FALSE)</f>
        <v/>
      </c>
      <c r="O12" s="230" t="str">
        <f>VLOOKUP($B12,'6.คีย์ปลายภาค'!$C$6:$EI$50,19,FALSE)</f>
        <v/>
      </c>
      <c r="P12" s="230" t="str">
        <f>VLOOKUP($B12,'6.คีย์ปลายภาค'!$C$6:$EI$50,24,FALSE)</f>
        <v/>
      </c>
      <c r="Q12" s="230" t="str">
        <f>VLOOKUP($B12,'6.คีย์ปลายภาค'!$C$6:$EI$50,29,FALSE)</f>
        <v/>
      </c>
      <c r="R12" s="230" t="str">
        <f>VLOOKUP($B12,'6.คีย์ปลายภาค'!$C$6:$EI$50,34,FALSE)</f>
        <v/>
      </c>
      <c r="S12" s="230" t="str">
        <f>VLOOKUP($B12,'6.คีย์ปลายภาค'!$C$6:$EI$50,39,FALSE)</f>
        <v/>
      </c>
      <c r="T12" s="230" t="str">
        <f>VLOOKUP($B12,'6.คีย์ปลายภาค'!$C$6:$EI$50,44,FALSE)</f>
        <v/>
      </c>
      <c r="U12" s="230" t="str">
        <f>VLOOKUP($B12,'6.คีย์ปลายภาค'!$C$6:$EI$50,49,FALSE)</f>
        <v/>
      </c>
      <c r="V12" s="231" t="str">
        <f>VLOOKUP($B12,'6.คีย์ปลายภาค'!$C$6:$EI$50,54,FALSE)</f>
        <v/>
      </c>
      <c r="W12" s="231" t="str">
        <f>VLOOKUP($B12,'6.คีย์ปลายภาค'!$C$6:$EI$50,59,FALSE)</f>
        <v/>
      </c>
      <c r="X12" s="232" t="str">
        <f>VLOOKUP($B12,'6.คีย์ปลายภาค'!$C$6:$EI$50,64,FALSE)</f>
        <v/>
      </c>
      <c r="Y12" s="31">
        <v>4</v>
      </c>
      <c r="Z12" s="709" t="str">
        <f>IF(Name4="","",Name4)</f>
        <v/>
      </c>
      <c r="AA12" s="710"/>
      <c r="AB12" s="710"/>
      <c r="AC12" s="710"/>
      <c r="AD12" s="710"/>
      <c r="AE12" s="700" t="str">
        <f>IF(Surname4="","",Surname4)</f>
        <v/>
      </c>
      <c r="AF12" s="700"/>
      <c r="AG12" s="700"/>
      <c r="AH12" s="700"/>
      <c r="AI12" s="701"/>
      <c r="AJ12" s="234" t="str">
        <f>VLOOKUP($B12,'6.คีย์ปลายภาค'!$C$6:$EI$50,69,FALSE)</f>
        <v/>
      </c>
      <c r="AK12" s="230" t="str">
        <f>VLOOKUP($B12,'6.คีย์ปลายภาค'!$C$6:$EI$50,74,FALSE)</f>
        <v/>
      </c>
      <c r="AL12" s="230" t="str">
        <f>VLOOKUP($B12,'6.คีย์ปลายภาค'!$C$6:$EI$50,79,FALSE)</f>
        <v/>
      </c>
      <c r="AM12" s="231" t="str">
        <f>VLOOKUP($B12,'6.คีย์ปลายภาค'!$C$6:$EI$50,84,FALSE)</f>
        <v/>
      </c>
      <c r="AN12" s="231" t="str">
        <f>VLOOKUP($B12,'6.คีย์ปลายภาค'!$C$6:$EI$50,89,FALSE)</f>
        <v/>
      </c>
      <c r="AO12" s="231" t="str">
        <f>VLOOKUP($B12,'6.คีย์ปลายภาค'!$C$6:$EI$50,94,FALSE)</f>
        <v/>
      </c>
      <c r="AP12" s="231" t="str">
        <f>VLOOKUP($B12,'6.คีย์ปลายภาค'!$C$6:$EI$50,99,FALSE)</f>
        <v/>
      </c>
      <c r="AQ12" s="231" t="str">
        <f>VLOOKUP($B12,'6.คีย์ปลายภาค'!$C$6:$EI$50,104,FALSE)</f>
        <v/>
      </c>
      <c r="AR12" s="231" t="str">
        <f>VLOOKUP($B12,'6.คีย์ปลายภาค'!$C$6:$EI$50,109,FALSE)</f>
        <v/>
      </c>
      <c r="AS12" s="231" t="str">
        <f>VLOOKUP($B12,'6.คีย์ปลายภาค'!$C$6:$EI$50,114,FALSE)</f>
        <v/>
      </c>
      <c r="AT12" s="231" t="str">
        <f>VLOOKUP($B12,'6.คีย์ปลายภาค'!$C$6:$EI$50,119,FALSE)</f>
        <v/>
      </c>
      <c r="AU12" s="230" t="str">
        <f>VLOOKUP($B12,'6.คีย์ปลายภาค'!$C$6:$EI$50,124,FALSE)</f>
        <v/>
      </c>
      <c r="AV12" s="520" t="str">
        <f>VLOOKUP($B12,'6.คีย์ปลายภาค'!$C$6:$EI$50,129,FALSE)</f>
        <v/>
      </c>
      <c r="AW12" s="547" t="str">
        <f t="shared" si="1"/>
        <v/>
      </c>
      <c r="AX12" s="520" t="str">
        <f>IF('2.ชื่อนักเรียน'!R14="มส","มส",IF('2.ชื่อนักเรียน'!R14="ย้าย","ย้าย",IF('2.ชื่อนักเรียน'!R14="ร","ร",IF(AW12="","",RANK(AW12,$AW$9:$AW$53,0)))))</f>
        <v/>
      </c>
      <c r="AY12" s="118" t="str">
        <v/>
      </c>
      <c r="AZ12" s="119" t="str">
        <v/>
      </c>
      <c r="BA12" s="119" t="str">
        <v/>
      </c>
      <c r="BB12" s="110" t="str">
        <v/>
      </c>
      <c r="BC12" s="119" t="str">
        <v/>
      </c>
      <c r="BD12" s="119" t="str">
        <v/>
      </c>
      <c r="BE12" s="119" t="str">
        <v/>
      </c>
      <c r="BF12" s="119" t="str">
        <v/>
      </c>
      <c r="BG12" s="110" t="str">
        <v/>
      </c>
      <c r="BH12" s="151" t="str">
        <v/>
      </c>
      <c r="BI12" s="151" t="str">
        <v/>
      </c>
      <c r="BJ12" s="111" t="str">
        <v/>
      </c>
      <c r="BK12" s="118" t="str">
        <f>IF(AJ12="มส","มส",IF('5.กลางภาค'!AG11="","",IF($BK$7="","",IF($BK$7="SBMLD",SUM($AJ12:$AV12),AJ12))))</f>
        <v/>
      </c>
      <c r="BL12" s="119" t="str">
        <f>IF(AK12="มส","มส",IF('5.กลางภาค'!AG11="","",IF($BL$7="","",IF($BL$7="SBMLD",SUM($AK12:$AV12),AK12))))</f>
        <v/>
      </c>
      <c r="BM12" s="119" t="str">
        <f>IF(AL12="มส","มส",IF('5.กลางภาค'!AG11="","",IF($BM$7="","",IF($BM$7="SBMLD",SUM($AL12:$AV12),AL12))))</f>
        <v/>
      </c>
      <c r="BN12" s="110" t="str">
        <f>IF(AM12="มส","มส",IF('5.กลางภาค'!AG11="","",IF($BN$7="","",IF($BN$7="SBMLD",SUM($AM12:$AV12),AM12))))</f>
        <v/>
      </c>
      <c r="BO12" s="111" t="str">
        <f>IF(AN12="มส","มส",IF('5.กลางภาค'!AG11="","",IF($BO$7="","",IF($BO$7="SBMLD",SUM($AN12:$AV12),AN12))))</f>
        <v/>
      </c>
      <c r="BP12" s="288"/>
      <c r="BQ12" s="118" t="str">
        <f t="shared" si="2"/>
        <v/>
      </c>
      <c r="BR12" s="119" t="str">
        <f t="shared" si="3"/>
        <v/>
      </c>
      <c r="BS12" s="119" t="str">
        <f t="shared" si="4"/>
        <v/>
      </c>
      <c r="BT12" s="110" t="str">
        <f t="shared" si="5"/>
        <v/>
      </c>
      <c r="BU12" s="119" t="str">
        <f t="shared" si="6"/>
        <v/>
      </c>
      <c r="BV12" s="119" t="str">
        <f t="shared" si="7"/>
        <v/>
      </c>
      <c r="BW12" s="119" t="str">
        <f t="shared" si="8"/>
        <v/>
      </c>
      <c r="BX12" s="119" t="str">
        <f t="shared" si="9"/>
        <v/>
      </c>
      <c r="BY12" s="110" t="str">
        <f t="shared" si="10"/>
        <v/>
      </c>
      <c r="BZ12" s="151" t="str">
        <f t="shared" si="11"/>
        <v/>
      </c>
      <c r="CA12" s="151" t="str">
        <f t="shared" si="12"/>
        <v/>
      </c>
      <c r="CB12" s="111" t="str">
        <f t="shared" si="17"/>
        <v/>
      </c>
      <c r="CC12" s="118" t="str">
        <f>IF(BK12="","",IF(BK12="ร","0",IF(BK12="มส","0",BK12*BK$8)))</f>
        <v/>
      </c>
      <c r="CD12" s="119" t="str">
        <f t="shared" si="14"/>
        <v/>
      </c>
      <c r="CE12" s="119" t="str">
        <f t="shared" si="15"/>
        <v/>
      </c>
      <c r="CF12" s="119" t="str">
        <f>IF(BN12="","",IF(BN12="ร","0",IF(BN12="มส","0",BN12*BN$8)))</f>
        <v/>
      </c>
      <c r="CG12" s="111" t="str">
        <f t="shared" si="16"/>
        <v/>
      </c>
      <c r="CH12" s="148" t="str">
        <f>IF('2.ชื่อนักเรียน'!R14="มส","",IF('2.ชื่อนักเรียน'!R14="ย้าย","",IF(C12="","",SUM(BQ12:CG12)/SUM(top))))</f>
        <v/>
      </c>
      <c r="CI12" s="21" t="str">
        <f>IF('2.ชื่อนักเรียน'!R14="มส","มส",IF('2.ชื่อนักเรียน'!R14="ย้าย","ย้าย",IF('2.ชื่อนักเรียน'!R14="ร","ร",IF(CH12="","",RANK(CH12,$CH$9:$CH$53,0)))))</f>
        <v/>
      </c>
      <c r="CJ12" s="730"/>
      <c r="CK12" s="731"/>
      <c r="CL12" s="731"/>
      <c r="CM12" s="731"/>
      <c r="CN12" s="731"/>
    </row>
    <row r="13" spans="1:92" s="29" customFormat="1" ht="16.5" customHeight="1" x14ac:dyDescent="0.25">
      <c r="A13" s="31">
        <v>5</v>
      </c>
      <c r="B13" s="305" t="str">
        <f>IF(IDstu5="","",IDstu5)</f>
        <v/>
      </c>
      <c r="C13" s="709" t="str">
        <f>IF(Name5="","",Name5)</f>
        <v/>
      </c>
      <c r="D13" s="710"/>
      <c r="E13" s="710"/>
      <c r="F13" s="710"/>
      <c r="G13" s="710"/>
      <c r="H13" s="700" t="str">
        <f>IF(Surname5="","",Surname5)</f>
        <v/>
      </c>
      <c r="I13" s="700"/>
      <c r="J13" s="700"/>
      <c r="K13" s="700"/>
      <c r="L13" s="701"/>
      <c r="M13" s="234" t="str">
        <f>VLOOKUP($B13,'6.คีย์ปลายภาค'!$C$6:$EI$50,9,FALSE)</f>
        <v/>
      </c>
      <c r="N13" s="230" t="str">
        <f>VLOOKUP($B13,'6.คีย์ปลายภาค'!$C$6:$EI$50,14,FALSE)</f>
        <v/>
      </c>
      <c r="O13" s="230" t="str">
        <f>VLOOKUP($B13,'6.คีย์ปลายภาค'!$C$6:$EI$50,19,FALSE)</f>
        <v/>
      </c>
      <c r="P13" s="230" t="str">
        <f>VLOOKUP($B13,'6.คีย์ปลายภาค'!$C$6:$EI$50,24,FALSE)</f>
        <v/>
      </c>
      <c r="Q13" s="230" t="str">
        <f>VLOOKUP($B13,'6.คีย์ปลายภาค'!$C$6:$EI$50,29,FALSE)</f>
        <v/>
      </c>
      <c r="R13" s="230" t="str">
        <f>VLOOKUP($B13,'6.คีย์ปลายภาค'!$C$6:$EI$50,34,FALSE)</f>
        <v/>
      </c>
      <c r="S13" s="230" t="str">
        <f>VLOOKUP($B13,'6.คีย์ปลายภาค'!$C$6:$EI$50,39,FALSE)</f>
        <v/>
      </c>
      <c r="T13" s="230" t="str">
        <f>VLOOKUP($B13,'6.คีย์ปลายภาค'!$C$6:$EI$50,44,FALSE)</f>
        <v/>
      </c>
      <c r="U13" s="230" t="str">
        <f>VLOOKUP($B13,'6.คีย์ปลายภาค'!$C$6:$EI$50,49,FALSE)</f>
        <v/>
      </c>
      <c r="V13" s="231" t="str">
        <f>VLOOKUP($B13,'6.คีย์ปลายภาค'!$C$6:$EI$50,54,FALSE)</f>
        <v/>
      </c>
      <c r="W13" s="231" t="str">
        <f>VLOOKUP($B13,'6.คีย์ปลายภาค'!$C$6:$EI$50,59,FALSE)</f>
        <v/>
      </c>
      <c r="X13" s="232" t="str">
        <f>VLOOKUP($B13,'6.คีย์ปลายภาค'!$C$6:$EI$50,64,FALSE)</f>
        <v/>
      </c>
      <c r="Y13" s="31">
        <v>5</v>
      </c>
      <c r="Z13" s="709" t="str">
        <f>IF(Name5="","",Name5)</f>
        <v/>
      </c>
      <c r="AA13" s="710"/>
      <c r="AB13" s="710"/>
      <c r="AC13" s="710"/>
      <c r="AD13" s="710"/>
      <c r="AE13" s="700" t="str">
        <f>IF(Surname5="","",Surname5)</f>
        <v/>
      </c>
      <c r="AF13" s="700"/>
      <c r="AG13" s="700"/>
      <c r="AH13" s="700"/>
      <c r="AI13" s="701"/>
      <c r="AJ13" s="234" t="str">
        <f>VLOOKUP($B13,'6.คีย์ปลายภาค'!$C$6:$EI$50,69,FALSE)</f>
        <v/>
      </c>
      <c r="AK13" s="230" t="str">
        <f>VLOOKUP($B13,'6.คีย์ปลายภาค'!$C$6:$EI$50,74,FALSE)</f>
        <v/>
      </c>
      <c r="AL13" s="230" t="str">
        <f>VLOOKUP($B13,'6.คีย์ปลายภาค'!$C$6:$EI$50,79,FALSE)</f>
        <v/>
      </c>
      <c r="AM13" s="231" t="str">
        <f>VLOOKUP($B13,'6.คีย์ปลายภาค'!$C$6:$EI$50,84,FALSE)</f>
        <v/>
      </c>
      <c r="AN13" s="231" t="str">
        <f>VLOOKUP($B13,'6.คีย์ปลายภาค'!$C$6:$EI$50,89,FALSE)</f>
        <v/>
      </c>
      <c r="AO13" s="231" t="str">
        <f>VLOOKUP($B13,'6.คีย์ปลายภาค'!$C$6:$EI$50,94,FALSE)</f>
        <v/>
      </c>
      <c r="AP13" s="231" t="str">
        <f>VLOOKUP($B13,'6.คีย์ปลายภาค'!$C$6:$EI$50,99,FALSE)</f>
        <v/>
      </c>
      <c r="AQ13" s="231" t="str">
        <f>VLOOKUP($B13,'6.คีย์ปลายภาค'!$C$6:$EI$50,104,FALSE)</f>
        <v/>
      </c>
      <c r="AR13" s="231" t="str">
        <f>VLOOKUP($B13,'6.คีย์ปลายภาค'!$C$6:$EI$50,109,FALSE)</f>
        <v/>
      </c>
      <c r="AS13" s="231" t="str">
        <f>VLOOKUP($B13,'6.คีย์ปลายภาค'!$C$6:$EI$50,114,FALSE)</f>
        <v/>
      </c>
      <c r="AT13" s="231" t="str">
        <f>VLOOKUP($B13,'6.คีย์ปลายภาค'!$C$6:$EI$50,119,FALSE)</f>
        <v/>
      </c>
      <c r="AU13" s="230" t="str">
        <f>VLOOKUP($B13,'6.คีย์ปลายภาค'!$C$6:$EI$50,124,FALSE)</f>
        <v/>
      </c>
      <c r="AV13" s="520" t="str">
        <f>VLOOKUP($B13,'6.คีย์ปลายภาค'!$C$6:$EI$50,129,FALSE)</f>
        <v/>
      </c>
      <c r="AW13" s="547" t="str">
        <f t="shared" si="1"/>
        <v/>
      </c>
      <c r="AX13" s="520" t="str">
        <f>IF('2.ชื่อนักเรียน'!R15="มส","มส",IF('2.ชื่อนักเรียน'!R15="ย้าย","ย้าย",IF('2.ชื่อนักเรียน'!R15="ร","ร",IF(AW13="","",RANK(AW13,$AW$9:$AW$53,0)))))</f>
        <v/>
      </c>
      <c r="AY13" s="118" t="str">
        <v/>
      </c>
      <c r="AZ13" s="119" t="str">
        <v/>
      </c>
      <c r="BA13" s="119" t="str">
        <v/>
      </c>
      <c r="BB13" s="110" t="str">
        <v/>
      </c>
      <c r="BC13" s="119" t="str">
        <v/>
      </c>
      <c r="BD13" s="119" t="str">
        <v/>
      </c>
      <c r="BE13" s="119" t="str">
        <v/>
      </c>
      <c r="BF13" s="119" t="str">
        <v/>
      </c>
      <c r="BG13" s="110" t="str">
        <v/>
      </c>
      <c r="BH13" s="151" t="str">
        <v/>
      </c>
      <c r="BI13" s="151" t="str">
        <v/>
      </c>
      <c r="BJ13" s="111" t="str">
        <v/>
      </c>
      <c r="BK13" s="118" t="str">
        <f>IF(AJ13="มส","มส",IF('5.กลางภาค'!AG12="","",IF($BK$7="","",IF($BK$7="SBMLD",SUM($AJ13:$AV13),AJ13))))</f>
        <v/>
      </c>
      <c r="BL13" s="119" t="str">
        <f>IF(AK13="มส","มส",IF('5.กลางภาค'!AG12="","",IF($BL$7="","",IF($BL$7="SBMLD",SUM($AK13:$AV13),AK13))))</f>
        <v/>
      </c>
      <c r="BM13" s="119" t="str">
        <f>IF(AL13="มส","มส",IF('5.กลางภาค'!AG12="","",IF($BM$7="","",IF($BM$7="SBMLD",SUM($AL13:$AV13),AL13))))</f>
        <v/>
      </c>
      <c r="BN13" s="110" t="str">
        <f>IF(AM13="มส","มส",IF('5.กลางภาค'!AG12="","",IF($BN$7="","",IF($BN$7="SBMLD",SUM($AM13:$AV13),AM13))))</f>
        <v/>
      </c>
      <c r="BO13" s="111" t="str">
        <f>IF(AN13="มส","มส",IF('5.กลางภาค'!AG12="","",IF($BO$7="","",IF($BO$7="SBMLD",SUM($AN13:$AV13),AN13))))</f>
        <v/>
      </c>
      <c r="BP13" s="288"/>
      <c r="BQ13" s="118" t="str">
        <f t="shared" si="2"/>
        <v/>
      </c>
      <c r="BR13" s="119" t="str">
        <f t="shared" si="3"/>
        <v/>
      </c>
      <c r="BS13" s="119" t="str">
        <f t="shared" si="4"/>
        <v/>
      </c>
      <c r="BT13" s="110" t="str">
        <f t="shared" si="5"/>
        <v/>
      </c>
      <c r="BU13" s="119" t="str">
        <f t="shared" si="6"/>
        <v/>
      </c>
      <c r="BV13" s="119" t="str">
        <f t="shared" si="7"/>
        <v/>
      </c>
      <c r="BW13" s="119" t="str">
        <f t="shared" si="8"/>
        <v/>
      </c>
      <c r="BX13" s="119" t="str">
        <f t="shared" si="9"/>
        <v/>
      </c>
      <c r="BY13" s="110" t="str">
        <f t="shared" si="10"/>
        <v/>
      </c>
      <c r="BZ13" s="151" t="str">
        <f t="shared" si="11"/>
        <v/>
      </c>
      <c r="CA13" s="151" t="str">
        <f t="shared" si="12"/>
        <v/>
      </c>
      <c r="CB13" s="111" t="str">
        <f t="shared" si="17"/>
        <v/>
      </c>
      <c r="CC13" s="118" t="str">
        <f t="shared" si="13"/>
        <v/>
      </c>
      <c r="CD13" s="119" t="str">
        <f t="shared" si="14"/>
        <v/>
      </c>
      <c r="CE13" s="119" t="str">
        <f t="shared" si="15"/>
        <v/>
      </c>
      <c r="CF13" s="119" t="str">
        <f t="shared" si="18"/>
        <v/>
      </c>
      <c r="CG13" s="111" t="str">
        <f t="shared" si="16"/>
        <v/>
      </c>
      <c r="CH13" s="148" t="str">
        <f>IF('2.ชื่อนักเรียน'!R15="มส","",IF('2.ชื่อนักเรียน'!R15="ย้าย","",IF(C13="","",SUM(BQ13:CG13)/SUM(top))))</f>
        <v/>
      </c>
      <c r="CI13" s="21" t="str">
        <f>IF('2.ชื่อนักเรียน'!R15="มส","มส",IF('2.ชื่อนักเรียน'!R15="ย้าย","ย้าย",IF('2.ชื่อนักเรียน'!R15="ร","ร",IF(CH13="","",RANK(CH13,$CH$9:$CH$53,0)))))</f>
        <v/>
      </c>
      <c r="CJ13" s="732"/>
      <c r="CK13" s="733"/>
      <c r="CL13" s="733"/>
      <c r="CM13" s="733"/>
      <c r="CN13" s="733"/>
    </row>
    <row r="14" spans="1:92" s="29" customFormat="1" ht="16.5" customHeight="1" x14ac:dyDescent="0.25">
      <c r="A14" s="31">
        <v>6</v>
      </c>
      <c r="B14" s="305" t="str">
        <f>IF(IDstu6="","",IDstu6)</f>
        <v/>
      </c>
      <c r="C14" s="709" t="str">
        <f>IF(Name6="","",Name6)</f>
        <v/>
      </c>
      <c r="D14" s="710"/>
      <c r="E14" s="710"/>
      <c r="F14" s="710"/>
      <c r="G14" s="710"/>
      <c r="H14" s="700" t="str">
        <f>IF(Surname6="","",Surname6)</f>
        <v/>
      </c>
      <c r="I14" s="700"/>
      <c r="J14" s="700"/>
      <c r="K14" s="700"/>
      <c r="L14" s="701"/>
      <c r="M14" s="234" t="str">
        <f>VLOOKUP($B14,'6.คีย์ปลายภาค'!$C$6:$EI$50,9,FALSE)</f>
        <v/>
      </c>
      <c r="N14" s="230" t="str">
        <f>VLOOKUP($B14,'6.คีย์ปลายภาค'!$C$6:$EI$50,14,FALSE)</f>
        <v/>
      </c>
      <c r="O14" s="230" t="str">
        <f>VLOOKUP($B14,'6.คีย์ปลายภาค'!$C$6:$EI$50,19,FALSE)</f>
        <v/>
      </c>
      <c r="P14" s="230" t="str">
        <f>VLOOKUP($B14,'6.คีย์ปลายภาค'!$C$6:$EI$50,24,FALSE)</f>
        <v/>
      </c>
      <c r="Q14" s="230" t="str">
        <f>VLOOKUP($B14,'6.คีย์ปลายภาค'!$C$6:$EI$50,29,FALSE)</f>
        <v/>
      </c>
      <c r="R14" s="230" t="str">
        <f>VLOOKUP($B14,'6.คีย์ปลายภาค'!$C$6:$EI$50,34,FALSE)</f>
        <v/>
      </c>
      <c r="S14" s="230" t="str">
        <f>VLOOKUP($B14,'6.คีย์ปลายภาค'!$C$6:$EI$50,39,FALSE)</f>
        <v/>
      </c>
      <c r="T14" s="230" t="str">
        <f>VLOOKUP($B14,'6.คีย์ปลายภาค'!$C$6:$EI$50,44,FALSE)</f>
        <v/>
      </c>
      <c r="U14" s="230" t="str">
        <f>VLOOKUP($B14,'6.คีย์ปลายภาค'!$C$6:$EI$50,49,FALSE)</f>
        <v/>
      </c>
      <c r="V14" s="231" t="str">
        <f>VLOOKUP($B14,'6.คีย์ปลายภาค'!$C$6:$EI$50,54,FALSE)</f>
        <v/>
      </c>
      <c r="W14" s="231" t="str">
        <f>VLOOKUP($B14,'6.คีย์ปลายภาค'!$C$6:$EI$50,59,FALSE)</f>
        <v/>
      </c>
      <c r="X14" s="232" t="str">
        <f>VLOOKUP($B14,'6.คีย์ปลายภาค'!$C$6:$EI$50,64,FALSE)</f>
        <v/>
      </c>
      <c r="Y14" s="31">
        <v>6</v>
      </c>
      <c r="Z14" s="709" t="str">
        <f>IF(Name6="","",Name6)</f>
        <v/>
      </c>
      <c r="AA14" s="710"/>
      <c r="AB14" s="710"/>
      <c r="AC14" s="710"/>
      <c r="AD14" s="710"/>
      <c r="AE14" s="700" t="str">
        <f>IF(Surname6="","",Surname6)</f>
        <v/>
      </c>
      <c r="AF14" s="700"/>
      <c r="AG14" s="700"/>
      <c r="AH14" s="700"/>
      <c r="AI14" s="701"/>
      <c r="AJ14" s="234" t="str">
        <f>VLOOKUP($B14,'6.คีย์ปลายภาค'!$C$6:$EI$50,69,FALSE)</f>
        <v/>
      </c>
      <c r="AK14" s="230" t="str">
        <f>VLOOKUP($B14,'6.คีย์ปลายภาค'!$C$6:$EI$50,74,FALSE)</f>
        <v/>
      </c>
      <c r="AL14" s="230" t="str">
        <f>VLOOKUP($B14,'6.คีย์ปลายภาค'!$C$6:$EI$50,79,FALSE)</f>
        <v/>
      </c>
      <c r="AM14" s="231" t="str">
        <f>VLOOKUP($B14,'6.คีย์ปลายภาค'!$C$6:$EI$50,84,FALSE)</f>
        <v/>
      </c>
      <c r="AN14" s="231" t="str">
        <f>VLOOKUP($B14,'6.คีย์ปลายภาค'!$C$6:$EI$50,89,FALSE)</f>
        <v/>
      </c>
      <c r="AO14" s="231" t="str">
        <f>VLOOKUP($B14,'6.คีย์ปลายภาค'!$C$6:$EI$50,94,FALSE)</f>
        <v/>
      </c>
      <c r="AP14" s="231" t="str">
        <f>VLOOKUP($B14,'6.คีย์ปลายภาค'!$C$6:$EI$50,99,FALSE)</f>
        <v/>
      </c>
      <c r="AQ14" s="231" t="str">
        <f>VLOOKUP($B14,'6.คีย์ปลายภาค'!$C$6:$EI$50,104,FALSE)</f>
        <v/>
      </c>
      <c r="AR14" s="231" t="str">
        <f>VLOOKUP($B14,'6.คีย์ปลายภาค'!$C$6:$EI$50,109,FALSE)</f>
        <v/>
      </c>
      <c r="AS14" s="231" t="str">
        <f>VLOOKUP($B14,'6.คีย์ปลายภาค'!$C$6:$EI$50,114,FALSE)</f>
        <v/>
      </c>
      <c r="AT14" s="231" t="str">
        <f>VLOOKUP($B14,'6.คีย์ปลายภาค'!$C$6:$EI$50,119,FALSE)</f>
        <v/>
      </c>
      <c r="AU14" s="230" t="str">
        <f>VLOOKUP($B14,'6.คีย์ปลายภาค'!$C$6:$EI$50,124,FALSE)</f>
        <v/>
      </c>
      <c r="AV14" s="520" t="str">
        <f>VLOOKUP($B14,'6.คีย์ปลายภาค'!$C$6:$EI$50,129,FALSE)</f>
        <v/>
      </c>
      <c r="AW14" s="547" t="str">
        <f t="shared" si="1"/>
        <v/>
      </c>
      <c r="AX14" s="520" t="str">
        <f>IF('2.ชื่อนักเรียน'!R16="มส","มส",IF('2.ชื่อนักเรียน'!R16="ย้าย","ย้าย",IF('2.ชื่อนักเรียน'!R16="ร","ร",IF(AW14="","",RANK(AW14,$AW$9:$AW$53,0)))))</f>
        <v/>
      </c>
      <c r="AY14" s="118" t="str">
        <v/>
      </c>
      <c r="AZ14" s="119" t="str">
        <v/>
      </c>
      <c r="BA14" s="119" t="str">
        <v/>
      </c>
      <c r="BB14" s="110" t="str">
        <v/>
      </c>
      <c r="BC14" s="119" t="str">
        <v/>
      </c>
      <c r="BD14" s="119" t="str">
        <v/>
      </c>
      <c r="BE14" s="119" t="str">
        <v/>
      </c>
      <c r="BF14" s="119" t="str">
        <v/>
      </c>
      <c r="BG14" s="110" t="str">
        <v/>
      </c>
      <c r="BH14" s="151" t="str">
        <v/>
      </c>
      <c r="BI14" s="151" t="str">
        <v/>
      </c>
      <c r="BJ14" s="111" t="str">
        <v/>
      </c>
      <c r="BK14" s="118" t="str">
        <f>IF(AJ14="มส","มส",IF('5.กลางภาค'!AG13="","",IF($BK$7="","",IF($BK$7="SBMLD",SUM($AJ14:$AV14),AJ14))))</f>
        <v/>
      </c>
      <c r="BL14" s="119" t="str">
        <f>IF(AK14="มส","มส",IF('5.กลางภาค'!AG13="","",IF($BL$7="","",IF($BL$7="SBMLD",SUM($AK14:$AV14),AK14))))</f>
        <v/>
      </c>
      <c r="BM14" s="119" t="str">
        <f>IF(AL14="มส","มส",IF('5.กลางภาค'!AG13="","",IF($BM$7="","",IF($BM$7="SBMLD",SUM($AL14:$AV14),AL14))))</f>
        <v/>
      </c>
      <c r="BN14" s="110" t="str">
        <f>IF(AM14="มส","มส",IF('5.กลางภาค'!AG13="","",IF($BN$7="","",IF($BN$7="SBMLD",SUM($AM14:$AV14),AM14))))</f>
        <v/>
      </c>
      <c r="BO14" s="111" t="str">
        <f>IF(AN14="มส","มส",IF('5.กลางภาค'!AG13="","",IF($BO$7="","",IF($BO$7="SBMLD",SUM($AN14:$AV14),AN14))))</f>
        <v/>
      </c>
      <c r="BP14" s="288"/>
      <c r="BQ14" s="118" t="str">
        <f t="shared" si="2"/>
        <v/>
      </c>
      <c r="BR14" s="119" t="str">
        <f t="shared" si="3"/>
        <v/>
      </c>
      <c r="BS14" s="119" t="str">
        <f t="shared" si="4"/>
        <v/>
      </c>
      <c r="BT14" s="110" t="str">
        <f t="shared" si="5"/>
        <v/>
      </c>
      <c r="BU14" s="119" t="str">
        <f t="shared" si="6"/>
        <v/>
      </c>
      <c r="BV14" s="119" t="str">
        <f t="shared" si="7"/>
        <v/>
      </c>
      <c r="BW14" s="119" t="str">
        <f t="shared" si="8"/>
        <v/>
      </c>
      <c r="BX14" s="119" t="str">
        <f t="shared" si="9"/>
        <v/>
      </c>
      <c r="BY14" s="110" t="str">
        <f t="shared" si="10"/>
        <v/>
      </c>
      <c r="BZ14" s="151" t="str">
        <f t="shared" si="11"/>
        <v/>
      </c>
      <c r="CA14" s="151" t="str">
        <f t="shared" si="12"/>
        <v/>
      </c>
      <c r="CB14" s="111" t="str">
        <f t="shared" si="17"/>
        <v/>
      </c>
      <c r="CC14" s="118" t="str">
        <f t="shared" si="13"/>
        <v/>
      </c>
      <c r="CD14" s="119" t="str">
        <f t="shared" si="14"/>
        <v/>
      </c>
      <c r="CE14" s="119" t="str">
        <f t="shared" si="15"/>
        <v/>
      </c>
      <c r="CF14" s="119" t="str">
        <f t="shared" si="18"/>
        <v/>
      </c>
      <c r="CG14" s="111" t="str">
        <f t="shared" si="16"/>
        <v/>
      </c>
      <c r="CH14" s="148" t="str">
        <f>IF('2.ชื่อนักเรียน'!R16="มส","",IF('2.ชื่อนักเรียน'!R16="ย้าย","",IF(C14="","",SUM(BQ14:CG14)/SUM(top))))</f>
        <v/>
      </c>
      <c r="CI14" s="21" t="str">
        <f>IF('2.ชื่อนักเรียน'!R16="มส","มส",IF('2.ชื่อนักเรียน'!R16="ย้าย","ย้าย",IF('2.ชื่อนักเรียน'!R16="ร","ร",IF(CH14="","",RANK(CH14,$CH$9:$CH$53,0)))))</f>
        <v/>
      </c>
      <c r="CJ14" s="732"/>
      <c r="CK14" s="733"/>
      <c r="CL14" s="733"/>
      <c r="CM14" s="733"/>
      <c r="CN14" s="733"/>
    </row>
    <row r="15" spans="1:92" s="29" customFormat="1" ht="16.5" customHeight="1" x14ac:dyDescent="0.25">
      <c r="A15" s="31">
        <v>7</v>
      </c>
      <c r="B15" s="305" t="str">
        <f>IF(IDstu7="","",IDstu7)</f>
        <v/>
      </c>
      <c r="C15" s="709" t="str">
        <f>IF(Name7="","",Name7)</f>
        <v/>
      </c>
      <c r="D15" s="710"/>
      <c r="E15" s="710"/>
      <c r="F15" s="710"/>
      <c r="G15" s="710"/>
      <c r="H15" s="705" t="str">
        <f>IF(Surname7="","",Surname7)</f>
        <v/>
      </c>
      <c r="I15" s="705"/>
      <c r="J15" s="705"/>
      <c r="K15" s="705"/>
      <c r="L15" s="706"/>
      <c r="M15" s="234" t="str">
        <f>VLOOKUP($B15,'6.คีย์ปลายภาค'!$C$6:$EI$50,9,FALSE)</f>
        <v/>
      </c>
      <c r="N15" s="230" t="str">
        <f>VLOOKUP($B15,'6.คีย์ปลายภาค'!$C$6:$EI$50,14,FALSE)</f>
        <v/>
      </c>
      <c r="O15" s="230" t="str">
        <f>VLOOKUP($B15,'6.คีย์ปลายภาค'!$C$6:$EI$50,19,FALSE)</f>
        <v/>
      </c>
      <c r="P15" s="230" t="str">
        <f>VLOOKUP($B15,'6.คีย์ปลายภาค'!$C$6:$EI$50,24,FALSE)</f>
        <v/>
      </c>
      <c r="Q15" s="230" t="str">
        <f>VLOOKUP($B15,'6.คีย์ปลายภาค'!$C$6:$EI$50,29,FALSE)</f>
        <v/>
      </c>
      <c r="R15" s="230" t="str">
        <f>VLOOKUP($B15,'6.คีย์ปลายภาค'!$C$6:$EI$50,34,FALSE)</f>
        <v/>
      </c>
      <c r="S15" s="230" t="str">
        <f>VLOOKUP($B15,'6.คีย์ปลายภาค'!$C$6:$EI$50,39,FALSE)</f>
        <v/>
      </c>
      <c r="T15" s="230" t="str">
        <f>VLOOKUP($B15,'6.คีย์ปลายภาค'!$C$6:$EI$50,44,FALSE)</f>
        <v/>
      </c>
      <c r="U15" s="230" t="str">
        <f>VLOOKUP($B15,'6.คีย์ปลายภาค'!$C$6:$EI$50,49,FALSE)</f>
        <v/>
      </c>
      <c r="V15" s="231" t="str">
        <f>VLOOKUP($B15,'6.คีย์ปลายภาค'!$C$6:$EI$50,54,FALSE)</f>
        <v/>
      </c>
      <c r="W15" s="231" t="str">
        <f>VLOOKUP($B15,'6.คีย์ปลายภาค'!$C$6:$EI$50,59,FALSE)</f>
        <v/>
      </c>
      <c r="X15" s="232" t="str">
        <f>VLOOKUP($B15,'6.คีย์ปลายภาค'!$C$6:$EI$50,64,FALSE)</f>
        <v/>
      </c>
      <c r="Y15" s="31">
        <v>7</v>
      </c>
      <c r="Z15" s="709" t="str">
        <f>IF(Name7="","",Name7)</f>
        <v/>
      </c>
      <c r="AA15" s="710"/>
      <c r="AB15" s="710"/>
      <c r="AC15" s="710"/>
      <c r="AD15" s="710"/>
      <c r="AE15" s="705" t="str">
        <f>IF(Surname7="","",Surname7)</f>
        <v/>
      </c>
      <c r="AF15" s="705"/>
      <c r="AG15" s="705"/>
      <c r="AH15" s="705"/>
      <c r="AI15" s="706"/>
      <c r="AJ15" s="234" t="str">
        <f>VLOOKUP($B15,'6.คีย์ปลายภาค'!$C$6:$EI$50,69,FALSE)</f>
        <v/>
      </c>
      <c r="AK15" s="230" t="str">
        <f>VLOOKUP($B15,'6.คีย์ปลายภาค'!$C$6:$EI$50,74,FALSE)</f>
        <v/>
      </c>
      <c r="AL15" s="230" t="str">
        <f>VLOOKUP($B15,'6.คีย์ปลายภาค'!$C$6:$EI$50,79,FALSE)</f>
        <v/>
      </c>
      <c r="AM15" s="231" t="str">
        <f>VLOOKUP($B15,'6.คีย์ปลายภาค'!$C$6:$EI$50,84,FALSE)</f>
        <v/>
      </c>
      <c r="AN15" s="231" t="str">
        <f>VLOOKUP($B15,'6.คีย์ปลายภาค'!$C$6:$EI$50,89,FALSE)</f>
        <v/>
      </c>
      <c r="AO15" s="231" t="str">
        <f>VLOOKUP($B15,'6.คีย์ปลายภาค'!$C$6:$EI$50,94,FALSE)</f>
        <v/>
      </c>
      <c r="AP15" s="231" t="str">
        <f>VLOOKUP($B15,'6.คีย์ปลายภาค'!$C$6:$EI$50,99,FALSE)</f>
        <v/>
      </c>
      <c r="AQ15" s="231" t="str">
        <f>VLOOKUP($B15,'6.คีย์ปลายภาค'!$C$6:$EI$50,104,FALSE)</f>
        <v/>
      </c>
      <c r="AR15" s="231" t="str">
        <f>VLOOKUP($B15,'6.คีย์ปลายภาค'!$C$6:$EI$50,109,FALSE)</f>
        <v/>
      </c>
      <c r="AS15" s="231" t="str">
        <f>VLOOKUP($B15,'6.คีย์ปลายภาค'!$C$6:$EI$50,114,FALSE)</f>
        <v/>
      </c>
      <c r="AT15" s="231" t="str">
        <f>VLOOKUP($B15,'6.คีย์ปลายภาค'!$C$6:$EI$50,119,FALSE)</f>
        <v/>
      </c>
      <c r="AU15" s="230" t="str">
        <f>VLOOKUP($B15,'6.คีย์ปลายภาค'!$C$6:$EI$50,124,FALSE)</f>
        <v/>
      </c>
      <c r="AV15" s="520" t="str">
        <f>VLOOKUP($B15,'6.คีย์ปลายภาค'!$C$6:$EI$50,129,FALSE)</f>
        <v/>
      </c>
      <c r="AW15" s="547" t="str">
        <f t="shared" si="1"/>
        <v/>
      </c>
      <c r="AX15" s="520" t="str">
        <f>IF('2.ชื่อนักเรียน'!R17="มส","มส",IF('2.ชื่อนักเรียน'!R17="ย้าย","ย้าย",IF('2.ชื่อนักเรียน'!R17="ร","ร",IF(AW15="","",RANK(AW15,$AW$9:$AW$53,0)))))</f>
        <v/>
      </c>
      <c r="AY15" s="118" t="str">
        <v/>
      </c>
      <c r="AZ15" s="119" t="str">
        <v/>
      </c>
      <c r="BA15" s="119" t="str">
        <v/>
      </c>
      <c r="BB15" s="110" t="str">
        <v/>
      </c>
      <c r="BC15" s="119" t="str">
        <v/>
      </c>
      <c r="BD15" s="119" t="str">
        <v/>
      </c>
      <c r="BE15" s="119" t="str">
        <v/>
      </c>
      <c r="BF15" s="119" t="str">
        <v/>
      </c>
      <c r="BG15" s="110" t="str">
        <v/>
      </c>
      <c r="BH15" s="151" t="str">
        <v/>
      </c>
      <c r="BI15" s="151" t="str">
        <v/>
      </c>
      <c r="BJ15" s="111" t="str">
        <v/>
      </c>
      <c r="BK15" s="118" t="str">
        <f>IF(AJ15="มส","มส",IF('5.กลางภาค'!AG14="","",IF($BK$7="","",IF($BK$7="SBMLD",SUM($AJ15:$AV15),AJ15))))</f>
        <v/>
      </c>
      <c r="BL15" s="119" t="str">
        <f>IF(AK15="มส","มส",IF('5.กลางภาค'!AG14="","",IF($BL$7="","",IF($BL$7="SBMLD",SUM($AK15:$AV15),AK15))))</f>
        <v/>
      </c>
      <c r="BM15" s="119" t="str">
        <f>IF(AL15="มส","มส",IF('5.กลางภาค'!AG14="","",IF($BM$7="","",IF($BM$7="SBMLD",SUM($AL15:$AV15),AL15))))</f>
        <v/>
      </c>
      <c r="BN15" s="110" t="str">
        <f>IF(AM15="มส","มส",IF('5.กลางภาค'!AG14="","",IF($BN$7="","",IF($BN$7="SBMLD",SUM($AM15:$AV15),AM15))))</f>
        <v/>
      </c>
      <c r="BO15" s="111" t="str">
        <f>IF(AN15="มส","มส",IF('5.กลางภาค'!AG14="","",IF($BO$7="","",IF($BO$7="SBMLD",SUM($AN15:$AV15),AN15))))</f>
        <v/>
      </c>
      <c r="BP15" s="288"/>
      <c r="BQ15" s="118" t="str">
        <f t="shared" si="2"/>
        <v/>
      </c>
      <c r="BR15" s="119" t="str">
        <f t="shared" si="3"/>
        <v/>
      </c>
      <c r="BS15" s="119" t="str">
        <f t="shared" si="4"/>
        <v/>
      </c>
      <c r="BT15" s="110" t="str">
        <f t="shared" si="5"/>
        <v/>
      </c>
      <c r="BU15" s="119" t="str">
        <f t="shared" si="6"/>
        <v/>
      </c>
      <c r="BV15" s="119" t="str">
        <f t="shared" si="7"/>
        <v/>
      </c>
      <c r="BW15" s="119" t="str">
        <f t="shared" si="8"/>
        <v/>
      </c>
      <c r="BX15" s="119" t="str">
        <f t="shared" si="9"/>
        <v/>
      </c>
      <c r="BY15" s="110" t="str">
        <f t="shared" si="10"/>
        <v/>
      </c>
      <c r="BZ15" s="151" t="str">
        <f t="shared" si="11"/>
        <v/>
      </c>
      <c r="CA15" s="151" t="str">
        <f t="shared" si="12"/>
        <v/>
      </c>
      <c r="CB15" s="111" t="str">
        <f t="shared" si="17"/>
        <v/>
      </c>
      <c r="CC15" s="118" t="str">
        <f t="shared" si="13"/>
        <v/>
      </c>
      <c r="CD15" s="119" t="str">
        <f t="shared" si="14"/>
        <v/>
      </c>
      <c r="CE15" s="119" t="str">
        <f t="shared" si="15"/>
        <v/>
      </c>
      <c r="CF15" s="119" t="str">
        <f t="shared" si="18"/>
        <v/>
      </c>
      <c r="CG15" s="111" t="str">
        <f t="shared" si="16"/>
        <v/>
      </c>
      <c r="CH15" s="148" t="str">
        <f>IF('2.ชื่อนักเรียน'!R17="มส","",IF('2.ชื่อนักเรียน'!R17="ย้าย","",IF(C15="","",SUM(BQ15:CG15)/SUM(top))))</f>
        <v/>
      </c>
      <c r="CI15" s="21" t="str">
        <f>IF('2.ชื่อนักเรียน'!R17="มส","มส",IF('2.ชื่อนักเรียน'!R17="ย้าย","ย้าย",IF('2.ชื่อนักเรียน'!R17="ร","ร",IF(CH15="","",RANK(CH15,$CH$9:$CH$53,0)))))</f>
        <v/>
      </c>
      <c r="CJ15" s="732"/>
      <c r="CK15" s="733"/>
      <c r="CL15" s="733"/>
      <c r="CM15" s="733"/>
      <c r="CN15" s="733"/>
    </row>
    <row r="16" spans="1:92" s="29" customFormat="1" ht="16.5" customHeight="1" x14ac:dyDescent="0.25">
      <c r="A16" s="31">
        <v>8</v>
      </c>
      <c r="B16" s="305" t="str">
        <f>IF(IDstu8="","",IDstu8)</f>
        <v/>
      </c>
      <c r="C16" s="709" t="str">
        <f>IF(Name8="","",Name8)</f>
        <v/>
      </c>
      <c r="D16" s="710"/>
      <c r="E16" s="710"/>
      <c r="F16" s="710"/>
      <c r="G16" s="710"/>
      <c r="H16" s="705" t="str">
        <f>IF(Surname8="","",Surname8)</f>
        <v/>
      </c>
      <c r="I16" s="705"/>
      <c r="J16" s="705"/>
      <c r="K16" s="705"/>
      <c r="L16" s="706"/>
      <c r="M16" s="234" t="str">
        <f>VLOOKUP($B16,'6.คีย์ปลายภาค'!$C$6:$EI$50,9,FALSE)</f>
        <v/>
      </c>
      <c r="N16" s="230" t="str">
        <f>VLOOKUP($B16,'6.คีย์ปลายภาค'!$C$6:$EI$50,14,FALSE)</f>
        <v/>
      </c>
      <c r="O16" s="230" t="str">
        <f>VLOOKUP($B16,'6.คีย์ปลายภาค'!$C$6:$EI$50,19,FALSE)</f>
        <v/>
      </c>
      <c r="P16" s="230" t="str">
        <f>VLOOKUP($B16,'6.คีย์ปลายภาค'!$C$6:$EI$50,24,FALSE)</f>
        <v/>
      </c>
      <c r="Q16" s="230" t="str">
        <f>VLOOKUP($B16,'6.คีย์ปลายภาค'!$C$6:$EI$50,29,FALSE)</f>
        <v/>
      </c>
      <c r="R16" s="230" t="str">
        <f>VLOOKUP($B16,'6.คีย์ปลายภาค'!$C$6:$EI$50,34,FALSE)</f>
        <v/>
      </c>
      <c r="S16" s="230" t="str">
        <f>VLOOKUP($B16,'6.คีย์ปลายภาค'!$C$6:$EI$50,39,FALSE)</f>
        <v/>
      </c>
      <c r="T16" s="230" t="str">
        <f>VLOOKUP($B16,'6.คีย์ปลายภาค'!$C$6:$EI$50,44,FALSE)</f>
        <v/>
      </c>
      <c r="U16" s="230" t="str">
        <f>VLOOKUP($B16,'6.คีย์ปลายภาค'!$C$6:$EI$50,49,FALSE)</f>
        <v/>
      </c>
      <c r="V16" s="231" t="str">
        <f>VLOOKUP($B16,'6.คีย์ปลายภาค'!$C$6:$EI$50,54,FALSE)</f>
        <v/>
      </c>
      <c r="W16" s="231" t="str">
        <f>VLOOKUP($B16,'6.คีย์ปลายภาค'!$C$6:$EI$50,59,FALSE)</f>
        <v/>
      </c>
      <c r="X16" s="232" t="str">
        <f>VLOOKUP($B16,'6.คีย์ปลายภาค'!$C$6:$EI$50,64,FALSE)</f>
        <v/>
      </c>
      <c r="Y16" s="31">
        <v>8</v>
      </c>
      <c r="Z16" s="709" t="str">
        <f>IF(Name8="","",Name8)</f>
        <v/>
      </c>
      <c r="AA16" s="710"/>
      <c r="AB16" s="710"/>
      <c r="AC16" s="710"/>
      <c r="AD16" s="710"/>
      <c r="AE16" s="705" t="str">
        <f>IF(Surname8="","",Surname8)</f>
        <v/>
      </c>
      <c r="AF16" s="705"/>
      <c r="AG16" s="705"/>
      <c r="AH16" s="705"/>
      <c r="AI16" s="706"/>
      <c r="AJ16" s="234" t="str">
        <f>VLOOKUP($B16,'6.คีย์ปลายภาค'!$C$6:$EI$50,69,FALSE)</f>
        <v/>
      </c>
      <c r="AK16" s="230" t="str">
        <f>VLOOKUP($B16,'6.คีย์ปลายภาค'!$C$6:$EI$50,74,FALSE)</f>
        <v/>
      </c>
      <c r="AL16" s="230" t="str">
        <f>VLOOKUP($B16,'6.คีย์ปลายภาค'!$C$6:$EI$50,79,FALSE)</f>
        <v/>
      </c>
      <c r="AM16" s="231" t="str">
        <f>VLOOKUP($B16,'6.คีย์ปลายภาค'!$C$6:$EI$50,84,FALSE)</f>
        <v/>
      </c>
      <c r="AN16" s="231" t="str">
        <f>VLOOKUP($B16,'6.คีย์ปลายภาค'!$C$6:$EI$50,89,FALSE)</f>
        <v/>
      </c>
      <c r="AO16" s="231" t="str">
        <f>VLOOKUP($B16,'6.คีย์ปลายภาค'!$C$6:$EI$50,94,FALSE)</f>
        <v/>
      </c>
      <c r="AP16" s="231" t="str">
        <f>VLOOKUP($B16,'6.คีย์ปลายภาค'!$C$6:$EI$50,99,FALSE)</f>
        <v/>
      </c>
      <c r="AQ16" s="231" t="str">
        <f>VLOOKUP($B16,'6.คีย์ปลายภาค'!$C$6:$EI$50,104,FALSE)</f>
        <v/>
      </c>
      <c r="AR16" s="231" t="str">
        <f>VLOOKUP($B16,'6.คีย์ปลายภาค'!$C$6:$EI$50,109,FALSE)</f>
        <v/>
      </c>
      <c r="AS16" s="231" t="str">
        <f>VLOOKUP($B16,'6.คีย์ปลายภาค'!$C$6:$EI$50,114,FALSE)</f>
        <v/>
      </c>
      <c r="AT16" s="231" t="str">
        <f>VLOOKUP($B16,'6.คีย์ปลายภาค'!$C$6:$EI$50,119,FALSE)</f>
        <v/>
      </c>
      <c r="AU16" s="230" t="str">
        <f>VLOOKUP($B16,'6.คีย์ปลายภาค'!$C$6:$EI$50,124,FALSE)</f>
        <v/>
      </c>
      <c r="AV16" s="520" t="str">
        <f>VLOOKUP($B16,'6.คีย์ปลายภาค'!$C$6:$EI$50,129,FALSE)</f>
        <v/>
      </c>
      <c r="AW16" s="547" t="str">
        <f t="shared" si="1"/>
        <v/>
      </c>
      <c r="AX16" s="520" t="str">
        <f>IF('2.ชื่อนักเรียน'!R18="มส","มส",IF('2.ชื่อนักเรียน'!R18="ย้าย","ย้าย",IF('2.ชื่อนักเรียน'!R18="ร","ร",IF(AW16="","",RANK(AW16,$AW$9:$AW$53,0)))))</f>
        <v/>
      </c>
      <c r="AY16" s="118" t="str">
        <v/>
      </c>
      <c r="AZ16" s="119" t="str">
        <v/>
      </c>
      <c r="BA16" s="119" t="str">
        <v/>
      </c>
      <c r="BB16" s="110" t="str">
        <v/>
      </c>
      <c r="BC16" s="119" t="str">
        <v/>
      </c>
      <c r="BD16" s="119" t="str">
        <v/>
      </c>
      <c r="BE16" s="119" t="str">
        <v/>
      </c>
      <c r="BF16" s="119" t="str">
        <v/>
      </c>
      <c r="BG16" s="110" t="str">
        <v/>
      </c>
      <c r="BH16" s="151" t="str">
        <v/>
      </c>
      <c r="BI16" s="151" t="str">
        <v/>
      </c>
      <c r="BJ16" s="111" t="str">
        <v/>
      </c>
      <c r="BK16" s="118" t="str">
        <f>IF(AJ16="มส","มส",IF('5.กลางภาค'!AG15="","",IF($BK$7="","",IF($BK$7="SBMLD",SUM($AJ16:$AV16),AJ16))))</f>
        <v/>
      </c>
      <c r="BL16" s="119" t="str">
        <f>IF(AK16="มส","มส",IF('5.กลางภาค'!AG15="","",IF($BL$7="","",IF($BL$7="SBMLD",SUM($AK16:$AV16),AK16))))</f>
        <v/>
      </c>
      <c r="BM16" s="119" t="str">
        <f>IF(AL16="มส","มส",IF('5.กลางภาค'!AG15="","",IF($BM$7="","",IF($BM$7="SBMLD",SUM($AL16:$AV16),AL16))))</f>
        <v/>
      </c>
      <c r="BN16" s="110" t="str">
        <f>IF(AM16="มส","มส",IF('5.กลางภาค'!AG15="","",IF($BN$7="","",IF($BN$7="SBMLD",SUM($AM16:$AV16),AM16))))</f>
        <v/>
      </c>
      <c r="BO16" s="111" t="str">
        <f>IF(AN16="มส","มส",IF('5.กลางภาค'!AG15="","",IF($BO$7="","",IF($BO$7="SBMLD",SUM($AN16:$AV16),AN16))))</f>
        <v/>
      </c>
      <c r="BP16" s="288"/>
      <c r="BQ16" s="118" t="str">
        <f t="shared" si="2"/>
        <v/>
      </c>
      <c r="BR16" s="119" t="str">
        <f t="shared" si="3"/>
        <v/>
      </c>
      <c r="BS16" s="119" t="str">
        <f t="shared" si="4"/>
        <v/>
      </c>
      <c r="BT16" s="110" t="str">
        <f t="shared" si="5"/>
        <v/>
      </c>
      <c r="BU16" s="119" t="str">
        <f t="shared" si="6"/>
        <v/>
      </c>
      <c r="BV16" s="119" t="str">
        <f t="shared" si="7"/>
        <v/>
      </c>
      <c r="BW16" s="119" t="str">
        <f t="shared" si="8"/>
        <v/>
      </c>
      <c r="BX16" s="119" t="str">
        <f t="shared" si="9"/>
        <v/>
      </c>
      <c r="BY16" s="110" t="str">
        <f t="shared" si="10"/>
        <v/>
      </c>
      <c r="BZ16" s="151" t="str">
        <f t="shared" si="11"/>
        <v/>
      </c>
      <c r="CA16" s="151" t="str">
        <f t="shared" si="12"/>
        <v/>
      </c>
      <c r="CB16" s="111" t="str">
        <f t="shared" si="17"/>
        <v/>
      </c>
      <c r="CC16" s="118" t="str">
        <f t="shared" si="13"/>
        <v/>
      </c>
      <c r="CD16" s="119" t="str">
        <f t="shared" si="14"/>
        <v/>
      </c>
      <c r="CE16" s="119" t="str">
        <f t="shared" si="15"/>
        <v/>
      </c>
      <c r="CF16" s="119" t="str">
        <f t="shared" si="18"/>
        <v/>
      </c>
      <c r="CG16" s="111" t="str">
        <f t="shared" si="16"/>
        <v/>
      </c>
      <c r="CH16" s="148" t="str">
        <f>IF('2.ชื่อนักเรียน'!R18="มส","",IF('2.ชื่อนักเรียน'!R18="ย้าย","",IF(C16="","",SUM(BQ16:CG16)/SUM(top))))</f>
        <v/>
      </c>
      <c r="CI16" s="21" t="str">
        <f>IF('2.ชื่อนักเรียน'!R18="มส","มส",IF('2.ชื่อนักเรียน'!R18="ย้าย","ย้าย",IF('2.ชื่อนักเรียน'!R18="ร","ร",IF(CH16="","",RANK(CH16,$CH$9:$CH$53,0)))))</f>
        <v/>
      </c>
      <c r="CJ16" s="732"/>
      <c r="CK16" s="733"/>
      <c r="CL16" s="733"/>
      <c r="CM16" s="733"/>
      <c r="CN16" s="733"/>
    </row>
    <row r="17" spans="1:87" s="29" customFormat="1" ht="16.5" customHeight="1" x14ac:dyDescent="0.25">
      <c r="A17" s="31">
        <v>9</v>
      </c>
      <c r="B17" s="305" t="str">
        <f>IF(IDstu9="","",IDstu9)</f>
        <v/>
      </c>
      <c r="C17" s="699" t="str">
        <f>IF(Name9="","",Name9)</f>
        <v/>
      </c>
      <c r="D17" s="700"/>
      <c r="E17" s="700"/>
      <c r="F17" s="700"/>
      <c r="G17" s="700"/>
      <c r="H17" s="705" t="str">
        <f>IF(Surname9="","",Surname9)</f>
        <v/>
      </c>
      <c r="I17" s="705"/>
      <c r="J17" s="705"/>
      <c r="K17" s="705"/>
      <c r="L17" s="706"/>
      <c r="M17" s="234" t="str">
        <f>VLOOKUP($B17,'6.คีย์ปลายภาค'!$C$6:$EI$50,9,FALSE)</f>
        <v/>
      </c>
      <c r="N17" s="230" t="str">
        <f>VLOOKUP($B17,'6.คีย์ปลายภาค'!$C$6:$EI$50,14,FALSE)</f>
        <v/>
      </c>
      <c r="O17" s="230" t="str">
        <f>VLOOKUP($B17,'6.คีย์ปลายภาค'!$C$6:$EI$50,19,FALSE)</f>
        <v/>
      </c>
      <c r="P17" s="230" t="str">
        <f>VLOOKUP($B17,'6.คีย์ปลายภาค'!$C$6:$EI$50,24,FALSE)</f>
        <v/>
      </c>
      <c r="Q17" s="230" t="str">
        <f>VLOOKUP($B17,'6.คีย์ปลายภาค'!$C$6:$EI$50,29,FALSE)</f>
        <v/>
      </c>
      <c r="R17" s="230" t="str">
        <f>VLOOKUP($B17,'6.คีย์ปลายภาค'!$C$6:$EI$50,34,FALSE)</f>
        <v/>
      </c>
      <c r="S17" s="230" t="str">
        <f>VLOOKUP($B17,'6.คีย์ปลายภาค'!$C$6:$EI$50,39,FALSE)</f>
        <v/>
      </c>
      <c r="T17" s="230" t="str">
        <f>VLOOKUP($B17,'6.คีย์ปลายภาค'!$C$6:$EI$50,44,FALSE)</f>
        <v/>
      </c>
      <c r="U17" s="230" t="str">
        <f>VLOOKUP($B17,'6.คีย์ปลายภาค'!$C$6:$EI$50,49,FALSE)</f>
        <v/>
      </c>
      <c r="V17" s="231" t="str">
        <f>VLOOKUP($B17,'6.คีย์ปลายภาค'!$C$6:$EI$50,54,FALSE)</f>
        <v/>
      </c>
      <c r="W17" s="231" t="str">
        <f>VLOOKUP($B17,'6.คีย์ปลายภาค'!$C$6:$EI$50,59,FALSE)</f>
        <v/>
      </c>
      <c r="X17" s="232" t="str">
        <f>VLOOKUP($B17,'6.คีย์ปลายภาค'!$C$6:$EI$50,64,FALSE)</f>
        <v/>
      </c>
      <c r="Y17" s="31">
        <v>9</v>
      </c>
      <c r="Z17" s="699" t="str">
        <f>IF(Name9="","",Name9)</f>
        <v/>
      </c>
      <c r="AA17" s="700"/>
      <c r="AB17" s="700"/>
      <c r="AC17" s="700"/>
      <c r="AD17" s="700"/>
      <c r="AE17" s="705" t="str">
        <f>IF(Surname9="","",Surname9)</f>
        <v/>
      </c>
      <c r="AF17" s="705"/>
      <c r="AG17" s="705"/>
      <c r="AH17" s="705"/>
      <c r="AI17" s="706"/>
      <c r="AJ17" s="234" t="str">
        <f>VLOOKUP($B17,'6.คีย์ปลายภาค'!$C$6:$EI$50,69,FALSE)</f>
        <v/>
      </c>
      <c r="AK17" s="230" t="str">
        <f>VLOOKUP($B17,'6.คีย์ปลายภาค'!$C$6:$EI$50,74,FALSE)</f>
        <v/>
      </c>
      <c r="AL17" s="230" t="str">
        <f>VLOOKUP($B17,'6.คีย์ปลายภาค'!$C$6:$EI$50,79,FALSE)</f>
        <v/>
      </c>
      <c r="AM17" s="231" t="str">
        <f>VLOOKUP($B17,'6.คีย์ปลายภาค'!$C$6:$EI$50,84,FALSE)</f>
        <v/>
      </c>
      <c r="AN17" s="231" t="str">
        <f>VLOOKUP($B17,'6.คีย์ปลายภาค'!$C$6:$EI$50,89,FALSE)</f>
        <v/>
      </c>
      <c r="AO17" s="231" t="str">
        <f>VLOOKUP($B17,'6.คีย์ปลายภาค'!$C$6:$EI$50,94,FALSE)</f>
        <v/>
      </c>
      <c r="AP17" s="231" t="str">
        <f>VLOOKUP($B17,'6.คีย์ปลายภาค'!$C$6:$EI$50,99,FALSE)</f>
        <v/>
      </c>
      <c r="AQ17" s="231" t="str">
        <f>VLOOKUP($B17,'6.คีย์ปลายภาค'!$C$6:$EI$50,104,FALSE)</f>
        <v/>
      </c>
      <c r="AR17" s="231" t="str">
        <f>VLOOKUP($B17,'6.คีย์ปลายภาค'!$C$6:$EI$50,109,FALSE)</f>
        <v/>
      </c>
      <c r="AS17" s="231" t="str">
        <f>VLOOKUP($B17,'6.คีย์ปลายภาค'!$C$6:$EI$50,114,FALSE)</f>
        <v/>
      </c>
      <c r="AT17" s="231" t="str">
        <f>VLOOKUP($B17,'6.คีย์ปลายภาค'!$C$6:$EI$50,119,FALSE)</f>
        <v/>
      </c>
      <c r="AU17" s="230" t="str">
        <f>VLOOKUP($B17,'6.คีย์ปลายภาค'!$C$6:$EI$50,124,FALSE)</f>
        <v/>
      </c>
      <c r="AV17" s="520" t="str">
        <f>VLOOKUP($B17,'6.คีย์ปลายภาค'!$C$6:$EI$50,129,FALSE)</f>
        <v/>
      </c>
      <c r="AW17" s="547" t="str">
        <f t="shared" si="1"/>
        <v/>
      </c>
      <c r="AX17" s="520" t="str">
        <f>IF('2.ชื่อนักเรียน'!R19="มส","มส",IF('2.ชื่อนักเรียน'!R19="ย้าย","ย้าย",IF('2.ชื่อนักเรียน'!R19="ร","ร",IF(AW17="","",RANK(AW17,$AW$9:$AW$53,0)))))</f>
        <v/>
      </c>
      <c r="AY17" s="118" t="str">
        <v/>
      </c>
      <c r="AZ17" s="119" t="str">
        <v/>
      </c>
      <c r="BA17" s="119" t="str">
        <v/>
      </c>
      <c r="BB17" s="110" t="str">
        <v/>
      </c>
      <c r="BC17" s="119" t="str">
        <v/>
      </c>
      <c r="BD17" s="119" t="str">
        <v/>
      </c>
      <c r="BE17" s="119" t="str">
        <v/>
      </c>
      <c r="BF17" s="119" t="str">
        <v/>
      </c>
      <c r="BG17" s="110" t="str">
        <v/>
      </c>
      <c r="BH17" s="151" t="str">
        <v/>
      </c>
      <c r="BI17" s="151" t="str">
        <v/>
      </c>
      <c r="BJ17" s="111" t="str">
        <v/>
      </c>
      <c r="BK17" s="118" t="str">
        <f>IF(AJ17="มส","มส",IF('5.กลางภาค'!AG16="","",IF($BK$7="","",IF($BK$7="SBMLD",SUM($AJ17:$AV17),AJ17))))</f>
        <v/>
      </c>
      <c r="BL17" s="119" t="str">
        <f>IF(AK17="มส","มส",IF('5.กลางภาค'!AG16="","",IF($BL$7="","",IF($BL$7="SBMLD",SUM($AK17:$AV17),AK17))))</f>
        <v/>
      </c>
      <c r="BM17" s="119" t="str">
        <f>IF(AL17="มส","มส",IF('5.กลางภาค'!AG16="","",IF($BM$7="","",IF($BM$7="SBMLD",SUM($AL17:$AV17),AL17))))</f>
        <v/>
      </c>
      <c r="BN17" s="110" t="str">
        <f>IF(AM17="มส","มส",IF('5.กลางภาค'!AG16="","",IF($BN$7="","",IF($BN$7="SBMLD",SUM($AM17:$AV17),AM17))))</f>
        <v/>
      </c>
      <c r="BO17" s="111" t="str">
        <f>IF(AN17="มส","มส",IF('5.กลางภาค'!AG16="","",IF($BO$7="","",IF($BO$7="SBMLD",SUM($AN17:$AV17),AN17))))</f>
        <v/>
      </c>
      <c r="BP17" s="288"/>
      <c r="BQ17" s="118" t="str">
        <f t="shared" si="2"/>
        <v/>
      </c>
      <c r="BR17" s="119" t="str">
        <f t="shared" si="3"/>
        <v/>
      </c>
      <c r="BS17" s="119" t="str">
        <f t="shared" si="4"/>
        <v/>
      </c>
      <c r="BT17" s="110" t="str">
        <f t="shared" si="5"/>
        <v/>
      </c>
      <c r="BU17" s="119" t="str">
        <f t="shared" si="6"/>
        <v/>
      </c>
      <c r="BV17" s="119" t="str">
        <f t="shared" si="7"/>
        <v/>
      </c>
      <c r="BW17" s="119" t="str">
        <f t="shared" si="8"/>
        <v/>
      </c>
      <c r="BX17" s="119" t="str">
        <f t="shared" si="9"/>
        <v/>
      </c>
      <c r="BY17" s="110" t="str">
        <f t="shared" si="10"/>
        <v/>
      </c>
      <c r="BZ17" s="151" t="str">
        <f t="shared" si="11"/>
        <v/>
      </c>
      <c r="CA17" s="151" t="str">
        <f t="shared" si="12"/>
        <v/>
      </c>
      <c r="CB17" s="111" t="str">
        <f t="shared" si="17"/>
        <v/>
      </c>
      <c r="CC17" s="118" t="str">
        <f t="shared" si="13"/>
        <v/>
      </c>
      <c r="CD17" s="119" t="str">
        <f t="shared" si="14"/>
        <v/>
      </c>
      <c r="CE17" s="119" t="str">
        <f t="shared" si="15"/>
        <v/>
      </c>
      <c r="CF17" s="119" t="str">
        <f t="shared" si="18"/>
        <v/>
      </c>
      <c r="CG17" s="111" t="str">
        <f t="shared" si="16"/>
        <v/>
      </c>
      <c r="CH17" s="148" t="str">
        <f>IF('2.ชื่อนักเรียน'!R19="มส","",IF('2.ชื่อนักเรียน'!R19="ย้าย","",IF(C17="","",SUM(BQ17:CG17)/SUM(top))))</f>
        <v/>
      </c>
      <c r="CI17" s="21" t="str">
        <f>IF('2.ชื่อนักเรียน'!R19="มส","มส",IF('2.ชื่อนักเรียน'!R19="ย้าย","ย้าย",IF('2.ชื่อนักเรียน'!R19="ร","ร",IF(CH17="","",RANK(CH17,$CH$9:$CH$53,0)))))</f>
        <v/>
      </c>
    </row>
    <row r="18" spans="1:87" s="29" customFormat="1" ht="16.5" customHeight="1" x14ac:dyDescent="0.25">
      <c r="A18" s="31">
        <v>10</v>
      </c>
      <c r="B18" s="305" t="str">
        <f>IF(IDstu10="","",IDstu10)</f>
        <v/>
      </c>
      <c r="C18" s="699" t="str">
        <f>IF(Name10="","",Name10)</f>
        <v/>
      </c>
      <c r="D18" s="700"/>
      <c r="E18" s="700"/>
      <c r="F18" s="700"/>
      <c r="G18" s="700"/>
      <c r="H18" s="705" t="str">
        <f>IF(Surname10="","",Surname10)</f>
        <v/>
      </c>
      <c r="I18" s="705"/>
      <c r="J18" s="705"/>
      <c r="K18" s="705"/>
      <c r="L18" s="706"/>
      <c r="M18" s="234" t="str">
        <f>VLOOKUP($B18,'6.คีย์ปลายภาค'!$C$6:$EI$50,9,FALSE)</f>
        <v/>
      </c>
      <c r="N18" s="230" t="str">
        <f>VLOOKUP($B18,'6.คีย์ปลายภาค'!$C$6:$EI$50,14,FALSE)</f>
        <v/>
      </c>
      <c r="O18" s="230" t="str">
        <f>VLOOKUP($B18,'6.คีย์ปลายภาค'!$C$6:$EI$50,19,FALSE)</f>
        <v/>
      </c>
      <c r="P18" s="230" t="str">
        <f>VLOOKUP($B18,'6.คีย์ปลายภาค'!$C$6:$EI$50,24,FALSE)</f>
        <v/>
      </c>
      <c r="Q18" s="230" t="str">
        <f>VLOOKUP($B18,'6.คีย์ปลายภาค'!$C$6:$EI$50,29,FALSE)</f>
        <v/>
      </c>
      <c r="R18" s="230" t="str">
        <f>VLOOKUP($B18,'6.คีย์ปลายภาค'!$C$6:$EI$50,34,FALSE)</f>
        <v/>
      </c>
      <c r="S18" s="230" t="str">
        <f>VLOOKUP($B18,'6.คีย์ปลายภาค'!$C$6:$EI$50,39,FALSE)</f>
        <v/>
      </c>
      <c r="T18" s="230" t="str">
        <f>VLOOKUP($B18,'6.คีย์ปลายภาค'!$C$6:$EI$50,44,FALSE)</f>
        <v/>
      </c>
      <c r="U18" s="230" t="str">
        <f>VLOOKUP($B18,'6.คีย์ปลายภาค'!$C$6:$EI$50,49,FALSE)</f>
        <v/>
      </c>
      <c r="V18" s="231" t="str">
        <f>VLOOKUP($B18,'6.คีย์ปลายภาค'!$C$6:$EI$50,54,FALSE)</f>
        <v/>
      </c>
      <c r="W18" s="231" t="str">
        <f>VLOOKUP($B18,'6.คีย์ปลายภาค'!$C$6:$EI$50,59,FALSE)</f>
        <v/>
      </c>
      <c r="X18" s="232" t="str">
        <f>VLOOKUP($B18,'6.คีย์ปลายภาค'!$C$6:$EI$50,64,FALSE)</f>
        <v/>
      </c>
      <c r="Y18" s="31">
        <v>10</v>
      </c>
      <c r="Z18" s="699" t="str">
        <f>IF(Name10="","",Name10)</f>
        <v/>
      </c>
      <c r="AA18" s="700"/>
      <c r="AB18" s="700"/>
      <c r="AC18" s="700"/>
      <c r="AD18" s="700"/>
      <c r="AE18" s="705" t="str">
        <f>IF(Surname10="","",Surname10)</f>
        <v/>
      </c>
      <c r="AF18" s="705"/>
      <c r="AG18" s="705"/>
      <c r="AH18" s="705"/>
      <c r="AI18" s="706"/>
      <c r="AJ18" s="234" t="str">
        <f>VLOOKUP($B18,'6.คีย์ปลายภาค'!$C$6:$EI$50,69,FALSE)</f>
        <v/>
      </c>
      <c r="AK18" s="230" t="str">
        <f>VLOOKUP($B18,'6.คีย์ปลายภาค'!$C$6:$EI$50,74,FALSE)</f>
        <v/>
      </c>
      <c r="AL18" s="230" t="str">
        <f>VLOOKUP($B18,'6.คีย์ปลายภาค'!$C$6:$EI$50,79,FALSE)</f>
        <v/>
      </c>
      <c r="AM18" s="231" t="str">
        <f>VLOOKUP($B18,'6.คีย์ปลายภาค'!$C$6:$EI$50,84,FALSE)</f>
        <v/>
      </c>
      <c r="AN18" s="231" t="str">
        <f>VLOOKUP($B18,'6.คีย์ปลายภาค'!$C$6:$EI$50,89,FALSE)</f>
        <v/>
      </c>
      <c r="AO18" s="231" t="str">
        <f>VLOOKUP($B18,'6.คีย์ปลายภาค'!$C$6:$EI$50,94,FALSE)</f>
        <v/>
      </c>
      <c r="AP18" s="231" t="str">
        <f>VLOOKUP($B18,'6.คีย์ปลายภาค'!$C$6:$EI$50,99,FALSE)</f>
        <v/>
      </c>
      <c r="AQ18" s="231" t="str">
        <f>VLOOKUP($B18,'6.คีย์ปลายภาค'!$C$6:$EI$50,104,FALSE)</f>
        <v/>
      </c>
      <c r="AR18" s="231" t="str">
        <f>VLOOKUP($B18,'6.คีย์ปลายภาค'!$C$6:$EI$50,109,FALSE)</f>
        <v/>
      </c>
      <c r="AS18" s="231" t="str">
        <f>VLOOKUP($B18,'6.คีย์ปลายภาค'!$C$6:$EI$50,114,FALSE)</f>
        <v/>
      </c>
      <c r="AT18" s="231" t="str">
        <f>VLOOKUP($B18,'6.คีย์ปลายภาค'!$C$6:$EI$50,119,FALSE)</f>
        <v/>
      </c>
      <c r="AU18" s="230" t="str">
        <f>VLOOKUP($B18,'6.คีย์ปลายภาค'!$C$6:$EI$50,124,FALSE)</f>
        <v/>
      </c>
      <c r="AV18" s="520" t="str">
        <f>VLOOKUP($B18,'6.คีย์ปลายภาค'!$C$6:$EI$50,129,FALSE)</f>
        <v/>
      </c>
      <c r="AW18" s="547" t="str">
        <f t="shared" si="1"/>
        <v/>
      </c>
      <c r="AX18" s="520" t="str">
        <f>IF('2.ชื่อนักเรียน'!R20="มส","มส",IF('2.ชื่อนักเรียน'!R20="ย้าย","ย้าย",IF('2.ชื่อนักเรียน'!R20="ร","ร",IF(AW18="","",RANK(AW18,$AW$9:$AW$53,0)))))</f>
        <v/>
      </c>
      <c r="AY18" s="118" t="str">
        <v/>
      </c>
      <c r="AZ18" s="119" t="str">
        <v/>
      </c>
      <c r="BA18" s="119" t="str">
        <v/>
      </c>
      <c r="BB18" s="110" t="str">
        <v/>
      </c>
      <c r="BC18" s="119" t="str">
        <v/>
      </c>
      <c r="BD18" s="119" t="str">
        <v/>
      </c>
      <c r="BE18" s="119" t="str">
        <v/>
      </c>
      <c r="BF18" s="119" t="str">
        <v/>
      </c>
      <c r="BG18" s="110" t="str">
        <v/>
      </c>
      <c r="BH18" s="151" t="str">
        <v/>
      </c>
      <c r="BI18" s="151" t="str">
        <v/>
      </c>
      <c r="BJ18" s="111" t="str">
        <v/>
      </c>
      <c r="BK18" s="118" t="str">
        <f>IF(AJ18="มส","มส",IF('5.กลางภาค'!AG17="","",IF($BK$7="","",IF($BK$7="SBMLD",SUM($AJ18:$AV18),AJ18))))</f>
        <v/>
      </c>
      <c r="BL18" s="119" t="str">
        <f>IF(AK18="มส","มส",IF('5.กลางภาค'!AG17="","",IF($BL$7="","",IF($BL$7="SBMLD",SUM($AK18:$AV18),AK18))))</f>
        <v/>
      </c>
      <c r="BM18" s="119" t="str">
        <f>IF(AL18="มส","มส",IF('5.กลางภาค'!AG17="","",IF($BM$7="","",IF($BM$7="SBMLD",SUM($AL18:$AV18),AL18))))</f>
        <v/>
      </c>
      <c r="BN18" s="110" t="str">
        <f>IF(AM18="มส","มส",IF('5.กลางภาค'!AG17="","",IF($BN$7="","",IF($BN$7="SBMLD",SUM($AM18:$AV18),AM18))))</f>
        <v/>
      </c>
      <c r="BO18" s="111" t="str">
        <f>IF(AN18="มส","มส",IF('5.กลางภาค'!AG17="","",IF($BO$7="","",IF($BO$7="SBMLD",SUM($AN18:$AV18),AN18))))</f>
        <v/>
      </c>
      <c r="BP18" s="288"/>
      <c r="BQ18" s="118" t="str">
        <f t="shared" si="2"/>
        <v/>
      </c>
      <c r="BR18" s="119" t="str">
        <f t="shared" si="3"/>
        <v/>
      </c>
      <c r="BS18" s="119" t="str">
        <f t="shared" si="4"/>
        <v/>
      </c>
      <c r="BT18" s="110" t="str">
        <f t="shared" si="5"/>
        <v/>
      </c>
      <c r="BU18" s="119" t="str">
        <f t="shared" si="6"/>
        <v/>
      </c>
      <c r="BV18" s="119" t="str">
        <f t="shared" si="7"/>
        <v/>
      </c>
      <c r="BW18" s="119" t="str">
        <f t="shared" si="8"/>
        <v/>
      </c>
      <c r="BX18" s="119" t="str">
        <f t="shared" si="9"/>
        <v/>
      </c>
      <c r="BY18" s="110" t="str">
        <f t="shared" si="10"/>
        <v/>
      </c>
      <c r="BZ18" s="151" t="str">
        <f t="shared" si="11"/>
        <v/>
      </c>
      <c r="CA18" s="151" t="str">
        <f t="shared" si="12"/>
        <v/>
      </c>
      <c r="CB18" s="111" t="str">
        <f t="shared" si="17"/>
        <v/>
      </c>
      <c r="CC18" s="118" t="str">
        <f t="shared" si="13"/>
        <v/>
      </c>
      <c r="CD18" s="119" t="str">
        <f t="shared" si="14"/>
        <v/>
      </c>
      <c r="CE18" s="119" t="str">
        <f t="shared" si="15"/>
        <v/>
      </c>
      <c r="CF18" s="119" t="str">
        <f t="shared" si="18"/>
        <v/>
      </c>
      <c r="CG18" s="111" t="str">
        <f t="shared" si="16"/>
        <v/>
      </c>
      <c r="CH18" s="148" t="str">
        <f>IF('2.ชื่อนักเรียน'!R20="มส","",IF('2.ชื่อนักเรียน'!R20="ย้าย","",IF(C18="","",SUM(BQ18:CG18)/SUM(top))))</f>
        <v/>
      </c>
      <c r="CI18" s="21" t="str">
        <f>IF('2.ชื่อนักเรียน'!R20="มส","มส",IF('2.ชื่อนักเรียน'!R20="ย้าย","ย้าย",IF('2.ชื่อนักเรียน'!R20="ร","ร",IF(CH18="","",RANK(CH18,$CH$9:$CH$53,0)))))</f>
        <v/>
      </c>
    </row>
    <row r="19" spans="1:87" s="29" customFormat="1" ht="16.5" customHeight="1" x14ac:dyDescent="0.25">
      <c r="A19" s="31">
        <v>11</v>
      </c>
      <c r="B19" s="305" t="str">
        <f>IF(IDstu11="","",IDstu11)</f>
        <v/>
      </c>
      <c r="C19" s="699" t="str">
        <f>IF(Name11="","",Name11)</f>
        <v/>
      </c>
      <c r="D19" s="700"/>
      <c r="E19" s="700"/>
      <c r="F19" s="700"/>
      <c r="G19" s="700"/>
      <c r="H19" s="705" t="str">
        <f>IF(Surname11="","",Surname11)</f>
        <v/>
      </c>
      <c r="I19" s="705"/>
      <c r="J19" s="705"/>
      <c r="K19" s="705"/>
      <c r="L19" s="706"/>
      <c r="M19" s="234" t="str">
        <f>VLOOKUP($B19,'6.คีย์ปลายภาค'!$C$6:$EI$50,9,FALSE)</f>
        <v/>
      </c>
      <c r="N19" s="230" t="str">
        <f>VLOOKUP($B19,'6.คีย์ปลายภาค'!$C$6:$EI$50,14,FALSE)</f>
        <v/>
      </c>
      <c r="O19" s="230" t="str">
        <f>VLOOKUP($B19,'6.คีย์ปลายภาค'!$C$6:$EI$50,19,FALSE)</f>
        <v/>
      </c>
      <c r="P19" s="230" t="str">
        <f>VLOOKUP($B19,'6.คีย์ปลายภาค'!$C$6:$EI$50,24,FALSE)</f>
        <v/>
      </c>
      <c r="Q19" s="230" t="str">
        <f>VLOOKUP($B19,'6.คีย์ปลายภาค'!$C$6:$EI$50,29,FALSE)</f>
        <v/>
      </c>
      <c r="R19" s="230" t="str">
        <f>VLOOKUP($B19,'6.คีย์ปลายภาค'!$C$6:$EI$50,34,FALSE)</f>
        <v/>
      </c>
      <c r="S19" s="230" t="str">
        <f>VLOOKUP($B19,'6.คีย์ปลายภาค'!$C$6:$EI$50,39,FALSE)</f>
        <v/>
      </c>
      <c r="T19" s="230" t="str">
        <f>VLOOKUP($B19,'6.คีย์ปลายภาค'!$C$6:$EI$50,44,FALSE)</f>
        <v/>
      </c>
      <c r="U19" s="230" t="str">
        <f>VLOOKUP($B19,'6.คีย์ปลายภาค'!$C$6:$EI$50,49,FALSE)</f>
        <v/>
      </c>
      <c r="V19" s="231" t="str">
        <f>VLOOKUP($B19,'6.คีย์ปลายภาค'!$C$6:$EI$50,54,FALSE)</f>
        <v/>
      </c>
      <c r="W19" s="231" t="str">
        <f>VLOOKUP($B19,'6.คีย์ปลายภาค'!$C$6:$EI$50,59,FALSE)</f>
        <v/>
      </c>
      <c r="X19" s="232" t="str">
        <f>VLOOKUP($B19,'6.คีย์ปลายภาค'!$C$6:$EI$50,64,FALSE)</f>
        <v/>
      </c>
      <c r="Y19" s="31">
        <v>11</v>
      </c>
      <c r="Z19" s="699" t="str">
        <f>IF(Name11="","",Name11)</f>
        <v/>
      </c>
      <c r="AA19" s="700"/>
      <c r="AB19" s="700"/>
      <c r="AC19" s="700"/>
      <c r="AD19" s="700"/>
      <c r="AE19" s="705" t="str">
        <f>IF(Surname11="","",Surname11)</f>
        <v/>
      </c>
      <c r="AF19" s="705"/>
      <c r="AG19" s="705"/>
      <c r="AH19" s="705"/>
      <c r="AI19" s="706"/>
      <c r="AJ19" s="234" t="str">
        <f>VLOOKUP($B19,'6.คีย์ปลายภาค'!$C$6:$EI$50,69,FALSE)</f>
        <v/>
      </c>
      <c r="AK19" s="230" t="str">
        <f>VLOOKUP($B19,'6.คีย์ปลายภาค'!$C$6:$EI$50,74,FALSE)</f>
        <v/>
      </c>
      <c r="AL19" s="230" t="str">
        <f>VLOOKUP($B19,'6.คีย์ปลายภาค'!$C$6:$EI$50,79,FALSE)</f>
        <v/>
      </c>
      <c r="AM19" s="231" t="str">
        <f>VLOOKUP($B19,'6.คีย์ปลายภาค'!$C$6:$EI$50,84,FALSE)</f>
        <v/>
      </c>
      <c r="AN19" s="231" t="str">
        <f>VLOOKUP($B19,'6.คีย์ปลายภาค'!$C$6:$EI$50,89,FALSE)</f>
        <v/>
      </c>
      <c r="AO19" s="231" t="str">
        <f>VLOOKUP($B19,'6.คีย์ปลายภาค'!$C$6:$EI$50,94,FALSE)</f>
        <v/>
      </c>
      <c r="AP19" s="231" t="str">
        <f>VLOOKUP($B19,'6.คีย์ปลายภาค'!$C$6:$EI$50,99,FALSE)</f>
        <v/>
      </c>
      <c r="AQ19" s="231" t="str">
        <f>VLOOKUP($B19,'6.คีย์ปลายภาค'!$C$6:$EI$50,104,FALSE)</f>
        <v/>
      </c>
      <c r="AR19" s="231" t="str">
        <f>VLOOKUP($B19,'6.คีย์ปลายภาค'!$C$6:$EI$50,109,FALSE)</f>
        <v/>
      </c>
      <c r="AS19" s="231" t="str">
        <f>VLOOKUP($B19,'6.คีย์ปลายภาค'!$C$6:$EI$50,114,FALSE)</f>
        <v/>
      </c>
      <c r="AT19" s="231" t="str">
        <f>VLOOKUP($B19,'6.คีย์ปลายภาค'!$C$6:$EI$50,119,FALSE)</f>
        <v/>
      </c>
      <c r="AU19" s="230" t="str">
        <f>VLOOKUP($B19,'6.คีย์ปลายภาค'!$C$6:$EI$50,124,FALSE)</f>
        <v/>
      </c>
      <c r="AV19" s="520" t="str">
        <f>VLOOKUP($B19,'6.คีย์ปลายภาค'!$C$6:$EI$50,129,FALSE)</f>
        <v/>
      </c>
      <c r="AW19" s="547" t="str">
        <f t="shared" si="1"/>
        <v/>
      </c>
      <c r="AX19" s="520" t="str">
        <f>IF('2.ชื่อนักเรียน'!R21="มส","มส",IF('2.ชื่อนักเรียน'!R21="ย้าย","ย้าย",IF('2.ชื่อนักเรียน'!R21="ร","ร",IF(AW19="","",RANK(AW19,$AW$9:$AW$53,0)))))</f>
        <v/>
      </c>
      <c r="AY19" s="118" t="str">
        <v/>
      </c>
      <c r="AZ19" s="119" t="str">
        <v/>
      </c>
      <c r="BA19" s="119" t="str">
        <v/>
      </c>
      <c r="BB19" s="110" t="str">
        <v/>
      </c>
      <c r="BC19" s="119" t="str">
        <v/>
      </c>
      <c r="BD19" s="119" t="str">
        <v/>
      </c>
      <c r="BE19" s="119" t="str">
        <v/>
      </c>
      <c r="BF19" s="119" t="str">
        <v/>
      </c>
      <c r="BG19" s="110" t="str">
        <v/>
      </c>
      <c r="BH19" s="151" t="str">
        <v/>
      </c>
      <c r="BI19" s="151" t="str">
        <v/>
      </c>
      <c r="BJ19" s="111" t="str">
        <v/>
      </c>
      <c r="BK19" s="118" t="str">
        <f>IF(AJ19="มส","มส",IF('5.กลางภาค'!AG18="","",IF($BK$7="","",IF($BK$7="SBMLD",SUM($AJ19:$AV19),AJ19))))</f>
        <v/>
      </c>
      <c r="BL19" s="119" t="str">
        <f>IF(AK19="มส","มส",IF('5.กลางภาค'!AG18="","",IF($BL$7="","",IF($BL$7="SBMLD",SUM($AK19:$AV19),AK19))))</f>
        <v/>
      </c>
      <c r="BM19" s="119" t="str">
        <f>IF(AL19="มส","มส",IF('5.กลางภาค'!AG18="","",IF($BM$7="","",IF($BM$7="SBMLD",SUM($AL19:$AV19),AL19))))</f>
        <v/>
      </c>
      <c r="BN19" s="110" t="str">
        <f>IF(AM19="มส","มส",IF('5.กลางภาค'!AG18="","",IF($BN$7="","",IF($BN$7="SBMLD",SUM($AM19:$AV19),AM19))))</f>
        <v/>
      </c>
      <c r="BO19" s="111" t="str">
        <f>IF(AN19="มส","มส",IF('5.กลางภาค'!AG18="","",IF($BO$7="","",IF($BO$7="SBMLD",SUM($AN19:$AV19),AN19))))</f>
        <v/>
      </c>
      <c r="BP19" s="288"/>
      <c r="BQ19" s="118" t="str">
        <f t="shared" si="2"/>
        <v/>
      </c>
      <c r="BR19" s="119" t="str">
        <f t="shared" si="3"/>
        <v/>
      </c>
      <c r="BS19" s="119" t="str">
        <f t="shared" si="4"/>
        <v/>
      </c>
      <c r="BT19" s="110" t="str">
        <f>IF(BB19="","",IF(BB19="ร","0",IF(BB19="มส","0",BB19*BB$8)))</f>
        <v/>
      </c>
      <c r="BU19" s="119" t="str">
        <f t="shared" si="6"/>
        <v/>
      </c>
      <c r="BV19" s="119" t="str">
        <f t="shared" si="7"/>
        <v/>
      </c>
      <c r="BW19" s="119" t="str">
        <f t="shared" si="8"/>
        <v/>
      </c>
      <c r="BX19" s="119" t="str">
        <f t="shared" si="9"/>
        <v/>
      </c>
      <c r="BY19" s="110" t="str">
        <f t="shared" si="10"/>
        <v/>
      </c>
      <c r="BZ19" s="151" t="str">
        <f t="shared" si="11"/>
        <v/>
      </c>
      <c r="CA19" s="151" t="str">
        <f t="shared" si="12"/>
        <v/>
      </c>
      <c r="CB19" s="111" t="str">
        <f t="shared" si="17"/>
        <v/>
      </c>
      <c r="CC19" s="118" t="str">
        <f t="shared" si="13"/>
        <v/>
      </c>
      <c r="CD19" s="119" t="str">
        <f t="shared" si="14"/>
        <v/>
      </c>
      <c r="CE19" s="119" t="str">
        <f t="shared" si="15"/>
        <v/>
      </c>
      <c r="CF19" s="119" t="str">
        <f t="shared" si="18"/>
        <v/>
      </c>
      <c r="CG19" s="111" t="str">
        <f t="shared" si="16"/>
        <v/>
      </c>
      <c r="CH19" s="148" t="str">
        <f>IF('2.ชื่อนักเรียน'!R21="มส","",IF('2.ชื่อนักเรียน'!R21="ย้าย","",IF(C19="","",SUM(BQ19:CG19)/SUM(top))))</f>
        <v/>
      </c>
      <c r="CI19" s="21" t="str">
        <f>IF('2.ชื่อนักเรียน'!R21="มส","มส",IF('2.ชื่อนักเรียน'!R21="ย้าย","ย้าย",IF('2.ชื่อนักเรียน'!R21="ร","ร",IF(CH19="","",RANK(CH19,$CH$9:$CH$53,0)))))</f>
        <v/>
      </c>
    </row>
    <row r="20" spans="1:87" s="29" customFormat="1" ht="16.5" customHeight="1" x14ac:dyDescent="0.25">
      <c r="A20" s="31">
        <v>12</v>
      </c>
      <c r="B20" s="305" t="str">
        <f>IF(IDstu12="","",IDstu12)</f>
        <v/>
      </c>
      <c r="C20" s="699" t="str">
        <f>IF(Name12="","",Name12)</f>
        <v/>
      </c>
      <c r="D20" s="700"/>
      <c r="E20" s="700"/>
      <c r="F20" s="700"/>
      <c r="G20" s="700"/>
      <c r="H20" s="705" t="str">
        <f>IF(Surname12="","",Surname12)</f>
        <v/>
      </c>
      <c r="I20" s="705"/>
      <c r="J20" s="705"/>
      <c r="K20" s="705"/>
      <c r="L20" s="706"/>
      <c r="M20" s="234" t="str">
        <f>VLOOKUP($B20,'6.คีย์ปลายภาค'!$C$6:$EI$50,9,FALSE)</f>
        <v/>
      </c>
      <c r="N20" s="230" t="str">
        <f>VLOOKUP($B20,'6.คีย์ปลายภาค'!$C$6:$EI$50,14,FALSE)</f>
        <v/>
      </c>
      <c r="O20" s="230" t="str">
        <f>VLOOKUP($B20,'6.คีย์ปลายภาค'!$C$6:$EI$50,19,FALSE)</f>
        <v/>
      </c>
      <c r="P20" s="230" t="str">
        <f>VLOOKUP($B20,'6.คีย์ปลายภาค'!$C$6:$EI$50,24,FALSE)</f>
        <v/>
      </c>
      <c r="Q20" s="230" t="str">
        <f>VLOOKUP($B20,'6.คีย์ปลายภาค'!$C$6:$EI$50,29,FALSE)</f>
        <v/>
      </c>
      <c r="R20" s="230" t="str">
        <f>VLOOKUP($B20,'6.คีย์ปลายภาค'!$C$6:$EI$50,34,FALSE)</f>
        <v/>
      </c>
      <c r="S20" s="230" t="str">
        <f>VLOOKUP($B20,'6.คีย์ปลายภาค'!$C$6:$EI$50,39,FALSE)</f>
        <v/>
      </c>
      <c r="T20" s="230" t="str">
        <f>VLOOKUP($B20,'6.คีย์ปลายภาค'!$C$6:$EI$50,44,FALSE)</f>
        <v/>
      </c>
      <c r="U20" s="230" t="str">
        <f>VLOOKUP($B20,'6.คีย์ปลายภาค'!$C$6:$EI$50,49,FALSE)</f>
        <v/>
      </c>
      <c r="V20" s="231" t="str">
        <f>VLOOKUP($B20,'6.คีย์ปลายภาค'!$C$6:$EI$50,54,FALSE)</f>
        <v/>
      </c>
      <c r="W20" s="231" t="str">
        <f>VLOOKUP($B20,'6.คีย์ปลายภาค'!$C$6:$EI$50,59,FALSE)</f>
        <v/>
      </c>
      <c r="X20" s="232" t="str">
        <f>VLOOKUP($B20,'6.คีย์ปลายภาค'!$C$6:$EI$50,64,FALSE)</f>
        <v/>
      </c>
      <c r="Y20" s="31">
        <v>12</v>
      </c>
      <c r="Z20" s="699" t="str">
        <f>IF(Name12="","",Name12)</f>
        <v/>
      </c>
      <c r="AA20" s="700"/>
      <c r="AB20" s="700"/>
      <c r="AC20" s="700"/>
      <c r="AD20" s="700"/>
      <c r="AE20" s="705" t="str">
        <f>IF(Surname12="","",Surname12)</f>
        <v/>
      </c>
      <c r="AF20" s="705"/>
      <c r="AG20" s="705"/>
      <c r="AH20" s="705"/>
      <c r="AI20" s="706"/>
      <c r="AJ20" s="234" t="str">
        <f>VLOOKUP($B20,'6.คีย์ปลายภาค'!$C$6:$EI$50,69,FALSE)</f>
        <v/>
      </c>
      <c r="AK20" s="230" t="str">
        <f>VLOOKUP($B20,'6.คีย์ปลายภาค'!$C$6:$EI$50,74,FALSE)</f>
        <v/>
      </c>
      <c r="AL20" s="230" t="str">
        <f>VLOOKUP($B20,'6.คีย์ปลายภาค'!$C$6:$EI$50,79,FALSE)</f>
        <v/>
      </c>
      <c r="AM20" s="231" t="str">
        <f>VLOOKUP($B20,'6.คีย์ปลายภาค'!$C$6:$EI$50,84,FALSE)</f>
        <v/>
      </c>
      <c r="AN20" s="231" t="str">
        <f>VLOOKUP($B20,'6.คีย์ปลายภาค'!$C$6:$EI$50,89,FALSE)</f>
        <v/>
      </c>
      <c r="AO20" s="231" t="str">
        <f>VLOOKUP($B20,'6.คีย์ปลายภาค'!$C$6:$EI$50,94,FALSE)</f>
        <v/>
      </c>
      <c r="AP20" s="231" t="str">
        <f>VLOOKUP($B20,'6.คีย์ปลายภาค'!$C$6:$EI$50,99,FALSE)</f>
        <v/>
      </c>
      <c r="AQ20" s="231" t="str">
        <f>VLOOKUP($B20,'6.คีย์ปลายภาค'!$C$6:$EI$50,104,FALSE)</f>
        <v/>
      </c>
      <c r="AR20" s="231" t="str">
        <f>VLOOKUP($B20,'6.คีย์ปลายภาค'!$C$6:$EI$50,109,FALSE)</f>
        <v/>
      </c>
      <c r="AS20" s="231" t="str">
        <f>VLOOKUP($B20,'6.คีย์ปลายภาค'!$C$6:$EI$50,114,FALSE)</f>
        <v/>
      </c>
      <c r="AT20" s="231" t="str">
        <f>VLOOKUP($B20,'6.คีย์ปลายภาค'!$C$6:$EI$50,119,FALSE)</f>
        <v/>
      </c>
      <c r="AU20" s="230" t="str">
        <f>VLOOKUP($B20,'6.คีย์ปลายภาค'!$C$6:$EI$50,124,FALSE)</f>
        <v/>
      </c>
      <c r="AV20" s="520" t="str">
        <f>VLOOKUP($B20,'6.คีย์ปลายภาค'!$C$6:$EI$50,129,FALSE)</f>
        <v/>
      </c>
      <c r="AW20" s="547" t="str">
        <f t="shared" si="1"/>
        <v/>
      </c>
      <c r="AX20" s="520" t="str">
        <f>IF('2.ชื่อนักเรียน'!R22="มส","มส",IF('2.ชื่อนักเรียน'!R22="ย้าย","ย้าย",IF('2.ชื่อนักเรียน'!R22="ร","ร",IF(AW20="","",RANK(AW20,$AW$9:$AW$53,0)))))</f>
        <v/>
      </c>
      <c r="AY20" s="118" t="str">
        <v/>
      </c>
      <c r="AZ20" s="119" t="str">
        <v/>
      </c>
      <c r="BA20" s="119" t="str">
        <v/>
      </c>
      <c r="BB20" s="110" t="str">
        <v/>
      </c>
      <c r="BC20" s="119" t="str">
        <v/>
      </c>
      <c r="BD20" s="119" t="str">
        <v/>
      </c>
      <c r="BE20" s="119" t="str">
        <v/>
      </c>
      <c r="BF20" s="119" t="str">
        <v/>
      </c>
      <c r="BG20" s="110" t="str">
        <v/>
      </c>
      <c r="BH20" s="151" t="str">
        <v/>
      </c>
      <c r="BI20" s="151" t="str">
        <v/>
      </c>
      <c r="BJ20" s="111" t="str">
        <v/>
      </c>
      <c r="BK20" s="118" t="str">
        <f>IF(AJ20="มส","มส",IF('5.กลางภาค'!AG19="","",IF($BK$7="","",IF($BK$7="SBMLD",SUM($AJ20:$AV20),AJ20))))</f>
        <v/>
      </c>
      <c r="BL20" s="119" t="str">
        <f>IF(AK20="มส","มส",IF('5.กลางภาค'!AG19="","",IF($BL$7="","",IF($BL$7="SBMLD",SUM($AK20:$AV20),AK20))))</f>
        <v/>
      </c>
      <c r="BM20" s="119" t="str">
        <f>IF(AL20="มส","มส",IF('5.กลางภาค'!AG19="","",IF($BM$7="","",IF($BM$7="SBMLD",SUM($AL20:$AV20),AL20))))</f>
        <v/>
      </c>
      <c r="BN20" s="110" t="str">
        <f>IF(AM20="มส","มส",IF('5.กลางภาค'!AG19="","",IF($BN$7="","",IF($BN$7="SBMLD",SUM($AM20:$AV20),AM20))))</f>
        <v/>
      </c>
      <c r="BO20" s="111" t="str">
        <f>IF(AN20="มส","มส",IF('5.กลางภาค'!AG19="","",IF($BO$7="","",IF($BO$7="SBMLD",SUM($AN20:$AV20),AN20))))</f>
        <v/>
      </c>
      <c r="BP20" s="288"/>
      <c r="BQ20" s="118" t="str">
        <f t="shared" si="2"/>
        <v/>
      </c>
      <c r="BR20" s="119" t="str">
        <f t="shared" si="3"/>
        <v/>
      </c>
      <c r="BS20" s="119" t="str">
        <f t="shared" si="4"/>
        <v/>
      </c>
      <c r="BT20" s="110" t="str">
        <f t="shared" si="5"/>
        <v/>
      </c>
      <c r="BU20" s="119" t="str">
        <f t="shared" si="6"/>
        <v/>
      </c>
      <c r="BV20" s="119" t="str">
        <f t="shared" si="7"/>
        <v/>
      </c>
      <c r="BW20" s="119" t="str">
        <f t="shared" si="8"/>
        <v/>
      </c>
      <c r="BX20" s="119" t="str">
        <f t="shared" si="9"/>
        <v/>
      </c>
      <c r="BY20" s="110" t="str">
        <f t="shared" si="10"/>
        <v/>
      </c>
      <c r="BZ20" s="151" t="str">
        <f t="shared" si="11"/>
        <v/>
      </c>
      <c r="CA20" s="151" t="str">
        <f t="shared" si="12"/>
        <v/>
      </c>
      <c r="CB20" s="111" t="str">
        <f t="shared" si="17"/>
        <v/>
      </c>
      <c r="CC20" s="118" t="str">
        <f t="shared" si="13"/>
        <v/>
      </c>
      <c r="CD20" s="119" t="str">
        <f t="shared" si="14"/>
        <v/>
      </c>
      <c r="CE20" s="119" t="str">
        <f t="shared" si="15"/>
        <v/>
      </c>
      <c r="CF20" s="119" t="str">
        <f t="shared" si="18"/>
        <v/>
      </c>
      <c r="CG20" s="111" t="str">
        <f t="shared" si="16"/>
        <v/>
      </c>
      <c r="CH20" s="148" t="str">
        <f>IF('2.ชื่อนักเรียน'!R22="มส","",IF('2.ชื่อนักเรียน'!R22="ย้าย","",IF(C20="","",SUM(BQ20:CG20)/SUM(top))))</f>
        <v/>
      </c>
      <c r="CI20" s="21" t="str">
        <f>IF('2.ชื่อนักเรียน'!R22="มส","มส",IF('2.ชื่อนักเรียน'!R22="ย้าย","ย้าย",IF('2.ชื่อนักเรียน'!R22="ร","ร",IF(CH20="","",RANK(CH20,$CH$9:$CH$53,0)))))</f>
        <v/>
      </c>
    </row>
    <row r="21" spans="1:87" s="29" customFormat="1" ht="16.5" customHeight="1" x14ac:dyDescent="0.25">
      <c r="A21" s="31">
        <v>13</v>
      </c>
      <c r="B21" s="305" t="str">
        <f>IF(IDstu13="","",IDstu13)</f>
        <v/>
      </c>
      <c r="C21" s="699" t="str">
        <f>IF(Name13="","",Name13)</f>
        <v/>
      </c>
      <c r="D21" s="700"/>
      <c r="E21" s="700"/>
      <c r="F21" s="700"/>
      <c r="G21" s="700"/>
      <c r="H21" s="705" t="str">
        <f>IF(Surname13="","",Surname13)</f>
        <v/>
      </c>
      <c r="I21" s="705"/>
      <c r="J21" s="705"/>
      <c r="K21" s="705"/>
      <c r="L21" s="706"/>
      <c r="M21" s="234" t="str">
        <f>VLOOKUP($B21,'6.คีย์ปลายภาค'!$C$6:$EI$50,9,FALSE)</f>
        <v/>
      </c>
      <c r="N21" s="230" t="str">
        <f>VLOOKUP($B21,'6.คีย์ปลายภาค'!$C$6:$EI$50,14,FALSE)</f>
        <v/>
      </c>
      <c r="O21" s="230" t="str">
        <f>VLOOKUP($B21,'6.คีย์ปลายภาค'!$C$6:$EI$50,19,FALSE)</f>
        <v/>
      </c>
      <c r="P21" s="230" t="str">
        <f>VLOOKUP($B21,'6.คีย์ปลายภาค'!$C$6:$EI$50,24,FALSE)</f>
        <v/>
      </c>
      <c r="Q21" s="230" t="str">
        <f>VLOOKUP($B21,'6.คีย์ปลายภาค'!$C$6:$EI$50,29,FALSE)</f>
        <v/>
      </c>
      <c r="R21" s="230" t="str">
        <f>VLOOKUP($B21,'6.คีย์ปลายภาค'!$C$6:$EI$50,34,FALSE)</f>
        <v/>
      </c>
      <c r="S21" s="230" t="str">
        <f>VLOOKUP($B21,'6.คีย์ปลายภาค'!$C$6:$EI$50,39,FALSE)</f>
        <v/>
      </c>
      <c r="T21" s="230" t="str">
        <f>VLOOKUP($B21,'6.คีย์ปลายภาค'!$C$6:$EI$50,44,FALSE)</f>
        <v/>
      </c>
      <c r="U21" s="230" t="str">
        <f>VLOOKUP($B21,'6.คีย์ปลายภาค'!$C$6:$EI$50,49,FALSE)</f>
        <v/>
      </c>
      <c r="V21" s="231" t="str">
        <f>VLOOKUP($B21,'6.คีย์ปลายภาค'!$C$6:$EI$50,54,FALSE)</f>
        <v/>
      </c>
      <c r="W21" s="231" t="str">
        <f>VLOOKUP($B21,'6.คีย์ปลายภาค'!$C$6:$EI$50,59,FALSE)</f>
        <v/>
      </c>
      <c r="X21" s="232" t="str">
        <f>VLOOKUP($B21,'6.คีย์ปลายภาค'!$C$6:$EI$50,64,FALSE)</f>
        <v/>
      </c>
      <c r="Y21" s="31">
        <v>13</v>
      </c>
      <c r="Z21" s="699" t="str">
        <f>IF(Name13="","",Name13)</f>
        <v/>
      </c>
      <c r="AA21" s="700"/>
      <c r="AB21" s="700"/>
      <c r="AC21" s="700"/>
      <c r="AD21" s="700"/>
      <c r="AE21" s="705" t="str">
        <f>IF(Surname13="","",Surname13)</f>
        <v/>
      </c>
      <c r="AF21" s="705"/>
      <c r="AG21" s="705"/>
      <c r="AH21" s="705"/>
      <c r="AI21" s="706"/>
      <c r="AJ21" s="234" t="str">
        <f>VLOOKUP($B21,'6.คีย์ปลายภาค'!$C$6:$EI$50,69,FALSE)</f>
        <v/>
      </c>
      <c r="AK21" s="230" t="str">
        <f>VLOOKUP($B21,'6.คีย์ปลายภาค'!$C$6:$EI$50,74,FALSE)</f>
        <v/>
      </c>
      <c r="AL21" s="230" t="str">
        <f>VLOOKUP($B21,'6.คีย์ปลายภาค'!$C$6:$EI$50,79,FALSE)</f>
        <v/>
      </c>
      <c r="AM21" s="231" t="str">
        <f>VLOOKUP($B21,'6.คีย์ปลายภาค'!$C$6:$EI$50,84,FALSE)</f>
        <v/>
      </c>
      <c r="AN21" s="231" t="str">
        <f>VLOOKUP($B21,'6.คีย์ปลายภาค'!$C$6:$EI$50,89,FALSE)</f>
        <v/>
      </c>
      <c r="AO21" s="231" t="str">
        <f>VLOOKUP($B21,'6.คีย์ปลายภาค'!$C$6:$EI$50,94,FALSE)</f>
        <v/>
      </c>
      <c r="AP21" s="231" t="str">
        <f>VLOOKUP($B21,'6.คีย์ปลายภาค'!$C$6:$EI$50,99,FALSE)</f>
        <v/>
      </c>
      <c r="AQ21" s="231" t="str">
        <f>VLOOKUP($B21,'6.คีย์ปลายภาค'!$C$6:$EI$50,104,FALSE)</f>
        <v/>
      </c>
      <c r="AR21" s="231" t="str">
        <f>VLOOKUP($B21,'6.คีย์ปลายภาค'!$C$6:$EI$50,109,FALSE)</f>
        <v/>
      </c>
      <c r="AS21" s="231" t="str">
        <f>VLOOKUP($B21,'6.คีย์ปลายภาค'!$C$6:$EI$50,114,FALSE)</f>
        <v/>
      </c>
      <c r="AT21" s="231" t="str">
        <f>VLOOKUP($B21,'6.คีย์ปลายภาค'!$C$6:$EI$50,119,FALSE)</f>
        <v/>
      </c>
      <c r="AU21" s="230" t="str">
        <f>VLOOKUP($B21,'6.คีย์ปลายภาค'!$C$6:$EI$50,124,FALSE)</f>
        <v/>
      </c>
      <c r="AV21" s="520" t="str">
        <f>VLOOKUP($B21,'6.คีย์ปลายภาค'!$C$6:$EI$50,129,FALSE)</f>
        <v/>
      </c>
      <c r="AW21" s="547" t="str">
        <f t="shared" si="1"/>
        <v/>
      </c>
      <c r="AX21" s="520" t="str">
        <f>IF('2.ชื่อนักเรียน'!R23="มส","มส",IF('2.ชื่อนักเรียน'!R23="ย้าย","ย้าย",IF('2.ชื่อนักเรียน'!R23="ร","ร",IF(AW21="","",RANK(AW21,$AW$9:$AW$53,0)))))</f>
        <v/>
      </c>
      <c r="AY21" s="118" t="str">
        <v/>
      </c>
      <c r="AZ21" s="119" t="str">
        <v/>
      </c>
      <c r="BA21" s="119" t="str">
        <v/>
      </c>
      <c r="BB21" s="110" t="str">
        <v/>
      </c>
      <c r="BC21" s="119" t="str">
        <v/>
      </c>
      <c r="BD21" s="119" t="str">
        <v/>
      </c>
      <c r="BE21" s="119" t="str">
        <v/>
      </c>
      <c r="BF21" s="119" t="str">
        <v/>
      </c>
      <c r="BG21" s="110" t="str">
        <v/>
      </c>
      <c r="BH21" s="151" t="str">
        <v/>
      </c>
      <c r="BI21" s="151" t="str">
        <v/>
      </c>
      <c r="BJ21" s="111" t="str">
        <v/>
      </c>
      <c r="BK21" s="118" t="str">
        <f>IF(AJ21="มส","มส",IF('5.กลางภาค'!AG20="","",IF($BK$7="","",IF($BK$7="SBMLD",SUM($AJ21:$AV21),AJ21))))</f>
        <v/>
      </c>
      <c r="BL21" s="119" t="str">
        <f>IF(AK21="มส","มส",IF('5.กลางภาค'!AG20="","",IF($BL$7="","",IF($BL$7="SBMLD",SUM($AK21:$AV21),AK21))))</f>
        <v/>
      </c>
      <c r="BM21" s="119" t="str">
        <f>IF(AL21="มส","มส",IF('5.กลางภาค'!AG20="","",IF($BM$7="","",IF($BM$7="SBMLD",SUM($AL21:$AV21),AL21))))</f>
        <v/>
      </c>
      <c r="BN21" s="110" t="str">
        <f>IF(AM21="มส","มส",IF('5.กลางภาค'!AG20="","",IF($BN$7="","",IF($BN$7="SBMLD",SUM($AM21:$AV21),AM21))))</f>
        <v/>
      </c>
      <c r="BO21" s="111" t="str">
        <f>IF(AN21="มส","มส",IF('5.กลางภาค'!AG20="","",IF($BO$7="","",IF($BO$7="SBMLD",SUM($AN21:$AV21),AN21))))</f>
        <v/>
      </c>
      <c r="BP21" s="288"/>
      <c r="BQ21" s="118" t="str">
        <f t="shared" si="2"/>
        <v/>
      </c>
      <c r="BR21" s="119" t="str">
        <f t="shared" si="3"/>
        <v/>
      </c>
      <c r="BS21" s="119" t="str">
        <f t="shared" si="4"/>
        <v/>
      </c>
      <c r="BT21" s="110" t="str">
        <f t="shared" si="5"/>
        <v/>
      </c>
      <c r="BU21" s="119" t="str">
        <f t="shared" si="6"/>
        <v/>
      </c>
      <c r="BV21" s="119" t="str">
        <f t="shared" si="7"/>
        <v/>
      </c>
      <c r="BW21" s="119" t="str">
        <f t="shared" si="8"/>
        <v/>
      </c>
      <c r="BX21" s="119" t="str">
        <f t="shared" si="9"/>
        <v/>
      </c>
      <c r="BY21" s="110" t="str">
        <f t="shared" si="10"/>
        <v/>
      </c>
      <c r="BZ21" s="151" t="str">
        <f t="shared" si="11"/>
        <v/>
      </c>
      <c r="CA21" s="151" t="str">
        <f t="shared" si="12"/>
        <v/>
      </c>
      <c r="CB21" s="111" t="str">
        <f t="shared" si="17"/>
        <v/>
      </c>
      <c r="CC21" s="118" t="str">
        <f t="shared" si="13"/>
        <v/>
      </c>
      <c r="CD21" s="119" t="str">
        <f t="shared" si="14"/>
        <v/>
      </c>
      <c r="CE21" s="119" t="str">
        <f t="shared" si="15"/>
        <v/>
      </c>
      <c r="CF21" s="119" t="str">
        <f t="shared" si="18"/>
        <v/>
      </c>
      <c r="CG21" s="111" t="str">
        <f t="shared" si="16"/>
        <v/>
      </c>
      <c r="CH21" s="148" t="str">
        <f>IF('2.ชื่อนักเรียน'!R23="มส","",IF('2.ชื่อนักเรียน'!R23="ย้าย","",IF(C21="","",SUM(BQ21:CG21)/SUM(top))))</f>
        <v/>
      </c>
      <c r="CI21" s="21" t="str">
        <f>IF('2.ชื่อนักเรียน'!R23="มส","มส",IF('2.ชื่อนักเรียน'!R23="ย้าย","ย้าย",IF('2.ชื่อนักเรียน'!R23="ร","ร",IF(CH21="","",RANK(CH21,$CH$9:$CH$53,0)))))</f>
        <v/>
      </c>
    </row>
    <row r="22" spans="1:87" s="29" customFormat="1" ht="16.5" customHeight="1" x14ac:dyDescent="0.25">
      <c r="A22" s="31">
        <v>14</v>
      </c>
      <c r="B22" s="305" t="str">
        <f>IF(IDstu14="","",IDstu14)</f>
        <v/>
      </c>
      <c r="C22" s="699" t="str">
        <f>IF(Name14="","",Name14)</f>
        <v/>
      </c>
      <c r="D22" s="700"/>
      <c r="E22" s="700"/>
      <c r="F22" s="700"/>
      <c r="G22" s="700"/>
      <c r="H22" s="705" t="str">
        <f>IF(Surname14="","",Surname14)</f>
        <v/>
      </c>
      <c r="I22" s="705"/>
      <c r="J22" s="705"/>
      <c r="K22" s="705"/>
      <c r="L22" s="706"/>
      <c r="M22" s="234" t="str">
        <f>VLOOKUP($B22,'6.คีย์ปลายภาค'!$C$6:$EI$50,9,FALSE)</f>
        <v/>
      </c>
      <c r="N22" s="230" t="str">
        <f>VLOOKUP($B22,'6.คีย์ปลายภาค'!$C$6:$EI$50,14,FALSE)</f>
        <v/>
      </c>
      <c r="O22" s="230" t="str">
        <f>VLOOKUP($B22,'6.คีย์ปลายภาค'!$C$6:$EI$50,19,FALSE)</f>
        <v/>
      </c>
      <c r="P22" s="230" t="str">
        <f>VLOOKUP($B22,'6.คีย์ปลายภาค'!$C$6:$EI$50,24,FALSE)</f>
        <v/>
      </c>
      <c r="Q22" s="230" t="str">
        <f>VLOOKUP($B22,'6.คีย์ปลายภาค'!$C$6:$EI$50,29,FALSE)</f>
        <v/>
      </c>
      <c r="R22" s="230" t="str">
        <f>VLOOKUP($B22,'6.คีย์ปลายภาค'!$C$6:$EI$50,34,FALSE)</f>
        <v/>
      </c>
      <c r="S22" s="230" t="str">
        <f>VLOOKUP($B22,'6.คีย์ปลายภาค'!$C$6:$EI$50,39,FALSE)</f>
        <v/>
      </c>
      <c r="T22" s="230" t="str">
        <f>VLOOKUP($B22,'6.คีย์ปลายภาค'!$C$6:$EI$50,44,FALSE)</f>
        <v/>
      </c>
      <c r="U22" s="230" t="str">
        <f>VLOOKUP($B22,'6.คีย์ปลายภาค'!$C$6:$EI$50,49,FALSE)</f>
        <v/>
      </c>
      <c r="V22" s="231" t="str">
        <f>VLOOKUP($B22,'6.คีย์ปลายภาค'!$C$6:$EI$50,54,FALSE)</f>
        <v/>
      </c>
      <c r="W22" s="231" t="str">
        <f>VLOOKUP($B22,'6.คีย์ปลายภาค'!$C$6:$EI$50,59,FALSE)</f>
        <v/>
      </c>
      <c r="X22" s="232" t="str">
        <f>VLOOKUP($B22,'6.คีย์ปลายภาค'!$C$6:$EI$50,64,FALSE)</f>
        <v/>
      </c>
      <c r="Y22" s="31">
        <v>14</v>
      </c>
      <c r="Z22" s="699" t="str">
        <f>IF(Name14="","",Name14)</f>
        <v/>
      </c>
      <c r="AA22" s="700"/>
      <c r="AB22" s="700"/>
      <c r="AC22" s="700"/>
      <c r="AD22" s="700"/>
      <c r="AE22" s="705" t="str">
        <f>IF(Surname14="","",Surname14)</f>
        <v/>
      </c>
      <c r="AF22" s="705"/>
      <c r="AG22" s="705"/>
      <c r="AH22" s="705"/>
      <c r="AI22" s="706"/>
      <c r="AJ22" s="234" t="str">
        <f>VLOOKUP($B22,'6.คีย์ปลายภาค'!$C$6:$EI$50,69,FALSE)</f>
        <v/>
      </c>
      <c r="AK22" s="230" t="str">
        <f>VLOOKUP($B22,'6.คีย์ปลายภาค'!$C$6:$EI$50,74,FALSE)</f>
        <v/>
      </c>
      <c r="AL22" s="230" t="str">
        <f>VLOOKUP($B22,'6.คีย์ปลายภาค'!$C$6:$EI$50,79,FALSE)</f>
        <v/>
      </c>
      <c r="AM22" s="231" t="str">
        <f>VLOOKUP($B22,'6.คีย์ปลายภาค'!$C$6:$EI$50,84,FALSE)</f>
        <v/>
      </c>
      <c r="AN22" s="231" t="str">
        <f>VLOOKUP($B22,'6.คีย์ปลายภาค'!$C$6:$EI$50,89,FALSE)</f>
        <v/>
      </c>
      <c r="AO22" s="231" t="str">
        <f>VLOOKUP($B22,'6.คีย์ปลายภาค'!$C$6:$EI$50,94,FALSE)</f>
        <v/>
      </c>
      <c r="AP22" s="231" t="str">
        <f>VLOOKUP($B22,'6.คีย์ปลายภาค'!$C$6:$EI$50,99,FALSE)</f>
        <v/>
      </c>
      <c r="AQ22" s="231" t="str">
        <f>VLOOKUP($B22,'6.คีย์ปลายภาค'!$C$6:$EI$50,104,FALSE)</f>
        <v/>
      </c>
      <c r="AR22" s="231" t="str">
        <f>VLOOKUP($B22,'6.คีย์ปลายภาค'!$C$6:$EI$50,109,FALSE)</f>
        <v/>
      </c>
      <c r="AS22" s="231" t="str">
        <f>VLOOKUP($B22,'6.คีย์ปลายภาค'!$C$6:$EI$50,114,FALSE)</f>
        <v/>
      </c>
      <c r="AT22" s="231" t="str">
        <f>VLOOKUP($B22,'6.คีย์ปลายภาค'!$C$6:$EI$50,119,FALSE)</f>
        <v/>
      </c>
      <c r="AU22" s="230" t="str">
        <f>VLOOKUP($B22,'6.คีย์ปลายภาค'!$C$6:$EI$50,124,FALSE)</f>
        <v/>
      </c>
      <c r="AV22" s="520" t="str">
        <f>VLOOKUP($B22,'6.คีย์ปลายภาค'!$C$6:$EI$50,129,FALSE)</f>
        <v/>
      </c>
      <c r="AW22" s="547" t="str">
        <f t="shared" si="1"/>
        <v/>
      </c>
      <c r="AX22" s="520" t="str">
        <f>IF('2.ชื่อนักเรียน'!R24="มส","มส",IF('2.ชื่อนักเรียน'!R24="ย้าย","ย้าย",IF('2.ชื่อนักเรียน'!R24="ร","ร",IF(AW22="","",RANK(AW22,$AW$9:$AW$53,0)))))</f>
        <v/>
      </c>
      <c r="AY22" s="118" t="str">
        <v/>
      </c>
      <c r="AZ22" s="119" t="str">
        <v/>
      </c>
      <c r="BA22" s="119" t="str">
        <v/>
      </c>
      <c r="BB22" s="110" t="str">
        <v/>
      </c>
      <c r="BC22" s="119" t="str">
        <v/>
      </c>
      <c r="BD22" s="119" t="str">
        <v/>
      </c>
      <c r="BE22" s="119" t="str">
        <v/>
      </c>
      <c r="BF22" s="119" t="str">
        <v/>
      </c>
      <c r="BG22" s="110" t="str">
        <v/>
      </c>
      <c r="BH22" s="151" t="str">
        <v/>
      </c>
      <c r="BI22" s="151" t="str">
        <v/>
      </c>
      <c r="BJ22" s="111" t="str">
        <v/>
      </c>
      <c r="BK22" s="118" t="str">
        <f>IF(AJ22="มส","มส",IF('5.กลางภาค'!AG21="","",IF($BK$7="","",IF($BK$7="SBMLD",SUM($AJ22:$AV22),AJ22))))</f>
        <v/>
      </c>
      <c r="BL22" s="119" t="str">
        <f>IF(AK22="มส","มส",IF('5.กลางภาค'!AG21="","",IF($BL$7="","",IF($BL$7="SBMLD",SUM($AK22:$AV22),AK22))))</f>
        <v/>
      </c>
      <c r="BM22" s="119" t="str">
        <f>IF(AL22="มส","มส",IF('5.กลางภาค'!AG21="","",IF($BM$7="","",IF($BM$7="SBMLD",SUM($AL22:$AV22),AL22))))</f>
        <v/>
      </c>
      <c r="BN22" s="110" t="str">
        <f>IF(AM22="มส","มส",IF('5.กลางภาค'!AG21="","",IF($BN$7="","",IF($BN$7="SBMLD",SUM($AM22:$AV22),AM22))))</f>
        <v/>
      </c>
      <c r="BO22" s="111" t="str">
        <f>IF(AN22="มส","มส",IF('5.กลางภาค'!AG21="","",IF($BO$7="","",IF($BO$7="SBMLD",SUM($AN22:$AV22),AN22))))</f>
        <v/>
      </c>
      <c r="BP22" s="288"/>
      <c r="BQ22" s="118" t="str">
        <f t="shared" si="2"/>
        <v/>
      </c>
      <c r="BR22" s="119" t="str">
        <f t="shared" si="3"/>
        <v/>
      </c>
      <c r="BS22" s="119" t="str">
        <f t="shared" si="4"/>
        <v/>
      </c>
      <c r="BT22" s="110" t="str">
        <f t="shared" si="5"/>
        <v/>
      </c>
      <c r="BU22" s="119" t="str">
        <f t="shared" si="6"/>
        <v/>
      </c>
      <c r="BV22" s="119" t="str">
        <f t="shared" si="7"/>
        <v/>
      </c>
      <c r="BW22" s="119" t="str">
        <f t="shared" si="8"/>
        <v/>
      </c>
      <c r="BX22" s="119" t="str">
        <f t="shared" si="9"/>
        <v/>
      </c>
      <c r="BY22" s="110" t="str">
        <f t="shared" si="10"/>
        <v/>
      </c>
      <c r="BZ22" s="151" t="str">
        <f t="shared" si="11"/>
        <v/>
      </c>
      <c r="CA22" s="151" t="str">
        <f t="shared" si="12"/>
        <v/>
      </c>
      <c r="CB22" s="111" t="str">
        <f t="shared" si="17"/>
        <v/>
      </c>
      <c r="CC22" s="118" t="str">
        <f t="shared" si="13"/>
        <v/>
      </c>
      <c r="CD22" s="119" t="str">
        <f t="shared" si="14"/>
        <v/>
      </c>
      <c r="CE22" s="119" t="str">
        <f t="shared" si="15"/>
        <v/>
      </c>
      <c r="CF22" s="119" t="str">
        <f t="shared" si="18"/>
        <v/>
      </c>
      <c r="CG22" s="111" t="str">
        <f t="shared" si="16"/>
        <v/>
      </c>
      <c r="CH22" s="148" t="str">
        <f>IF('2.ชื่อนักเรียน'!R24="มส","",IF('2.ชื่อนักเรียน'!R24="ย้าย","",IF(C22="","",SUM(BQ22:CG22)/SUM(top))))</f>
        <v/>
      </c>
      <c r="CI22" s="21" t="str">
        <f>IF('2.ชื่อนักเรียน'!R24="มส","มส",IF('2.ชื่อนักเรียน'!R24="ย้าย","ย้าย",IF('2.ชื่อนักเรียน'!R24="ร","ร",IF(CH22="","",RANK(CH22,$CH$9:$CH$53,0)))))</f>
        <v/>
      </c>
    </row>
    <row r="23" spans="1:87" s="29" customFormat="1" ht="16.5" customHeight="1" x14ac:dyDescent="0.25">
      <c r="A23" s="31">
        <v>15</v>
      </c>
      <c r="B23" s="305" t="str">
        <f>IF(IDstu15="","",IDstu15)</f>
        <v/>
      </c>
      <c r="C23" s="699" t="str">
        <f>IF(Name15="","",Name15)</f>
        <v/>
      </c>
      <c r="D23" s="700"/>
      <c r="E23" s="700"/>
      <c r="F23" s="700"/>
      <c r="G23" s="700"/>
      <c r="H23" s="705" t="str">
        <f>IF(Surname15="","",Surname15)</f>
        <v/>
      </c>
      <c r="I23" s="705"/>
      <c r="J23" s="705"/>
      <c r="K23" s="705"/>
      <c r="L23" s="706"/>
      <c r="M23" s="234" t="str">
        <f>VLOOKUP($B23,'6.คีย์ปลายภาค'!$C$6:$EI$50,9,FALSE)</f>
        <v/>
      </c>
      <c r="N23" s="230" t="str">
        <f>VLOOKUP($B23,'6.คีย์ปลายภาค'!$C$6:$EI$50,14,FALSE)</f>
        <v/>
      </c>
      <c r="O23" s="230" t="str">
        <f>VLOOKUP($B23,'6.คีย์ปลายภาค'!$C$6:$EI$50,19,FALSE)</f>
        <v/>
      </c>
      <c r="P23" s="230" t="str">
        <f>VLOOKUP($B23,'6.คีย์ปลายภาค'!$C$6:$EI$50,24,FALSE)</f>
        <v/>
      </c>
      <c r="Q23" s="230" t="str">
        <f>VLOOKUP($B23,'6.คีย์ปลายภาค'!$C$6:$EI$50,29,FALSE)</f>
        <v/>
      </c>
      <c r="R23" s="230" t="str">
        <f>VLOOKUP($B23,'6.คีย์ปลายภาค'!$C$6:$EI$50,34,FALSE)</f>
        <v/>
      </c>
      <c r="S23" s="230" t="str">
        <f>VLOOKUP($B23,'6.คีย์ปลายภาค'!$C$6:$EI$50,39,FALSE)</f>
        <v/>
      </c>
      <c r="T23" s="230" t="str">
        <f>VLOOKUP($B23,'6.คีย์ปลายภาค'!$C$6:$EI$50,44,FALSE)</f>
        <v/>
      </c>
      <c r="U23" s="230" t="str">
        <f>VLOOKUP($B23,'6.คีย์ปลายภาค'!$C$6:$EI$50,49,FALSE)</f>
        <v/>
      </c>
      <c r="V23" s="231" t="str">
        <f>VLOOKUP($B23,'6.คีย์ปลายภาค'!$C$6:$EI$50,54,FALSE)</f>
        <v/>
      </c>
      <c r="W23" s="231" t="str">
        <f>VLOOKUP($B23,'6.คีย์ปลายภาค'!$C$6:$EI$50,59,FALSE)</f>
        <v/>
      </c>
      <c r="X23" s="232" t="str">
        <f>VLOOKUP($B23,'6.คีย์ปลายภาค'!$C$6:$EI$50,64,FALSE)</f>
        <v/>
      </c>
      <c r="Y23" s="31">
        <v>15</v>
      </c>
      <c r="Z23" s="699" t="str">
        <f>IF(Name15="","",Name15)</f>
        <v/>
      </c>
      <c r="AA23" s="700"/>
      <c r="AB23" s="700"/>
      <c r="AC23" s="700"/>
      <c r="AD23" s="700"/>
      <c r="AE23" s="705" t="str">
        <f>IF(Surname15="","",Surname15)</f>
        <v/>
      </c>
      <c r="AF23" s="705"/>
      <c r="AG23" s="705"/>
      <c r="AH23" s="705"/>
      <c r="AI23" s="706"/>
      <c r="AJ23" s="234" t="str">
        <f>VLOOKUP($B23,'6.คีย์ปลายภาค'!$C$6:$EI$50,69,FALSE)</f>
        <v/>
      </c>
      <c r="AK23" s="230" t="str">
        <f>VLOOKUP($B23,'6.คีย์ปลายภาค'!$C$6:$EI$50,74,FALSE)</f>
        <v/>
      </c>
      <c r="AL23" s="230" t="str">
        <f>VLOOKUP($B23,'6.คีย์ปลายภาค'!$C$6:$EI$50,79,FALSE)</f>
        <v/>
      </c>
      <c r="AM23" s="231" t="str">
        <f>VLOOKUP($B23,'6.คีย์ปลายภาค'!$C$6:$EI$50,84,FALSE)</f>
        <v/>
      </c>
      <c r="AN23" s="231" t="str">
        <f>VLOOKUP($B23,'6.คีย์ปลายภาค'!$C$6:$EI$50,89,FALSE)</f>
        <v/>
      </c>
      <c r="AO23" s="231" t="str">
        <f>VLOOKUP($B23,'6.คีย์ปลายภาค'!$C$6:$EI$50,94,FALSE)</f>
        <v/>
      </c>
      <c r="AP23" s="231" t="str">
        <f>VLOOKUP($B23,'6.คีย์ปลายภาค'!$C$6:$EI$50,99,FALSE)</f>
        <v/>
      </c>
      <c r="AQ23" s="231" t="str">
        <f>VLOOKUP($B23,'6.คีย์ปลายภาค'!$C$6:$EI$50,104,FALSE)</f>
        <v/>
      </c>
      <c r="AR23" s="231" t="str">
        <f>VLOOKUP($B23,'6.คีย์ปลายภาค'!$C$6:$EI$50,109,FALSE)</f>
        <v/>
      </c>
      <c r="AS23" s="231" t="str">
        <f>VLOOKUP($B23,'6.คีย์ปลายภาค'!$C$6:$EI$50,114,FALSE)</f>
        <v/>
      </c>
      <c r="AT23" s="231" t="str">
        <f>VLOOKUP($B23,'6.คีย์ปลายภาค'!$C$6:$EI$50,119,FALSE)</f>
        <v/>
      </c>
      <c r="AU23" s="230" t="str">
        <f>VLOOKUP($B23,'6.คีย์ปลายภาค'!$C$6:$EI$50,124,FALSE)</f>
        <v/>
      </c>
      <c r="AV23" s="520" t="str">
        <f>VLOOKUP($B23,'6.คีย์ปลายภาค'!$C$6:$EI$50,129,FALSE)</f>
        <v/>
      </c>
      <c r="AW23" s="547" t="str">
        <f t="shared" si="1"/>
        <v/>
      </c>
      <c r="AX23" s="520" t="str">
        <f>IF('2.ชื่อนักเรียน'!R25="มส","มส",IF('2.ชื่อนักเรียน'!R25="ย้าย","ย้าย",IF('2.ชื่อนักเรียน'!R25="ร","ร",IF(AW23="","",RANK(AW23,$AW$9:$AW$53,0)))))</f>
        <v/>
      </c>
      <c r="AY23" s="118" t="str">
        <v/>
      </c>
      <c r="AZ23" s="119" t="str">
        <v/>
      </c>
      <c r="BA23" s="119" t="str">
        <v/>
      </c>
      <c r="BB23" s="110" t="str">
        <v/>
      </c>
      <c r="BC23" s="119" t="str">
        <v/>
      </c>
      <c r="BD23" s="119" t="str">
        <v/>
      </c>
      <c r="BE23" s="119" t="str">
        <v/>
      </c>
      <c r="BF23" s="119" t="str">
        <v/>
      </c>
      <c r="BG23" s="110" t="str">
        <v/>
      </c>
      <c r="BH23" s="151" t="str">
        <v/>
      </c>
      <c r="BI23" s="151" t="str">
        <v/>
      </c>
      <c r="BJ23" s="111" t="str">
        <v/>
      </c>
      <c r="BK23" s="118" t="str">
        <f>IF(AJ23="มส","มส",IF('5.กลางภาค'!AG22="","",IF($BK$7="","",IF($BK$7="SBMLD",SUM($AJ23:$AV23),AJ23))))</f>
        <v/>
      </c>
      <c r="BL23" s="119" t="str">
        <f>IF(AK23="มส","มส",IF('5.กลางภาค'!AG22="","",IF($BL$7="","",IF($BL$7="SBMLD",SUM($AK23:$AV23),AK23))))</f>
        <v/>
      </c>
      <c r="BM23" s="119" t="str">
        <f>IF(AL23="มส","มส",IF('5.กลางภาค'!AG22="","",IF($BM$7="","",IF($BM$7="SBMLD",SUM($AL23:$AV23),AL23))))</f>
        <v/>
      </c>
      <c r="BN23" s="110" t="str">
        <f>IF(AM23="มส","มส",IF('5.กลางภาค'!AG22="","",IF($BN$7="","",IF($BN$7="SBMLD",SUM($AM23:$AV23),AM23))))</f>
        <v/>
      </c>
      <c r="BO23" s="111" t="str">
        <f>IF(AN23="มส","มส",IF('5.กลางภาค'!AG22="","",IF($BO$7="","",IF($BO$7="SBMLD",SUM($AN23:$AV23),AN23))))</f>
        <v/>
      </c>
      <c r="BP23" s="288"/>
      <c r="BQ23" s="118" t="str">
        <f t="shared" si="2"/>
        <v/>
      </c>
      <c r="BR23" s="119" t="str">
        <f t="shared" si="3"/>
        <v/>
      </c>
      <c r="BS23" s="119" t="str">
        <f t="shared" si="4"/>
        <v/>
      </c>
      <c r="BT23" s="110" t="str">
        <f t="shared" si="5"/>
        <v/>
      </c>
      <c r="BU23" s="119" t="str">
        <f t="shared" si="6"/>
        <v/>
      </c>
      <c r="BV23" s="119" t="str">
        <f t="shared" si="7"/>
        <v/>
      </c>
      <c r="BW23" s="119" t="str">
        <f t="shared" si="8"/>
        <v/>
      </c>
      <c r="BX23" s="119" t="str">
        <f t="shared" si="9"/>
        <v/>
      </c>
      <c r="BY23" s="110" t="str">
        <f t="shared" si="10"/>
        <v/>
      </c>
      <c r="BZ23" s="151" t="str">
        <f t="shared" si="11"/>
        <v/>
      </c>
      <c r="CA23" s="151" t="str">
        <f t="shared" si="12"/>
        <v/>
      </c>
      <c r="CB23" s="111" t="str">
        <f t="shared" si="17"/>
        <v/>
      </c>
      <c r="CC23" s="118" t="str">
        <f t="shared" si="13"/>
        <v/>
      </c>
      <c r="CD23" s="119" t="str">
        <f t="shared" si="14"/>
        <v/>
      </c>
      <c r="CE23" s="119" t="str">
        <f t="shared" si="15"/>
        <v/>
      </c>
      <c r="CF23" s="119" t="str">
        <f t="shared" si="18"/>
        <v/>
      </c>
      <c r="CG23" s="111" t="str">
        <f t="shared" si="16"/>
        <v/>
      </c>
      <c r="CH23" s="148" t="str">
        <f>IF('2.ชื่อนักเรียน'!R25="มส","",IF('2.ชื่อนักเรียน'!R25="ย้าย","",IF(C23="","",SUM(BQ23:CG23)/SUM(top))))</f>
        <v/>
      </c>
      <c r="CI23" s="21" t="str">
        <f>IF('2.ชื่อนักเรียน'!R25="มส","มส",IF('2.ชื่อนักเรียน'!R25="ย้าย","ย้าย",IF('2.ชื่อนักเรียน'!R25="ร","ร",IF(CH23="","",RANK(CH23,$CH$9:$CH$53,0)))))</f>
        <v/>
      </c>
    </row>
    <row r="24" spans="1:87" s="29" customFormat="1" ht="16.5" customHeight="1" x14ac:dyDescent="0.25">
      <c r="A24" s="31">
        <v>16</v>
      </c>
      <c r="B24" s="305" t="str">
        <f>IF(IDstu16="","",IDstu16)</f>
        <v/>
      </c>
      <c r="C24" s="699" t="str">
        <f>IF(Name16="","",Name16)</f>
        <v/>
      </c>
      <c r="D24" s="700"/>
      <c r="E24" s="700"/>
      <c r="F24" s="700"/>
      <c r="G24" s="700"/>
      <c r="H24" s="705" t="str">
        <f>IF(Surname16="","",Surname16)</f>
        <v/>
      </c>
      <c r="I24" s="705"/>
      <c r="J24" s="705"/>
      <c r="K24" s="705"/>
      <c r="L24" s="706"/>
      <c r="M24" s="234" t="str">
        <f>VLOOKUP($B24,'6.คีย์ปลายภาค'!$C$6:$EI$50,9,FALSE)</f>
        <v/>
      </c>
      <c r="N24" s="230" t="str">
        <f>VLOOKUP($B24,'6.คีย์ปลายภาค'!$C$6:$EI$50,14,FALSE)</f>
        <v/>
      </c>
      <c r="O24" s="230" t="str">
        <f>VLOOKUP($B24,'6.คีย์ปลายภาค'!$C$6:$EI$50,19,FALSE)</f>
        <v/>
      </c>
      <c r="P24" s="230" t="str">
        <f>VLOOKUP($B24,'6.คีย์ปลายภาค'!$C$6:$EI$50,24,FALSE)</f>
        <v/>
      </c>
      <c r="Q24" s="230" t="str">
        <f>VLOOKUP($B24,'6.คีย์ปลายภาค'!$C$6:$EI$50,29,FALSE)</f>
        <v/>
      </c>
      <c r="R24" s="230" t="str">
        <f>VLOOKUP($B24,'6.คีย์ปลายภาค'!$C$6:$EI$50,34,FALSE)</f>
        <v/>
      </c>
      <c r="S24" s="230" t="str">
        <f>VLOOKUP($B24,'6.คีย์ปลายภาค'!$C$6:$EI$50,39,FALSE)</f>
        <v/>
      </c>
      <c r="T24" s="230" t="str">
        <f>VLOOKUP($B24,'6.คีย์ปลายภาค'!$C$6:$EI$50,44,FALSE)</f>
        <v/>
      </c>
      <c r="U24" s="230" t="str">
        <f>VLOOKUP($B24,'6.คีย์ปลายภาค'!$C$6:$EI$50,49,FALSE)</f>
        <v/>
      </c>
      <c r="V24" s="231" t="str">
        <f>VLOOKUP($B24,'6.คีย์ปลายภาค'!$C$6:$EI$50,54,FALSE)</f>
        <v/>
      </c>
      <c r="W24" s="231" t="str">
        <f>VLOOKUP($B24,'6.คีย์ปลายภาค'!$C$6:$EI$50,59,FALSE)</f>
        <v/>
      </c>
      <c r="X24" s="232" t="str">
        <f>VLOOKUP($B24,'6.คีย์ปลายภาค'!$C$6:$EI$50,64,FALSE)</f>
        <v/>
      </c>
      <c r="Y24" s="31">
        <v>16</v>
      </c>
      <c r="Z24" s="699" t="str">
        <f>IF(Name16="","",Name16)</f>
        <v/>
      </c>
      <c r="AA24" s="700"/>
      <c r="AB24" s="700"/>
      <c r="AC24" s="700"/>
      <c r="AD24" s="700"/>
      <c r="AE24" s="705" t="str">
        <f>IF(Surname16="","",Surname16)</f>
        <v/>
      </c>
      <c r="AF24" s="705"/>
      <c r="AG24" s="705"/>
      <c r="AH24" s="705"/>
      <c r="AI24" s="706"/>
      <c r="AJ24" s="234" t="str">
        <f>VLOOKUP($B24,'6.คีย์ปลายภาค'!$C$6:$EI$50,69,FALSE)</f>
        <v/>
      </c>
      <c r="AK24" s="230" t="str">
        <f>VLOOKUP($B24,'6.คีย์ปลายภาค'!$C$6:$EI$50,74,FALSE)</f>
        <v/>
      </c>
      <c r="AL24" s="230" t="str">
        <f>VLOOKUP($B24,'6.คีย์ปลายภาค'!$C$6:$EI$50,79,FALSE)</f>
        <v/>
      </c>
      <c r="AM24" s="231" t="str">
        <f>VLOOKUP($B24,'6.คีย์ปลายภาค'!$C$6:$EI$50,84,FALSE)</f>
        <v/>
      </c>
      <c r="AN24" s="231" t="str">
        <f>VLOOKUP($B24,'6.คีย์ปลายภาค'!$C$6:$EI$50,89,FALSE)</f>
        <v/>
      </c>
      <c r="AO24" s="231" t="str">
        <f>VLOOKUP($B24,'6.คีย์ปลายภาค'!$C$6:$EI$50,94,FALSE)</f>
        <v/>
      </c>
      <c r="AP24" s="231" t="str">
        <f>VLOOKUP($B24,'6.คีย์ปลายภาค'!$C$6:$EI$50,99,FALSE)</f>
        <v/>
      </c>
      <c r="AQ24" s="231" t="str">
        <f>VLOOKUP($B24,'6.คีย์ปลายภาค'!$C$6:$EI$50,104,FALSE)</f>
        <v/>
      </c>
      <c r="AR24" s="231" t="str">
        <f>VLOOKUP($B24,'6.คีย์ปลายภาค'!$C$6:$EI$50,109,FALSE)</f>
        <v/>
      </c>
      <c r="AS24" s="231" t="str">
        <f>VLOOKUP($B24,'6.คีย์ปลายภาค'!$C$6:$EI$50,114,FALSE)</f>
        <v/>
      </c>
      <c r="AT24" s="231" t="str">
        <f>VLOOKUP($B24,'6.คีย์ปลายภาค'!$C$6:$EI$50,119,FALSE)</f>
        <v/>
      </c>
      <c r="AU24" s="230" t="str">
        <f>VLOOKUP($B24,'6.คีย์ปลายภาค'!$C$6:$EI$50,124,FALSE)</f>
        <v/>
      </c>
      <c r="AV24" s="520" t="str">
        <f>VLOOKUP($B24,'6.คีย์ปลายภาค'!$C$6:$EI$50,129,FALSE)</f>
        <v/>
      </c>
      <c r="AW24" s="547" t="str">
        <f t="shared" si="1"/>
        <v/>
      </c>
      <c r="AX24" s="520" t="str">
        <f>IF('2.ชื่อนักเรียน'!R26="มส","มส",IF('2.ชื่อนักเรียน'!R26="ย้าย","ย้าย",IF('2.ชื่อนักเรียน'!R26="ร","ร",IF(AW24="","",RANK(AW24,$AW$9:$AW$53,0)))))</f>
        <v/>
      </c>
      <c r="AY24" s="118" t="str">
        <v/>
      </c>
      <c r="AZ24" s="119" t="str">
        <v/>
      </c>
      <c r="BA24" s="119" t="str">
        <v/>
      </c>
      <c r="BB24" s="110" t="str">
        <v/>
      </c>
      <c r="BC24" s="119" t="str">
        <v/>
      </c>
      <c r="BD24" s="119" t="str">
        <v/>
      </c>
      <c r="BE24" s="119" t="str">
        <v/>
      </c>
      <c r="BF24" s="119" t="str">
        <v/>
      </c>
      <c r="BG24" s="110" t="str">
        <v/>
      </c>
      <c r="BH24" s="151" t="str">
        <v/>
      </c>
      <c r="BI24" s="151" t="str">
        <v/>
      </c>
      <c r="BJ24" s="111" t="str">
        <v/>
      </c>
      <c r="BK24" s="118" t="str">
        <f>IF(AJ24="มส","มส",IF('5.กลางภาค'!AG23="","",IF($BK$7="","",IF($BK$7="SBMLD",SUM($AJ24:$AV24),AJ24))))</f>
        <v/>
      </c>
      <c r="BL24" s="119" t="str">
        <f>IF(AK24="มส","มส",IF('5.กลางภาค'!AG23="","",IF($BL$7="","",IF($BL$7="SBMLD",SUM($AK24:$AV24),AK24))))</f>
        <v/>
      </c>
      <c r="BM24" s="119" t="str">
        <f>IF(AL24="มส","มส",IF('5.กลางภาค'!AG23="","",IF($BM$7="","",IF($BM$7="SBMLD",SUM($AL24:$AV24),AL24))))</f>
        <v/>
      </c>
      <c r="BN24" s="110" t="str">
        <f>IF(AM24="มส","มส",IF('5.กลางภาค'!AG23="","",IF($BN$7="","",IF($BN$7="SBMLD",SUM($AM24:$AV24),AM24))))</f>
        <v/>
      </c>
      <c r="BO24" s="111" t="str">
        <f>IF(AN24="มส","มส",IF('5.กลางภาค'!AG23="","",IF($BO$7="","",IF($BO$7="SBMLD",SUM($AN24:$AV24),AN24))))</f>
        <v/>
      </c>
      <c r="BP24" s="288"/>
      <c r="BQ24" s="118" t="str">
        <f t="shared" si="2"/>
        <v/>
      </c>
      <c r="BR24" s="119" t="str">
        <f t="shared" si="3"/>
        <v/>
      </c>
      <c r="BS24" s="119" t="str">
        <f t="shared" si="4"/>
        <v/>
      </c>
      <c r="BT24" s="110" t="str">
        <f t="shared" si="5"/>
        <v/>
      </c>
      <c r="BU24" s="119" t="str">
        <f t="shared" si="6"/>
        <v/>
      </c>
      <c r="BV24" s="119" t="str">
        <f t="shared" si="7"/>
        <v/>
      </c>
      <c r="BW24" s="119" t="str">
        <f t="shared" si="8"/>
        <v/>
      </c>
      <c r="BX24" s="119" t="str">
        <f t="shared" si="9"/>
        <v/>
      </c>
      <c r="BY24" s="110" t="str">
        <f t="shared" si="10"/>
        <v/>
      </c>
      <c r="BZ24" s="151" t="str">
        <f t="shared" si="11"/>
        <v/>
      </c>
      <c r="CA24" s="151" t="str">
        <f t="shared" si="12"/>
        <v/>
      </c>
      <c r="CB24" s="111" t="str">
        <f t="shared" si="17"/>
        <v/>
      </c>
      <c r="CC24" s="118" t="str">
        <f t="shared" si="13"/>
        <v/>
      </c>
      <c r="CD24" s="119" t="str">
        <f t="shared" si="14"/>
        <v/>
      </c>
      <c r="CE24" s="119" t="str">
        <f t="shared" si="15"/>
        <v/>
      </c>
      <c r="CF24" s="119" t="str">
        <f t="shared" si="18"/>
        <v/>
      </c>
      <c r="CG24" s="111" t="str">
        <f t="shared" si="16"/>
        <v/>
      </c>
      <c r="CH24" s="148" t="str">
        <f>IF('2.ชื่อนักเรียน'!R26="มส","",IF('2.ชื่อนักเรียน'!R26="ย้าย","",IF(C24="","",SUM(BQ24:CG24)/SUM(top))))</f>
        <v/>
      </c>
      <c r="CI24" s="21" t="str">
        <f>IF('2.ชื่อนักเรียน'!R26="มส","มส",IF('2.ชื่อนักเรียน'!R26="ย้าย","ย้าย",IF('2.ชื่อนักเรียน'!R26="ร","ร",IF(CH24="","",RANK(CH24,$CH$9:$CH$53,0)))))</f>
        <v/>
      </c>
    </row>
    <row r="25" spans="1:87" s="29" customFormat="1" ht="16.5" customHeight="1" x14ac:dyDescent="0.25">
      <c r="A25" s="31">
        <v>17</v>
      </c>
      <c r="B25" s="305" t="str">
        <f>IF(IDstu17="","",IDstu17)</f>
        <v/>
      </c>
      <c r="C25" s="699" t="str">
        <f>IF(Name17="","",Name17)</f>
        <v/>
      </c>
      <c r="D25" s="700"/>
      <c r="E25" s="700"/>
      <c r="F25" s="700"/>
      <c r="G25" s="700"/>
      <c r="H25" s="705" t="str">
        <f>IF(Surname17="","",Surname17)</f>
        <v/>
      </c>
      <c r="I25" s="705"/>
      <c r="J25" s="705"/>
      <c r="K25" s="705"/>
      <c r="L25" s="706"/>
      <c r="M25" s="234" t="str">
        <f>VLOOKUP($B25,'6.คีย์ปลายภาค'!$C$6:$EI$50,9,FALSE)</f>
        <v/>
      </c>
      <c r="N25" s="230" t="str">
        <f>VLOOKUP($B25,'6.คีย์ปลายภาค'!$C$6:$EI$50,14,FALSE)</f>
        <v/>
      </c>
      <c r="O25" s="230" t="str">
        <f>VLOOKUP($B25,'6.คีย์ปลายภาค'!$C$6:$EI$50,19,FALSE)</f>
        <v/>
      </c>
      <c r="P25" s="230" t="str">
        <f>VLOOKUP($B25,'6.คีย์ปลายภาค'!$C$6:$EI$50,24,FALSE)</f>
        <v/>
      </c>
      <c r="Q25" s="230" t="str">
        <f>VLOOKUP($B25,'6.คีย์ปลายภาค'!$C$6:$EI$50,29,FALSE)</f>
        <v/>
      </c>
      <c r="R25" s="230" t="str">
        <f>VLOOKUP($B25,'6.คีย์ปลายภาค'!$C$6:$EI$50,34,FALSE)</f>
        <v/>
      </c>
      <c r="S25" s="230" t="str">
        <f>VLOOKUP($B25,'6.คีย์ปลายภาค'!$C$6:$EI$50,39,FALSE)</f>
        <v/>
      </c>
      <c r="T25" s="230" t="str">
        <f>VLOOKUP($B25,'6.คีย์ปลายภาค'!$C$6:$EI$50,44,FALSE)</f>
        <v/>
      </c>
      <c r="U25" s="230" t="str">
        <f>VLOOKUP($B25,'6.คีย์ปลายภาค'!$C$6:$EI$50,49,FALSE)</f>
        <v/>
      </c>
      <c r="V25" s="231" t="str">
        <f>VLOOKUP($B25,'6.คีย์ปลายภาค'!$C$6:$EI$50,54,FALSE)</f>
        <v/>
      </c>
      <c r="W25" s="231" t="str">
        <f>VLOOKUP($B25,'6.คีย์ปลายภาค'!$C$6:$EI$50,59,FALSE)</f>
        <v/>
      </c>
      <c r="X25" s="232" t="str">
        <f>VLOOKUP($B25,'6.คีย์ปลายภาค'!$C$6:$EI$50,64,FALSE)</f>
        <v/>
      </c>
      <c r="Y25" s="31">
        <v>17</v>
      </c>
      <c r="Z25" s="699" t="str">
        <f>IF(Name17="","",Name17)</f>
        <v/>
      </c>
      <c r="AA25" s="700"/>
      <c r="AB25" s="700"/>
      <c r="AC25" s="700"/>
      <c r="AD25" s="700"/>
      <c r="AE25" s="705" t="str">
        <f>IF(Surname17="","",Surname17)</f>
        <v/>
      </c>
      <c r="AF25" s="705"/>
      <c r="AG25" s="705"/>
      <c r="AH25" s="705"/>
      <c r="AI25" s="706"/>
      <c r="AJ25" s="234" t="str">
        <f>VLOOKUP($B25,'6.คีย์ปลายภาค'!$C$6:$EI$50,69,FALSE)</f>
        <v/>
      </c>
      <c r="AK25" s="230" t="str">
        <f>VLOOKUP($B25,'6.คีย์ปลายภาค'!$C$6:$EI$50,74,FALSE)</f>
        <v/>
      </c>
      <c r="AL25" s="230" t="str">
        <f>VLOOKUP($B25,'6.คีย์ปลายภาค'!$C$6:$EI$50,79,FALSE)</f>
        <v/>
      </c>
      <c r="AM25" s="231" t="str">
        <f>VLOOKUP($B25,'6.คีย์ปลายภาค'!$C$6:$EI$50,84,FALSE)</f>
        <v/>
      </c>
      <c r="AN25" s="231" t="str">
        <f>VLOOKUP($B25,'6.คีย์ปลายภาค'!$C$6:$EI$50,89,FALSE)</f>
        <v/>
      </c>
      <c r="AO25" s="231" t="str">
        <f>VLOOKUP($B25,'6.คีย์ปลายภาค'!$C$6:$EI$50,94,FALSE)</f>
        <v/>
      </c>
      <c r="AP25" s="231" t="str">
        <f>VLOOKUP($B25,'6.คีย์ปลายภาค'!$C$6:$EI$50,99,FALSE)</f>
        <v/>
      </c>
      <c r="AQ25" s="231" t="str">
        <f>VLOOKUP($B25,'6.คีย์ปลายภาค'!$C$6:$EI$50,104,FALSE)</f>
        <v/>
      </c>
      <c r="AR25" s="231" t="str">
        <f>VLOOKUP($B25,'6.คีย์ปลายภาค'!$C$6:$EI$50,109,FALSE)</f>
        <v/>
      </c>
      <c r="AS25" s="231" t="str">
        <f>VLOOKUP($B25,'6.คีย์ปลายภาค'!$C$6:$EI$50,114,FALSE)</f>
        <v/>
      </c>
      <c r="AT25" s="231" t="str">
        <f>VLOOKUP($B25,'6.คีย์ปลายภาค'!$C$6:$EI$50,119,FALSE)</f>
        <v/>
      </c>
      <c r="AU25" s="230" t="str">
        <f>VLOOKUP($B25,'6.คีย์ปลายภาค'!$C$6:$EI$50,124,FALSE)</f>
        <v/>
      </c>
      <c r="AV25" s="520" t="str">
        <f>VLOOKUP($B25,'6.คีย์ปลายภาค'!$C$6:$EI$50,129,FALSE)</f>
        <v/>
      </c>
      <c r="AW25" s="547" t="str">
        <f t="shared" si="1"/>
        <v/>
      </c>
      <c r="AX25" s="520" t="str">
        <f>IF('2.ชื่อนักเรียน'!R27="มส","มส",IF('2.ชื่อนักเรียน'!R27="ย้าย","ย้าย",IF('2.ชื่อนักเรียน'!R27="ร","ร",IF(AW25="","",RANK(AW25,$AW$9:$AW$53,0)))))</f>
        <v/>
      </c>
      <c r="AY25" s="118" t="str">
        <v/>
      </c>
      <c r="AZ25" s="119" t="str">
        <v/>
      </c>
      <c r="BA25" s="119" t="str">
        <v/>
      </c>
      <c r="BB25" s="110" t="str">
        <v/>
      </c>
      <c r="BC25" s="119" t="str">
        <v/>
      </c>
      <c r="BD25" s="119" t="str">
        <v/>
      </c>
      <c r="BE25" s="119" t="str">
        <v/>
      </c>
      <c r="BF25" s="119" t="str">
        <v/>
      </c>
      <c r="BG25" s="110" t="str">
        <v/>
      </c>
      <c r="BH25" s="151" t="str">
        <v/>
      </c>
      <c r="BI25" s="151" t="str">
        <v/>
      </c>
      <c r="BJ25" s="111" t="str">
        <v/>
      </c>
      <c r="BK25" s="118" t="str">
        <f>IF(AJ25="มส","มส",IF('5.กลางภาค'!AG24="","",IF($BK$7="","",IF($BK$7="SBMLD",SUM($AJ25:$AV25),AJ25))))</f>
        <v/>
      </c>
      <c r="BL25" s="119" t="str">
        <f>IF(AK25="มส","มส",IF('5.กลางภาค'!AG24="","",IF($BL$7="","",IF($BL$7="SBMLD",SUM($AK25:$AV25),AK25))))</f>
        <v/>
      </c>
      <c r="BM25" s="119" t="str">
        <f>IF(AL25="มส","มส",IF('5.กลางภาค'!AG24="","",IF($BM$7="","",IF($BM$7="SBMLD",SUM($AL25:$AV25),AL25))))</f>
        <v/>
      </c>
      <c r="BN25" s="110" t="str">
        <f>IF(AM25="มส","มส",IF('5.กลางภาค'!AG24="","",IF($BN$7="","",IF($BN$7="SBMLD",SUM($AM25:$AV25),AM25))))</f>
        <v/>
      </c>
      <c r="BO25" s="111" t="str">
        <f>IF(AN25="มส","มส",IF('5.กลางภาค'!AG24="","",IF($BO$7="","",IF($BO$7="SBMLD",SUM($AN25:$AV25),AN25))))</f>
        <v/>
      </c>
      <c r="BP25" s="288"/>
      <c r="BQ25" s="118" t="str">
        <f t="shared" si="2"/>
        <v/>
      </c>
      <c r="BR25" s="119" t="str">
        <f t="shared" si="3"/>
        <v/>
      </c>
      <c r="BS25" s="119" t="str">
        <f t="shared" si="4"/>
        <v/>
      </c>
      <c r="BT25" s="110" t="str">
        <f t="shared" si="5"/>
        <v/>
      </c>
      <c r="BU25" s="119" t="str">
        <f t="shared" si="6"/>
        <v/>
      </c>
      <c r="BV25" s="119" t="str">
        <f t="shared" si="7"/>
        <v/>
      </c>
      <c r="BW25" s="119" t="str">
        <f t="shared" si="8"/>
        <v/>
      </c>
      <c r="BX25" s="119" t="str">
        <f t="shared" si="9"/>
        <v/>
      </c>
      <c r="BY25" s="110" t="str">
        <f t="shared" si="10"/>
        <v/>
      </c>
      <c r="BZ25" s="151" t="str">
        <f t="shared" si="11"/>
        <v/>
      </c>
      <c r="CA25" s="151" t="str">
        <f t="shared" si="12"/>
        <v/>
      </c>
      <c r="CB25" s="111" t="str">
        <f t="shared" si="17"/>
        <v/>
      </c>
      <c r="CC25" s="118" t="str">
        <f t="shared" si="13"/>
        <v/>
      </c>
      <c r="CD25" s="119" t="str">
        <f t="shared" si="14"/>
        <v/>
      </c>
      <c r="CE25" s="119" t="str">
        <f t="shared" si="15"/>
        <v/>
      </c>
      <c r="CF25" s="119" t="str">
        <f t="shared" si="18"/>
        <v/>
      </c>
      <c r="CG25" s="111" t="str">
        <f t="shared" si="16"/>
        <v/>
      </c>
      <c r="CH25" s="148" t="str">
        <f>IF('2.ชื่อนักเรียน'!R27="มส","",IF('2.ชื่อนักเรียน'!R27="ย้าย","",IF(C25="","",SUM(BQ25:CG25)/SUM(top))))</f>
        <v/>
      </c>
      <c r="CI25" s="21" t="str">
        <f>IF('2.ชื่อนักเรียน'!R27="มส","มส",IF('2.ชื่อนักเรียน'!R27="ย้าย","ย้าย",IF('2.ชื่อนักเรียน'!R27="ร","ร",IF(CH25="","",RANK(CH25,$CH$9:$CH$53,0)))))</f>
        <v/>
      </c>
    </row>
    <row r="26" spans="1:87" s="29" customFormat="1" ht="16.5" customHeight="1" x14ac:dyDescent="0.25">
      <c r="A26" s="31">
        <v>18</v>
      </c>
      <c r="B26" s="305" t="str">
        <f>IF(IDstu18="","",IDstu18)</f>
        <v/>
      </c>
      <c r="C26" s="699" t="str">
        <f>IF(Name18="","",Name18)</f>
        <v/>
      </c>
      <c r="D26" s="700"/>
      <c r="E26" s="700"/>
      <c r="F26" s="700"/>
      <c r="G26" s="700"/>
      <c r="H26" s="705" t="str">
        <f>IF(Surname18="","",Surname18)</f>
        <v/>
      </c>
      <c r="I26" s="705"/>
      <c r="J26" s="705"/>
      <c r="K26" s="705"/>
      <c r="L26" s="706"/>
      <c r="M26" s="234" t="str">
        <f>VLOOKUP($B26,'6.คีย์ปลายภาค'!$C$6:$EI$50,9,FALSE)</f>
        <v/>
      </c>
      <c r="N26" s="230" t="str">
        <f>VLOOKUP($B26,'6.คีย์ปลายภาค'!$C$6:$EI$50,14,FALSE)</f>
        <v/>
      </c>
      <c r="O26" s="230" t="str">
        <f>VLOOKUP($B26,'6.คีย์ปลายภาค'!$C$6:$EI$50,19,FALSE)</f>
        <v/>
      </c>
      <c r="P26" s="230" t="str">
        <f>VLOOKUP($B26,'6.คีย์ปลายภาค'!$C$6:$EI$50,24,FALSE)</f>
        <v/>
      </c>
      <c r="Q26" s="230" t="str">
        <f>VLOOKUP($B26,'6.คีย์ปลายภาค'!$C$6:$EI$50,29,FALSE)</f>
        <v/>
      </c>
      <c r="R26" s="230" t="str">
        <f>VLOOKUP($B26,'6.คีย์ปลายภาค'!$C$6:$EI$50,34,FALSE)</f>
        <v/>
      </c>
      <c r="S26" s="230" t="str">
        <f>VLOOKUP($B26,'6.คีย์ปลายภาค'!$C$6:$EI$50,39,FALSE)</f>
        <v/>
      </c>
      <c r="T26" s="230" t="str">
        <f>VLOOKUP($B26,'6.คีย์ปลายภาค'!$C$6:$EI$50,44,FALSE)</f>
        <v/>
      </c>
      <c r="U26" s="230" t="str">
        <f>VLOOKUP($B26,'6.คีย์ปลายภาค'!$C$6:$EI$50,49,FALSE)</f>
        <v/>
      </c>
      <c r="V26" s="231" t="str">
        <f>VLOOKUP($B26,'6.คีย์ปลายภาค'!$C$6:$EI$50,54,FALSE)</f>
        <v/>
      </c>
      <c r="W26" s="231" t="str">
        <f>VLOOKUP($B26,'6.คีย์ปลายภาค'!$C$6:$EI$50,59,FALSE)</f>
        <v/>
      </c>
      <c r="X26" s="232" t="str">
        <f>VLOOKUP($B26,'6.คีย์ปลายภาค'!$C$6:$EI$50,64,FALSE)</f>
        <v/>
      </c>
      <c r="Y26" s="31">
        <v>18</v>
      </c>
      <c r="Z26" s="699" t="str">
        <f>IF(Name18="","",Name18)</f>
        <v/>
      </c>
      <c r="AA26" s="700"/>
      <c r="AB26" s="700"/>
      <c r="AC26" s="700"/>
      <c r="AD26" s="700"/>
      <c r="AE26" s="705" t="str">
        <f>IF(Surname18="","",Surname18)</f>
        <v/>
      </c>
      <c r="AF26" s="705"/>
      <c r="AG26" s="705"/>
      <c r="AH26" s="705"/>
      <c r="AI26" s="706"/>
      <c r="AJ26" s="234" t="str">
        <f>VLOOKUP($B26,'6.คีย์ปลายภาค'!$C$6:$EI$50,69,FALSE)</f>
        <v/>
      </c>
      <c r="AK26" s="230" t="str">
        <f>VLOOKUP($B26,'6.คีย์ปลายภาค'!$C$6:$EI$50,74,FALSE)</f>
        <v/>
      </c>
      <c r="AL26" s="230" t="str">
        <f>VLOOKUP($B26,'6.คีย์ปลายภาค'!$C$6:$EI$50,79,FALSE)</f>
        <v/>
      </c>
      <c r="AM26" s="231" t="str">
        <f>VLOOKUP($B26,'6.คีย์ปลายภาค'!$C$6:$EI$50,84,FALSE)</f>
        <v/>
      </c>
      <c r="AN26" s="231" t="str">
        <f>VLOOKUP($B26,'6.คีย์ปลายภาค'!$C$6:$EI$50,89,FALSE)</f>
        <v/>
      </c>
      <c r="AO26" s="231" t="str">
        <f>VLOOKUP($B26,'6.คีย์ปลายภาค'!$C$6:$EI$50,94,FALSE)</f>
        <v/>
      </c>
      <c r="AP26" s="231" t="str">
        <f>VLOOKUP($B26,'6.คีย์ปลายภาค'!$C$6:$EI$50,99,FALSE)</f>
        <v/>
      </c>
      <c r="AQ26" s="231" t="str">
        <f>VLOOKUP($B26,'6.คีย์ปลายภาค'!$C$6:$EI$50,104,FALSE)</f>
        <v/>
      </c>
      <c r="AR26" s="231" t="str">
        <f>VLOOKUP($B26,'6.คีย์ปลายภาค'!$C$6:$EI$50,109,FALSE)</f>
        <v/>
      </c>
      <c r="AS26" s="231" t="str">
        <f>VLOOKUP($B26,'6.คีย์ปลายภาค'!$C$6:$EI$50,114,FALSE)</f>
        <v/>
      </c>
      <c r="AT26" s="231" t="str">
        <f>VLOOKUP($B26,'6.คีย์ปลายภาค'!$C$6:$EI$50,119,FALSE)</f>
        <v/>
      </c>
      <c r="AU26" s="230" t="str">
        <f>VLOOKUP($B26,'6.คีย์ปลายภาค'!$C$6:$EI$50,124,FALSE)</f>
        <v/>
      </c>
      <c r="AV26" s="520" t="str">
        <f>VLOOKUP($B26,'6.คีย์ปลายภาค'!$C$6:$EI$50,129,FALSE)</f>
        <v/>
      </c>
      <c r="AW26" s="547" t="str">
        <f t="shared" si="1"/>
        <v/>
      </c>
      <c r="AX26" s="520" t="str">
        <f>IF('2.ชื่อนักเรียน'!R28="มส","มส",IF('2.ชื่อนักเรียน'!R28="ย้าย","ย้าย",IF('2.ชื่อนักเรียน'!R28="ร","ร",IF(AW26="","",RANK(AW26,$AW$9:$AW$53,0)))))</f>
        <v/>
      </c>
      <c r="AY26" s="118" t="str">
        <v/>
      </c>
      <c r="AZ26" s="119" t="str">
        <v/>
      </c>
      <c r="BA26" s="119" t="str">
        <v/>
      </c>
      <c r="BB26" s="110" t="str">
        <v/>
      </c>
      <c r="BC26" s="119" t="str">
        <v/>
      </c>
      <c r="BD26" s="119" t="str">
        <v/>
      </c>
      <c r="BE26" s="119" t="str">
        <v/>
      </c>
      <c r="BF26" s="119" t="str">
        <v/>
      </c>
      <c r="BG26" s="110" t="str">
        <v/>
      </c>
      <c r="BH26" s="151" t="str">
        <v/>
      </c>
      <c r="BI26" s="151" t="str">
        <v/>
      </c>
      <c r="BJ26" s="111" t="str">
        <v/>
      </c>
      <c r="BK26" s="118" t="str">
        <f>IF(AJ26="มส","มส",IF('5.กลางภาค'!AG25="","",IF($BK$7="","",IF($BK$7="SBMLD",SUM($AJ26:$AV26),AJ26))))</f>
        <v/>
      </c>
      <c r="BL26" s="119" t="str">
        <f>IF(AK26="มส","มส",IF('5.กลางภาค'!AG25="","",IF($BL$7="","",IF($BL$7="SBMLD",SUM($AK26:$AV26),AK26))))</f>
        <v/>
      </c>
      <c r="BM26" s="119" t="str">
        <f>IF(AL26="มส","มส",IF('5.กลางภาค'!AG25="","",IF($BM$7="","",IF($BM$7="SBMLD",SUM($AL26:$AV26),AL26))))</f>
        <v/>
      </c>
      <c r="BN26" s="110" t="str">
        <f>IF(AM26="มส","มส",IF('5.กลางภาค'!AG25="","",IF($BN$7="","",IF($BN$7="SBMLD",SUM($AM26:$AV26),AM26))))</f>
        <v/>
      </c>
      <c r="BO26" s="111" t="str">
        <f>IF(AN26="มส","มส",IF('5.กลางภาค'!AG25="","",IF($BO$7="","",IF($BO$7="SBMLD",SUM($AN26:$AV26),AN26))))</f>
        <v/>
      </c>
      <c r="BP26" s="288"/>
      <c r="BQ26" s="118" t="str">
        <f t="shared" si="2"/>
        <v/>
      </c>
      <c r="BR26" s="119" t="str">
        <f t="shared" si="3"/>
        <v/>
      </c>
      <c r="BS26" s="119" t="str">
        <f t="shared" si="4"/>
        <v/>
      </c>
      <c r="BT26" s="110" t="str">
        <f t="shared" si="5"/>
        <v/>
      </c>
      <c r="BU26" s="119" t="str">
        <f t="shared" si="6"/>
        <v/>
      </c>
      <c r="BV26" s="119" t="str">
        <f t="shared" si="7"/>
        <v/>
      </c>
      <c r="BW26" s="119" t="str">
        <f t="shared" si="8"/>
        <v/>
      </c>
      <c r="BX26" s="119" t="str">
        <f t="shared" si="9"/>
        <v/>
      </c>
      <c r="BY26" s="110" t="str">
        <f t="shared" si="10"/>
        <v/>
      </c>
      <c r="BZ26" s="151" t="str">
        <f t="shared" si="11"/>
        <v/>
      </c>
      <c r="CA26" s="151" t="str">
        <f t="shared" si="12"/>
        <v/>
      </c>
      <c r="CB26" s="111" t="str">
        <f t="shared" si="17"/>
        <v/>
      </c>
      <c r="CC26" s="118" t="str">
        <f t="shared" si="13"/>
        <v/>
      </c>
      <c r="CD26" s="119" t="str">
        <f t="shared" si="14"/>
        <v/>
      </c>
      <c r="CE26" s="119" t="str">
        <f t="shared" si="15"/>
        <v/>
      </c>
      <c r="CF26" s="119" t="str">
        <f t="shared" si="18"/>
        <v/>
      </c>
      <c r="CG26" s="111" t="str">
        <f t="shared" si="16"/>
        <v/>
      </c>
      <c r="CH26" s="148" t="str">
        <f>IF('2.ชื่อนักเรียน'!R28="มส","",IF('2.ชื่อนักเรียน'!R28="ย้าย","",IF(C26="","",SUM(BQ26:CG26)/SUM(top))))</f>
        <v/>
      </c>
      <c r="CI26" s="21" t="str">
        <f>IF('2.ชื่อนักเรียน'!R28="มส","มส",IF('2.ชื่อนักเรียน'!R28="ย้าย","ย้าย",IF('2.ชื่อนักเรียน'!R28="ร","ร",IF(CH26="","",RANK(CH26,$CH$9:$CH$53,0)))))</f>
        <v/>
      </c>
    </row>
    <row r="27" spans="1:87" s="29" customFormat="1" ht="16.5" customHeight="1" x14ac:dyDescent="0.25">
      <c r="A27" s="31">
        <v>19</v>
      </c>
      <c r="B27" s="305" t="str">
        <f>IF(IDstu19="","",IDstu19)</f>
        <v/>
      </c>
      <c r="C27" s="699" t="str">
        <f>IF(Name19="","",Name19)</f>
        <v/>
      </c>
      <c r="D27" s="700"/>
      <c r="E27" s="700"/>
      <c r="F27" s="700"/>
      <c r="G27" s="700"/>
      <c r="H27" s="705" t="str">
        <f>IF(Surname19="","",Surname19)</f>
        <v/>
      </c>
      <c r="I27" s="705"/>
      <c r="J27" s="705"/>
      <c r="K27" s="705"/>
      <c r="L27" s="706"/>
      <c r="M27" s="234" t="str">
        <f>VLOOKUP($B27,'6.คีย์ปลายภาค'!$C$6:$EI$50,9,FALSE)</f>
        <v/>
      </c>
      <c r="N27" s="230" t="str">
        <f>VLOOKUP($B27,'6.คีย์ปลายภาค'!$C$6:$EI$50,14,FALSE)</f>
        <v/>
      </c>
      <c r="O27" s="230" t="str">
        <f>VLOOKUP($B27,'6.คีย์ปลายภาค'!$C$6:$EI$50,19,FALSE)</f>
        <v/>
      </c>
      <c r="P27" s="230" t="str">
        <f>VLOOKUP($B27,'6.คีย์ปลายภาค'!$C$6:$EI$50,24,FALSE)</f>
        <v/>
      </c>
      <c r="Q27" s="230" t="str">
        <f>VLOOKUP($B27,'6.คีย์ปลายภาค'!$C$6:$EI$50,29,FALSE)</f>
        <v/>
      </c>
      <c r="R27" s="230" t="str">
        <f>VLOOKUP($B27,'6.คีย์ปลายภาค'!$C$6:$EI$50,34,FALSE)</f>
        <v/>
      </c>
      <c r="S27" s="230" t="str">
        <f>VLOOKUP($B27,'6.คีย์ปลายภาค'!$C$6:$EI$50,39,FALSE)</f>
        <v/>
      </c>
      <c r="T27" s="230" t="str">
        <f>VLOOKUP($B27,'6.คีย์ปลายภาค'!$C$6:$EI$50,44,FALSE)</f>
        <v/>
      </c>
      <c r="U27" s="230" t="str">
        <f>VLOOKUP($B27,'6.คีย์ปลายภาค'!$C$6:$EI$50,49,FALSE)</f>
        <v/>
      </c>
      <c r="V27" s="231" t="str">
        <f>VLOOKUP($B27,'6.คีย์ปลายภาค'!$C$6:$EI$50,54,FALSE)</f>
        <v/>
      </c>
      <c r="W27" s="231" t="str">
        <f>VLOOKUP($B27,'6.คีย์ปลายภาค'!$C$6:$EI$50,59,FALSE)</f>
        <v/>
      </c>
      <c r="X27" s="232" t="str">
        <f>VLOOKUP($B27,'6.คีย์ปลายภาค'!$C$6:$EI$50,64,FALSE)</f>
        <v/>
      </c>
      <c r="Y27" s="31">
        <v>19</v>
      </c>
      <c r="Z27" s="699" t="str">
        <f>IF(Name19="","",Name19)</f>
        <v/>
      </c>
      <c r="AA27" s="700"/>
      <c r="AB27" s="700"/>
      <c r="AC27" s="700"/>
      <c r="AD27" s="700"/>
      <c r="AE27" s="705" t="str">
        <f>IF(Surname19="","",Surname19)</f>
        <v/>
      </c>
      <c r="AF27" s="705"/>
      <c r="AG27" s="705"/>
      <c r="AH27" s="705"/>
      <c r="AI27" s="706"/>
      <c r="AJ27" s="234" t="str">
        <f>VLOOKUP($B27,'6.คีย์ปลายภาค'!$C$6:$EI$50,69,FALSE)</f>
        <v/>
      </c>
      <c r="AK27" s="230" t="str">
        <f>VLOOKUP($B27,'6.คีย์ปลายภาค'!$C$6:$EI$50,74,FALSE)</f>
        <v/>
      </c>
      <c r="AL27" s="230" t="str">
        <f>VLOOKUP($B27,'6.คีย์ปลายภาค'!$C$6:$EI$50,79,FALSE)</f>
        <v/>
      </c>
      <c r="AM27" s="231" t="str">
        <f>VLOOKUP($B27,'6.คีย์ปลายภาค'!$C$6:$EI$50,84,FALSE)</f>
        <v/>
      </c>
      <c r="AN27" s="231" t="str">
        <f>VLOOKUP($B27,'6.คีย์ปลายภาค'!$C$6:$EI$50,89,FALSE)</f>
        <v/>
      </c>
      <c r="AO27" s="231" t="str">
        <f>VLOOKUP($B27,'6.คีย์ปลายภาค'!$C$6:$EI$50,94,FALSE)</f>
        <v/>
      </c>
      <c r="AP27" s="231" t="str">
        <f>VLOOKUP($B27,'6.คีย์ปลายภาค'!$C$6:$EI$50,99,FALSE)</f>
        <v/>
      </c>
      <c r="AQ27" s="231" t="str">
        <f>VLOOKUP($B27,'6.คีย์ปลายภาค'!$C$6:$EI$50,104,FALSE)</f>
        <v/>
      </c>
      <c r="AR27" s="231" t="str">
        <f>VLOOKUP($B27,'6.คีย์ปลายภาค'!$C$6:$EI$50,109,FALSE)</f>
        <v/>
      </c>
      <c r="AS27" s="231" t="str">
        <f>VLOOKUP($B27,'6.คีย์ปลายภาค'!$C$6:$EI$50,114,FALSE)</f>
        <v/>
      </c>
      <c r="AT27" s="231" t="str">
        <f>VLOOKUP($B27,'6.คีย์ปลายภาค'!$C$6:$EI$50,119,FALSE)</f>
        <v/>
      </c>
      <c r="AU27" s="230" t="str">
        <f>VLOOKUP($B27,'6.คีย์ปลายภาค'!$C$6:$EI$50,124,FALSE)</f>
        <v/>
      </c>
      <c r="AV27" s="520" t="str">
        <f>VLOOKUP($B27,'6.คีย์ปลายภาค'!$C$6:$EI$50,129,FALSE)</f>
        <v/>
      </c>
      <c r="AW27" s="547" t="str">
        <f t="shared" si="1"/>
        <v/>
      </c>
      <c r="AX27" s="520" t="str">
        <f>IF('2.ชื่อนักเรียน'!R29="มส","มส",IF('2.ชื่อนักเรียน'!R29="ย้าย","ย้าย",IF('2.ชื่อนักเรียน'!R29="ร","ร",IF(AW27="","",RANK(AW27,$AW$9:$AW$53,0)))))</f>
        <v/>
      </c>
      <c r="AY27" s="118" t="str">
        <v/>
      </c>
      <c r="AZ27" s="119" t="str">
        <v/>
      </c>
      <c r="BA27" s="119" t="str">
        <v/>
      </c>
      <c r="BB27" s="110" t="str">
        <v/>
      </c>
      <c r="BC27" s="119" t="str">
        <v/>
      </c>
      <c r="BD27" s="119" t="str">
        <v/>
      </c>
      <c r="BE27" s="119" t="str">
        <v/>
      </c>
      <c r="BF27" s="119" t="str">
        <v/>
      </c>
      <c r="BG27" s="110" t="str">
        <v/>
      </c>
      <c r="BH27" s="151" t="str">
        <v/>
      </c>
      <c r="BI27" s="151" t="str">
        <v/>
      </c>
      <c r="BJ27" s="111" t="str">
        <v/>
      </c>
      <c r="BK27" s="118" t="str">
        <f>IF(AJ27="มส","มส",IF('5.กลางภาค'!AG26="","",IF($BK$7="","",IF($BK$7="SBMLD",SUM($AJ27:$AV27),AJ27))))</f>
        <v/>
      </c>
      <c r="BL27" s="119" t="str">
        <f>IF(AK27="มส","มส",IF('5.กลางภาค'!AG26="","",IF($BL$7="","",IF($BL$7="SBMLD",SUM($AK27:$AV27),AK27))))</f>
        <v/>
      </c>
      <c r="BM27" s="119" t="str">
        <f>IF(AL27="มส","มส",IF('5.กลางภาค'!AG26="","",IF($BM$7="","",IF($BM$7="SBMLD",SUM($AL27:$AV27),AL27))))</f>
        <v/>
      </c>
      <c r="BN27" s="110" t="str">
        <f>IF(AM27="มส","มส",IF('5.กลางภาค'!AG26="","",IF($BN$7="","",IF($BN$7="SBMLD",SUM($AM27:$AV27),AM27))))</f>
        <v/>
      </c>
      <c r="BO27" s="111" t="str">
        <f>IF(AN27="มส","มส",IF('5.กลางภาค'!AG26="","",IF($BO$7="","",IF($BO$7="SBMLD",SUM($AN27:$AV27),AN27))))</f>
        <v/>
      </c>
      <c r="BP27" s="288"/>
      <c r="BQ27" s="118" t="str">
        <f t="shared" si="2"/>
        <v/>
      </c>
      <c r="BR27" s="119" t="str">
        <f t="shared" si="3"/>
        <v/>
      </c>
      <c r="BS27" s="119" t="str">
        <f t="shared" si="4"/>
        <v/>
      </c>
      <c r="BT27" s="110" t="str">
        <f t="shared" si="5"/>
        <v/>
      </c>
      <c r="BU27" s="119" t="str">
        <f t="shared" si="6"/>
        <v/>
      </c>
      <c r="BV27" s="119" t="str">
        <f t="shared" si="7"/>
        <v/>
      </c>
      <c r="BW27" s="119" t="str">
        <f t="shared" si="8"/>
        <v/>
      </c>
      <c r="BX27" s="119" t="str">
        <f t="shared" si="9"/>
        <v/>
      </c>
      <c r="BY27" s="110" t="str">
        <f t="shared" si="10"/>
        <v/>
      </c>
      <c r="BZ27" s="151" t="str">
        <f t="shared" si="11"/>
        <v/>
      </c>
      <c r="CA27" s="151" t="str">
        <f t="shared" si="12"/>
        <v/>
      </c>
      <c r="CB27" s="111" t="str">
        <f t="shared" si="17"/>
        <v/>
      </c>
      <c r="CC27" s="118" t="str">
        <f t="shared" si="13"/>
        <v/>
      </c>
      <c r="CD27" s="119" t="str">
        <f t="shared" si="14"/>
        <v/>
      </c>
      <c r="CE27" s="119" t="str">
        <f t="shared" si="15"/>
        <v/>
      </c>
      <c r="CF27" s="119" t="str">
        <f t="shared" si="18"/>
        <v/>
      </c>
      <c r="CG27" s="111" t="str">
        <f t="shared" si="16"/>
        <v/>
      </c>
      <c r="CH27" s="148" t="str">
        <f>IF('2.ชื่อนักเรียน'!R29="มส","",IF('2.ชื่อนักเรียน'!R29="ย้าย","",IF(C27="","",SUM(BQ27:CG27)/SUM(top))))</f>
        <v/>
      </c>
      <c r="CI27" s="21" t="str">
        <f>IF('2.ชื่อนักเรียน'!R29="มส","มส",IF('2.ชื่อนักเรียน'!R29="ย้าย","ย้าย",IF('2.ชื่อนักเรียน'!R29="ร","ร",IF(CH27="","",RANK(CH27,$CH$9:$CH$53,0)))))</f>
        <v/>
      </c>
    </row>
    <row r="28" spans="1:87" s="29" customFormat="1" ht="16.5" customHeight="1" x14ac:dyDescent="0.25">
      <c r="A28" s="31">
        <v>20</v>
      </c>
      <c r="B28" s="305" t="str">
        <f>IF(IDstu20="","",IDstu20)</f>
        <v/>
      </c>
      <c r="C28" s="699" t="str">
        <f>IF(Name20="","",Name20)</f>
        <v/>
      </c>
      <c r="D28" s="700"/>
      <c r="E28" s="700"/>
      <c r="F28" s="700"/>
      <c r="G28" s="700"/>
      <c r="H28" s="705" t="str">
        <f>IF(Surname20="","",Surname20)</f>
        <v/>
      </c>
      <c r="I28" s="705"/>
      <c r="J28" s="705"/>
      <c r="K28" s="705"/>
      <c r="L28" s="706"/>
      <c r="M28" s="234" t="str">
        <f>VLOOKUP($B28,'6.คีย์ปลายภาค'!$C$6:$EI$50,9,FALSE)</f>
        <v/>
      </c>
      <c r="N28" s="230" t="str">
        <f>VLOOKUP($B28,'6.คีย์ปลายภาค'!$C$6:$EI$50,14,FALSE)</f>
        <v/>
      </c>
      <c r="O28" s="230" t="str">
        <f>VLOOKUP($B28,'6.คีย์ปลายภาค'!$C$6:$EI$50,19,FALSE)</f>
        <v/>
      </c>
      <c r="P28" s="230" t="str">
        <f>VLOOKUP($B28,'6.คีย์ปลายภาค'!$C$6:$EI$50,24,FALSE)</f>
        <v/>
      </c>
      <c r="Q28" s="230" t="str">
        <f>VLOOKUP($B28,'6.คีย์ปลายภาค'!$C$6:$EI$50,29,FALSE)</f>
        <v/>
      </c>
      <c r="R28" s="230" t="str">
        <f>VLOOKUP($B28,'6.คีย์ปลายภาค'!$C$6:$EI$50,34,FALSE)</f>
        <v/>
      </c>
      <c r="S28" s="230" t="str">
        <f>VLOOKUP($B28,'6.คีย์ปลายภาค'!$C$6:$EI$50,39,FALSE)</f>
        <v/>
      </c>
      <c r="T28" s="230" t="str">
        <f>VLOOKUP($B28,'6.คีย์ปลายภาค'!$C$6:$EI$50,44,FALSE)</f>
        <v/>
      </c>
      <c r="U28" s="230" t="str">
        <f>VLOOKUP($B28,'6.คีย์ปลายภาค'!$C$6:$EI$50,49,FALSE)</f>
        <v/>
      </c>
      <c r="V28" s="231" t="str">
        <f>VLOOKUP($B28,'6.คีย์ปลายภาค'!$C$6:$EI$50,54,FALSE)</f>
        <v/>
      </c>
      <c r="W28" s="231" t="str">
        <f>VLOOKUP($B28,'6.คีย์ปลายภาค'!$C$6:$EI$50,59,FALSE)</f>
        <v/>
      </c>
      <c r="X28" s="232" t="str">
        <f>VLOOKUP($B28,'6.คีย์ปลายภาค'!$C$6:$EI$50,64,FALSE)</f>
        <v/>
      </c>
      <c r="Y28" s="31">
        <v>20</v>
      </c>
      <c r="Z28" s="699" t="str">
        <f>IF(Name20="","",Name20)</f>
        <v/>
      </c>
      <c r="AA28" s="700"/>
      <c r="AB28" s="700"/>
      <c r="AC28" s="700"/>
      <c r="AD28" s="700"/>
      <c r="AE28" s="705" t="str">
        <f>IF(Surname20="","",Surname20)</f>
        <v/>
      </c>
      <c r="AF28" s="705"/>
      <c r="AG28" s="705"/>
      <c r="AH28" s="705"/>
      <c r="AI28" s="706"/>
      <c r="AJ28" s="234" t="str">
        <f>VLOOKUP($B28,'6.คีย์ปลายภาค'!$C$6:$EI$50,69,FALSE)</f>
        <v/>
      </c>
      <c r="AK28" s="230" t="str">
        <f>VLOOKUP($B28,'6.คีย์ปลายภาค'!$C$6:$EI$50,74,FALSE)</f>
        <v/>
      </c>
      <c r="AL28" s="230" t="str">
        <f>VLOOKUP($B28,'6.คีย์ปลายภาค'!$C$6:$EI$50,79,FALSE)</f>
        <v/>
      </c>
      <c r="AM28" s="231" t="str">
        <f>VLOOKUP($B28,'6.คีย์ปลายภาค'!$C$6:$EI$50,84,FALSE)</f>
        <v/>
      </c>
      <c r="AN28" s="231" t="str">
        <f>VLOOKUP($B28,'6.คีย์ปลายภาค'!$C$6:$EI$50,89,FALSE)</f>
        <v/>
      </c>
      <c r="AO28" s="231" t="str">
        <f>VLOOKUP($B28,'6.คีย์ปลายภาค'!$C$6:$EI$50,94,FALSE)</f>
        <v/>
      </c>
      <c r="AP28" s="231" t="str">
        <f>VLOOKUP($B28,'6.คีย์ปลายภาค'!$C$6:$EI$50,99,FALSE)</f>
        <v/>
      </c>
      <c r="AQ28" s="231" t="str">
        <f>VLOOKUP($B28,'6.คีย์ปลายภาค'!$C$6:$EI$50,104,FALSE)</f>
        <v/>
      </c>
      <c r="AR28" s="231" t="str">
        <f>VLOOKUP($B28,'6.คีย์ปลายภาค'!$C$6:$EI$50,109,FALSE)</f>
        <v/>
      </c>
      <c r="AS28" s="231" t="str">
        <f>VLOOKUP($B28,'6.คีย์ปลายภาค'!$C$6:$EI$50,114,FALSE)</f>
        <v/>
      </c>
      <c r="AT28" s="231" t="str">
        <f>VLOOKUP($B28,'6.คีย์ปลายภาค'!$C$6:$EI$50,119,FALSE)</f>
        <v/>
      </c>
      <c r="AU28" s="230" t="str">
        <f>VLOOKUP($B28,'6.คีย์ปลายภาค'!$C$6:$EI$50,124,FALSE)</f>
        <v/>
      </c>
      <c r="AV28" s="520" t="str">
        <f>VLOOKUP($B28,'6.คีย์ปลายภาค'!$C$6:$EI$50,129,FALSE)</f>
        <v/>
      </c>
      <c r="AW28" s="547" t="str">
        <f t="shared" si="1"/>
        <v/>
      </c>
      <c r="AX28" s="520" t="str">
        <f>IF('2.ชื่อนักเรียน'!R30="มส","มส",IF('2.ชื่อนักเรียน'!R30="ย้าย","ย้าย",IF('2.ชื่อนักเรียน'!R30="ร","ร",IF(AW28="","",RANK(AW28,$AW$9:$AW$53,0)))))</f>
        <v/>
      </c>
      <c r="AY28" s="118" t="str">
        <v/>
      </c>
      <c r="AZ28" s="119" t="str">
        <v/>
      </c>
      <c r="BA28" s="119" t="str">
        <v/>
      </c>
      <c r="BB28" s="110" t="str">
        <v/>
      </c>
      <c r="BC28" s="119" t="str">
        <v/>
      </c>
      <c r="BD28" s="119" t="str">
        <v/>
      </c>
      <c r="BE28" s="119" t="str">
        <v/>
      </c>
      <c r="BF28" s="119" t="str">
        <v/>
      </c>
      <c r="BG28" s="110" t="str">
        <v/>
      </c>
      <c r="BH28" s="151" t="str">
        <v/>
      </c>
      <c r="BI28" s="151" t="str">
        <v/>
      </c>
      <c r="BJ28" s="111" t="str">
        <v/>
      </c>
      <c r="BK28" s="118" t="str">
        <f>IF(AJ28="มส","มส",IF('5.กลางภาค'!AG27="","",IF($BK$7="","",IF($BK$7="SBMLD",SUM($AJ28:$AV28),AJ28))))</f>
        <v/>
      </c>
      <c r="BL28" s="119" t="str">
        <f>IF(AK28="มส","มส",IF('5.กลางภาค'!AG27="","",IF($BL$7="","",IF($BL$7="SBMLD",SUM($AK28:$AV28),AK28))))</f>
        <v/>
      </c>
      <c r="BM28" s="119" t="str">
        <f>IF(AL28="มส","มส",IF('5.กลางภาค'!AG27="","",IF($BM$7="","",IF($BM$7="SBMLD",SUM($AL28:$AV28),AL28))))</f>
        <v/>
      </c>
      <c r="BN28" s="110" t="str">
        <f>IF(AM28="มส","มส",IF('5.กลางภาค'!AG27="","",IF($BN$7="","",IF($BN$7="SBMLD",SUM($AM28:$AV28),AM28))))</f>
        <v/>
      </c>
      <c r="BO28" s="111" t="str">
        <f>IF(AN28="มส","มส",IF('5.กลางภาค'!AG27="","",IF($BO$7="","",IF($BO$7="SBMLD",SUM($AN28:$AV28),AN28))))</f>
        <v/>
      </c>
      <c r="BP28" s="288"/>
      <c r="BQ28" s="118" t="str">
        <f t="shared" si="2"/>
        <v/>
      </c>
      <c r="BR28" s="119" t="str">
        <f t="shared" si="3"/>
        <v/>
      </c>
      <c r="BS28" s="119" t="str">
        <f t="shared" si="4"/>
        <v/>
      </c>
      <c r="BT28" s="110" t="str">
        <f t="shared" si="5"/>
        <v/>
      </c>
      <c r="BU28" s="119" t="str">
        <f t="shared" si="6"/>
        <v/>
      </c>
      <c r="BV28" s="119" t="str">
        <f t="shared" si="7"/>
        <v/>
      </c>
      <c r="BW28" s="119" t="str">
        <f t="shared" si="8"/>
        <v/>
      </c>
      <c r="BX28" s="119" t="str">
        <f t="shared" si="9"/>
        <v/>
      </c>
      <c r="BY28" s="110" t="str">
        <f t="shared" si="10"/>
        <v/>
      </c>
      <c r="BZ28" s="151" t="str">
        <f t="shared" si="11"/>
        <v/>
      </c>
      <c r="CA28" s="151" t="str">
        <f t="shared" si="12"/>
        <v/>
      </c>
      <c r="CB28" s="111" t="str">
        <f t="shared" si="17"/>
        <v/>
      </c>
      <c r="CC28" s="118" t="str">
        <f t="shared" si="13"/>
        <v/>
      </c>
      <c r="CD28" s="119" t="str">
        <f t="shared" si="14"/>
        <v/>
      </c>
      <c r="CE28" s="119" t="str">
        <f t="shared" si="15"/>
        <v/>
      </c>
      <c r="CF28" s="119" t="str">
        <f t="shared" si="18"/>
        <v/>
      </c>
      <c r="CG28" s="111" t="str">
        <f t="shared" si="16"/>
        <v/>
      </c>
      <c r="CH28" s="148" t="str">
        <f>IF('2.ชื่อนักเรียน'!R30="มส","",IF('2.ชื่อนักเรียน'!R30="ย้าย","",IF(C28="","",SUM(BQ28:CG28)/SUM(top))))</f>
        <v/>
      </c>
      <c r="CI28" s="21" t="str">
        <f>IF('2.ชื่อนักเรียน'!R30="มส","มส",IF('2.ชื่อนักเรียน'!R30="ย้าย","ย้าย",IF('2.ชื่อนักเรียน'!R30="ร","ร",IF(CH28="","",RANK(CH28,$CH$9:$CH$53,0)))))</f>
        <v/>
      </c>
    </row>
    <row r="29" spans="1:87" s="29" customFormat="1" ht="16.5" customHeight="1" x14ac:dyDescent="0.25">
      <c r="A29" s="31">
        <v>21</v>
      </c>
      <c r="B29" s="305" t="str">
        <f>IF(IDstu21="","",IDstu21)</f>
        <v/>
      </c>
      <c r="C29" s="699" t="str">
        <f>IF(Name21="","",Name21)</f>
        <v/>
      </c>
      <c r="D29" s="700"/>
      <c r="E29" s="700"/>
      <c r="F29" s="700"/>
      <c r="G29" s="700"/>
      <c r="H29" s="705" t="str">
        <f>IF(Surname21="","",Surname21)</f>
        <v/>
      </c>
      <c r="I29" s="705"/>
      <c r="J29" s="705"/>
      <c r="K29" s="705"/>
      <c r="L29" s="706"/>
      <c r="M29" s="234" t="str">
        <f>VLOOKUP($B29,'6.คีย์ปลายภาค'!$C$6:$EI$50,9,FALSE)</f>
        <v/>
      </c>
      <c r="N29" s="230" t="str">
        <f>VLOOKUP($B29,'6.คีย์ปลายภาค'!$C$6:$EI$50,14,FALSE)</f>
        <v/>
      </c>
      <c r="O29" s="230" t="str">
        <f>VLOOKUP($B29,'6.คีย์ปลายภาค'!$C$6:$EI$50,19,FALSE)</f>
        <v/>
      </c>
      <c r="P29" s="230" t="str">
        <f>VLOOKUP($B29,'6.คีย์ปลายภาค'!$C$6:$EI$50,24,FALSE)</f>
        <v/>
      </c>
      <c r="Q29" s="230" t="str">
        <f>VLOOKUP($B29,'6.คีย์ปลายภาค'!$C$6:$EI$50,29,FALSE)</f>
        <v/>
      </c>
      <c r="R29" s="230" t="str">
        <f>VLOOKUP($B29,'6.คีย์ปลายภาค'!$C$6:$EI$50,34,FALSE)</f>
        <v/>
      </c>
      <c r="S29" s="230" t="str">
        <f>VLOOKUP($B29,'6.คีย์ปลายภาค'!$C$6:$EI$50,39,FALSE)</f>
        <v/>
      </c>
      <c r="T29" s="230" t="str">
        <f>VLOOKUP($B29,'6.คีย์ปลายภาค'!$C$6:$EI$50,44,FALSE)</f>
        <v/>
      </c>
      <c r="U29" s="230" t="str">
        <f>VLOOKUP($B29,'6.คีย์ปลายภาค'!$C$6:$EI$50,49,FALSE)</f>
        <v/>
      </c>
      <c r="V29" s="231" t="str">
        <f>VLOOKUP($B29,'6.คีย์ปลายภาค'!$C$6:$EI$50,54,FALSE)</f>
        <v/>
      </c>
      <c r="W29" s="231" t="str">
        <f>VLOOKUP($B29,'6.คีย์ปลายภาค'!$C$6:$EI$50,59,FALSE)</f>
        <v/>
      </c>
      <c r="X29" s="232" t="str">
        <f>VLOOKUP($B29,'6.คีย์ปลายภาค'!$C$6:$EI$50,64,FALSE)</f>
        <v/>
      </c>
      <c r="Y29" s="31">
        <v>21</v>
      </c>
      <c r="Z29" s="699" t="str">
        <f>IF(Name21="","",Name21)</f>
        <v/>
      </c>
      <c r="AA29" s="700"/>
      <c r="AB29" s="700"/>
      <c r="AC29" s="700"/>
      <c r="AD29" s="700"/>
      <c r="AE29" s="705" t="str">
        <f>IF(Surname21="","",Surname21)</f>
        <v/>
      </c>
      <c r="AF29" s="705"/>
      <c r="AG29" s="705"/>
      <c r="AH29" s="705"/>
      <c r="AI29" s="706"/>
      <c r="AJ29" s="234" t="str">
        <f>VLOOKUP($B29,'6.คีย์ปลายภาค'!$C$6:$EI$50,69,FALSE)</f>
        <v/>
      </c>
      <c r="AK29" s="230" t="str">
        <f>VLOOKUP($B29,'6.คีย์ปลายภาค'!$C$6:$EI$50,74,FALSE)</f>
        <v/>
      </c>
      <c r="AL29" s="230" t="str">
        <f>VLOOKUP($B29,'6.คีย์ปลายภาค'!$C$6:$EI$50,79,FALSE)</f>
        <v/>
      </c>
      <c r="AM29" s="231" t="str">
        <f>VLOOKUP($B29,'6.คีย์ปลายภาค'!$C$6:$EI$50,84,FALSE)</f>
        <v/>
      </c>
      <c r="AN29" s="231" t="str">
        <f>VLOOKUP($B29,'6.คีย์ปลายภาค'!$C$6:$EI$50,89,FALSE)</f>
        <v/>
      </c>
      <c r="AO29" s="231" t="str">
        <f>VLOOKUP($B29,'6.คีย์ปลายภาค'!$C$6:$EI$50,94,FALSE)</f>
        <v/>
      </c>
      <c r="AP29" s="231" t="str">
        <f>VLOOKUP($B29,'6.คีย์ปลายภาค'!$C$6:$EI$50,99,FALSE)</f>
        <v/>
      </c>
      <c r="AQ29" s="231" t="str">
        <f>VLOOKUP($B29,'6.คีย์ปลายภาค'!$C$6:$EI$50,104,FALSE)</f>
        <v/>
      </c>
      <c r="AR29" s="231" t="str">
        <f>VLOOKUP($B29,'6.คีย์ปลายภาค'!$C$6:$EI$50,109,FALSE)</f>
        <v/>
      </c>
      <c r="AS29" s="231" t="str">
        <f>VLOOKUP($B29,'6.คีย์ปลายภาค'!$C$6:$EI$50,114,FALSE)</f>
        <v/>
      </c>
      <c r="AT29" s="231" t="str">
        <f>VLOOKUP($B29,'6.คีย์ปลายภาค'!$C$6:$EI$50,119,FALSE)</f>
        <v/>
      </c>
      <c r="AU29" s="230" t="str">
        <f>VLOOKUP($B29,'6.คีย์ปลายภาค'!$C$6:$EI$50,124,FALSE)</f>
        <v/>
      </c>
      <c r="AV29" s="520" t="str">
        <f>VLOOKUP($B29,'6.คีย์ปลายภาค'!$C$6:$EI$50,129,FALSE)</f>
        <v/>
      </c>
      <c r="AW29" s="547" t="str">
        <f t="shared" si="1"/>
        <v/>
      </c>
      <c r="AX29" s="520" t="str">
        <f>IF('2.ชื่อนักเรียน'!R31="มส","มส",IF('2.ชื่อนักเรียน'!R31="ย้าย","ย้าย",IF('2.ชื่อนักเรียน'!R31="ร","ร",IF(AW29="","",RANK(AW29,$AW$9:$AW$53,0)))))</f>
        <v/>
      </c>
      <c r="AY29" s="118" t="str">
        <v/>
      </c>
      <c r="AZ29" s="119" t="str">
        <v/>
      </c>
      <c r="BA29" s="119" t="str">
        <v/>
      </c>
      <c r="BB29" s="110" t="str">
        <v/>
      </c>
      <c r="BC29" s="119" t="str">
        <v/>
      </c>
      <c r="BD29" s="119" t="str">
        <v/>
      </c>
      <c r="BE29" s="119" t="str">
        <v/>
      </c>
      <c r="BF29" s="119" t="str">
        <v/>
      </c>
      <c r="BG29" s="110" t="str">
        <v/>
      </c>
      <c r="BH29" s="151" t="str">
        <v/>
      </c>
      <c r="BI29" s="151" t="str">
        <v/>
      </c>
      <c r="BJ29" s="111" t="str">
        <v/>
      </c>
      <c r="BK29" s="118" t="str">
        <f>IF(AJ29="มส","มส",IF('5.กลางภาค'!AG28="","",IF($BK$7="","",IF($BK$7="SBMLD",SUM($AJ29:$AV29),AJ29))))</f>
        <v/>
      </c>
      <c r="BL29" s="119" t="str">
        <f>IF(AK29="มส","มส",IF('5.กลางภาค'!AG28="","",IF($BL$7="","",IF($BL$7="SBMLD",SUM($AK29:$AV29),AK29))))</f>
        <v/>
      </c>
      <c r="BM29" s="119" t="str">
        <f>IF(AL29="มส","มส",IF('5.กลางภาค'!AG28="","",IF($BM$7="","",IF($BM$7="SBMLD",SUM($AL29:$AV29),AL29))))</f>
        <v/>
      </c>
      <c r="BN29" s="110" t="str">
        <f>IF(AM29="มส","มส",IF('5.กลางภาค'!AG28="","",IF($BN$7="","",IF($BN$7="SBMLD",SUM($AM29:$AV29),AM29))))</f>
        <v/>
      </c>
      <c r="BO29" s="111" t="str">
        <f>IF(AN29="มส","มส",IF('5.กลางภาค'!AG28="","",IF($BO$7="","",IF($BO$7="SBMLD",SUM($AN29:$AV29),AN29))))</f>
        <v/>
      </c>
      <c r="BP29" s="288"/>
      <c r="BQ29" s="118" t="str">
        <f t="shared" si="2"/>
        <v/>
      </c>
      <c r="BR29" s="119" t="str">
        <f t="shared" si="3"/>
        <v/>
      </c>
      <c r="BS29" s="119" t="str">
        <f t="shared" si="4"/>
        <v/>
      </c>
      <c r="BT29" s="110" t="str">
        <f t="shared" si="5"/>
        <v/>
      </c>
      <c r="BU29" s="119" t="str">
        <f t="shared" si="6"/>
        <v/>
      </c>
      <c r="BV29" s="119" t="str">
        <f t="shared" si="7"/>
        <v/>
      </c>
      <c r="BW29" s="119" t="str">
        <f t="shared" si="8"/>
        <v/>
      </c>
      <c r="BX29" s="119" t="str">
        <f t="shared" si="9"/>
        <v/>
      </c>
      <c r="BY29" s="110" t="str">
        <f t="shared" si="10"/>
        <v/>
      </c>
      <c r="BZ29" s="151" t="str">
        <f t="shared" si="11"/>
        <v/>
      </c>
      <c r="CA29" s="151" t="str">
        <f t="shared" si="12"/>
        <v/>
      </c>
      <c r="CB29" s="111" t="str">
        <f t="shared" si="17"/>
        <v/>
      </c>
      <c r="CC29" s="118" t="str">
        <f t="shared" si="13"/>
        <v/>
      </c>
      <c r="CD29" s="119" t="str">
        <f t="shared" si="14"/>
        <v/>
      </c>
      <c r="CE29" s="119" t="str">
        <f t="shared" si="15"/>
        <v/>
      </c>
      <c r="CF29" s="119" t="str">
        <f t="shared" si="18"/>
        <v/>
      </c>
      <c r="CG29" s="111" t="str">
        <f t="shared" si="16"/>
        <v/>
      </c>
      <c r="CH29" s="148" t="str">
        <f>IF('2.ชื่อนักเรียน'!R31="มส","",IF('2.ชื่อนักเรียน'!R31="ย้าย","",IF(C29="","",SUM(BQ29:CG29)/SUM(top))))</f>
        <v/>
      </c>
      <c r="CI29" s="21" t="str">
        <f>IF('2.ชื่อนักเรียน'!R31="มส","มส",IF('2.ชื่อนักเรียน'!R31="ย้าย","ย้าย",IF('2.ชื่อนักเรียน'!R31="ร","ร",IF(CH29="","",RANK(CH29,$CH$9:$CH$53,0)))))</f>
        <v/>
      </c>
    </row>
    <row r="30" spans="1:87" s="29" customFormat="1" ht="16.5" customHeight="1" x14ac:dyDescent="0.25">
      <c r="A30" s="31">
        <v>22</v>
      </c>
      <c r="B30" s="305" t="str">
        <f>IF(IDstu22="","",IDstu22)</f>
        <v/>
      </c>
      <c r="C30" s="699" t="str">
        <f>IF(Name22="","",Name22)</f>
        <v/>
      </c>
      <c r="D30" s="700"/>
      <c r="E30" s="700"/>
      <c r="F30" s="700"/>
      <c r="G30" s="700"/>
      <c r="H30" s="705" t="str">
        <f>IF(Surname22="","",Surname22)</f>
        <v/>
      </c>
      <c r="I30" s="705"/>
      <c r="J30" s="705"/>
      <c r="K30" s="705"/>
      <c r="L30" s="706"/>
      <c r="M30" s="234" t="str">
        <f>VLOOKUP($B30,'6.คีย์ปลายภาค'!$C$6:$EI$50,9,FALSE)</f>
        <v/>
      </c>
      <c r="N30" s="230" t="str">
        <f>VLOOKUP($B30,'6.คีย์ปลายภาค'!$C$6:$EI$50,14,FALSE)</f>
        <v/>
      </c>
      <c r="O30" s="230" t="str">
        <f>VLOOKUP($B30,'6.คีย์ปลายภาค'!$C$6:$EI$50,19,FALSE)</f>
        <v/>
      </c>
      <c r="P30" s="230" t="str">
        <f>VLOOKUP($B30,'6.คีย์ปลายภาค'!$C$6:$EI$50,24,FALSE)</f>
        <v/>
      </c>
      <c r="Q30" s="230" t="str">
        <f>VLOOKUP($B30,'6.คีย์ปลายภาค'!$C$6:$EI$50,29,FALSE)</f>
        <v/>
      </c>
      <c r="R30" s="230" t="str">
        <f>VLOOKUP($B30,'6.คีย์ปลายภาค'!$C$6:$EI$50,34,FALSE)</f>
        <v/>
      </c>
      <c r="S30" s="230" t="str">
        <f>VLOOKUP($B30,'6.คีย์ปลายภาค'!$C$6:$EI$50,39,FALSE)</f>
        <v/>
      </c>
      <c r="T30" s="230" t="str">
        <f>VLOOKUP($B30,'6.คีย์ปลายภาค'!$C$6:$EI$50,44,FALSE)</f>
        <v/>
      </c>
      <c r="U30" s="230" t="str">
        <f>VLOOKUP($B30,'6.คีย์ปลายภาค'!$C$6:$EI$50,49,FALSE)</f>
        <v/>
      </c>
      <c r="V30" s="231" t="str">
        <f>VLOOKUP($B30,'6.คีย์ปลายภาค'!$C$6:$EI$50,54,FALSE)</f>
        <v/>
      </c>
      <c r="W30" s="231" t="str">
        <f>VLOOKUP($B30,'6.คีย์ปลายภาค'!$C$6:$EI$50,59,FALSE)</f>
        <v/>
      </c>
      <c r="X30" s="232" t="str">
        <f>VLOOKUP($B30,'6.คีย์ปลายภาค'!$C$6:$EI$50,64,FALSE)</f>
        <v/>
      </c>
      <c r="Y30" s="31">
        <v>22</v>
      </c>
      <c r="Z30" s="699" t="str">
        <f>IF(Name22="","",Name22)</f>
        <v/>
      </c>
      <c r="AA30" s="700"/>
      <c r="AB30" s="700"/>
      <c r="AC30" s="700"/>
      <c r="AD30" s="700"/>
      <c r="AE30" s="705" t="str">
        <f>IF(Surname22="","",Surname22)</f>
        <v/>
      </c>
      <c r="AF30" s="705"/>
      <c r="AG30" s="705"/>
      <c r="AH30" s="705"/>
      <c r="AI30" s="706"/>
      <c r="AJ30" s="234" t="str">
        <f>VLOOKUP($B30,'6.คีย์ปลายภาค'!$C$6:$EI$50,69,FALSE)</f>
        <v/>
      </c>
      <c r="AK30" s="230" t="str">
        <f>VLOOKUP($B30,'6.คีย์ปลายภาค'!$C$6:$EI$50,74,FALSE)</f>
        <v/>
      </c>
      <c r="AL30" s="230" t="str">
        <f>VLOOKUP($B30,'6.คีย์ปลายภาค'!$C$6:$EI$50,79,FALSE)</f>
        <v/>
      </c>
      <c r="AM30" s="231" t="str">
        <f>VLOOKUP($B30,'6.คีย์ปลายภาค'!$C$6:$EI$50,84,FALSE)</f>
        <v/>
      </c>
      <c r="AN30" s="231" t="str">
        <f>VLOOKUP($B30,'6.คีย์ปลายภาค'!$C$6:$EI$50,89,FALSE)</f>
        <v/>
      </c>
      <c r="AO30" s="231" t="str">
        <f>VLOOKUP($B30,'6.คีย์ปลายภาค'!$C$6:$EI$50,94,FALSE)</f>
        <v/>
      </c>
      <c r="AP30" s="231" t="str">
        <f>VLOOKUP($B30,'6.คีย์ปลายภาค'!$C$6:$EI$50,99,FALSE)</f>
        <v/>
      </c>
      <c r="AQ30" s="231" t="str">
        <f>VLOOKUP($B30,'6.คีย์ปลายภาค'!$C$6:$EI$50,104,FALSE)</f>
        <v/>
      </c>
      <c r="AR30" s="231" t="str">
        <f>VLOOKUP($B30,'6.คีย์ปลายภาค'!$C$6:$EI$50,109,FALSE)</f>
        <v/>
      </c>
      <c r="AS30" s="231" t="str">
        <f>VLOOKUP($B30,'6.คีย์ปลายภาค'!$C$6:$EI$50,114,FALSE)</f>
        <v/>
      </c>
      <c r="AT30" s="231" t="str">
        <f>VLOOKUP($B30,'6.คีย์ปลายภาค'!$C$6:$EI$50,119,FALSE)</f>
        <v/>
      </c>
      <c r="AU30" s="230" t="str">
        <f>VLOOKUP($B30,'6.คีย์ปลายภาค'!$C$6:$EI$50,124,FALSE)</f>
        <v/>
      </c>
      <c r="AV30" s="520" t="str">
        <f>VLOOKUP($B30,'6.คีย์ปลายภาค'!$C$6:$EI$50,129,FALSE)</f>
        <v/>
      </c>
      <c r="AW30" s="547" t="str">
        <f t="shared" si="1"/>
        <v/>
      </c>
      <c r="AX30" s="520" t="str">
        <f>IF('2.ชื่อนักเรียน'!R32="มส","มส",IF('2.ชื่อนักเรียน'!R32="ย้าย","ย้าย",IF('2.ชื่อนักเรียน'!R32="ร","ร",IF(AW30="","",RANK(AW30,$AW$9:$AW$53,0)))))</f>
        <v/>
      </c>
      <c r="AY30" s="118" t="str">
        <v/>
      </c>
      <c r="AZ30" s="110" t="str">
        <v/>
      </c>
      <c r="BA30" s="119" t="str">
        <v/>
      </c>
      <c r="BB30" s="110" t="str">
        <v/>
      </c>
      <c r="BC30" s="110" t="str">
        <v/>
      </c>
      <c r="BD30" s="110" t="str">
        <v/>
      </c>
      <c r="BE30" s="119" t="str">
        <v/>
      </c>
      <c r="BF30" s="119" t="str">
        <v/>
      </c>
      <c r="BG30" s="110" t="str">
        <v/>
      </c>
      <c r="BH30" s="151" t="str">
        <v/>
      </c>
      <c r="BI30" s="151" t="str">
        <v/>
      </c>
      <c r="BJ30" s="111" t="str">
        <v/>
      </c>
      <c r="BK30" s="118" t="str">
        <f>IF(AJ30="มส","มส",IF('5.กลางภาค'!AG29="","",IF($BK$7="","",IF($BK$7="SBMLD",SUM($AJ30:$AV30),AJ30))))</f>
        <v/>
      </c>
      <c r="BL30" s="110" t="str">
        <f>IF(AK30="มส","มส",IF('5.กลางภาค'!AG29="","",IF($BL$7="","",IF($BL$7="SBMLD",SUM($AK30:$AV30),AK30))))</f>
        <v/>
      </c>
      <c r="BM30" s="119" t="str">
        <f>IF(AL30="มส","มส",IF('5.กลางภาค'!AG29="","",IF($BM$7="","",IF($BM$7="SBMLD",SUM($AL30:$AV30),AL30))))</f>
        <v/>
      </c>
      <c r="BN30" s="110" t="str">
        <f>IF(AM30="มส","มส",IF('5.กลางภาค'!AG29="","",IF($BN$7="","",IF($BN$7="SBMLD",SUM($AM30:$AV30),AM30))))</f>
        <v/>
      </c>
      <c r="BO30" s="111" t="str">
        <f>IF(AN30="มส","มส",IF('5.กลางภาค'!AG29="","",IF($BO$7="","",IF($BO$7="SBMLD",SUM($AN30:$AV30),AN30))))</f>
        <v/>
      </c>
      <c r="BP30" s="288"/>
      <c r="BQ30" s="118" t="str">
        <f t="shared" si="2"/>
        <v/>
      </c>
      <c r="BR30" s="110" t="str">
        <f t="shared" si="3"/>
        <v/>
      </c>
      <c r="BS30" s="119" t="str">
        <f t="shared" si="4"/>
        <v/>
      </c>
      <c r="BT30" s="110" t="str">
        <f t="shared" si="5"/>
        <v/>
      </c>
      <c r="BU30" s="110" t="str">
        <f t="shared" si="6"/>
        <v/>
      </c>
      <c r="BV30" s="110" t="str">
        <f t="shared" si="7"/>
        <v/>
      </c>
      <c r="BW30" s="119" t="str">
        <f t="shared" si="8"/>
        <v/>
      </c>
      <c r="BX30" s="119" t="str">
        <f t="shared" si="9"/>
        <v/>
      </c>
      <c r="BY30" s="110" t="str">
        <f t="shared" si="10"/>
        <v/>
      </c>
      <c r="BZ30" s="151" t="str">
        <f t="shared" si="11"/>
        <v/>
      </c>
      <c r="CA30" s="151" t="str">
        <f t="shared" si="12"/>
        <v/>
      </c>
      <c r="CB30" s="111" t="str">
        <f t="shared" si="17"/>
        <v/>
      </c>
      <c r="CC30" s="118" t="str">
        <f t="shared" si="13"/>
        <v/>
      </c>
      <c r="CD30" s="110" t="str">
        <f t="shared" si="14"/>
        <v/>
      </c>
      <c r="CE30" s="119" t="str">
        <f t="shared" si="15"/>
        <v/>
      </c>
      <c r="CF30" s="119" t="str">
        <f t="shared" si="18"/>
        <v/>
      </c>
      <c r="CG30" s="111" t="str">
        <f t="shared" si="16"/>
        <v/>
      </c>
      <c r="CH30" s="148" t="str">
        <f>IF('2.ชื่อนักเรียน'!R32="มส","",IF('2.ชื่อนักเรียน'!R32="ย้าย","",IF(C30="","",SUM(BQ30:CG30)/SUM(top))))</f>
        <v/>
      </c>
      <c r="CI30" s="21" t="str">
        <f>IF('2.ชื่อนักเรียน'!R32="มส","มส",IF('2.ชื่อนักเรียน'!R32="ย้าย","ย้าย",IF('2.ชื่อนักเรียน'!R32="ร","ร",IF(CH30="","",RANK(CH30,$CH$9:$CH$53,0)))))</f>
        <v/>
      </c>
    </row>
    <row r="31" spans="1:87" s="29" customFormat="1" ht="16.5" customHeight="1" x14ac:dyDescent="0.25">
      <c r="A31" s="31">
        <v>23</v>
      </c>
      <c r="B31" s="305" t="str">
        <f>IF(IDstu23="","",IDstu23)</f>
        <v/>
      </c>
      <c r="C31" s="699" t="str">
        <f>IF(Name23="","",Name23)</f>
        <v/>
      </c>
      <c r="D31" s="700"/>
      <c r="E31" s="700"/>
      <c r="F31" s="700"/>
      <c r="G31" s="700"/>
      <c r="H31" s="705" t="str">
        <f>IF(Surname23="","",Surname23)</f>
        <v/>
      </c>
      <c r="I31" s="705"/>
      <c r="J31" s="705"/>
      <c r="K31" s="705"/>
      <c r="L31" s="706"/>
      <c r="M31" s="234" t="str">
        <f>VLOOKUP($B31,'6.คีย์ปลายภาค'!$C$6:$EI$50,9,FALSE)</f>
        <v/>
      </c>
      <c r="N31" s="230" t="str">
        <f>VLOOKUP($B31,'6.คีย์ปลายภาค'!$C$6:$EI$50,14,FALSE)</f>
        <v/>
      </c>
      <c r="O31" s="230" t="str">
        <f>VLOOKUP($B31,'6.คีย์ปลายภาค'!$C$6:$EI$50,19,FALSE)</f>
        <v/>
      </c>
      <c r="P31" s="230" t="str">
        <f>VLOOKUP($B31,'6.คีย์ปลายภาค'!$C$6:$EI$50,24,FALSE)</f>
        <v/>
      </c>
      <c r="Q31" s="230" t="str">
        <f>VLOOKUP($B31,'6.คีย์ปลายภาค'!$C$6:$EI$50,29,FALSE)</f>
        <v/>
      </c>
      <c r="R31" s="230" t="str">
        <f>VLOOKUP($B31,'6.คีย์ปลายภาค'!$C$6:$EI$50,34,FALSE)</f>
        <v/>
      </c>
      <c r="S31" s="230" t="str">
        <f>VLOOKUP($B31,'6.คีย์ปลายภาค'!$C$6:$EI$50,39,FALSE)</f>
        <v/>
      </c>
      <c r="T31" s="230" t="str">
        <f>VLOOKUP($B31,'6.คีย์ปลายภาค'!$C$6:$EI$50,44,FALSE)</f>
        <v/>
      </c>
      <c r="U31" s="230" t="str">
        <f>VLOOKUP($B31,'6.คีย์ปลายภาค'!$C$6:$EI$50,49,FALSE)</f>
        <v/>
      </c>
      <c r="V31" s="231" t="str">
        <f>VLOOKUP($B31,'6.คีย์ปลายภาค'!$C$6:$EI$50,54,FALSE)</f>
        <v/>
      </c>
      <c r="W31" s="231" t="str">
        <f>VLOOKUP($B31,'6.คีย์ปลายภาค'!$C$6:$EI$50,59,FALSE)</f>
        <v/>
      </c>
      <c r="X31" s="232" t="str">
        <f>VLOOKUP($B31,'6.คีย์ปลายภาค'!$C$6:$EI$50,64,FALSE)</f>
        <v/>
      </c>
      <c r="Y31" s="31">
        <v>23</v>
      </c>
      <c r="Z31" s="699" t="str">
        <f>IF(Name23="","",Name23)</f>
        <v/>
      </c>
      <c r="AA31" s="700"/>
      <c r="AB31" s="700"/>
      <c r="AC31" s="700"/>
      <c r="AD31" s="700"/>
      <c r="AE31" s="705" t="str">
        <f>IF(Surname23="","",Surname23)</f>
        <v/>
      </c>
      <c r="AF31" s="705"/>
      <c r="AG31" s="705"/>
      <c r="AH31" s="705"/>
      <c r="AI31" s="706"/>
      <c r="AJ31" s="234" t="str">
        <f>VLOOKUP($B31,'6.คีย์ปลายภาค'!$C$6:$EI$50,69,FALSE)</f>
        <v/>
      </c>
      <c r="AK31" s="230" t="str">
        <f>VLOOKUP($B31,'6.คีย์ปลายภาค'!$C$6:$EI$50,74,FALSE)</f>
        <v/>
      </c>
      <c r="AL31" s="230" t="str">
        <f>VLOOKUP($B31,'6.คีย์ปลายภาค'!$C$6:$EI$50,79,FALSE)</f>
        <v/>
      </c>
      <c r="AM31" s="231" t="str">
        <f>VLOOKUP($B31,'6.คีย์ปลายภาค'!$C$6:$EI$50,84,FALSE)</f>
        <v/>
      </c>
      <c r="AN31" s="231" t="str">
        <f>VLOOKUP($B31,'6.คีย์ปลายภาค'!$C$6:$EI$50,89,FALSE)</f>
        <v/>
      </c>
      <c r="AO31" s="231" t="str">
        <f>VLOOKUP($B31,'6.คีย์ปลายภาค'!$C$6:$EI$50,94,FALSE)</f>
        <v/>
      </c>
      <c r="AP31" s="231" t="str">
        <f>VLOOKUP($B31,'6.คีย์ปลายภาค'!$C$6:$EI$50,99,FALSE)</f>
        <v/>
      </c>
      <c r="AQ31" s="231" t="str">
        <f>VLOOKUP($B31,'6.คีย์ปลายภาค'!$C$6:$EI$50,104,FALSE)</f>
        <v/>
      </c>
      <c r="AR31" s="231" t="str">
        <f>VLOOKUP($B31,'6.คีย์ปลายภาค'!$C$6:$EI$50,109,FALSE)</f>
        <v/>
      </c>
      <c r="AS31" s="231" t="str">
        <f>VLOOKUP($B31,'6.คีย์ปลายภาค'!$C$6:$EI$50,114,FALSE)</f>
        <v/>
      </c>
      <c r="AT31" s="231" t="str">
        <f>VLOOKUP($B31,'6.คีย์ปลายภาค'!$C$6:$EI$50,119,FALSE)</f>
        <v/>
      </c>
      <c r="AU31" s="230" t="str">
        <f>VLOOKUP($B31,'6.คีย์ปลายภาค'!$C$6:$EI$50,124,FALSE)</f>
        <v/>
      </c>
      <c r="AV31" s="520" t="str">
        <f>VLOOKUP($B31,'6.คีย์ปลายภาค'!$C$6:$EI$50,129,FALSE)</f>
        <v/>
      </c>
      <c r="AW31" s="547" t="str">
        <f t="shared" si="1"/>
        <v/>
      </c>
      <c r="AX31" s="520" t="str">
        <f>IF('2.ชื่อนักเรียน'!R33="มส","มส",IF('2.ชื่อนักเรียน'!R33="ย้าย","ย้าย",IF('2.ชื่อนักเรียน'!R33="ร","ร",IF(AW31="","",RANK(AW31,$AW$9:$AW$53,0)))))</f>
        <v/>
      </c>
      <c r="AY31" s="118" t="str">
        <v/>
      </c>
      <c r="AZ31" s="119" t="str">
        <v/>
      </c>
      <c r="BA31" s="119" t="str">
        <v/>
      </c>
      <c r="BB31" s="110" t="str">
        <v/>
      </c>
      <c r="BC31" s="110" t="str">
        <v/>
      </c>
      <c r="BD31" s="110" t="str">
        <v/>
      </c>
      <c r="BE31" s="119" t="str">
        <v/>
      </c>
      <c r="BF31" s="119" t="str">
        <v/>
      </c>
      <c r="BG31" s="110" t="str">
        <v/>
      </c>
      <c r="BH31" s="151" t="str">
        <v/>
      </c>
      <c r="BI31" s="151" t="str">
        <v/>
      </c>
      <c r="BJ31" s="111" t="str">
        <v/>
      </c>
      <c r="BK31" s="118" t="str">
        <f>IF(AJ31="มส","มส",IF('5.กลางภาค'!AG30="","",IF($BK$7="","",IF($BK$7="SBMLD",SUM($AJ31:$AV31),AJ31))))</f>
        <v/>
      </c>
      <c r="BL31" s="119" t="str">
        <f>IF(AK31="มส","มส",IF('5.กลางภาค'!AG30="","",IF($BL$7="","",IF($BL$7="SBMLD",SUM($AK31:$AV31),AK31))))</f>
        <v/>
      </c>
      <c r="BM31" s="119" t="str">
        <f>IF(AL31="มส","มส",IF('5.กลางภาค'!AG30="","",IF($BM$7="","",IF($BM$7="SBMLD",SUM($AL31:$AV31),AL31))))</f>
        <v/>
      </c>
      <c r="BN31" s="110" t="str">
        <f>IF(AM31="มส","มส",IF('5.กลางภาค'!AG30="","",IF($BN$7="","",IF($BN$7="SBMLD",SUM($AM31:$AV31),AM31))))</f>
        <v/>
      </c>
      <c r="BO31" s="111" t="str">
        <f>IF(AN31="มส","มส",IF('5.กลางภาค'!AG30="","",IF($BO$7="","",IF($BO$7="SBMLD",SUM($AN31:$AV31),AN31))))</f>
        <v/>
      </c>
      <c r="BP31" s="288"/>
      <c r="BQ31" s="118" t="str">
        <f t="shared" si="2"/>
        <v/>
      </c>
      <c r="BR31" s="119" t="str">
        <f t="shared" si="3"/>
        <v/>
      </c>
      <c r="BS31" s="119" t="str">
        <f t="shared" si="4"/>
        <v/>
      </c>
      <c r="BT31" s="110" t="str">
        <f t="shared" si="5"/>
        <v/>
      </c>
      <c r="BU31" s="110" t="str">
        <f t="shared" si="6"/>
        <v/>
      </c>
      <c r="BV31" s="110" t="str">
        <f t="shared" si="7"/>
        <v/>
      </c>
      <c r="BW31" s="119" t="str">
        <f t="shared" si="8"/>
        <v/>
      </c>
      <c r="BX31" s="119" t="str">
        <f t="shared" si="9"/>
        <v/>
      </c>
      <c r="BY31" s="110" t="str">
        <f t="shared" si="10"/>
        <v/>
      </c>
      <c r="BZ31" s="151" t="str">
        <f t="shared" si="11"/>
        <v/>
      </c>
      <c r="CA31" s="151" t="str">
        <f t="shared" si="12"/>
        <v/>
      </c>
      <c r="CB31" s="111" t="str">
        <f t="shared" si="17"/>
        <v/>
      </c>
      <c r="CC31" s="118" t="str">
        <f t="shared" si="13"/>
        <v/>
      </c>
      <c r="CD31" s="119" t="str">
        <f t="shared" si="14"/>
        <v/>
      </c>
      <c r="CE31" s="119" t="str">
        <f t="shared" si="15"/>
        <v/>
      </c>
      <c r="CF31" s="119" t="str">
        <f t="shared" si="18"/>
        <v/>
      </c>
      <c r="CG31" s="111" t="str">
        <f t="shared" si="16"/>
        <v/>
      </c>
      <c r="CH31" s="148" t="str">
        <f>IF('2.ชื่อนักเรียน'!R33="มส","",IF('2.ชื่อนักเรียน'!R33="ย้าย","",IF(C31="","",SUM(BQ31:CG31)/SUM(top))))</f>
        <v/>
      </c>
      <c r="CI31" s="21" t="str">
        <f>IF('2.ชื่อนักเรียน'!R33="มส","มส",IF('2.ชื่อนักเรียน'!R33="ย้าย","ย้าย",IF('2.ชื่อนักเรียน'!R33="ร","ร",IF(CH31="","",RANK(CH31,$CH$9:$CH$53,0)))))</f>
        <v/>
      </c>
    </row>
    <row r="32" spans="1:87" s="29" customFormat="1" ht="16.5" customHeight="1" x14ac:dyDescent="0.25">
      <c r="A32" s="31">
        <v>24</v>
      </c>
      <c r="B32" s="305" t="str">
        <f>IF(IDstu24="","",IDstu24)</f>
        <v/>
      </c>
      <c r="C32" s="699" t="str">
        <f>IF(Name24="","",Name24)</f>
        <v/>
      </c>
      <c r="D32" s="700"/>
      <c r="E32" s="700"/>
      <c r="F32" s="700"/>
      <c r="G32" s="700"/>
      <c r="H32" s="705" t="str">
        <f>IF(Surname24="","",Surname24)</f>
        <v/>
      </c>
      <c r="I32" s="705"/>
      <c r="J32" s="705"/>
      <c r="K32" s="705"/>
      <c r="L32" s="706"/>
      <c r="M32" s="234" t="str">
        <f>VLOOKUP($B32,'6.คีย์ปลายภาค'!$C$6:$EI$50,9,FALSE)</f>
        <v/>
      </c>
      <c r="N32" s="230" t="str">
        <f>VLOOKUP($B32,'6.คีย์ปลายภาค'!$C$6:$EI$50,14,FALSE)</f>
        <v/>
      </c>
      <c r="O32" s="230" t="str">
        <f>VLOOKUP($B32,'6.คีย์ปลายภาค'!$C$6:$EI$50,19,FALSE)</f>
        <v/>
      </c>
      <c r="P32" s="230" t="str">
        <f>VLOOKUP($B32,'6.คีย์ปลายภาค'!$C$6:$EI$50,24,FALSE)</f>
        <v/>
      </c>
      <c r="Q32" s="230" t="str">
        <f>VLOOKUP($B32,'6.คีย์ปลายภาค'!$C$6:$EI$50,29,FALSE)</f>
        <v/>
      </c>
      <c r="R32" s="230" t="str">
        <f>VLOOKUP($B32,'6.คีย์ปลายภาค'!$C$6:$EI$50,34,FALSE)</f>
        <v/>
      </c>
      <c r="S32" s="230" t="str">
        <f>VLOOKUP($B32,'6.คีย์ปลายภาค'!$C$6:$EI$50,39,FALSE)</f>
        <v/>
      </c>
      <c r="T32" s="230" t="str">
        <f>VLOOKUP($B32,'6.คีย์ปลายภาค'!$C$6:$EI$50,44,FALSE)</f>
        <v/>
      </c>
      <c r="U32" s="230" t="str">
        <f>VLOOKUP($B32,'6.คีย์ปลายภาค'!$C$6:$EI$50,49,FALSE)</f>
        <v/>
      </c>
      <c r="V32" s="231" t="str">
        <f>VLOOKUP($B32,'6.คีย์ปลายภาค'!$C$6:$EI$50,54,FALSE)</f>
        <v/>
      </c>
      <c r="W32" s="231" t="str">
        <f>VLOOKUP($B32,'6.คีย์ปลายภาค'!$C$6:$EI$50,59,FALSE)</f>
        <v/>
      </c>
      <c r="X32" s="232" t="str">
        <f>VLOOKUP($B32,'6.คีย์ปลายภาค'!$C$6:$EI$50,64,FALSE)</f>
        <v/>
      </c>
      <c r="Y32" s="31">
        <v>24</v>
      </c>
      <c r="Z32" s="699" t="str">
        <f>IF(Name24="","",Name24)</f>
        <v/>
      </c>
      <c r="AA32" s="700"/>
      <c r="AB32" s="700"/>
      <c r="AC32" s="700"/>
      <c r="AD32" s="700"/>
      <c r="AE32" s="705" t="str">
        <f>IF(Surname24="","",Surname24)</f>
        <v/>
      </c>
      <c r="AF32" s="705"/>
      <c r="AG32" s="705"/>
      <c r="AH32" s="705"/>
      <c r="AI32" s="706"/>
      <c r="AJ32" s="234" t="str">
        <f>VLOOKUP($B32,'6.คีย์ปลายภาค'!$C$6:$EI$50,69,FALSE)</f>
        <v/>
      </c>
      <c r="AK32" s="230" t="str">
        <f>VLOOKUP($B32,'6.คีย์ปลายภาค'!$C$6:$EI$50,74,FALSE)</f>
        <v/>
      </c>
      <c r="AL32" s="230" t="str">
        <f>VLOOKUP($B32,'6.คีย์ปลายภาค'!$C$6:$EI$50,79,FALSE)</f>
        <v/>
      </c>
      <c r="AM32" s="231" t="str">
        <f>VLOOKUP($B32,'6.คีย์ปลายภาค'!$C$6:$EI$50,84,FALSE)</f>
        <v/>
      </c>
      <c r="AN32" s="231" t="str">
        <f>VLOOKUP($B32,'6.คีย์ปลายภาค'!$C$6:$EI$50,89,FALSE)</f>
        <v/>
      </c>
      <c r="AO32" s="231" t="str">
        <f>VLOOKUP($B32,'6.คีย์ปลายภาค'!$C$6:$EI$50,94,FALSE)</f>
        <v/>
      </c>
      <c r="AP32" s="231" t="str">
        <f>VLOOKUP($B32,'6.คีย์ปลายภาค'!$C$6:$EI$50,99,FALSE)</f>
        <v/>
      </c>
      <c r="AQ32" s="231" t="str">
        <f>VLOOKUP($B32,'6.คีย์ปลายภาค'!$C$6:$EI$50,104,FALSE)</f>
        <v/>
      </c>
      <c r="AR32" s="231" t="str">
        <f>VLOOKUP($B32,'6.คีย์ปลายภาค'!$C$6:$EI$50,109,FALSE)</f>
        <v/>
      </c>
      <c r="AS32" s="231" t="str">
        <f>VLOOKUP($B32,'6.คีย์ปลายภาค'!$C$6:$EI$50,114,FALSE)</f>
        <v/>
      </c>
      <c r="AT32" s="231" t="str">
        <f>VLOOKUP($B32,'6.คีย์ปลายภาค'!$C$6:$EI$50,119,FALSE)</f>
        <v/>
      </c>
      <c r="AU32" s="230" t="str">
        <f>VLOOKUP($B32,'6.คีย์ปลายภาค'!$C$6:$EI$50,124,FALSE)</f>
        <v/>
      </c>
      <c r="AV32" s="520" t="str">
        <f>VLOOKUP($B32,'6.คีย์ปลายภาค'!$C$6:$EI$50,129,FALSE)</f>
        <v/>
      </c>
      <c r="AW32" s="547" t="str">
        <f t="shared" si="1"/>
        <v/>
      </c>
      <c r="AX32" s="520" t="str">
        <f>IF('2.ชื่อนักเรียน'!R34="มส","มส",IF('2.ชื่อนักเรียน'!R34="ย้าย","ย้าย",IF('2.ชื่อนักเรียน'!R34="ร","ร",IF(AW32="","",RANK(AW32,$AW$9:$AW$53,0)))))</f>
        <v/>
      </c>
      <c r="AY32" s="118" t="str">
        <v/>
      </c>
      <c r="AZ32" s="119" t="str">
        <v/>
      </c>
      <c r="BA32" s="119" t="str">
        <v/>
      </c>
      <c r="BB32" s="110" t="str">
        <v/>
      </c>
      <c r="BC32" s="119" t="str">
        <v/>
      </c>
      <c r="BD32" s="119" t="str">
        <v/>
      </c>
      <c r="BE32" s="119" t="str">
        <v/>
      </c>
      <c r="BF32" s="119" t="str">
        <v/>
      </c>
      <c r="BG32" s="110" t="str">
        <v/>
      </c>
      <c r="BH32" s="151" t="str">
        <v/>
      </c>
      <c r="BI32" s="151" t="str">
        <v/>
      </c>
      <c r="BJ32" s="111" t="str">
        <v/>
      </c>
      <c r="BK32" s="118" t="str">
        <f>IF(AJ32="มส","มส",IF('5.กลางภาค'!AG31="","",IF($BK$7="","",IF($BK$7="SBMLD",SUM($AJ32:$AV32),AJ32))))</f>
        <v/>
      </c>
      <c r="BL32" s="119" t="str">
        <f>IF(AK32="มส","มส",IF('5.กลางภาค'!AG31="","",IF($BL$7="","",IF($BL$7="SBMLD",SUM($AK32:$AV32),AK32))))</f>
        <v/>
      </c>
      <c r="BM32" s="119" t="str">
        <f>IF(AL32="มส","มส",IF('5.กลางภาค'!AG31="","",IF($BM$7="","",IF($BM$7="SBMLD",SUM($AL32:$AV32),AL32))))</f>
        <v/>
      </c>
      <c r="BN32" s="110" t="str">
        <f>IF(AM32="มส","มส",IF('5.กลางภาค'!AG31="","",IF($BN$7="","",IF($BN$7="SBMLD",SUM($AM32:$AV32),AM32))))</f>
        <v/>
      </c>
      <c r="BO32" s="111" t="str">
        <f>IF(AN32="มส","มส",IF('5.กลางภาค'!AG31="","",IF($BO$7="","",IF($BO$7="SBMLD",SUM($AN32:$AV32),AN32))))</f>
        <v/>
      </c>
      <c r="BP32" s="288"/>
      <c r="BQ32" s="118" t="str">
        <f t="shared" si="2"/>
        <v/>
      </c>
      <c r="BR32" s="119" t="str">
        <f t="shared" si="3"/>
        <v/>
      </c>
      <c r="BS32" s="119" t="str">
        <f t="shared" si="4"/>
        <v/>
      </c>
      <c r="BT32" s="110" t="str">
        <f t="shared" si="5"/>
        <v/>
      </c>
      <c r="BU32" s="119" t="str">
        <f t="shared" si="6"/>
        <v/>
      </c>
      <c r="BV32" s="119" t="str">
        <f t="shared" si="7"/>
        <v/>
      </c>
      <c r="BW32" s="119" t="str">
        <f t="shared" si="8"/>
        <v/>
      </c>
      <c r="BX32" s="119" t="str">
        <f t="shared" si="9"/>
        <v/>
      </c>
      <c r="BY32" s="110" t="str">
        <f t="shared" si="10"/>
        <v/>
      </c>
      <c r="BZ32" s="151" t="str">
        <f t="shared" si="11"/>
        <v/>
      </c>
      <c r="CA32" s="151" t="str">
        <f t="shared" si="12"/>
        <v/>
      </c>
      <c r="CB32" s="111" t="str">
        <f t="shared" si="17"/>
        <v/>
      </c>
      <c r="CC32" s="118" t="str">
        <f t="shared" si="13"/>
        <v/>
      </c>
      <c r="CD32" s="119" t="str">
        <f t="shared" si="14"/>
        <v/>
      </c>
      <c r="CE32" s="119" t="str">
        <f t="shared" si="15"/>
        <v/>
      </c>
      <c r="CF32" s="119" t="str">
        <f t="shared" si="18"/>
        <v/>
      </c>
      <c r="CG32" s="111" t="str">
        <f t="shared" si="16"/>
        <v/>
      </c>
      <c r="CH32" s="148" t="str">
        <f>IF('2.ชื่อนักเรียน'!R34="มส","",IF('2.ชื่อนักเรียน'!R34="ย้าย","",IF(C32="","",SUM(BQ32:CG32)/SUM(top))))</f>
        <v/>
      </c>
      <c r="CI32" s="21" t="str">
        <f>IF('2.ชื่อนักเรียน'!R34="มส","มส",IF('2.ชื่อนักเรียน'!R34="ย้าย","ย้าย",IF('2.ชื่อนักเรียน'!R34="ร","ร",IF(CH32="","",RANK(CH32,$CH$9:$CH$53,0)))))</f>
        <v/>
      </c>
    </row>
    <row r="33" spans="1:87" s="29" customFormat="1" ht="16.5" customHeight="1" x14ac:dyDescent="0.25">
      <c r="A33" s="31">
        <v>25</v>
      </c>
      <c r="B33" s="305" t="str">
        <f>IF(IDstu25="","",IDstu25)</f>
        <v/>
      </c>
      <c r="C33" s="699" t="str">
        <f>IF(Name25="","",Name25)</f>
        <v/>
      </c>
      <c r="D33" s="700"/>
      <c r="E33" s="700"/>
      <c r="F33" s="700"/>
      <c r="G33" s="700"/>
      <c r="H33" s="705" t="str">
        <f>IF(Surname25="","",Surname25)</f>
        <v/>
      </c>
      <c r="I33" s="705"/>
      <c r="J33" s="705"/>
      <c r="K33" s="705"/>
      <c r="L33" s="706"/>
      <c r="M33" s="234" t="str">
        <f>VLOOKUP($B33,'6.คีย์ปลายภาค'!$C$6:$EI$50,9,FALSE)</f>
        <v/>
      </c>
      <c r="N33" s="230" t="str">
        <f>VLOOKUP($B33,'6.คีย์ปลายภาค'!$C$6:$EI$50,14,FALSE)</f>
        <v/>
      </c>
      <c r="O33" s="230" t="str">
        <f>VLOOKUP($B33,'6.คีย์ปลายภาค'!$C$6:$EI$50,19,FALSE)</f>
        <v/>
      </c>
      <c r="P33" s="230" t="str">
        <f>VLOOKUP($B33,'6.คีย์ปลายภาค'!$C$6:$EI$50,24,FALSE)</f>
        <v/>
      </c>
      <c r="Q33" s="230" t="str">
        <f>VLOOKUP($B33,'6.คีย์ปลายภาค'!$C$6:$EI$50,29,FALSE)</f>
        <v/>
      </c>
      <c r="R33" s="230" t="str">
        <f>VLOOKUP($B33,'6.คีย์ปลายภาค'!$C$6:$EI$50,34,FALSE)</f>
        <v/>
      </c>
      <c r="S33" s="230" t="str">
        <f>VLOOKUP($B33,'6.คีย์ปลายภาค'!$C$6:$EI$50,39,FALSE)</f>
        <v/>
      </c>
      <c r="T33" s="230" t="str">
        <f>VLOOKUP($B33,'6.คีย์ปลายภาค'!$C$6:$EI$50,44,FALSE)</f>
        <v/>
      </c>
      <c r="U33" s="230" t="str">
        <f>VLOOKUP($B33,'6.คีย์ปลายภาค'!$C$6:$EI$50,49,FALSE)</f>
        <v/>
      </c>
      <c r="V33" s="231" t="str">
        <f>VLOOKUP($B33,'6.คีย์ปลายภาค'!$C$6:$EI$50,54,FALSE)</f>
        <v/>
      </c>
      <c r="W33" s="231" t="str">
        <f>VLOOKUP($B33,'6.คีย์ปลายภาค'!$C$6:$EI$50,59,FALSE)</f>
        <v/>
      </c>
      <c r="X33" s="232" t="str">
        <f>VLOOKUP($B33,'6.คีย์ปลายภาค'!$C$6:$EI$50,64,FALSE)</f>
        <v/>
      </c>
      <c r="Y33" s="31">
        <v>25</v>
      </c>
      <c r="Z33" s="699" t="str">
        <f>IF(Name25="","",Name25)</f>
        <v/>
      </c>
      <c r="AA33" s="700"/>
      <c r="AB33" s="700"/>
      <c r="AC33" s="700"/>
      <c r="AD33" s="700"/>
      <c r="AE33" s="705" t="str">
        <f>IF(Surname25="","",Surname25)</f>
        <v/>
      </c>
      <c r="AF33" s="705"/>
      <c r="AG33" s="705"/>
      <c r="AH33" s="705"/>
      <c r="AI33" s="706"/>
      <c r="AJ33" s="234" t="str">
        <f>VLOOKUP($B33,'6.คีย์ปลายภาค'!$C$6:$EI$50,69,FALSE)</f>
        <v/>
      </c>
      <c r="AK33" s="230" t="str">
        <f>VLOOKUP($B33,'6.คีย์ปลายภาค'!$C$6:$EI$50,74,FALSE)</f>
        <v/>
      </c>
      <c r="AL33" s="230" t="str">
        <f>VLOOKUP($B33,'6.คีย์ปลายภาค'!$C$6:$EI$50,79,FALSE)</f>
        <v/>
      </c>
      <c r="AM33" s="231" t="str">
        <f>VLOOKUP($B33,'6.คีย์ปลายภาค'!$C$6:$EI$50,84,FALSE)</f>
        <v/>
      </c>
      <c r="AN33" s="231" t="str">
        <f>VLOOKUP($B33,'6.คีย์ปลายภาค'!$C$6:$EI$50,89,FALSE)</f>
        <v/>
      </c>
      <c r="AO33" s="231" t="str">
        <f>VLOOKUP($B33,'6.คีย์ปลายภาค'!$C$6:$EI$50,94,FALSE)</f>
        <v/>
      </c>
      <c r="AP33" s="231" t="str">
        <f>VLOOKUP($B33,'6.คีย์ปลายภาค'!$C$6:$EI$50,99,FALSE)</f>
        <v/>
      </c>
      <c r="AQ33" s="231" t="str">
        <f>VLOOKUP($B33,'6.คีย์ปลายภาค'!$C$6:$EI$50,104,FALSE)</f>
        <v/>
      </c>
      <c r="AR33" s="231" t="str">
        <f>VLOOKUP($B33,'6.คีย์ปลายภาค'!$C$6:$EI$50,109,FALSE)</f>
        <v/>
      </c>
      <c r="AS33" s="231" t="str">
        <f>VLOOKUP($B33,'6.คีย์ปลายภาค'!$C$6:$EI$50,114,FALSE)</f>
        <v/>
      </c>
      <c r="AT33" s="231" t="str">
        <f>VLOOKUP($B33,'6.คีย์ปลายภาค'!$C$6:$EI$50,119,FALSE)</f>
        <v/>
      </c>
      <c r="AU33" s="230" t="str">
        <f>VLOOKUP($B33,'6.คีย์ปลายภาค'!$C$6:$EI$50,124,FALSE)</f>
        <v/>
      </c>
      <c r="AV33" s="520" t="str">
        <f>VLOOKUP($B33,'6.คีย์ปลายภาค'!$C$6:$EI$50,129,FALSE)</f>
        <v/>
      </c>
      <c r="AW33" s="547" t="str">
        <f t="shared" si="1"/>
        <v/>
      </c>
      <c r="AX33" s="520" t="str">
        <f>IF('2.ชื่อนักเรียน'!R35="มส","มส",IF('2.ชื่อนักเรียน'!R35="ย้าย","ย้าย",IF('2.ชื่อนักเรียน'!R35="ร","ร",IF(AW33="","",RANK(AW33,$AW$9:$AW$53,0)))))</f>
        <v/>
      </c>
      <c r="AY33" s="118" t="str">
        <v/>
      </c>
      <c r="AZ33" s="119" t="str">
        <v/>
      </c>
      <c r="BA33" s="119" t="str">
        <v/>
      </c>
      <c r="BB33" s="110" t="str">
        <v/>
      </c>
      <c r="BC33" s="119" t="str">
        <v/>
      </c>
      <c r="BD33" s="119" t="str">
        <v/>
      </c>
      <c r="BE33" s="119" t="str">
        <v/>
      </c>
      <c r="BF33" s="119" t="str">
        <v/>
      </c>
      <c r="BG33" s="110" t="str">
        <v/>
      </c>
      <c r="BH33" s="151" t="str">
        <v/>
      </c>
      <c r="BI33" s="151" t="str">
        <v/>
      </c>
      <c r="BJ33" s="111" t="str">
        <v/>
      </c>
      <c r="BK33" s="118" t="str">
        <f>IF(AJ33="มส","มส",IF('5.กลางภาค'!AG32="","",IF($BK$7="","",IF($BK$7="SBMLD",SUM($AJ33:$AV33),AJ33))))</f>
        <v/>
      </c>
      <c r="BL33" s="119" t="str">
        <f>IF(AK33="มส","มส",IF('5.กลางภาค'!AG32="","",IF($BL$7="","",IF($BL$7="SBMLD",SUM($AK33:$AV33),AK33))))</f>
        <v/>
      </c>
      <c r="BM33" s="119" t="str">
        <f>IF(AL33="มส","มส",IF('5.กลางภาค'!AG32="","",IF($BM$7="","",IF($BM$7="SBMLD",SUM($AL33:$AV33),AL33))))</f>
        <v/>
      </c>
      <c r="BN33" s="110" t="str">
        <f>IF(AM33="มส","มส",IF('5.กลางภาค'!AG32="","",IF($BN$7="","",IF($BN$7="SBMLD",SUM($AM33:$AV33),AM33))))</f>
        <v/>
      </c>
      <c r="BO33" s="111" t="str">
        <f>IF(AN33="มส","มส",IF('5.กลางภาค'!AG32="","",IF($BO$7="","",IF($BO$7="SBMLD",SUM($AN33:$AV33),AN33))))</f>
        <v/>
      </c>
      <c r="BP33" s="288"/>
      <c r="BQ33" s="118" t="str">
        <f t="shared" si="2"/>
        <v/>
      </c>
      <c r="BR33" s="119" t="str">
        <f t="shared" si="3"/>
        <v/>
      </c>
      <c r="BS33" s="119" t="str">
        <f t="shared" si="4"/>
        <v/>
      </c>
      <c r="BT33" s="110" t="str">
        <f t="shared" si="5"/>
        <v/>
      </c>
      <c r="BU33" s="119" t="str">
        <f t="shared" si="6"/>
        <v/>
      </c>
      <c r="BV33" s="119" t="str">
        <f t="shared" si="7"/>
        <v/>
      </c>
      <c r="BW33" s="119" t="str">
        <f t="shared" si="8"/>
        <v/>
      </c>
      <c r="BX33" s="119" t="str">
        <f t="shared" si="9"/>
        <v/>
      </c>
      <c r="BY33" s="110" t="str">
        <f t="shared" si="10"/>
        <v/>
      </c>
      <c r="BZ33" s="151" t="str">
        <f t="shared" si="11"/>
        <v/>
      </c>
      <c r="CA33" s="151" t="str">
        <f t="shared" si="12"/>
        <v/>
      </c>
      <c r="CB33" s="111" t="str">
        <f t="shared" si="17"/>
        <v/>
      </c>
      <c r="CC33" s="118" t="str">
        <f t="shared" si="13"/>
        <v/>
      </c>
      <c r="CD33" s="119" t="str">
        <f t="shared" si="14"/>
        <v/>
      </c>
      <c r="CE33" s="119" t="str">
        <f t="shared" si="15"/>
        <v/>
      </c>
      <c r="CF33" s="119" t="str">
        <f t="shared" si="18"/>
        <v/>
      </c>
      <c r="CG33" s="111" t="str">
        <f t="shared" si="16"/>
        <v/>
      </c>
      <c r="CH33" s="148" t="str">
        <f>IF('2.ชื่อนักเรียน'!R35="มส","",IF('2.ชื่อนักเรียน'!R35="ย้าย","",IF(C33="","",SUM(BQ33:CG33)/SUM(top))))</f>
        <v/>
      </c>
      <c r="CI33" s="21" t="str">
        <f>IF('2.ชื่อนักเรียน'!R35="มส","มส",IF('2.ชื่อนักเรียน'!R35="ย้าย","ย้าย",IF('2.ชื่อนักเรียน'!R35="ร","ร",IF(CH33="","",RANK(CH33,$CH$9:$CH$53,0)))))</f>
        <v/>
      </c>
    </row>
    <row r="34" spans="1:87" s="29" customFormat="1" ht="16.5" customHeight="1" x14ac:dyDescent="0.25">
      <c r="A34" s="31">
        <v>26</v>
      </c>
      <c r="B34" s="305" t="str">
        <f>IF(IDstu26="","",IDstu26)</f>
        <v/>
      </c>
      <c r="C34" s="699" t="str">
        <f>IF(Name26="","",Name26)</f>
        <v/>
      </c>
      <c r="D34" s="700"/>
      <c r="E34" s="700"/>
      <c r="F34" s="700"/>
      <c r="G34" s="700"/>
      <c r="H34" s="705" t="str">
        <f>IF(Surname26="","",Surname26)</f>
        <v/>
      </c>
      <c r="I34" s="705"/>
      <c r="J34" s="705"/>
      <c r="K34" s="705"/>
      <c r="L34" s="706"/>
      <c r="M34" s="234" t="str">
        <f>VLOOKUP($B34,'6.คีย์ปลายภาค'!$C$6:$EI$50,9,FALSE)</f>
        <v/>
      </c>
      <c r="N34" s="230" t="str">
        <f>VLOOKUP($B34,'6.คีย์ปลายภาค'!$C$6:$EI$50,14,FALSE)</f>
        <v/>
      </c>
      <c r="O34" s="230" t="str">
        <f>VLOOKUP($B34,'6.คีย์ปลายภาค'!$C$6:$EI$50,19,FALSE)</f>
        <v/>
      </c>
      <c r="P34" s="230" t="str">
        <f>VLOOKUP($B34,'6.คีย์ปลายภาค'!$C$6:$EI$50,24,FALSE)</f>
        <v/>
      </c>
      <c r="Q34" s="230" t="str">
        <f>VLOOKUP($B34,'6.คีย์ปลายภาค'!$C$6:$EI$50,29,FALSE)</f>
        <v/>
      </c>
      <c r="R34" s="230" t="str">
        <f>VLOOKUP($B34,'6.คีย์ปลายภาค'!$C$6:$EI$50,34,FALSE)</f>
        <v/>
      </c>
      <c r="S34" s="230" t="str">
        <f>VLOOKUP($B34,'6.คีย์ปลายภาค'!$C$6:$EI$50,39,FALSE)</f>
        <v/>
      </c>
      <c r="T34" s="230" t="str">
        <f>VLOOKUP($B34,'6.คีย์ปลายภาค'!$C$6:$EI$50,44,FALSE)</f>
        <v/>
      </c>
      <c r="U34" s="230" t="str">
        <f>VLOOKUP($B34,'6.คีย์ปลายภาค'!$C$6:$EI$50,49,FALSE)</f>
        <v/>
      </c>
      <c r="V34" s="231" t="str">
        <f>VLOOKUP($B34,'6.คีย์ปลายภาค'!$C$6:$EI$50,54,FALSE)</f>
        <v/>
      </c>
      <c r="W34" s="231" t="str">
        <f>VLOOKUP($B34,'6.คีย์ปลายภาค'!$C$6:$EI$50,59,FALSE)</f>
        <v/>
      </c>
      <c r="X34" s="232" t="str">
        <f>VLOOKUP($B34,'6.คีย์ปลายภาค'!$C$6:$EI$50,64,FALSE)</f>
        <v/>
      </c>
      <c r="Y34" s="31">
        <v>26</v>
      </c>
      <c r="Z34" s="699" t="str">
        <f>IF(Name26="","",Name26)</f>
        <v/>
      </c>
      <c r="AA34" s="700"/>
      <c r="AB34" s="700"/>
      <c r="AC34" s="700"/>
      <c r="AD34" s="700"/>
      <c r="AE34" s="705" t="str">
        <f>IF(Surname26="","",Surname26)</f>
        <v/>
      </c>
      <c r="AF34" s="705"/>
      <c r="AG34" s="705"/>
      <c r="AH34" s="705"/>
      <c r="AI34" s="706"/>
      <c r="AJ34" s="234" t="str">
        <f>VLOOKUP($B34,'6.คีย์ปลายภาค'!$C$6:$EI$50,69,FALSE)</f>
        <v/>
      </c>
      <c r="AK34" s="230" t="str">
        <f>VLOOKUP($B34,'6.คีย์ปลายภาค'!$C$6:$EI$50,74,FALSE)</f>
        <v/>
      </c>
      <c r="AL34" s="230" t="str">
        <f>VLOOKUP($B34,'6.คีย์ปลายภาค'!$C$6:$EI$50,79,FALSE)</f>
        <v/>
      </c>
      <c r="AM34" s="231" t="str">
        <f>VLOOKUP($B34,'6.คีย์ปลายภาค'!$C$6:$EI$50,84,FALSE)</f>
        <v/>
      </c>
      <c r="AN34" s="231" t="str">
        <f>VLOOKUP($B34,'6.คีย์ปลายภาค'!$C$6:$EI$50,89,FALSE)</f>
        <v/>
      </c>
      <c r="AO34" s="231" t="str">
        <f>VLOOKUP($B34,'6.คีย์ปลายภาค'!$C$6:$EI$50,94,FALSE)</f>
        <v/>
      </c>
      <c r="AP34" s="231" t="str">
        <f>VLOOKUP($B34,'6.คีย์ปลายภาค'!$C$6:$EI$50,99,FALSE)</f>
        <v/>
      </c>
      <c r="AQ34" s="231" t="str">
        <f>VLOOKUP($B34,'6.คีย์ปลายภาค'!$C$6:$EI$50,104,FALSE)</f>
        <v/>
      </c>
      <c r="AR34" s="231" t="str">
        <f>VLOOKUP($B34,'6.คีย์ปลายภาค'!$C$6:$EI$50,109,FALSE)</f>
        <v/>
      </c>
      <c r="AS34" s="231" t="str">
        <f>VLOOKUP($B34,'6.คีย์ปลายภาค'!$C$6:$EI$50,114,FALSE)</f>
        <v/>
      </c>
      <c r="AT34" s="231" t="str">
        <f>VLOOKUP($B34,'6.คีย์ปลายภาค'!$C$6:$EI$50,119,FALSE)</f>
        <v/>
      </c>
      <c r="AU34" s="230" t="str">
        <f>VLOOKUP($B34,'6.คีย์ปลายภาค'!$C$6:$EI$50,124,FALSE)</f>
        <v/>
      </c>
      <c r="AV34" s="520" t="str">
        <f>VLOOKUP($B34,'6.คีย์ปลายภาค'!$C$6:$EI$50,129,FALSE)</f>
        <v/>
      </c>
      <c r="AW34" s="547" t="str">
        <f t="shared" si="1"/>
        <v/>
      </c>
      <c r="AX34" s="520" t="str">
        <f>IF('2.ชื่อนักเรียน'!R36="มส","มส",IF('2.ชื่อนักเรียน'!R36="ย้าย","ย้าย",IF('2.ชื่อนักเรียน'!R36="ร","ร",IF(AW34="","",RANK(AW34,$AW$9:$AW$53,0)))))</f>
        <v/>
      </c>
      <c r="AY34" s="118" t="str">
        <v/>
      </c>
      <c r="AZ34" s="119" t="str">
        <v/>
      </c>
      <c r="BA34" s="119" t="str">
        <v/>
      </c>
      <c r="BB34" s="110" t="str">
        <v/>
      </c>
      <c r="BC34" s="119" t="str">
        <v/>
      </c>
      <c r="BD34" s="119" t="str">
        <v/>
      </c>
      <c r="BE34" s="119" t="str">
        <v/>
      </c>
      <c r="BF34" s="119" t="str">
        <v/>
      </c>
      <c r="BG34" s="110" t="str">
        <v/>
      </c>
      <c r="BH34" s="151" t="str">
        <v/>
      </c>
      <c r="BI34" s="151" t="str">
        <v/>
      </c>
      <c r="BJ34" s="111" t="str">
        <v/>
      </c>
      <c r="BK34" s="118" t="str">
        <f>IF(AJ34="มส","มส",IF('5.กลางภาค'!AG33="","",IF($BK$7="","",IF($BK$7="SBMLD",SUM($AJ34:$AV34),AJ34))))</f>
        <v/>
      </c>
      <c r="BL34" s="119" t="str">
        <f>IF(AK34="มส","มส",IF('5.กลางภาค'!AG33="","",IF($BL$7="","",IF($BL$7="SBMLD",SUM($AK34:$AV34),AK34))))</f>
        <v/>
      </c>
      <c r="BM34" s="119" t="str">
        <f>IF(AL34="มส","มส",IF('5.กลางภาค'!AG33="","",IF($BM$7="","",IF($BM$7="SBMLD",SUM($AL34:$AV34),AL34))))</f>
        <v/>
      </c>
      <c r="BN34" s="110" t="str">
        <f>IF(AM34="มส","มส",IF('5.กลางภาค'!AG33="","",IF($BN$7="","",IF($BN$7="SBMLD",SUM($AM34:$AV34),AM34))))</f>
        <v/>
      </c>
      <c r="BO34" s="111" t="str">
        <f>IF(AN34="มส","มส",IF('5.กลางภาค'!AG33="","",IF($BO$7="","",IF($BO$7="SBMLD",SUM($AN34:$AV34),AN34))))</f>
        <v/>
      </c>
      <c r="BP34" s="288"/>
      <c r="BQ34" s="118" t="str">
        <f t="shared" si="2"/>
        <v/>
      </c>
      <c r="BR34" s="119" t="str">
        <f t="shared" si="3"/>
        <v/>
      </c>
      <c r="BS34" s="119" t="str">
        <f t="shared" si="4"/>
        <v/>
      </c>
      <c r="BT34" s="110" t="str">
        <f t="shared" si="5"/>
        <v/>
      </c>
      <c r="BU34" s="119" t="str">
        <f t="shared" si="6"/>
        <v/>
      </c>
      <c r="BV34" s="119" t="str">
        <f t="shared" si="7"/>
        <v/>
      </c>
      <c r="BW34" s="119" t="str">
        <f t="shared" si="8"/>
        <v/>
      </c>
      <c r="BX34" s="119" t="str">
        <f t="shared" si="9"/>
        <v/>
      </c>
      <c r="BY34" s="110" t="str">
        <f t="shared" si="10"/>
        <v/>
      </c>
      <c r="BZ34" s="151" t="str">
        <f t="shared" si="11"/>
        <v/>
      </c>
      <c r="CA34" s="151" t="str">
        <f t="shared" si="12"/>
        <v/>
      </c>
      <c r="CB34" s="111" t="str">
        <f t="shared" si="17"/>
        <v/>
      </c>
      <c r="CC34" s="118" t="str">
        <f t="shared" si="13"/>
        <v/>
      </c>
      <c r="CD34" s="119" t="str">
        <f t="shared" si="14"/>
        <v/>
      </c>
      <c r="CE34" s="119" t="str">
        <f t="shared" si="15"/>
        <v/>
      </c>
      <c r="CF34" s="119" t="str">
        <f t="shared" si="18"/>
        <v/>
      </c>
      <c r="CG34" s="111" t="str">
        <f t="shared" si="16"/>
        <v/>
      </c>
      <c r="CH34" s="148" t="str">
        <f>IF('2.ชื่อนักเรียน'!R36="มส","",IF('2.ชื่อนักเรียน'!R36="ย้าย","",IF(C34="","",SUM(BQ34:CG34)/SUM(top))))</f>
        <v/>
      </c>
      <c r="CI34" s="21" t="str">
        <f>IF('2.ชื่อนักเรียน'!R36="มส","มส",IF('2.ชื่อนักเรียน'!R36="ย้าย","ย้าย",IF('2.ชื่อนักเรียน'!R36="ร","ร",IF(CH34="","",RANK(CH34,$CH$9:$CH$53,0)))))</f>
        <v/>
      </c>
    </row>
    <row r="35" spans="1:87" s="29" customFormat="1" ht="16.5" customHeight="1" x14ac:dyDescent="0.25">
      <c r="A35" s="31">
        <v>27</v>
      </c>
      <c r="B35" s="305" t="str">
        <f>IF(IDstu27="","",IDstu27)</f>
        <v/>
      </c>
      <c r="C35" s="699" t="str">
        <f>IF(Name27="","",Name27)</f>
        <v/>
      </c>
      <c r="D35" s="700"/>
      <c r="E35" s="700"/>
      <c r="F35" s="700"/>
      <c r="G35" s="700"/>
      <c r="H35" s="705" t="str">
        <f>IF(Surname27="","",Surname27)</f>
        <v/>
      </c>
      <c r="I35" s="705"/>
      <c r="J35" s="705"/>
      <c r="K35" s="705"/>
      <c r="L35" s="706"/>
      <c r="M35" s="234" t="str">
        <f>VLOOKUP($B35,'6.คีย์ปลายภาค'!$C$6:$EI$50,9,FALSE)</f>
        <v/>
      </c>
      <c r="N35" s="230" t="str">
        <f>VLOOKUP($B35,'6.คีย์ปลายภาค'!$C$6:$EI$50,14,FALSE)</f>
        <v/>
      </c>
      <c r="O35" s="230" t="str">
        <f>VLOOKUP($B35,'6.คีย์ปลายภาค'!$C$6:$EI$50,19,FALSE)</f>
        <v/>
      </c>
      <c r="P35" s="230" t="str">
        <f>VLOOKUP($B35,'6.คีย์ปลายภาค'!$C$6:$EI$50,24,FALSE)</f>
        <v/>
      </c>
      <c r="Q35" s="230" t="str">
        <f>VLOOKUP($B35,'6.คีย์ปลายภาค'!$C$6:$EI$50,29,FALSE)</f>
        <v/>
      </c>
      <c r="R35" s="230" t="str">
        <f>VLOOKUP($B35,'6.คีย์ปลายภาค'!$C$6:$EI$50,34,FALSE)</f>
        <v/>
      </c>
      <c r="S35" s="230" t="str">
        <f>VLOOKUP($B35,'6.คีย์ปลายภาค'!$C$6:$EI$50,39,FALSE)</f>
        <v/>
      </c>
      <c r="T35" s="230" t="str">
        <f>VLOOKUP($B35,'6.คีย์ปลายภาค'!$C$6:$EI$50,44,FALSE)</f>
        <v/>
      </c>
      <c r="U35" s="230" t="str">
        <f>VLOOKUP($B35,'6.คีย์ปลายภาค'!$C$6:$EI$50,49,FALSE)</f>
        <v/>
      </c>
      <c r="V35" s="231" t="str">
        <f>VLOOKUP($B35,'6.คีย์ปลายภาค'!$C$6:$EI$50,54,FALSE)</f>
        <v/>
      </c>
      <c r="W35" s="231" t="str">
        <f>VLOOKUP($B35,'6.คีย์ปลายภาค'!$C$6:$EI$50,59,FALSE)</f>
        <v/>
      </c>
      <c r="X35" s="232" t="str">
        <f>VLOOKUP($B35,'6.คีย์ปลายภาค'!$C$6:$EI$50,64,FALSE)</f>
        <v/>
      </c>
      <c r="Y35" s="31">
        <v>27</v>
      </c>
      <c r="Z35" s="699" t="str">
        <f>IF(Name27="","",Name27)</f>
        <v/>
      </c>
      <c r="AA35" s="700"/>
      <c r="AB35" s="700"/>
      <c r="AC35" s="700"/>
      <c r="AD35" s="700"/>
      <c r="AE35" s="705" t="str">
        <f>IF(Surname27="","",Surname27)</f>
        <v/>
      </c>
      <c r="AF35" s="705"/>
      <c r="AG35" s="705"/>
      <c r="AH35" s="705"/>
      <c r="AI35" s="706"/>
      <c r="AJ35" s="234" t="str">
        <f>VLOOKUP($B35,'6.คีย์ปลายภาค'!$C$6:$EI$50,69,FALSE)</f>
        <v/>
      </c>
      <c r="AK35" s="230" t="str">
        <f>VLOOKUP($B35,'6.คีย์ปลายภาค'!$C$6:$EI$50,74,FALSE)</f>
        <v/>
      </c>
      <c r="AL35" s="230" t="str">
        <f>VLOOKUP($B35,'6.คีย์ปลายภาค'!$C$6:$EI$50,79,FALSE)</f>
        <v/>
      </c>
      <c r="AM35" s="231" t="str">
        <f>VLOOKUP($B35,'6.คีย์ปลายภาค'!$C$6:$EI$50,84,FALSE)</f>
        <v/>
      </c>
      <c r="AN35" s="231" t="str">
        <f>VLOOKUP($B35,'6.คีย์ปลายภาค'!$C$6:$EI$50,89,FALSE)</f>
        <v/>
      </c>
      <c r="AO35" s="231" t="str">
        <f>VLOOKUP($B35,'6.คีย์ปลายภาค'!$C$6:$EI$50,94,FALSE)</f>
        <v/>
      </c>
      <c r="AP35" s="231" t="str">
        <f>VLOOKUP($B35,'6.คีย์ปลายภาค'!$C$6:$EI$50,99,FALSE)</f>
        <v/>
      </c>
      <c r="AQ35" s="231" t="str">
        <f>VLOOKUP($B35,'6.คีย์ปลายภาค'!$C$6:$EI$50,104,FALSE)</f>
        <v/>
      </c>
      <c r="AR35" s="231" t="str">
        <f>VLOOKUP($B35,'6.คีย์ปลายภาค'!$C$6:$EI$50,109,FALSE)</f>
        <v/>
      </c>
      <c r="AS35" s="231" t="str">
        <f>VLOOKUP($B35,'6.คีย์ปลายภาค'!$C$6:$EI$50,114,FALSE)</f>
        <v/>
      </c>
      <c r="AT35" s="231" t="str">
        <f>VLOOKUP($B35,'6.คีย์ปลายภาค'!$C$6:$EI$50,119,FALSE)</f>
        <v/>
      </c>
      <c r="AU35" s="230" t="str">
        <f>VLOOKUP($B35,'6.คีย์ปลายภาค'!$C$6:$EI$50,124,FALSE)</f>
        <v/>
      </c>
      <c r="AV35" s="520" t="str">
        <f>VLOOKUP($B35,'6.คีย์ปลายภาค'!$C$6:$EI$50,129,FALSE)</f>
        <v/>
      </c>
      <c r="AW35" s="547" t="str">
        <f t="shared" si="1"/>
        <v/>
      </c>
      <c r="AX35" s="520" t="str">
        <f>IF('2.ชื่อนักเรียน'!R37="มส","มส",IF('2.ชื่อนักเรียน'!R37="ย้าย","ย้าย",IF('2.ชื่อนักเรียน'!R37="ร","ร",IF(AW35="","",RANK(AW35,$AW$9:$AW$53,0)))))</f>
        <v/>
      </c>
      <c r="AY35" s="118" t="str">
        <v/>
      </c>
      <c r="AZ35" s="119" t="str">
        <v/>
      </c>
      <c r="BA35" s="119" t="str">
        <v/>
      </c>
      <c r="BB35" s="110" t="str">
        <v/>
      </c>
      <c r="BC35" s="110" t="str">
        <v/>
      </c>
      <c r="BD35" s="110" t="str">
        <v/>
      </c>
      <c r="BE35" s="119" t="str">
        <v/>
      </c>
      <c r="BF35" s="119" t="str">
        <v/>
      </c>
      <c r="BG35" s="110" t="str">
        <v/>
      </c>
      <c r="BH35" s="151" t="str">
        <v/>
      </c>
      <c r="BI35" s="151" t="str">
        <v/>
      </c>
      <c r="BJ35" s="111" t="str">
        <v/>
      </c>
      <c r="BK35" s="118" t="str">
        <f>IF(AJ35="มส","มส",IF('5.กลางภาค'!AG34="","",IF($BK$7="","",IF($BK$7="SBMLD",SUM($AJ35:$AV35),AJ35))))</f>
        <v/>
      </c>
      <c r="BL35" s="119" t="str">
        <f>IF(AK35="มส","มส",IF('5.กลางภาค'!AG34="","",IF($BL$7="","",IF($BL$7="SBMLD",SUM($AK35:$AV35),AK35))))</f>
        <v/>
      </c>
      <c r="BM35" s="119" t="str">
        <f>IF(AL35="มส","มส",IF('5.กลางภาค'!AG34="","",IF($BM$7="","",IF($BM$7="SBMLD",SUM($AL35:$AV35),AL35))))</f>
        <v/>
      </c>
      <c r="BN35" s="110" t="str">
        <f>IF(AM35="มส","มส",IF('5.กลางภาค'!AG34="","",IF($BN$7="","",IF($BN$7="SBMLD",SUM($AM35:$AV35),AM35))))</f>
        <v/>
      </c>
      <c r="BO35" s="111" t="str">
        <f>IF(AN35="มส","มส",IF('5.กลางภาค'!AG34="","",IF($BO$7="","",IF($BO$7="SBMLD",SUM($AN35:$AV35),AN35))))</f>
        <v/>
      </c>
      <c r="BP35" s="288"/>
      <c r="BQ35" s="118" t="str">
        <f t="shared" si="2"/>
        <v/>
      </c>
      <c r="BR35" s="119" t="str">
        <f t="shared" si="3"/>
        <v/>
      </c>
      <c r="BS35" s="119" t="str">
        <f t="shared" si="4"/>
        <v/>
      </c>
      <c r="BT35" s="110" t="str">
        <f t="shared" si="5"/>
        <v/>
      </c>
      <c r="BU35" s="110" t="str">
        <f t="shared" si="6"/>
        <v/>
      </c>
      <c r="BV35" s="110" t="str">
        <f t="shared" si="7"/>
        <v/>
      </c>
      <c r="BW35" s="119" t="str">
        <f t="shared" si="8"/>
        <v/>
      </c>
      <c r="BX35" s="119" t="str">
        <f t="shared" si="9"/>
        <v/>
      </c>
      <c r="BY35" s="110" t="str">
        <f t="shared" si="10"/>
        <v/>
      </c>
      <c r="BZ35" s="151" t="str">
        <f t="shared" si="11"/>
        <v/>
      </c>
      <c r="CA35" s="151" t="str">
        <f t="shared" si="12"/>
        <v/>
      </c>
      <c r="CB35" s="111" t="str">
        <f t="shared" si="17"/>
        <v/>
      </c>
      <c r="CC35" s="118" t="str">
        <f t="shared" si="13"/>
        <v/>
      </c>
      <c r="CD35" s="119" t="str">
        <f t="shared" si="14"/>
        <v/>
      </c>
      <c r="CE35" s="119" t="str">
        <f t="shared" si="15"/>
        <v/>
      </c>
      <c r="CF35" s="119" t="str">
        <f t="shared" si="18"/>
        <v/>
      </c>
      <c r="CG35" s="111" t="str">
        <f t="shared" si="16"/>
        <v/>
      </c>
      <c r="CH35" s="148" t="str">
        <f>IF('2.ชื่อนักเรียน'!R37="มส","",IF('2.ชื่อนักเรียน'!R37="ย้าย","",IF(C35="","",SUM(BQ35:CG35)/SUM(top))))</f>
        <v/>
      </c>
      <c r="CI35" s="21" t="str">
        <f>IF('2.ชื่อนักเรียน'!R37="มส","มส",IF('2.ชื่อนักเรียน'!R37="ย้าย","ย้าย",IF('2.ชื่อนักเรียน'!R37="ร","ร",IF(CH35="","",RANK(CH35,$CH$9:$CH$53,0)))))</f>
        <v/>
      </c>
    </row>
    <row r="36" spans="1:87" s="29" customFormat="1" ht="16.5" customHeight="1" x14ac:dyDescent="0.25">
      <c r="A36" s="31">
        <v>28</v>
      </c>
      <c r="B36" s="305" t="str">
        <f>IF(IDstu28="","",IDstu28)</f>
        <v/>
      </c>
      <c r="C36" s="699" t="str">
        <f>IF(Name28="","",Name28)</f>
        <v/>
      </c>
      <c r="D36" s="700"/>
      <c r="E36" s="700"/>
      <c r="F36" s="700"/>
      <c r="G36" s="700"/>
      <c r="H36" s="705" t="str">
        <f>IF(Surname28="","",Surname28)</f>
        <v/>
      </c>
      <c r="I36" s="705"/>
      <c r="J36" s="705"/>
      <c r="K36" s="705"/>
      <c r="L36" s="706"/>
      <c r="M36" s="234" t="str">
        <f>VLOOKUP($B36,'6.คีย์ปลายภาค'!$C$6:$EI$50,9,FALSE)</f>
        <v/>
      </c>
      <c r="N36" s="230" t="str">
        <f>VLOOKUP($B36,'6.คีย์ปลายภาค'!$C$6:$EI$50,14,FALSE)</f>
        <v/>
      </c>
      <c r="O36" s="230" t="str">
        <f>VLOOKUP($B36,'6.คีย์ปลายภาค'!$C$6:$EI$50,19,FALSE)</f>
        <v/>
      </c>
      <c r="P36" s="230" t="str">
        <f>VLOOKUP($B36,'6.คีย์ปลายภาค'!$C$6:$EI$50,24,FALSE)</f>
        <v/>
      </c>
      <c r="Q36" s="230" t="str">
        <f>VLOOKUP($B36,'6.คีย์ปลายภาค'!$C$6:$EI$50,29,FALSE)</f>
        <v/>
      </c>
      <c r="R36" s="230" t="str">
        <f>VLOOKUP($B36,'6.คีย์ปลายภาค'!$C$6:$EI$50,34,FALSE)</f>
        <v/>
      </c>
      <c r="S36" s="230" t="str">
        <f>VLOOKUP($B36,'6.คีย์ปลายภาค'!$C$6:$EI$50,39,FALSE)</f>
        <v/>
      </c>
      <c r="T36" s="230" t="str">
        <f>VLOOKUP($B36,'6.คีย์ปลายภาค'!$C$6:$EI$50,44,FALSE)</f>
        <v/>
      </c>
      <c r="U36" s="230" t="str">
        <f>VLOOKUP($B36,'6.คีย์ปลายภาค'!$C$6:$EI$50,49,FALSE)</f>
        <v/>
      </c>
      <c r="V36" s="231" t="str">
        <f>VLOOKUP($B36,'6.คีย์ปลายภาค'!$C$6:$EI$50,54,FALSE)</f>
        <v/>
      </c>
      <c r="W36" s="231" t="str">
        <f>VLOOKUP($B36,'6.คีย์ปลายภาค'!$C$6:$EI$50,59,FALSE)</f>
        <v/>
      </c>
      <c r="X36" s="232" t="str">
        <f>VLOOKUP($B36,'6.คีย์ปลายภาค'!$C$6:$EI$50,64,FALSE)</f>
        <v/>
      </c>
      <c r="Y36" s="31">
        <v>28</v>
      </c>
      <c r="Z36" s="699" t="str">
        <f>IF(Name28="","",Name28)</f>
        <v/>
      </c>
      <c r="AA36" s="700"/>
      <c r="AB36" s="700"/>
      <c r="AC36" s="700"/>
      <c r="AD36" s="700"/>
      <c r="AE36" s="705" t="str">
        <f>IF(Surname28="","",Surname28)</f>
        <v/>
      </c>
      <c r="AF36" s="705"/>
      <c r="AG36" s="705"/>
      <c r="AH36" s="705"/>
      <c r="AI36" s="706"/>
      <c r="AJ36" s="234" t="str">
        <f>VLOOKUP($B36,'6.คีย์ปลายภาค'!$C$6:$EI$50,69,FALSE)</f>
        <v/>
      </c>
      <c r="AK36" s="230" t="str">
        <f>VLOOKUP($B36,'6.คีย์ปลายภาค'!$C$6:$EI$50,74,FALSE)</f>
        <v/>
      </c>
      <c r="AL36" s="230" t="str">
        <f>VLOOKUP($B36,'6.คีย์ปลายภาค'!$C$6:$EI$50,79,FALSE)</f>
        <v/>
      </c>
      <c r="AM36" s="231" t="str">
        <f>VLOOKUP($B36,'6.คีย์ปลายภาค'!$C$6:$EI$50,84,FALSE)</f>
        <v/>
      </c>
      <c r="AN36" s="231" t="str">
        <f>VLOOKUP($B36,'6.คีย์ปลายภาค'!$C$6:$EI$50,89,FALSE)</f>
        <v/>
      </c>
      <c r="AO36" s="231" t="str">
        <f>VLOOKUP($B36,'6.คีย์ปลายภาค'!$C$6:$EI$50,94,FALSE)</f>
        <v/>
      </c>
      <c r="AP36" s="231" t="str">
        <f>VLOOKUP($B36,'6.คีย์ปลายภาค'!$C$6:$EI$50,99,FALSE)</f>
        <v/>
      </c>
      <c r="AQ36" s="231" t="str">
        <f>VLOOKUP($B36,'6.คีย์ปลายภาค'!$C$6:$EI$50,104,FALSE)</f>
        <v/>
      </c>
      <c r="AR36" s="231" t="str">
        <f>VLOOKUP($B36,'6.คีย์ปลายภาค'!$C$6:$EI$50,109,FALSE)</f>
        <v/>
      </c>
      <c r="AS36" s="231" t="str">
        <f>VLOOKUP($B36,'6.คีย์ปลายภาค'!$C$6:$EI$50,114,FALSE)</f>
        <v/>
      </c>
      <c r="AT36" s="231" t="str">
        <f>VLOOKUP($B36,'6.คีย์ปลายภาค'!$C$6:$EI$50,119,FALSE)</f>
        <v/>
      </c>
      <c r="AU36" s="230" t="str">
        <f>VLOOKUP($B36,'6.คีย์ปลายภาค'!$C$6:$EI$50,124,FALSE)</f>
        <v/>
      </c>
      <c r="AV36" s="520" t="str">
        <f>VLOOKUP($B36,'6.คีย์ปลายภาค'!$C$6:$EI$50,129,FALSE)</f>
        <v/>
      </c>
      <c r="AW36" s="547" t="str">
        <f t="shared" si="1"/>
        <v/>
      </c>
      <c r="AX36" s="520" t="str">
        <f>IF('2.ชื่อนักเรียน'!R38="มส","มส",IF('2.ชื่อนักเรียน'!R38="ย้าย","ย้าย",IF('2.ชื่อนักเรียน'!R38="ร","ร",IF(AW36="","",RANK(AW36,$AW$9:$AW$53,0)))))</f>
        <v/>
      </c>
      <c r="AY36" s="118" t="str">
        <v/>
      </c>
      <c r="AZ36" s="119" t="str">
        <v/>
      </c>
      <c r="BA36" s="119" t="str">
        <v/>
      </c>
      <c r="BB36" s="110" t="str">
        <v/>
      </c>
      <c r="BC36" s="110" t="str">
        <v/>
      </c>
      <c r="BD36" s="110" t="str">
        <v/>
      </c>
      <c r="BE36" s="119" t="str">
        <v/>
      </c>
      <c r="BF36" s="119" t="str">
        <v/>
      </c>
      <c r="BG36" s="110" t="str">
        <v/>
      </c>
      <c r="BH36" s="151" t="str">
        <v/>
      </c>
      <c r="BI36" s="151" t="str">
        <v/>
      </c>
      <c r="BJ36" s="111" t="str">
        <v/>
      </c>
      <c r="BK36" s="118" t="str">
        <f>IF(AJ36="มส","มส",IF('5.กลางภาค'!AG35="","",IF($BK$7="","",IF($BK$7="SBMLD",SUM($AJ36:$AV36),AJ36))))</f>
        <v/>
      </c>
      <c r="BL36" s="119" t="str">
        <f>IF(AK36="มส","มส",IF('5.กลางภาค'!AG35="","",IF($BL$7="","",IF($BL$7="SBMLD",SUM($AK36:$AV36),AK36))))</f>
        <v/>
      </c>
      <c r="BM36" s="119" t="str">
        <f>IF(AL36="มส","มส",IF('5.กลางภาค'!AG35="","",IF($BM$7="","",IF($BM$7="SBMLD",SUM($AL36:$AV36),AL36))))</f>
        <v/>
      </c>
      <c r="BN36" s="110" t="str">
        <f>IF(AM36="มส","มส",IF('5.กลางภาค'!AG35="","",IF($BN$7="","",IF($BN$7="SBMLD",SUM($AM36:$AV36),AM36))))</f>
        <v/>
      </c>
      <c r="BO36" s="111" t="str">
        <f>IF(AN36="มส","มส",IF('5.กลางภาค'!AG35="","",IF($BO$7="","",IF($BO$7="SBMLD",SUM($AN36:$AV36),AN36))))</f>
        <v/>
      </c>
      <c r="BP36" s="288"/>
      <c r="BQ36" s="118" t="str">
        <f t="shared" si="2"/>
        <v/>
      </c>
      <c r="BR36" s="119" t="str">
        <f t="shared" si="3"/>
        <v/>
      </c>
      <c r="BS36" s="119" t="str">
        <f t="shared" si="4"/>
        <v/>
      </c>
      <c r="BT36" s="110" t="str">
        <f t="shared" si="5"/>
        <v/>
      </c>
      <c r="BU36" s="110" t="str">
        <f t="shared" si="6"/>
        <v/>
      </c>
      <c r="BV36" s="110" t="str">
        <f t="shared" si="7"/>
        <v/>
      </c>
      <c r="BW36" s="119" t="str">
        <f t="shared" si="8"/>
        <v/>
      </c>
      <c r="BX36" s="119" t="str">
        <f t="shared" si="9"/>
        <v/>
      </c>
      <c r="BY36" s="110" t="str">
        <f t="shared" si="10"/>
        <v/>
      </c>
      <c r="BZ36" s="151" t="str">
        <f t="shared" si="11"/>
        <v/>
      </c>
      <c r="CA36" s="151" t="str">
        <f t="shared" si="12"/>
        <v/>
      </c>
      <c r="CB36" s="111" t="str">
        <f t="shared" si="17"/>
        <v/>
      </c>
      <c r="CC36" s="118" t="str">
        <f t="shared" si="13"/>
        <v/>
      </c>
      <c r="CD36" s="119" t="str">
        <f t="shared" si="14"/>
        <v/>
      </c>
      <c r="CE36" s="119" t="str">
        <f t="shared" si="15"/>
        <v/>
      </c>
      <c r="CF36" s="119" t="str">
        <f t="shared" si="18"/>
        <v/>
      </c>
      <c r="CG36" s="111" t="str">
        <f t="shared" si="16"/>
        <v/>
      </c>
      <c r="CH36" s="148" t="str">
        <f>IF('2.ชื่อนักเรียน'!R38="มส","",IF('2.ชื่อนักเรียน'!R38="ย้าย","",IF(C36="","",SUM(BQ36:CG36)/SUM(top))))</f>
        <v/>
      </c>
      <c r="CI36" s="21" t="str">
        <f>IF('2.ชื่อนักเรียน'!R38="มส","มส",IF('2.ชื่อนักเรียน'!R38="ย้าย","ย้าย",IF('2.ชื่อนักเรียน'!R38="ร","ร",IF(CH36="","",RANK(CH36,$CH$9:$CH$53,0)))))</f>
        <v/>
      </c>
    </row>
    <row r="37" spans="1:87" s="29" customFormat="1" ht="16.5" customHeight="1" x14ac:dyDescent="0.25">
      <c r="A37" s="31">
        <v>29</v>
      </c>
      <c r="B37" s="305" t="str">
        <f>IF(IDstu29="","",IDstu29)</f>
        <v/>
      </c>
      <c r="C37" s="699" t="str">
        <f>IF(Name29="","",Name29)</f>
        <v/>
      </c>
      <c r="D37" s="700"/>
      <c r="E37" s="700"/>
      <c r="F37" s="700"/>
      <c r="G37" s="700"/>
      <c r="H37" s="705" t="str">
        <f>IF(Surname29="","",Surname29)</f>
        <v/>
      </c>
      <c r="I37" s="705"/>
      <c r="J37" s="705"/>
      <c r="K37" s="705"/>
      <c r="L37" s="706"/>
      <c r="M37" s="234" t="str">
        <f>VLOOKUP($B37,'6.คีย์ปลายภาค'!$C$6:$EI$50,9,FALSE)</f>
        <v/>
      </c>
      <c r="N37" s="230" t="str">
        <f>VLOOKUP($B37,'6.คีย์ปลายภาค'!$C$6:$EI$50,14,FALSE)</f>
        <v/>
      </c>
      <c r="O37" s="230" t="str">
        <f>VLOOKUP($B37,'6.คีย์ปลายภาค'!$C$6:$EI$50,19,FALSE)</f>
        <v/>
      </c>
      <c r="P37" s="230" t="str">
        <f>VLOOKUP($B37,'6.คีย์ปลายภาค'!$C$6:$EI$50,24,FALSE)</f>
        <v/>
      </c>
      <c r="Q37" s="230" t="str">
        <f>VLOOKUP($B37,'6.คีย์ปลายภาค'!$C$6:$EI$50,29,FALSE)</f>
        <v/>
      </c>
      <c r="R37" s="230" t="str">
        <f>VLOOKUP($B37,'6.คีย์ปลายภาค'!$C$6:$EI$50,34,FALSE)</f>
        <v/>
      </c>
      <c r="S37" s="230" t="str">
        <f>VLOOKUP($B37,'6.คีย์ปลายภาค'!$C$6:$EI$50,39,FALSE)</f>
        <v/>
      </c>
      <c r="T37" s="230" t="str">
        <f>VLOOKUP($B37,'6.คีย์ปลายภาค'!$C$6:$EI$50,44,FALSE)</f>
        <v/>
      </c>
      <c r="U37" s="230" t="str">
        <f>VLOOKUP($B37,'6.คีย์ปลายภาค'!$C$6:$EI$50,49,FALSE)</f>
        <v/>
      </c>
      <c r="V37" s="231" t="str">
        <f>VLOOKUP($B37,'6.คีย์ปลายภาค'!$C$6:$EI$50,54,FALSE)</f>
        <v/>
      </c>
      <c r="W37" s="231" t="str">
        <f>VLOOKUP($B37,'6.คีย์ปลายภาค'!$C$6:$EI$50,59,FALSE)</f>
        <v/>
      </c>
      <c r="X37" s="232" t="str">
        <f>VLOOKUP($B37,'6.คีย์ปลายภาค'!$C$6:$EI$50,64,FALSE)</f>
        <v/>
      </c>
      <c r="Y37" s="31">
        <v>29</v>
      </c>
      <c r="Z37" s="699" t="str">
        <f>IF(Name29="","",Name29)</f>
        <v/>
      </c>
      <c r="AA37" s="700"/>
      <c r="AB37" s="700"/>
      <c r="AC37" s="700"/>
      <c r="AD37" s="700"/>
      <c r="AE37" s="705" t="str">
        <f>IF(Surname29="","",Surname29)</f>
        <v/>
      </c>
      <c r="AF37" s="705"/>
      <c r="AG37" s="705"/>
      <c r="AH37" s="705"/>
      <c r="AI37" s="706"/>
      <c r="AJ37" s="234" t="str">
        <f>VLOOKUP($B37,'6.คีย์ปลายภาค'!$C$6:$EI$50,69,FALSE)</f>
        <v/>
      </c>
      <c r="AK37" s="230" t="str">
        <f>VLOOKUP($B37,'6.คีย์ปลายภาค'!$C$6:$EI$50,74,FALSE)</f>
        <v/>
      </c>
      <c r="AL37" s="230" t="str">
        <f>VLOOKUP($B37,'6.คีย์ปลายภาค'!$C$6:$EI$50,79,FALSE)</f>
        <v/>
      </c>
      <c r="AM37" s="231" t="str">
        <f>VLOOKUP($B37,'6.คีย์ปลายภาค'!$C$6:$EI$50,84,FALSE)</f>
        <v/>
      </c>
      <c r="AN37" s="231" t="str">
        <f>VLOOKUP($B37,'6.คีย์ปลายภาค'!$C$6:$EI$50,89,FALSE)</f>
        <v/>
      </c>
      <c r="AO37" s="231" t="str">
        <f>VLOOKUP($B37,'6.คีย์ปลายภาค'!$C$6:$EI$50,94,FALSE)</f>
        <v/>
      </c>
      <c r="AP37" s="231" t="str">
        <f>VLOOKUP($B37,'6.คีย์ปลายภาค'!$C$6:$EI$50,99,FALSE)</f>
        <v/>
      </c>
      <c r="AQ37" s="231" t="str">
        <f>VLOOKUP($B37,'6.คีย์ปลายภาค'!$C$6:$EI$50,104,FALSE)</f>
        <v/>
      </c>
      <c r="AR37" s="231" t="str">
        <f>VLOOKUP($B37,'6.คีย์ปลายภาค'!$C$6:$EI$50,109,FALSE)</f>
        <v/>
      </c>
      <c r="AS37" s="231" t="str">
        <f>VLOOKUP($B37,'6.คีย์ปลายภาค'!$C$6:$EI$50,114,FALSE)</f>
        <v/>
      </c>
      <c r="AT37" s="231" t="str">
        <f>VLOOKUP($B37,'6.คีย์ปลายภาค'!$C$6:$EI$50,119,FALSE)</f>
        <v/>
      </c>
      <c r="AU37" s="230" t="str">
        <f>VLOOKUP($B37,'6.คีย์ปลายภาค'!$C$6:$EI$50,124,FALSE)</f>
        <v/>
      </c>
      <c r="AV37" s="520" t="str">
        <f>VLOOKUP($B37,'6.คีย์ปลายภาค'!$C$6:$EI$50,129,FALSE)</f>
        <v/>
      </c>
      <c r="AW37" s="547" t="str">
        <f t="shared" si="1"/>
        <v/>
      </c>
      <c r="AX37" s="520" t="str">
        <f>IF('2.ชื่อนักเรียน'!R39="มส","มส",IF('2.ชื่อนักเรียน'!R39="ย้าย","ย้าย",IF('2.ชื่อนักเรียน'!R39="ร","ร",IF(AW37="","",RANK(AW37,$AW$9:$AW$53,0)))))</f>
        <v/>
      </c>
      <c r="AY37" s="118" t="str">
        <v/>
      </c>
      <c r="AZ37" s="119" t="str">
        <v/>
      </c>
      <c r="BA37" s="119" t="str">
        <v/>
      </c>
      <c r="BB37" s="110" t="str">
        <v/>
      </c>
      <c r="BC37" s="119" t="str">
        <v/>
      </c>
      <c r="BD37" s="119" t="str">
        <v/>
      </c>
      <c r="BE37" s="119" t="str">
        <v/>
      </c>
      <c r="BF37" s="119" t="str">
        <v/>
      </c>
      <c r="BG37" s="110" t="str">
        <v/>
      </c>
      <c r="BH37" s="151" t="str">
        <v/>
      </c>
      <c r="BI37" s="151" t="str">
        <v/>
      </c>
      <c r="BJ37" s="111" t="str">
        <v/>
      </c>
      <c r="BK37" s="118" t="str">
        <f>IF(AJ37="มส","มส",IF('5.กลางภาค'!AG36="","",IF($BK$7="","",IF($BK$7="SBMLD",SUM($AJ37:$AV37),AJ37))))</f>
        <v/>
      </c>
      <c r="BL37" s="119" t="str">
        <f>IF(AK37="มส","มส",IF('5.กลางภาค'!AG36="","",IF($BL$7="","",IF($BL$7="SBMLD",SUM($AK37:$AV37),AK37))))</f>
        <v/>
      </c>
      <c r="BM37" s="119" t="str">
        <f>IF(AL37="มส","มส",IF('5.กลางภาค'!AG36="","",IF($BM$7="","",IF($BM$7="SBMLD",SUM($AL37:$AV37),AL37))))</f>
        <v/>
      </c>
      <c r="BN37" s="110" t="str">
        <f>IF(AM37="มส","มส",IF('5.กลางภาค'!AG36="","",IF($BN$7="","",IF($BN$7="SBMLD",SUM($AM37:$AV37),AM37))))</f>
        <v/>
      </c>
      <c r="BO37" s="111" t="str">
        <f>IF(AN37="มส","มส",IF('5.กลางภาค'!AG36="","",IF($BO$7="","",IF($BO$7="SBMLD",SUM($AN37:$AV37),AN37))))</f>
        <v/>
      </c>
      <c r="BP37" s="288"/>
      <c r="BQ37" s="118" t="str">
        <f t="shared" si="2"/>
        <v/>
      </c>
      <c r="BR37" s="119" t="str">
        <f t="shared" si="3"/>
        <v/>
      </c>
      <c r="BS37" s="119" t="str">
        <f t="shared" si="4"/>
        <v/>
      </c>
      <c r="BT37" s="110" t="str">
        <f t="shared" si="5"/>
        <v/>
      </c>
      <c r="BU37" s="119" t="str">
        <f t="shared" si="6"/>
        <v/>
      </c>
      <c r="BV37" s="119" t="str">
        <f t="shared" si="7"/>
        <v/>
      </c>
      <c r="BW37" s="119" t="str">
        <f t="shared" si="8"/>
        <v/>
      </c>
      <c r="BX37" s="119" t="str">
        <f t="shared" si="9"/>
        <v/>
      </c>
      <c r="BY37" s="110" t="str">
        <f t="shared" si="10"/>
        <v/>
      </c>
      <c r="BZ37" s="151" t="str">
        <f t="shared" si="11"/>
        <v/>
      </c>
      <c r="CA37" s="151" t="str">
        <f t="shared" si="12"/>
        <v/>
      </c>
      <c r="CB37" s="111" t="str">
        <f t="shared" si="17"/>
        <v/>
      </c>
      <c r="CC37" s="118" t="str">
        <f t="shared" si="13"/>
        <v/>
      </c>
      <c r="CD37" s="119" t="str">
        <f t="shared" si="14"/>
        <v/>
      </c>
      <c r="CE37" s="119" t="str">
        <f t="shared" si="15"/>
        <v/>
      </c>
      <c r="CF37" s="119" t="str">
        <f t="shared" si="18"/>
        <v/>
      </c>
      <c r="CG37" s="111" t="str">
        <f t="shared" si="16"/>
        <v/>
      </c>
      <c r="CH37" s="148" t="str">
        <f>IF('2.ชื่อนักเรียน'!R39="มส","",IF('2.ชื่อนักเรียน'!R39="ย้าย","",IF(C37="","",SUM(BQ37:CG37)/SUM(top))))</f>
        <v/>
      </c>
      <c r="CI37" s="21" t="str">
        <f>IF('2.ชื่อนักเรียน'!R39="มส","มส",IF('2.ชื่อนักเรียน'!R39="ย้าย","ย้าย",IF('2.ชื่อนักเรียน'!R39="ร","ร",IF(CH37="","",RANK(CH37,$CH$9:$CH$53,0)))))</f>
        <v/>
      </c>
    </row>
    <row r="38" spans="1:87" s="29" customFormat="1" ht="16.5" customHeight="1" x14ac:dyDescent="0.25">
      <c r="A38" s="31">
        <v>30</v>
      </c>
      <c r="B38" s="305" t="str">
        <f>IF(IDstu30="","",IDstu30)</f>
        <v/>
      </c>
      <c r="C38" s="699" t="str">
        <f>IF(Name30="","",Name30)</f>
        <v/>
      </c>
      <c r="D38" s="700"/>
      <c r="E38" s="700"/>
      <c r="F38" s="700"/>
      <c r="G38" s="700"/>
      <c r="H38" s="705" t="str">
        <f>IF(Surname30="","",Surname30)</f>
        <v/>
      </c>
      <c r="I38" s="705"/>
      <c r="J38" s="705"/>
      <c r="K38" s="705"/>
      <c r="L38" s="706"/>
      <c r="M38" s="234" t="str">
        <f>VLOOKUP($B38,'6.คีย์ปลายภาค'!$C$6:$EI$50,9,FALSE)</f>
        <v/>
      </c>
      <c r="N38" s="230" t="str">
        <f>VLOOKUP($B38,'6.คีย์ปลายภาค'!$C$6:$EI$50,14,FALSE)</f>
        <v/>
      </c>
      <c r="O38" s="230" t="str">
        <f>VLOOKUP($B38,'6.คีย์ปลายภาค'!$C$6:$EI$50,19,FALSE)</f>
        <v/>
      </c>
      <c r="P38" s="230" t="str">
        <f>VLOOKUP($B38,'6.คีย์ปลายภาค'!$C$6:$EI$50,24,FALSE)</f>
        <v/>
      </c>
      <c r="Q38" s="230" t="str">
        <f>VLOOKUP($B38,'6.คีย์ปลายภาค'!$C$6:$EI$50,29,FALSE)</f>
        <v/>
      </c>
      <c r="R38" s="230" t="str">
        <f>VLOOKUP($B38,'6.คีย์ปลายภาค'!$C$6:$EI$50,34,FALSE)</f>
        <v/>
      </c>
      <c r="S38" s="230" t="str">
        <f>VLOOKUP($B38,'6.คีย์ปลายภาค'!$C$6:$EI$50,39,FALSE)</f>
        <v/>
      </c>
      <c r="T38" s="230" t="str">
        <f>VLOOKUP($B38,'6.คีย์ปลายภาค'!$C$6:$EI$50,44,FALSE)</f>
        <v/>
      </c>
      <c r="U38" s="230" t="str">
        <f>VLOOKUP($B38,'6.คีย์ปลายภาค'!$C$6:$EI$50,49,FALSE)</f>
        <v/>
      </c>
      <c r="V38" s="231" t="str">
        <f>VLOOKUP($B38,'6.คีย์ปลายภาค'!$C$6:$EI$50,54,FALSE)</f>
        <v/>
      </c>
      <c r="W38" s="231" t="str">
        <f>VLOOKUP($B38,'6.คีย์ปลายภาค'!$C$6:$EI$50,59,FALSE)</f>
        <v/>
      </c>
      <c r="X38" s="232" t="str">
        <f>VLOOKUP($B38,'6.คีย์ปลายภาค'!$C$6:$EI$50,64,FALSE)</f>
        <v/>
      </c>
      <c r="Y38" s="31">
        <v>30</v>
      </c>
      <c r="Z38" s="699" t="str">
        <f>IF(Name30="","",Name30)</f>
        <v/>
      </c>
      <c r="AA38" s="700"/>
      <c r="AB38" s="700"/>
      <c r="AC38" s="700"/>
      <c r="AD38" s="700"/>
      <c r="AE38" s="705" t="str">
        <f>IF(Surname30="","",Surname30)</f>
        <v/>
      </c>
      <c r="AF38" s="705"/>
      <c r="AG38" s="705"/>
      <c r="AH38" s="705"/>
      <c r="AI38" s="706"/>
      <c r="AJ38" s="234" t="str">
        <f>VLOOKUP($B38,'6.คีย์ปลายภาค'!$C$6:$EI$50,69,FALSE)</f>
        <v/>
      </c>
      <c r="AK38" s="230" t="str">
        <f>VLOOKUP($B38,'6.คีย์ปลายภาค'!$C$6:$EI$50,74,FALSE)</f>
        <v/>
      </c>
      <c r="AL38" s="230" t="str">
        <f>VLOOKUP($B38,'6.คีย์ปลายภาค'!$C$6:$EI$50,79,FALSE)</f>
        <v/>
      </c>
      <c r="AM38" s="231" t="str">
        <f>VLOOKUP($B38,'6.คีย์ปลายภาค'!$C$6:$EI$50,84,FALSE)</f>
        <v/>
      </c>
      <c r="AN38" s="231" t="str">
        <f>VLOOKUP($B38,'6.คีย์ปลายภาค'!$C$6:$EI$50,89,FALSE)</f>
        <v/>
      </c>
      <c r="AO38" s="231" t="str">
        <f>VLOOKUP($B38,'6.คีย์ปลายภาค'!$C$6:$EI$50,94,FALSE)</f>
        <v/>
      </c>
      <c r="AP38" s="231" t="str">
        <f>VLOOKUP($B38,'6.คีย์ปลายภาค'!$C$6:$EI$50,99,FALSE)</f>
        <v/>
      </c>
      <c r="AQ38" s="231" t="str">
        <f>VLOOKUP($B38,'6.คีย์ปลายภาค'!$C$6:$EI$50,104,FALSE)</f>
        <v/>
      </c>
      <c r="AR38" s="231" t="str">
        <f>VLOOKUP($B38,'6.คีย์ปลายภาค'!$C$6:$EI$50,109,FALSE)</f>
        <v/>
      </c>
      <c r="AS38" s="231" t="str">
        <f>VLOOKUP($B38,'6.คีย์ปลายภาค'!$C$6:$EI$50,114,FALSE)</f>
        <v/>
      </c>
      <c r="AT38" s="231" t="str">
        <f>VLOOKUP($B38,'6.คีย์ปลายภาค'!$C$6:$EI$50,119,FALSE)</f>
        <v/>
      </c>
      <c r="AU38" s="230" t="str">
        <f>VLOOKUP($B38,'6.คีย์ปลายภาค'!$C$6:$EI$50,124,FALSE)</f>
        <v/>
      </c>
      <c r="AV38" s="520" t="str">
        <f>VLOOKUP($B38,'6.คีย์ปลายภาค'!$C$6:$EI$50,129,FALSE)</f>
        <v/>
      </c>
      <c r="AW38" s="547" t="str">
        <f t="shared" si="1"/>
        <v/>
      </c>
      <c r="AX38" s="520" t="str">
        <f>IF('2.ชื่อนักเรียน'!R40="มส","มส",IF('2.ชื่อนักเรียน'!R40="ย้าย","ย้าย",IF('2.ชื่อนักเรียน'!R40="ร","ร",IF(AW38="","",RANK(AW38,$AW$9:$AW$53,0)))))</f>
        <v/>
      </c>
      <c r="AY38" s="118" t="str">
        <v/>
      </c>
      <c r="AZ38" s="119" t="str">
        <v/>
      </c>
      <c r="BA38" s="119" t="str">
        <v/>
      </c>
      <c r="BB38" s="110" t="str">
        <v/>
      </c>
      <c r="BC38" s="119" t="str">
        <v/>
      </c>
      <c r="BD38" s="119" t="str">
        <v/>
      </c>
      <c r="BE38" s="119" t="str">
        <v/>
      </c>
      <c r="BF38" s="119" t="str">
        <v/>
      </c>
      <c r="BG38" s="110" t="str">
        <v/>
      </c>
      <c r="BH38" s="151" t="str">
        <v/>
      </c>
      <c r="BI38" s="151" t="str">
        <v/>
      </c>
      <c r="BJ38" s="111" t="str">
        <v/>
      </c>
      <c r="BK38" s="118" t="str">
        <f>IF(AJ38="มส","มส",IF('5.กลางภาค'!AG37="","",IF($BK$7="","",IF($BK$7="SBMLD",SUM($AJ38:$AV38),AJ38))))</f>
        <v/>
      </c>
      <c r="BL38" s="119" t="str">
        <f>IF(AK38="มส","มส",IF('5.กลางภาค'!AG37="","",IF($BL$7="","",IF($BL$7="SBMLD",SUM($AK38:$AV38),AK38))))</f>
        <v/>
      </c>
      <c r="BM38" s="119" t="str">
        <f>IF(AL38="มส","มส",IF('5.กลางภาค'!AG37="","",IF($BM$7="","",IF($BM$7="SBMLD",SUM($AL38:$AV38),AL38))))</f>
        <v/>
      </c>
      <c r="BN38" s="110" t="str">
        <f>IF(AM38="มส","มส",IF('5.กลางภาค'!AG37="","",IF($BN$7="","",IF($BN$7="SBMLD",SUM($AM38:$AV38),AM38))))</f>
        <v/>
      </c>
      <c r="BO38" s="111" t="str">
        <f>IF(AN38="มส","มส",IF('5.กลางภาค'!AG37="","",IF($BO$7="","",IF($BO$7="SBMLD",SUM($AN38:$AV38),AN38))))</f>
        <v/>
      </c>
      <c r="BP38" s="288"/>
      <c r="BQ38" s="118" t="str">
        <f t="shared" si="2"/>
        <v/>
      </c>
      <c r="BR38" s="119" t="str">
        <f t="shared" si="3"/>
        <v/>
      </c>
      <c r="BS38" s="119" t="str">
        <f t="shared" si="4"/>
        <v/>
      </c>
      <c r="BT38" s="110" t="str">
        <f t="shared" si="5"/>
        <v/>
      </c>
      <c r="BU38" s="119" t="str">
        <f t="shared" si="6"/>
        <v/>
      </c>
      <c r="BV38" s="119" t="str">
        <f t="shared" si="7"/>
        <v/>
      </c>
      <c r="BW38" s="119" t="str">
        <f t="shared" si="8"/>
        <v/>
      </c>
      <c r="BX38" s="119" t="str">
        <f t="shared" si="9"/>
        <v/>
      </c>
      <c r="BY38" s="110" t="str">
        <f t="shared" si="10"/>
        <v/>
      </c>
      <c r="BZ38" s="151" t="str">
        <f t="shared" si="11"/>
        <v/>
      </c>
      <c r="CA38" s="151" t="str">
        <f t="shared" si="12"/>
        <v/>
      </c>
      <c r="CB38" s="111" t="str">
        <f t="shared" si="17"/>
        <v/>
      </c>
      <c r="CC38" s="118" t="str">
        <f t="shared" si="13"/>
        <v/>
      </c>
      <c r="CD38" s="119" t="str">
        <f t="shared" si="14"/>
        <v/>
      </c>
      <c r="CE38" s="119" t="str">
        <f t="shared" si="15"/>
        <v/>
      </c>
      <c r="CF38" s="119" t="str">
        <f t="shared" si="18"/>
        <v/>
      </c>
      <c r="CG38" s="111" t="str">
        <f t="shared" si="16"/>
        <v/>
      </c>
      <c r="CH38" s="148" t="str">
        <f>IF('2.ชื่อนักเรียน'!R40="มส","",IF('2.ชื่อนักเรียน'!R40="ย้าย","",IF(C38="","",SUM(BQ38:CG38)/SUM(top))))</f>
        <v/>
      </c>
      <c r="CI38" s="21" t="str">
        <f>IF('2.ชื่อนักเรียน'!R40="มส","มส",IF('2.ชื่อนักเรียน'!R40="ย้าย","ย้าย",IF('2.ชื่อนักเรียน'!R40="ร","ร",IF(CH38="","",RANK(CH38,$CH$9:$CH$53,0)))))</f>
        <v/>
      </c>
    </row>
    <row r="39" spans="1:87" s="29" customFormat="1" ht="16.5" customHeight="1" x14ac:dyDescent="0.25">
      <c r="A39" s="31">
        <v>31</v>
      </c>
      <c r="B39" s="305" t="str">
        <f>IF(IDstu31="","",IDstu31)</f>
        <v/>
      </c>
      <c r="C39" s="699" t="str">
        <f>IF(Name31="","",Name31)</f>
        <v/>
      </c>
      <c r="D39" s="700"/>
      <c r="E39" s="700"/>
      <c r="F39" s="700"/>
      <c r="G39" s="700"/>
      <c r="H39" s="705" t="str">
        <f>IF(Surname31="","",Surname31)</f>
        <v/>
      </c>
      <c r="I39" s="705"/>
      <c r="J39" s="705"/>
      <c r="K39" s="705"/>
      <c r="L39" s="706"/>
      <c r="M39" s="234" t="str">
        <f>VLOOKUP($B39,'6.คีย์ปลายภาค'!$C$6:$EI$50,9,FALSE)</f>
        <v/>
      </c>
      <c r="N39" s="230" t="str">
        <f>VLOOKUP($B39,'6.คีย์ปลายภาค'!$C$6:$EI$50,14,FALSE)</f>
        <v/>
      </c>
      <c r="O39" s="230" t="str">
        <f>VLOOKUP($B39,'6.คีย์ปลายภาค'!$C$6:$EI$50,19,FALSE)</f>
        <v/>
      </c>
      <c r="P39" s="230" t="str">
        <f>VLOOKUP($B39,'6.คีย์ปลายภาค'!$C$6:$EI$50,24,FALSE)</f>
        <v/>
      </c>
      <c r="Q39" s="230" t="str">
        <f>VLOOKUP($B39,'6.คีย์ปลายภาค'!$C$6:$EI$50,29,FALSE)</f>
        <v/>
      </c>
      <c r="R39" s="230" t="str">
        <f>VLOOKUP($B39,'6.คีย์ปลายภาค'!$C$6:$EI$50,34,FALSE)</f>
        <v/>
      </c>
      <c r="S39" s="230" t="str">
        <f>VLOOKUP($B39,'6.คีย์ปลายภาค'!$C$6:$EI$50,39,FALSE)</f>
        <v/>
      </c>
      <c r="T39" s="230" t="str">
        <f>VLOOKUP($B39,'6.คีย์ปลายภาค'!$C$6:$EI$50,44,FALSE)</f>
        <v/>
      </c>
      <c r="U39" s="230" t="str">
        <f>VLOOKUP($B39,'6.คีย์ปลายภาค'!$C$6:$EI$50,49,FALSE)</f>
        <v/>
      </c>
      <c r="V39" s="231" t="str">
        <f>VLOOKUP($B39,'6.คีย์ปลายภาค'!$C$6:$EI$50,54,FALSE)</f>
        <v/>
      </c>
      <c r="W39" s="231" t="str">
        <f>VLOOKUP($B39,'6.คีย์ปลายภาค'!$C$6:$EI$50,59,FALSE)</f>
        <v/>
      </c>
      <c r="X39" s="232" t="str">
        <f>VLOOKUP($B39,'6.คีย์ปลายภาค'!$C$6:$EI$50,64,FALSE)</f>
        <v/>
      </c>
      <c r="Y39" s="31">
        <v>31</v>
      </c>
      <c r="Z39" s="699" t="str">
        <f>IF(Name31="","",Name31)</f>
        <v/>
      </c>
      <c r="AA39" s="700"/>
      <c r="AB39" s="700"/>
      <c r="AC39" s="700"/>
      <c r="AD39" s="700"/>
      <c r="AE39" s="705" t="str">
        <f>IF(Surname31="","",Surname31)</f>
        <v/>
      </c>
      <c r="AF39" s="705"/>
      <c r="AG39" s="705"/>
      <c r="AH39" s="705"/>
      <c r="AI39" s="706"/>
      <c r="AJ39" s="234" t="str">
        <f>VLOOKUP($B39,'6.คีย์ปลายภาค'!$C$6:$EI$50,69,FALSE)</f>
        <v/>
      </c>
      <c r="AK39" s="230" t="str">
        <f>VLOOKUP($B39,'6.คีย์ปลายภาค'!$C$6:$EI$50,74,FALSE)</f>
        <v/>
      </c>
      <c r="AL39" s="230" t="str">
        <f>VLOOKUP($B39,'6.คีย์ปลายภาค'!$C$6:$EI$50,79,FALSE)</f>
        <v/>
      </c>
      <c r="AM39" s="231" t="str">
        <f>VLOOKUP($B39,'6.คีย์ปลายภาค'!$C$6:$EI$50,84,FALSE)</f>
        <v/>
      </c>
      <c r="AN39" s="231" t="str">
        <f>VLOOKUP($B39,'6.คีย์ปลายภาค'!$C$6:$EI$50,89,FALSE)</f>
        <v/>
      </c>
      <c r="AO39" s="231" t="str">
        <f>VLOOKUP($B39,'6.คีย์ปลายภาค'!$C$6:$EI$50,94,FALSE)</f>
        <v/>
      </c>
      <c r="AP39" s="231" t="str">
        <f>VLOOKUP($B39,'6.คีย์ปลายภาค'!$C$6:$EI$50,99,FALSE)</f>
        <v/>
      </c>
      <c r="AQ39" s="231" t="str">
        <f>VLOOKUP($B39,'6.คีย์ปลายภาค'!$C$6:$EI$50,104,FALSE)</f>
        <v/>
      </c>
      <c r="AR39" s="231" t="str">
        <f>VLOOKUP($B39,'6.คีย์ปลายภาค'!$C$6:$EI$50,109,FALSE)</f>
        <v/>
      </c>
      <c r="AS39" s="231" t="str">
        <f>VLOOKUP($B39,'6.คีย์ปลายภาค'!$C$6:$EI$50,114,FALSE)</f>
        <v/>
      </c>
      <c r="AT39" s="231" t="str">
        <f>VLOOKUP($B39,'6.คีย์ปลายภาค'!$C$6:$EI$50,119,FALSE)</f>
        <v/>
      </c>
      <c r="AU39" s="230" t="str">
        <f>VLOOKUP($B39,'6.คีย์ปลายภาค'!$C$6:$EI$50,124,FALSE)</f>
        <v/>
      </c>
      <c r="AV39" s="520" t="str">
        <f>VLOOKUP($B39,'6.คีย์ปลายภาค'!$C$6:$EI$50,129,FALSE)</f>
        <v/>
      </c>
      <c r="AW39" s="547" t="str">
        <f t="shared" si="1"/>
        <v/>
      </c>
      <c r="AX39" s="520" t="str">
        <f>IF('2.ชื่อนักเรียน'!R41="มส","มส",IF('2.ชื่อนักเรียน'!R41="ย้าย","ย้าย",IF('2.ชื่อนักเรียน'!R41="ร","ร",IF(AW39="","",RANK(AW39,$AW$9:$AW$53,0)))))</f>
        <v/>
      </c>
      <c r="AY39" s="118" t="str">
        <v/>
      </c>
      <c r="AZ39" s="119" t="str">
        <v/>
      </c>
      <c r="BA39" s="119" t="str">
        <v/>
      </c>
      <c r="BB39" s="110" t="str">
        <v/>
      </c>
      <c r="BC39" s="119" t="str">
        <v/>
      </c>
      <c r="BD39" s="119" t="str">
        <v/>
      </c>
      <c r="BE39" s="119" t="str">
        <v/>
      </c>
      <c r="BF39" s="119" t="str">
        <v/>
      </c>
      <c r="BG39" s="110" t="str">
        <v/>
      </c>
      <c r="BH39" s="151" t="str">
        <v/>
      </c>
      <c r="BI39" s="151" t="str">
        <v/>
      </c>
      <c r="BJ39" s="111" t="str">
        <v/>
      </c>
      <c r="BK39" s="118" t="str">
        <f>IF(AJ39="มส","มส",IF('5.กลางภาค'!AG38="","",IF($BK$7="","",IF($BK$7="SBMLD",SUM($AJ39:$AV39),AJ39))))</f>
        <v/>
      </c>
      <c r="BL39" s="119" t="str">
        <f>IF(AK39="มส","มส",IF('5.กลางภาค'!AG38="","",IF($BL$7="","",IF($BL$7="SBMLD",SUM($AK39:$AV39),AK39))))</f>
        <v/>
      </c>
      <c r="BM39" s="119" t="str">
        <f>IF(AL39="มส","มส",IF('5.กลางภาค'!AG38="","",IF($BM$7="","",IF($BM$7="SBMLD",SUM($AL39:$AV39),AL39))))</f>
        <v/>
      </c>
      <c r="BN39" s="110" t="str">
        <f>IF(AM39="มส","มส",IF('5.กลางภาค'!AG38="","",IF($BN$7="","",IF($BN$7="SBMLD",SUM($AM39:$AV39),AM39))))</f>
        <v/>
      </c>
      <c r="BO39" s="111" t="str">
        <f>IF(AN39="มส","มส",IF('5.กลางภาค'!AG38="","",IF($BO$7="","",IF($BO$7="SBMLD",SUM($AN39:$AV39),AN39))))</f>
        <v/>
      </c>
      <c r="BP39" s="288"/>
      <c r="BQ39" s="118" t="str">
        <f t="shared" si="2"/>
        <v/>
      </c>
      <c r="BR39" s="119" t="str">
        <f t="shared" si="3"/>
        <v/>
      </c>
      <c r="BS39" s="119" t="str">
        <f t="shared" si="4"/>
        <v/>
      </c>
      <c r="BT39" s="110" t="str">
        <f t="shared" si="5"/>
        <v/>
      </c>
      <c r="BU39" s="119" t="str">
        <f t="shared" si="6"/>
        <v/>
      </c>
      <c r="BV39" s="119" t="str">
        <f t="shared" si="7"/>
        <v/>
      </c>
      <c r="BW39" s="119" t="str">
        <f t="shared" si="8"/>
        <v/>
      </c>
      <c r="BX39" s="119" t="str">
        <f t="shared" si="9"/>
        <v/>
      </c>
      <c r="BY39" s="110" t="str">
        <f t="shared" si="10"/>
        <v/>
      </c>
      <c r="BZ39" s="151" t="str">
        <f t="shared" si="11"/>
        <v/>
      </c>
      <c r="CA39" s="151" t="str">
        <f t="shared" si="12"/>
        <v/>
      </c>
      <c r="CB39" s="111" t="str">
        <f t="shared" si="17"/>
        <v/>
      </c>
      <c r="CC39" s="118" t="str">
        <f t="shared" si="13"/>
        <v/>
      </c>
      <c r="CD39" s="119" t="str">
        <f t="shared" si="14"/>
        <v/>
      </c>
      <c r="CE39" s="119" t="str">
        <f t="shared" si="15"/>
        <v/>
      </c>
      <c r="CF39" s="119" t="str">
        <f t="shared" si="18"/>
        <v/>
      </c>
      <c r="CG39" s="111" t="str">
        <f t="shared" si="16"/>
        <v/>
      </c>
      <c r="CH39" s="148" t="str">
        <f>IF('2.ชื่อนักเรียน'!R41="มส","",IF('2.ชื่อนักเรียน'!R41="ย้าย","",IF(C39="","",SUM(BQ39:CG39)/SUM(top))))</f>
        <v/>
      </c>
      <c r="CI39" s="21" t="str">
        <f>IF('2.ชื่อนักเรียน'!R41="มส","มส",IF('2.ชื่อนักเรียน'!R41="ย้าย","ย้าย",IF('2.ชื่อนักเรียน'!R41="ร","ร",IF(CH39="","",RANK(CH39,$CH$9:$CH$53,0)))))</f>
        <v/>
      </c>
    </row>
    <row r="40" spans="1:87" s="29" customFormat="1" ht="16.5" customHeight="1" x14ac:dyDescent="0.25">
      <c r="A40" s="31">
        <v>32</v>
      </c>
      <c r="B40" s="305" t="str">
        <f>IF(IDstu32="","",IDstu32)</f>
        <v/>
      </c>
      <c r="C40" s="699" t="str">
        <f>IF(Name32="","",Name32)</f>
        <v/>
      </c>
      <c r="D40" s="700"/>
      <c r="E40" s="700"/>
      <c r="F40" s="700"/>
      <c r="G40" s="700"/>
      <c r="H40" s="707" t="str">
        <f>IF(Surname32="","",Surname32)</f>
        <v/>
      </c>
      <c r="I40" s="707"/>
      <c r="J40" s="707"/>
      <c r="K40" s="707"/>
      <c r="L40" s="708"/>
      <c r="M40" s="234" t="str">
        <f>VLOOKUP($B40,'6.คีย์ปลายภาค'!$C$6:$EI$50,9,FALSE)</f>
        <v/>
      </c>
      <c r="N40" s="230" t="str">
        <f>VLOOKUP($B40,'6.คีย์ปลายภาค'!$C$6:$EI$50,14,FALSE)</f>
        <v/>
      </c>
      <c r="O40" s="230" t="str">
        <f>VLOOKUP($B40,'6.คีย์ปลายภาค'!$C$6:$EI$50,19,FALSE)</f>
        <v/>
      </c>
      <c r="P40" s="230" t="str">
        <f>VLOOKUP($B40,'6.คีย์ปลายภาค'!$C$6:$EI$50,24,FALSE)</f>
        <v/>
      </c>
      <c r="Q40" s="230" t="str">
        <f>VLOOKUP($B40,'6.คีย์ปลายภาค'!$C$6:$EI$50,29,FALSE)</f>
        <v/>
      </c>
      <c r="R40" s="230" t="str">
        <f>VLOOKUP($B40,'6.คีย์ปลายภาค'!$C$6:$EI$50,34,FALSE)</f>
        <v/>
      </c>
      <c r="S40" s="230" t="str">
        <f>VLOOKUP($B40,'6.คีย์ปลายภาค'!$C$6:$EI$50,39,FALSE)</f>
        <v/>
      </c>
      <c r="T40" s="230" t="str">
        <f>VLOOKUP($B40,'6.คีย์ปลายภาค'!$C$6:$EI$50,44,FALSE)</f>
        <v/>
      </c>
      <c r="U40" s="230" t="str">
        <f>VLOOKUP($B40,'6.คีย์ปลายภาค'!$C$6:$EI$50,49,FALSE)</f>
        <v/>
      </c>
      <c r="V40" s="231" t="str">
        <f>VLOOKUP($B40,'6.คีย์ปลายภาค'!$C$6:$EI$50,54,FALSE)</f>
        <v/>
      </c>
      <c r="W40" s="231" t="str">
        <f>VLOOKUP($B40,'6.คีย์ปลายภาค'!$C$6:$EI$50,59,FALSE)</f>
        <v/>
      </c>
      <c r="X40" s="232" t="str">
        <f>VLOOKUP($B40,'6.คีย์ปลายภาค'!$C$6:$EI$50,64,FALSE)</f>
        <v/>
      </c>
      <c r="Y40" s="31">
        <v>32</v>
      </c>
      <c r="Z40" s="699" t="str">
        <f>IF(Name32="","",Name32)</f>
        <v/>
      </c>
      <c r="AA40" s="700"/>
      <c r="AB40" s="700"/>
      <c r="AC40" s="700"/>
      <c r="AD40" s="700"/>
      <c r="AE40" s="707" t="str">
        <f>IF(Surname32="","",Surname32)</f>
        <v/>
      </c>
      <c r="AF40" s="707"/>
      <c r="AG40" s="707"/>
      <c r="AH40" s="707"/>
      <c r="AI40" s="708"/>
      <c r="AJ40" s="234" t="str">
        <f>VLOOKUP($B40,'6.คีย์ปลายภาค'!$C$6:$EI$50,69,FALSE)</f>
        <v/>
      </c>
      <c r="AK40" s="230" t="str">
        <f>VLOOKUP($B40,'6.คีย์ปลายภาค'!$C$6:$EI$50,74,FALSE)</f>
        <v/>
      </c>
      <c r="AL40" s="230" t="str">
        <f>VLOOKUP($B40,'6.คีย์ปลายภาค'!$C$6:$EI$50,79,FALSE)</f>
        <v/>
      </c>
      <c r="AM40" s="231" t="str">
        <f>VLOOKUP($B40,'6.คีย์ปลายภาค'!$C$6:$EI$50,84,FALSE)</f>
        <v/>
      </c>
      <c r="AN40" s="231" t="str">
        <f>VLOOKUP($B40,'6.คีย์ปลายภาค'!$C$6:$EI$50,89,FALSE)</f>
        <v/>
      </c>
      <c r="AO40" s="231" t="str">
        <f>VLOOKUP($B40,'6.คีย์ปลายภาค'!$C$6:$EI$50,94,FALSE)</f>
        <v/>
      </c>
      <c r="AP40" s="231" t="str">
        <f>VLOOKUP($B40,'6.คีย์ปลายภาค'!$C$6:$EI$50,99,FALSE)</f>
        <v/>
      </c>
      <c r="AQ40" s="231" t="str">
        <f>VLOOKUP($B40,'6.คีย์ปลายภาค'!$C$6:$EI$50,104,FALSE)</f>
        <v/>
      </c>
      <c r="AR40" s="231" t="str">
        <f>VLOOKUP($B40,'6.คีย์ปลายภาค'!$C$6:$EI$50,109,FALSE)</f>
        <v/>
      </c>
      <c r="AS40" s="231" t="str">
        <f>VLOOKUP($B40,'6.คีย์ปลายภาค'!$C$6:$EI$50,114,FALSE)</f>
        <v/>
      </c>
      <c r="AT40" s="231" t="str">
        <f>VLOOKUP($B40,'6.คีย์ปลายภาค'!$C$6:$EI$50,119,FALSE)</f>
        <v/>
      </c>
      <c r="AU40" s="230" t="str">
        <f>VLOOKUP($B40,'6.คีย์ปลายภาค'!$C$6:$EI$50,124,FALSE)</f>
        <v/>
      </c>
      <c r="AV40" s="520" t="str">
        <f>VLOOKUP($B40,'6.คีย์ปลายภาค'!$C$6:$EI$50,129,FALSE)</f>
        <v/>
      </c>
      <c r="AW40" s="547" t="str">
        <f t="shared" si="1"/>
        <v/>
      </c>
      <c r="AX40" s="520" t="str">
        <f>IF('2.ชื่อนักเรียน'!R42="มส","มส",IF('2.ชื่อนักเรียน'!R42="ย้าย","ย้าย",IF('2.ชื่อนักเรียน'!R42="ร","ร",IF(AW40="","",RANK(AW40,$AW$9:$AW$53,0)))))</f>
        <v/>
      </c>
      <c r="AY40" s="118" t="str">
        <v/>
      </c>
      <c r="AZ40" s="110" t="str">
        <v/>
      </c>
      <c r="BA40" s="119" t="str">
        <v/>
      </c>
      <c r="BB40" s="110" t="str">
        <v/>
      </c>
      <c r="BC40" s="110" t="str">
        <v/>
      </c>
      <c r="BD40" s="110" t="str">
        <v/>
      </c>
      <c r="BE40" s="119" t="str">
        <v/>
      </c>
      <c r="BF40" s="119" t="str">
        <v/>
      </c>
      <c r="BG40" s="110" t="str">
        <v/>
      </c>
      <c r="BH40" s="151" t="str">
        <v/>
      </c>
      <c r="BI40" s="151" t="str">
        <v/>
      </c>
      <c r="BJ40" s="111" t="str">
        <v/>
      </c>
      <c r="BK40" s="118" t="str">
        <f>IF(AJ40="มส","มส",IF('5.กลางภาค'!AG39="","",IF($BK$7="","",IF($BK$7="SBMLD",SUM($AJ40:$AV40),AJ40))))</f>
        <v/>
      </c>
      <c r="BL40" s="110" t="str">
        <f>IF(AK40="มส","มส",IF('5.กลางภาค'!AG39="","",IF($BL$7="","",IF($BL$7="SBMLD",SUM($AK40:$AV40),AK40))))</f>
        <v/>
      </c>
      <c r="BM40" s="119" t="str">
        <f>IF(AL40="มส","มส",IF('5.กลางภาค'!AG39="","",IF($BM$7="","",IF($BM$7="SBMLD",SUM($AL40:$AV40),AL40))))</f>
        <v/>
      </c>
      <c r="BN40" s="110" t="str">
        <f>IF(AM40="มส","มส",IF('5.กลางภาค'!AG39="","",IF($BN$7="","",IF($BN$7="SBMLD",SUM($AM40:$AV40),AM40))))</f>
        <v/>
      </c>
      <c r="BO40" s="111" t="str">
        <f>IF(AN40="มส","มส",IF('5.กลางภาค'!AG39="","",IF($BO$7="","",IF($BO$7="SBMLD",SUM($AN40:$AV40),AN40))))</f>
        <v/>
      </c>
      <c r="BP40" s="288"/>
      <c r="BQ40" s="118" t="str">
        <f t="shared" si="2"/>
        <v/>
      </c>
      <c r="BR40" s="110" t="str">
        <f t="shared" si="3"/>
        <v/>
      </c>
      <c r="BS40" s="119" t="str">
        <f t="shared" si="4"/>
        <v/>
      </c>
      <c r="BT40" s="110" t="str">
        <f t="shared" si="5"/>
        <v/>
      </c>
      <c r="BU40" s="110" t="str">
        <f t="shared" si="6"/>
        <v/>
      </c>
      <c r="BV40" s="110" t="str">
        <f t="shared" si="7"/>
        <v/>
      </c>
      <c r="BW40" s="119" t="str">
        <f t="shared" si="8"/>
        <v/>
      </c>
      <c r="BX40" s="119" t="str">
        <f t="shared" si="9"/>
        <v/>
      </c>
      <c r="BY40" s="110" t="str">
        <f t="shared" si="10"/>
        <v/>
      </c>
      <c r="BZ40" s="151" t="str">
        <f t="shared" si="11"/>
        <v/>
      </c>
      <c r="CA40" s="151" t="str">
        <f t="shared" si="12"/>
        <v/>
      </c>
      <c r="CB40" s="111" t="str">
        <f t="shared" si="17"/>
        <v/>
      </c>
      <c r="CC40" s="118" t="str">
        <f t="shared" si="13"/>
        <v/>
      </c>
      <c r="CD40" s="110" t="str">
        <f t="shared" si="14"/>
        <v/>
      </c>
      <c r="CE40" s="119" t="str">
        <f t="shared" si="15"/>
        <v/>
      </c>
      <c r="CF40" s="119" t="str">
        <f t="shared" si="18"/>
        <v/>
      </c>
      <c r="CG40" s="111" t="str">
        <f t="shared" si="16"/>
        <v/>
      </c>
      <c r="CH40" s="148" t="str">
        <f>IF('2.ชื่อนักเรียน'!R42="มส","",IF('2.ชื่อนักเรียน'!R42="ย้าย","",IF(C40="","",SUM(BQ40:CG40)/SUM(top))))</f>
        <v/>
      </c>
      <c r="CI40" s="21" t="str">
        <f>IF('2.ชื่อนักเรียน'!R42="มส","มส",IF('2.ชื่อนักเรียน'!R42="ย้าย","ย้าย",IF('2.ชื่อนักเรียน'!R42="ร","ร",IF(CH40="","",RANK(CH40,$CH$9:$CH$53,0)))))</f>
        <v/>
      </c>
    </row>
    <row r="41" spans="1:87" s="29" customFormat="1" ht="16.5" customHeight="1" x14ac:dyDescent="0.25">
      <c r="A41" s="31">
        <v>33</v>
      </c>
      <c r="B41" s="305" t="str">
        <f>IF(IDstu33="","",IDstu33)</f>
        <v/>
      </c>
      <c r="C41" s="699" t="str">
        <f>IF(Name33="","",Name33)</f>
        <v/>
      </c>
      <c r="D41" s="700"/>
      <c r="E41" s="700"/>
      <c r="F41" s="700"/>
      <c r="G41" s="700"/>
      <c r="H41" s="700" t="str">
        <f>IF(Surname33="","",Surname33)</f>
        <v/>
      </c>
      <c r="I41" s="700"/>
      <c r="J41" s="700"/>
      <c r="K41" s="700"/>
      <c r="L41" s="701"/>
      <c r="M41" s="234" t="str">
        <f>VLOOKUP($B41,'6.คีย์ปลายภาค'!$C$6:$EI$50,9,FALSE)</f>
        <v/>
      </c>
      <c r="N41" s="230" t="str">
        <f>VLOOKUP($B41,'6.คีย์ปลายภาค'!$C$6:$EI$50,14,FALSE)</f>
        <v/>
      </c>
      <c r="O41" s="230" t="str">
        <f>VLOOKUP($B41,'6.คีย์ปลายภาค'!$C$6:$EI$50,19,FALSE)</f>
        <v/>
      </c>
      <c r="P41" s="230" t="str">
        <f>VLOOKUP($B41,'6.คีย์ปลายภาค'!$C$6:$EI$50,24,FALSE)</f>
        <v/>
      </c>
      <c r="Q41" s="230" t="str">
        <f>VLOOKUP($B41,'6.คีย์ปลายภาค'!$C$6:$EI$50,29,FALSE)</f>
        <v/>
      </c>
      <c r="R41" s="230" t="str">
        <f>VLOOKUP($B41,'6.คีย์ปลายภาค'!$C$6:$EI$50,34,FALSE)</f>
        <v/>
      </c>
      <c r="S41" s="230" t="str">
        <f>VLOOKUP($B41,'6.คีย์ปลายภาค'!$C$6:$EI$50,39,FALSE)</f>
        <v/>
      </c>
      <c r="T41" s="230" t="str">
        <f>VLOOKUP($B41,'6.คีย์ปลายภาค'!$C$6:$EI$50,44,FALSE)</f>
        <v/>
      </c>
      <c r="U41" s="230" t="str">
        <f>VLOOKUP($B41,'6.คีย์ปลายภาค'!$C$6:$EI$50,49,FALSE)</f>
        <v/>
      </c>
      <c r="V41" s="231" t="str">
        <f>VLOOKUP($B41,'6.คีย์ปลายภาค'!$C$6:$EI$50,54,FALSE)</f>
        <v/>
      </c>
      <c r="W41" s="231" t="str">
        <f>VLOOKUP($B41,'6.คีย์ปลายภาค'!$C$6:$EI$50,59,FALSE)</f>
        <v/>
      </c>
      <c r="X41" s="232" t="str">
        <f>VLOOKUP($B41,'6.คีย์ปลายภาค'!$C$6:$EI$50,64,FALSE)</f>
        <v/>
      </c>
      <c r="Y41" s="31">
        <v>33</v>
      </c>
      <c r="Z41" s="699" t="str">
        <f>IF(Name33="","",Name33)</f>
        <v/>
      </c>
      <c r="AA41" s="700"/>
      <c r="AB41" s="700"/>
      <c r="AC41" s="700"/>
      <c r="AD41" s="700"/>
      <c r="AE41" s="700" t="str">
        <f>IF(Surname33="","",Surname33)</f>
        <v/>
      </c>
      <c r="AF41" s="700"/>
      <c r="AG41" s="700"/>
      <c r="AH41" s="700"/>
      <c r="AI41" s="701"/>
      <c r="AJ41" s="234" t="str">
        <f>VLOOKUP($B41,'6.คีย์ปลายภาค'!$C$6:$EI$50,69,FALSE)</f>
        <v/>
      </c>
      <c r="AK41" s="230" t="str">
        <f>VLOOKUP($B41,'6.คีย์ปลายภาค'!$C$6:$EI$50,74,FALSE)</f>
        <v/>
      </c>
      <c r="AL41" s="230" t="str">
        <f>VLOOKUP($B41,'6.คีย์ปลายภาค'!$C$6:$EI$50,79,FALSE)</f>
        <v/>
      </c>
      <c r="AM41" s="231" t="str">
        <f>VLOOKUP($B41,'6.คีย์ปลายภาค'!$C$6:$EI$50,84,FALSE)</f>
        <v/>
      </c>
      <c r="AN41" s="231" t="str">
        <f>VLOOKUP($B41,'6.คีย์ปลายภาค'!$C$6:$EI$50,89,FALSE)</f>
        <v/>
      </c>
      <c r="AO41" s="231" t="str">
        <f>VLOOKUP($B41,'6.คีย์ปลายภาค'!$C$6:$EI$50,94,FALSE)</f>
        <v/>
      </c>
      <c r="AP41" s="231" t="str">
        <f>VLOOKUP($B41,'6.คีย์ปลายภาค'!$C$6:$EI$50,99,FALSE)</f>
        <v/>
      </c>
      <c r="AQ41" s="231" t="str">
        <f>VLOOKUP($B41,'6.คีย์ปลายภาค'!$C$6:$EI$50,104,FALSE)</f>
        <v/>
      </c>
      <c r="AR41" s="231" t="str">
        <f>VLOOKUP($B41,'6.คีย์ปลายภาค'!$C$6:$EI$50,109,FALSE)</f>
        <v/>
      </c>
      <c r="AS41" s="231" t="str">
        <f>VLOOKUP($B41,'6.คีย์ปลายภาค'!$C$6:$EI$50,114,FALSE)</f>
        <v/>
      </c>
      <c r="AT41" s="231" t="str">
        <f>VLOOKUP($B41,'6.คีย์ปลายภาค'!$C$6:$EI$50,119,FALSE)</f>
        <v/>
      </c>
      <c r="AU41" s="230" t="str">
        <f>VLOOKUP($B41,'6.คีย์ปลายภาค'!$C$6:$EI$50,124,FALSE)</f>
        <v/>
      </c>
      <c r="AV41" s="520" t="str">
        <f>VLOOKUP($B41,'6.คีย์ปลายภาค'!$C$6:$EI$50,129,FALSE)</f>
        <v/>
      </c>
      <c r="AW41" s="547" t="str">
        <f t="shared" si="1"/>
        <v/>
      </c>
      <c r="AX41" s="520" t="str">
        <f>IF('2.ชื่อนักเรียน'!R43="มส","มส",IF('2.ชื่อนักเรียน'!R43="ย้าย","ย้าย",IF('2.ชื่อนักเรียน'!R43="ร","ร",IF(AW41="","",RANK(AW41,$AW$9:$AW$53,0)))))</f>
        <v/>
      </c>
      <c r="AY41" s="118" t="str">
        <v/>
      </c>
      <c r="AZ41" s="119" t="str">
        <v/>
      </c>
      <c r="BA41" s="119" t="str">
        <v/>
      </c>
      <c r="BB41" s="110" t="str">
        <v/>
      </c>
      <c r="BC41" s="110" t="str">
        <v/>
      </c>
      <c r="BD41" s="110" t="str">
        <v/>
      </c>
      <c r="BE41" s="119" t="str">
        <v/>
      </c>
      <c r="BF41" s="119" t="str">
        <v/>
      </c>
      <c r="BG41" s="110" t="str">
        <v/>
      </c>
      <c r="BH41" s="151" t="str">
        <v/>
      </c>
      <c r="BI41" s="151" t="str">
        <v/>
      </c>
      <c r="BJ41" s="111" t="str">
        <v/>
      </c>
      <c r="BK41" s="118" t="str">
        <f>IF(AJ41="มส","มส",IF('5.กลางภาค'!AG40="","",IF($BK$7="","",IF($BK$7="SBMLD",SUM($AJ41:$AV41),AJ41))))</f>
        <v/>
      </c>
      <c r="BL41" s="119" t="str">
        <f>IF(AK41="มส","มส",IF('5.กลางภาค'!AG40="","",IF($BL$7="","",IF($BL$7="SBMLD",SUM($AK41:$AV41),AK41))))</f>
        <v/>
      </c>
      <c r="BM41" s="119" t="str">
        <f>IF(AL41="มส","มส",IF('5.กลางภาค'!AG40="","",IF($BM$7="","",IF($BM$7="SBMLD",SUM($AL41:$AV41),AL41))))</f>
        <v/>
      </c>
      <c r="BN41" s="110" t="str">
        <f>IF(AM41="มส","มส",IF('5.กลางภาค'!AG40="","",IF($BN$7="","",IF($BN$7="SBMLD",SUM($AM41:$AV41),AM41))))</f>
        <v/>
      </c>
      <c r="BO41" s="111" t="str">
        <f>IF(AN41="มส","มส",IF('5.กลางภาค'!AG40="","",IF($BO$7="","",IF($BO$7="SBMLD",SUM($AN41:$AV41),AN41))))</f>
        <v/>
      </c>
      <c r="BP41" s="288"/>
      <c r="BQ41" s="118" t="str">
        <f t="shared" si="2"/>
        <v/>
      </c>
      <c r="BR41" s="119" t="str">
        <f t="shared" si="3"/>
        <v/>
      </c>
      <c r="BS41" s="119" t="str">
        <f t="shared" si="4"/>
        <v/>
      </c>
      <c r="BT41" s="110" t="str">
        <f t="shared" si="5"/>
        <v/>
      </c>
      <c r="BU41" s="110" t="str">
        <f t="shared" si="6"/>
        <v/>
      </c>
      <c r="BV41" s="110" t="str">
        <f t="shared" si="7"/>
        <v/>
      </c>
      <c r="BW41" s="119" t="str">
        <f t="shared" si="8"/>
        <v/>
      </c>
      <c r="BX41" s="119" t="str">
        <f t="shared" si="9"/>
        <v/>
      </c>
      <c r="BY41" s="110" t="str">
        <f t="shared" si="10"/>
        <v/>
      </c>
      <c r="BZ41" s="151" t="str">
        <f t="shared" si="11"/>
        <v/>
      </c>
      <c r="CA41" s="151" t="str">
        <f t="shared" si="12"/>
        <v/>
      </c>
      <c r="CB41" s="111" t="str">
        <f t="shared" si="17"/>
        <v/>
      </c>
      <c r="CC41" s="118" t="str">
        <f t="shared" si="13"/>
        <v/>
      </c>
      <c r="CD41" s="119" t="str">
        <f t="shared" si="14"/>
        <v/>
      </c>
      <c r="CE41" s="119" t="str">
        <f t="shared" si="15"/>
        <v/>
      </c>
      <c r="CF41" s="119" t="str">
        <f t="shared" si="18"/>
        <v/>
      </c>
      <c r="CG41" s="111" t="str">
        <f t="shared" si="16"/>
        <v/>
      </c>
      <c r="CH41" s="148" t="str">
        <f>IF('2.ชื่อนักเรียน'!R43="มส","",IF('2.ชื่อนักเรียน'!R43="ย้าย","",IF(C41="","",SUM(BQ41:CG41)/SUM(top))))</f>
        <v/>
      </c>
      <c r="CI41" s="21" t="str">
        <f>IF('2.ชื่อนักเรียน'!R43="มส","มส",IF('2.ชื่อนักเรียน'!R43="ย้าย","ย้าย",IF('2.ชื่อนักเรียน'!R43="ร","ร",IF(CH41="","",RANK(CH41,$CH$9:$CH$53,0)))))</f>
        <v/>
      </c>
    </row>
    <row r="42" spans="1:87" s="29" customFormat="1" ht="16.5" customHeight="1" x14ac:dyDescent="0.25">
      <c r="A42" s="31">
        <v>34</v>
      </c>
      <c r="B42" s="305" t="str">
        <f>IF(IDstu34="","",IDstu34)</f>
        <v/>
      </c>
      <c r="C42" s="699" t="str">
        <f>IF(Name34="","",Name34)</f>
        <v/>
      </c>
      <c r="D42" s="700"/>
      <c r="E42" s="700"/>
      <c r="F42" s="700"/>
      <c r="G42" s="700"/>
      <c r="H42" s="700" t="str">
        <f>IF(Surname34="","",Surname34)</f>
        <v/>
      </c>
      <c r="I42" s="700"/>
      <c r="J42" s="700"/>
      <c r="K42" s="700"/>
      <c r="L42" s="701"/>
      <c r="M42" s="234" t="str">
        <f>VLOOKUP($B42,'6.คีย์ปลายภาค'!$C$6:$EI$50,9,FALSE)</f>
        <v/>
      </c>
      <c r="N42" s="230" t="str">
        <f>VLOOKUP($B42,'6.คีย์ปลายภาค'!$C$6:$EI$50,14,FALSE)</f>
        <v/>
      </c>
      <c r="O42" s="230" t="str">
        <f>VLOOKUP($B42,'6.คีย์ปลายภาค'!$C$6:$EI$50,19,FALSE)</f>
        <v/>
      </c>
      <c r="P42" s="230" t="str">
        <f>VLOOKUP($B42,'6.คีย์ปลายภาค'!$C$6:$EI$50,24,FALSE)</f>
        <v/>
      </c>
      <c r="Q42" s="230" t="str">
        <f>VLOOKUP($B42,'6.คีย์ปลายภาค'!$C$6:$EI$50,29,FALSE)</f>
        <v/>
      </c>
      <c r="R42" s="230" t="str">
        <f>VLOOKUP($B42,'6.คีย์ปลายภาค'!$C$6:$EI$50,34,FALSE)</f>
        <v/>
      </c>
      <c r="S42" s="230" t="str">
        <f>VLOOKUP($B42,'6.คีย์ปลายภาค'!$C$6:$EI$50,39,FALSE)</f>
        <v/>
      </c>
      <c r="T42" s="230" t="str">
        <f>VLOOKUP($B42,'6.คีย์ปลายภาค'!$C$6:$EI$50,44,FALSE)</f>
        <v/>
      </c>
      <c r="U42" s="230" t="str">
        <f>VLOOKUP($B42,'6.คีย์ปลายภาค'!$C$6:$EI$50,49,FALSE)</f>
        <v/>
      </c>
      <c r="V42" s="231" t="str">
        <f>VLOOKUP($B42,'6.คีย์ปลายภาค'!$C$6:$EI$50,54,FALSE)</f>
        <v/>
      </c>
      <c r="W42" s="231" t="str">
        <f>VLOOKUP($B42,'6.คีย์ปลายภาค'!$C$6:$EI$50,59,FALSE)</f>
        <v/>
      </c>
      <c r="X42" s="232" t="str">
        <f>VLOOKUP($B42,'6.คีย์ปลายภาค'!$C$6:$EI$50,64,FALSE)</f>
        <v/>
      </c>
      <c r="Y42" s="31">
        <v>34</v>
      </c>
      <c r="Z42" s="699" t="str">
        <f>IF(Name34="","",Name34)</f>
        <v/>
      </c>
      <c r="AA42" s="700"/>
      <c r="AB42" s="700"/>
      <c r="AC42" s="700"/>
      <c r="AD42" s="700"/>
      <c r="AE42" s="700" t="str">
        <f>IF(Surname34="","",Surname34)</f>
        <v/>
      </c>
      <c r="AF42" s="700"/>
      <c r="AG42" s="700"/>
      <c r="AH42" s="700"/>
      <c r="AI42" s="701"/>
      <c r="AJ42" s="234" t="str">
        <f>VLOOKUP($B42,'6.คีย์ปลายภาค'!$C$6:$EI$50,69,FALSE)</f>
        <v/>
      </c>
      <c r="AK42" s="230" t="str">
        <f>VLOOKUP($B42,'6.คีย์ปลายภาค'!$C$6:$EI$50,74,FALSE)</f>
        <v/>
      </c>
      <c r="AL42" s="230" t="str">
        <f>VLOOKUP($B42,'6.คีย์ปลายภาค'!$C$6:$EI$50,79,FALSE)</f>
        <v/>
      </c>
      <c r="AM42" s="231" t="str">
        <f>VLOOKUP($B42,'6.คีย์ปลายภาค'!$C$6:$EI$50,84,FALSE)</f>
        <v/>
      </c>
      <c r="AN42" s="231" t="str">
        <f>VLOOKUP($B42,'6.คีย์ปลายภาค'!$C$6:$EI$50,89,FALSE)</f>
        <v/>
      </c>
      <c r="AO42" s="231" t="str">
        <f>VLOOKUP($B42,'6.คีย์ปลายภาค'!$C$6:$EI$50,94,FALSE)</f>
        <v/>
      </c>
      <c r="AP42" s="231" t="str">
        <f>VLOOKUP($B42,'6.คีย์ปลายภาค'!$C$6:$EI$50,99,FALSE)</f>
        <v/>
      </c>
      <c r="AQ42" s="231" t="str">
        <f>VLOOKUP($B42,'6.คีย์ปลายภาค'!$C$6:$EI$50,104,FALSE)</f>
        <v/>
      </c>
      <c r="AR42" s="231" t="str">
        <f>VLOOKUP($B42,'6.คีย์ปลายภาค'!$C$6:$EI$50,109,FALSE)</f>
        <v/>
      </c>
      <c r="AS42" s="231" t="str">
        <f>VLOOKUP($B42,'6.คีย์ปลายภาค'!$C$6:$EI$50,114,FALSE)</f>
        <v/>
      </c>
      <c r="AT42" s="231" t="str">
        <f>VLOOKUP($B42,'6.คีย์ปลายภาค'!$C$6:$EI$50,119,FALSE)</f>
        <v/>
      </c>
      <c r="AU42" s="230" t="str">
        <f>VLOOKUP($B42,'6.คีย์ปลายภาค'!$C$6:$EI$50,124,FALSE)</f>
        <v/>
      </c>
      <c r="AV42" s="520" t="str">
        <f>VLOOKUP($B42,'6.คีย์ปลายภาค'!$C$6:$EI$50,129,FALSE)</f>
        <v/>
      </c>
      <c r="AW42" s="547" t="str">
        <f t="shared" si="1"/>
        <v/>
      </c>
      <c r="AX42" s="520" t="str">
        <f>IF('2.ชื่อนักเรียน'!R44="มส","มส",IF('2.ชื่อนักเรียน'!R44="ย้าย","ย้าย",IF('2.ชื่อนักเรียน'!R44="ร","ร",IF(AW42="","",RANK(AW42,$AW$9:$AW$53,0)))))</f>
        <v/>
      </c>
      <c r="AY42" s="118" t="str">
        <v/>
      </c>
      <c r="AZ42" s="119" t="str">
        <v/>
      </c>
      <c r="BA42" s="119" t="str">
        <v/>
      </c>
      <c r="BB42" s="110" t="str">
        <v/>
      </c>
      <c r="BC42" s="119" t="str">
        <v/>
      </c>
      <c r="BD42" s="119" t="str">
        <v/>
      </c>
      <c r="BE42" s="119" t="str">
        <v/>
      </c>
      <c r="BF42" s="119" t="str">
        <v/>
      </c>
      <c r="BG42" s="110" t="str">
        <v/>
      </c>
      <c r="BH42" s="151" t="str">
        <v/>
      </c>
      <c r="BI42" s="151" t="str">
        <v/>
      </c>
      <c r="BJ42" s="111" t="str">
        <v/>
      </c>
      <c r="BK42" s="118" t="str">
        <f>IF(AJ42="มส","มส",IF('5.กลางภาค'!AG41="","",IF($BK$7="","",IF($BK$7="SBMLD",SUM($AJ42:$AV42),AJ42))))</f>
        <v/>
      </c>
      <c r="BL42" s="119" t="str">
        <f>IF(AK42="มส","มส",IF('5.กลางภาค'!AG41="","",IF($BL$7="","",IF($BL$7="SBMLD",SUM($AK42:$AV42),AK42))))</f>
        <v/>
      </c>
      <c r="BM42" s="119" t="str">
        <f>IF(AL42="มส","มส",IF('5.กลางภาค'!AG41="","",IF($BM$7="","",IF($BM$7="SBMLD",SUM($AL42:$AV42),AL42))))</f>
        <v/>
      </c>
      <c r="BN42" s="110" t="str">
        <f>IF(AM42="มส","มส",IF('5.กลางภาค'!AG41="","",IF($BN$7="","",IF($BN$7="SBMLD",SUM($AM42:$AV42),AM42))))</f>
        <v/>
      </c>
      <c r="BO42" s="111" t="str">
        <f>IF(AN42="มส","มส",IF('5.กลางภาค'!AG41="","",IF($BO$7="","",IF($BO$7="SBMLD",SUM($AN42:$AV42),AN42))))</f>
        <v/>
      </c>
      <c r="BP42" s="288"/>
      <c r="BQ42" s="118" t="str">
        <f t="shared" si="2"/>
        <v/>
      </c>
      <c r="BR42" s="119" t="str">
        <f t="shared" si="3"/>
        <v/>
      </c>
      <c r="BS42" s="119" t="str">
        <f t="shared" si="4"/>
        <v/>
      </c>
      <c r="BT42" s="110" t="str">
        <f t="shared" si="5"/>
        <v/>
      </c>
      <c r="BU42" s="119" t="str">
        <f t="shared" si="6"/>
        <v/>
      </c>
      <c r="BV42" s="119" t="str">
        <f t="shared" si="7"/>
        <v/>
      </c>
      <c r="BW42" s="119" t="str">
        <f t="shared" si="8"/>
        <v/>
      </c>
      <c r="BX42" s="119" t="str">
        <f t="shared" si="9"/>
        <v/>
      </c>
      <c r="BY42" s="110" t="str">
        <f t="shared" si="10"/>
        <v/>
      </c>
      <c r="BZ42" s="151" t="str">
        <f t="shared" si="11"/>
        <v/>
      </c>
      <c r="CA42" s="151" t="str">
        <f t="shared" si="12"/>
        <v/>
      </c>
      <c r="CB42" s="111" t="str">
        <f t="shared" si="17"/>
        <v/>
      </c>
      <c r="CC42" s="118" t="str">
        <f t="shared" si="13"/>
        <v/>
      </c>
      <c r="CD42" s="119" t="str">
        <f t="shared" si="14"/>
        <v/>
      </c>
      <c r="CE42" s="119" t="str">
        <f t="shared" si="15"/>
        <v/>
      </c>
      <c r="CF42" s="119" t="str">
        <f t="shared" si="18"/>
        <v/>
      </c>
      <c r="CG42" s="111" t="str">
        <f t="shared" si="16"/>
        <v/>
      </c>
      <c r="CH42" s="148" t="str">
        <f>IF('2.ชื่อนักเรียน'!R44="มส","",IF('2.ชื่อนักเรียน'!R44="ย้าย","",IF(C42="","",SUM(BQ42:CG42)/SUM(top))))</f>
        <v/>
      </c>
      <c r="CI42" s="21" t="str">
        <f>IF('2.ชื่อนักเรียน'!R44="มส","มส",IF('2.ชื่อนักเรียน'!R44="ย้าย","ย้าย",IF('2.ชื่อนักเรียน'!R44="ร","ร",IF(CH42="","",RANK(CH42,$CH$9:$CH$53,0)))))</f>
        <v/>
      </c>
    </row>
    <row r="43" spans="1:87" s="29" customFormat="1" ht="16.5" customHeight="1" x14ac:dyDescent="0.25">
      <c r="A43" s="31">
        <v>35</v>
      </c>
      <c r="B43" s="305" t="str">
        <f>IF(IDstu35="","",IDstu35)</f>
        <v/>
      </c>
      <c r="C43" s="699" t="str">
        <f>IF(Name35="","",Name35)</f>
        <v/>
      </c>
      <c r="D43" s="700"/>
      <c r="E43" s="700"/>
      <c r="F43" s="700"/>
      <c r="G43" s="700"/>
      <c r="H43" s="700" t="str">
        <f>IF(Surname35="","",Surname35)</f>
        <v/>
      </c>
      <c r="I43" s="700"/>
      <c r="J43" s="700"/>
      <c r="K43" s="700"/>
      <c r="L43" s="701"/>
      <c r="M43" s="234" t="str">
        <f>VLOOKUP($B43,'6.คีย์ปลายภาค'!$C$6:$EI$50,9,FALSE)</f>
        <v/>
      </c>
      <c r="N43" s="230" t="str">
        <f>VLOOKUP($B43,'6.คีย์ปลายภาค'!$C$6:$EI$50,14,FALSE)</f>
        <v/>
      </c>
      <c r="O43" s="230" t="str">
        <f>VLOOKUP($B43,'6.คีย์ปลายภาค'!$C$6:$EI$50,19,FALSE)</f>
        <v/>
      </c>
      <c r="P43" s="230" t="str">
        <f>VLOOKUP($B43,'6.คีย์ปลายภาค'!$C$6:$EI$50,24,FALSE)</f>
        <v/>
      </c>
      <c r="Q43" s="230" t="str">
        <f>VLOOKUP($B43,'6.คีย์ปลายภาค'!$C$6:$EI$50,29,FALSE)</f>
        <v/>
      </c>
      <c r="R43" s="230" t="str">
        <f>VLOOKUP($B43,'6.คีย์ปลายภาค'!$C$6:$EI$50,34,FALSE)</f>
        <v/>
      </c>
      <c r="S43" s="230" t="str">
        <f>VLOOKUP($B43,'6.คีย์ปลายภาค'!$C$6:$EI$50,39,FALSE)</f>
        <v/>
      </c>
      <c r="T43" s="230" t="str">
        <f>VLOOKUP($B43,'6.คีย์ปลายภาค'!$C$6:$EI$50,44,FALSE)</f>
        <v/>
      </c>
      <c r="U43" s="230" t="str">
        <f>VLOOKUP($B43,'6.คีย์ปลายภาค'!$C$6:$EI$50,49,FALSE)</f>
        <v/>
      </c>
      <c r="V43" s="231" t="str">
        <f>VLOOKUP($B43,'6.คีย์ปลายภาค'!$C$6:$EI$50,54,FALSE)</f>
        <v/>
      </c>
      <c r="W43" s="231" t="str">
        <f>VLOOKUP($B43,'6.คีย์ปลายภาค'!$C$6:$EI$50,59,FALSE)</f>
        <v/>
      </c>
      <c r="X43" s="232" t="str">
        <f>VLOOKUP($B43,'6.คีย์ปลายภาค'!$C$6:$EI$50,64,FALSE)</f>
        <v/>
      </c>
      <c r="Y43" s="31">
        <v>35</v>
      </c>
      <c r="Z43" s="699" t="str">
        <f>IF(Name35="","",Name35)</f>
        <v/>
      </c>
      <c r="AA43" s="700"/>
      <c r="AB43" s="700"/>
      <c r="AC43" s="700"/>
      <c r="AD43" s="700"/>
      <c r="AE43" s="700" t="str">
        <f>IF(Surname35="","",Surname35)</f>
        <v/>
      </c>
      <c r="AF43" s="700"/>
      <c r="AG43" s="700"/>
      <c r="AH43" s="700"/>
      <c r="AI43" s="701"/>
      <c r="AJ43" s="234" t="str">
        <f>VLOOKUP($B43,'6.คีย์ปลายภาค'!$C$6:$EI$50,69,FALSE)</f>
        <v/>
      </c>
      <c r="AK43" s="230" t="str">
        <f>VLOOKUP($B43,'6.คีย์ปลายภาค'!$C$6:$EI$50,74,FALSE)</f>
        <v/>
      </c>
      <c r="AL43" s="230" t="str">
        <f>VLOOKUP($B43,'6.คีย์ปลายภาค'!$C$6:$EI$50,79,FALSE)</f>
        <v/>
      </c>
      <c r="AM43" s="231" t="str">
        <f>VLOOKUP($B43,'6.คีย์ปลายภาค'!$C$6:$EI$50,84,FALSE)</f>
        <v/>
      </c>
      <c r="AN43" s="231" t="str">
        <f>VLOOKUP($B43,'6.คีย์ปลายภาค'!$C$6:$EI$50,89,FALSE)</f>
        <v/>
      </c>
      <c r="AO43" s="231" t="str">
        <f>VLOOKUP($B43,'6.คีย์ปลายภาค'!$C$6:$EI$50,94,FALSE)</f>
        <v/>
      </c>
      <c r="AP43" s="231" t="str">
        <f>VLOOKUP($B43,'6.คีย์ปลายภาค'!$C$6:$EI$50,99,FALSE)</f>
        <v/>
      </c>
      <c r="AQ43" s="231" t="str">
        <f>VLOOKUP($B43,'6.คีย์ปลายภาค'!$C$6:$EI$50,104,FALSE)</f>
        <v/>
      </c>
      <c r="AR43" s="231" t="str">
        <f>VLOOKUP($B43,'6.คีย์ปลายภาค'!$C$6:$EI$50,109,FALSE)</f>
        <v/>
      </c>
      <c r="AS43" s="231" t="str">
        <f>VLOOKUP($B43,'6.คีย์ปลายภาค'!$C$6:$EI$50,114,FALSE)</f>
        <v/>
      </c>
      <c r="AT43" s="231" t="str">
        <f>VLOOKUP($B43,'6.คีย์ปลายภาค'!$C$6:$EI$50,119,FALSE)</f>
        <v/>
      </c>
      <c r="AU43" s="230" t="str">
        <f>VLOOKUP($B43,'6.คีย์ปลายภาค'!$C$6:$EI$50,124,FALSE)</f>
        <v/>
      </c>
      <c r="AV43" s="520" t="str">
        <f>VLOOKUP($B43,'6.คีย์ปลายภาค'!$C$6:$EI$50,129,FALSE)</f>
        <v/>
      </c>
      <c r="AW43" s="547" t="str">
        <f t="shared" si="1"/>
        <v/>
      </c>
      <c r="AX43" s="520" t="str">
        <f>IF('2.ชื่อนักเรียน'!R45="มส","มส",IF('2.ชื่อนักเรียน'!R45="ย้าย","ย้าย",IF('2.ชื่อนักเรียน'!R45="ร","ร",IF(AW43="","",RANK(AW43,$AW$9:$AW$53,0)))))</f>
        <v/>
      </c>
      <c r="AY43" s="118" t="str">
        <v/>
      </c>
      <c r="AZ43" s="119" t="str">
        <v/>
      </c>
      <c r="BA43" s="119" t="str">
        <v/>
      </c>
      <c r="BB43" s="110" t="str">
        <v/>
      </c>
      <c r="BC43" s="119" t="str">
        <v/>
      </c>
      <c r="BD43" s="119" t="str">
        <v/>
      </c>
      <c r="BE43" s="119" t="str">
        <v/>
      </c>
      <c r="BF43" s="119" t="str">
        <v/>
      </c>
      <c r="BG43" s="110" t="str">
        <v/>
      </c>
      <c r="BH43" s="151" t="str">
        <v/>
      </c>
      <c r="BI43" s="151" t="str">
        <v/>
      </c>
      <c r="BJ43" s="111" t="str">
        <v/>
      </c>
      <c r="BK43" s="118" t="str">
        <f>IF(AJ43="มส","มส",IF('5.กลางภาค'!AG42="","",IF($BK$7="","",IF($BK$7="SBMLD",SUM($AJ43:$AV43),AJ43))))</f>
        <v/>
      </c>
      <c r="BL43" s="119" t="str">
        <f>IF(AK43="มส","มส",IF('5.กลางภาค'!AG42="","",IF($BL$7="","",IF($BL$7="SBMLD",SUM($AK43:$AV43),AK43))))</f>
        <v/>
      </c>
      <c r="BM43" s="119" t="str">
        <f>IF(AL43="มส","มส",IF('5.กลางภาค'!AG42="","",IF($BM$7="","",IF($BM$7="SBMLD",SUM($AL43:$AV43),AL43))))</f>
        <v/>
      </c>
      <c r="BN43" s="110" t="str">
        <f>IF(AM43="มส","มส",IF('5.กลางภาค'!AG42="","",IF($BN$7="","",IF($BN$7="SBMLD",SUM($AM43:$AV43),AM43))))</f>
        <v/>
      </c>
      <c r="BO43" s="111" t="str">
        <f>IF(AN43="มส","มส",IF('5.กลางภาค'!AG42="","",IF($BO$7="","",IF($BO$7="SBMLD",SUM($AN43:$AV43),AN43))))</f>
        <v/>
      </c>
      <c r="BP43" s="288"/>
      <c r="BQ43" s="118" t="str">
        <f t="shared" si="2"/>
        <v/>
      </c>
      <c r="BR43" s="119" t="str">
        <f t="shared" si="3"/>
        <v/>
      </c>
      <c r="BS43" s="119" t="str">
        <f t="shared" si="4"/>
        <v/>
      </c>
      <c r="BT43" s="110" t="str">
        <f t="shared" si="5"/>
        <v/>
      </c>
      <c r="BU43" s="119" t="str">
        <f t="shared" si="6"/>
        <v/>
      </c>
      <c r="BV43" s="119" t="str">
        <f t="shared" si="7"/>
        <v/>
      </c>
      <c r="BW43" s="119" t="str">
        <f t="shared" si="8"/>
        <v/>
      </c>
      <c r="BX43" s="119" t="str">
        <f t="shared" si="9"/>
        <v/>
      </c>
      <c r="BY43" s="110" t="str">
        <f t="shared" si="10"/>
        <v/>
      </c>
      <c r="BZ43" s="151" t="str">
        <f t="shared" si="11"/>
        <v/>
      </c>
      <c r="CA43" s="151" t="str">
        <f t="shared" si="12"/>
        <v/>
      </c>
      <c r="CB43" s="111" t="str">
        <f t="shared" si="17"/>
        <v/>
      </c>
      <c r="CC43" s="118" t="str">
        <f t="shared" si="13"/>
        <v/>
      </c>
      <c r="CD43" s="119" t="str">
        <f t="shared" si="14"/>
        <v/>
      </c>
      <c r="CE43" s="119" t="str">
        <f t="shared" si="15"/>
        <v/>
      </c>
      <c r="CF43" s="119" t="str">
        <f t="shared" si="18"/>
        <v/>
      </c>
      <c r="CG43" s="111" t="str">
        <f t="shared" si="16"/>
        <v/>
      </c>
      <c r="CH43" s="148" t="str">
        <f>IF('2.ชื่อนักเรียน'!R45="มส","",IF('2.ชื่อนักเรียน'!R45="ย้าย","",IF(C43="","",SUM(BQ43:CG43)/SUM(top))))</f>
        <v/>
      </c>
      <c r="CI43" s="21" t="str">
        <f>IF('2.ชื่อนักเรียน'!R45="มส","มส",IF('2.ชื่อนักเรียน'!R45="ย้าย","ย้าย",IF('2.ชื่อนักเรียน'!R45="ร","ร",IF(CH43="","",RANK(CH43,$CH$9:$CH$53,0)))))</f>
        <v/>
      </c>
    </row>
    <row r="44" spans="1:87" s="29" customFormat="1" ht="16.5" customHeight="1" x14ac:dyDescent="0.25">
      <c r="A44" s="31">
        <v>36</v>
      </c>
      <c r="B44" s="305" t="str">
        <f>IF(IDstu36="","",IDstu36)</f>
        <v/>
      </c>
      <c r="C44" s="699" t="str">
        <f>IF(Name36="","",Name36)</f>
        <v/>
      </c>
      <c r="D44" s="700"/>
      <c r="E44" s="700"/>
      <c r="F44" s="700"/>
      <c r="G44" s="700"/>
      <c r="H44" s="700" t="str">
        <f>IF(Surname36="","",Surname36)</f>
        <v/>
      </c>
      <c r="I44" s="700"/>
      <c r="J44" s="700"/>
      <c r="K44" s="700"/>
      <c r="L44" s="701"/>
      <c r="M44" s="234" t="str">
        <f>VLOOKUP($B44,'6.คีย์ปลายภาค'!$C$6:$EI$50,9,FALSE)</f>
        <v/>
      </c>
      <c r="N44" s="230" t="str">
        <f>VLOOKUP($B44,'6.คีย์ปลายภาค'!$C$6:$EI$50,14,FALSE)</f>
        <v/>
      </c>
      <c r="O44" s="230" t="str">
        <f>VLOOKUP($B44,'6.คีย์ปลายภาค'!$C$6:$EI$50,19,FALSE)</f>
        <v/>
      </c>
      <c r="P44" s="230" t="str">
        <f>VLOOKUP($B44,'6.คีย์ปลายภาค'!$C$6:$EI$50,24,FALSE)</f>
        <v/>
      </c>
      <c r="Q44" s="230" t="str">
        <f>VLOOKUP($B44,'6.คีย์ปลายภาค'!$C$6:$EI$50,29,FALSE)</f>
        <v/>
      </c>
      <c r="R44" s="230" t="str">
        <f>VLOOKUP($B44,'6.คีย์ปลายภาค'!$C$6:$EI$50,34,FALSE)</f>
        <v/>
      </c>
      <c r="S44" s="230" t="str">
        <f>VLOOKUP($B44,'6.คีย์ปลายภาค'!$C$6:$EI$50,39,FALSE)</f>
        <v/>
      </c>
      <c r="T44" s="230" t="str">
        <f>VLOOKUP($B44,'6.คีย์ปลายภาค'!$C$6:$EI$50,44,FALSE)</f>
        <v/>
      </c>
      <c r="U44" s="230" t="str">
        <f>VLOOKUP($B44,'6.คีย์ปลายภาค'!$C$6:$EI$50,49,FALSE)</f>
        <v/>
      </c>
      <c r="V44" s="231" t="str">
        <f>VLOOKUP($B44,'6.คีย์ปลายภาค'!$C$6:$EI$50,54,FALSE)</f>
        <v/>
      </c>
      <c r="W44" s="231" t="str">
        <f>VLOOKUP($B44,'6.คีย์ปลายภาค'!$C$6:$EI$50,59,FALSE)</f>
        <v/>
      </c>
      <c r="X44" s="232" t="str">
        <f>VLOOKUP($B44,'6.คีย์ปลายภาค'!$C$6:$EI$50,64,FALSE)</f>
        <v/>
      </c>
      <c r="Y44" s="31">
        <v>36</v>
      </c>
      <c r="Z44" s="699" t="str">
        <f>IF(Name36="","",Name36)</f>
        <v/>
      </c>
      <c r="AA44" s="700"/>
      <c r="AB44" s="700"/>
      <c r="AC44" s="700"/>
      <c r="AD44" s="700"/>
      <c r="AE44" s="700" t="str">
        <f>IF(Surname36="","",Surname36)</f>
        <v/>
      </c>
      <c r="AF44" s="700"/>
      <c r="AG44" s="700"/>
      <c r="AH44" s="700"/>
      <c r="AI44" s="701"/>
      <c r="AJ44" s="234" t="str">
        <f>VLOOKUP($B44,'6.คีย์ปลายภาค'!$C$6:$EI$50,69,FALSE)</f>
        <v/>
      </c>
      <c r="AK44" s="230" t="str">
        <f>VLOOKUP($B44,'6.คีย์ปลายภาค'!$C$6:$EI$50,74,FALSE)</f>
        <v/>
      </c>
      <c r="AL44" s="230" t="str">
        <f>VLOOKUP($B44,'6.คีย์ปลายภาค'!$C$6:$EI$50,79,FALSE)</f>
        <v/>
      </c>
      <c r="AM44" s="231" t="str">
        <f>VLOOKUP($B44,'6.คีย์ปลายภาค'!$C$6:$EI$50,84,FALSE)</f>
        <v/>
      </c>
      <c r="AN44" s="231" t="str">
        <f>VLOOKUP($B44,'6.คีย์ปลายภาค'!$C$6:$EI$50,89,FALSE)</f>
        <v/>
      </c>
      <c r="AO44" s="231" t="str">
        <f>VLOOKUP($B44,'6.คีย์ปลายภาค'!$C$6:$EI$50,94,FALSE)</f>
        <v/>
      </c>
      <c r="AP44" s="231" t="str">
        <f>VLOOKUP($B44,'6.คีย์ปลายภาค'!$C$6:$EI$50,99,FALSE)</f>
        <v/>
      </c>
      <c r="AQ44" s="231" t="str">
        <f>VLOOKUP($B44,'6.คีย์ปลายภาค'!$C$6:$EI$50,104,FALSE)</f>
        <v/>
      </c>
      <c r="AR44" s="231" t="str">
        <f>VLOOKUP($B44,'6.คีย์ปลายภาค'!$C$6:$EI$50,109,FALSE)</f>
        <v/>
      </c>
      <c r="AS44" s="231" t="str">
        <f>VLOOKUP($B44,'6.คีย์ปลายภาค'!$C$6:$EI$50,114,FALSE)</f>
        <v/>
      </c>
      <c r="AT44" s="231" t="str">
        <f>VLOOKUP($B44,'6.คีย์ปลายภาค'!$C$6:$EI$50,119,FALSE)</f>
        <v/>
      </c>
      <c r="AU44" s="230" t="str">
        <f>VLOOKUP($B44,'6.คีย์ปลายภาค'!$C$6:$EI$50,124,FALSE)</f>
        <v/>
      </c>
      <c r="AV44" s="520" t="str">
        <f>VLOOKUP($B44,'6.คีย์ปลายภาค'!$C$6:$EI$50,129,FALSE)</f>
        <v/>
      </c>
      <c r="AW44" s="547" t="str">
        <f t="shared" si="1"/>
        <v/>
      </c>
      <c r="AX44" s="520" t="str">
        <f>IF('2.ชื่อนักเรียน'!R46="มส","มส",IF('2.ชื่อนักเรียน'!R46="ย้าย","ย้าย",IF('2.ชื่อนักเรียน'!R46="ร","ร",IF(AW44="","",RANK(AW44,$AW$9:$AW$53,0)))))</f>
        <v/>
      </c>
      <c r="AY44" s="118" t="str">
        <v/>
      </c>
      <c r="AZ44" s="119" t="str">
        <v/>
      </c>
      <c r="BA44" s="119" t="str">
        <v/>
      </c>
      <c r="BB44" s="110" t="str">
        <v/>
      </c>
      <c r="BC44" s="119" t="str">
        <v/>
      </c>
      <c r="BD44" s="119" t="str">
        <v/>
      </c>
      <c r="BE44" s="119" t="str">
        <v/>
      </c>
      <c r="BF44" s="119" t="str">
        <v/>
      </c>
      <c r="BG44" s="110" t="str">
        <v/>
      </c>
      <c r="BH44" s="151" t="str">
        <v/>
      </c>
      <c r="BI44" s="151" t="str">
        <v/>
      </c>
      <c r="BJ44" s="111" t="str">
        <v/>
      </c>
      <c r="BK44" s="118" t="str">
        <f>IF(AJ44="มส","มส",IF('5.กลางภาค'!AG43="","",IF($BK$7="","",IF($BK$7="SBMLD",SUM($AJ44:$AV44),AJ44))))</f>
        <v/>
      </c>
      <c r="BL44" s="119" t="str">
        <f>IF(AK44="มส","มส",IF('5.กลางภาค'!AG43="","",IF($BL$7="","",IF($BL$7="SBMLD",SUM($AK44:$AV44),AK44))))</f>
        <v/>
      </c>
      <c r="BM44" s="119" t="str">
        <f>IF(AL44="มส","มส",IF('5.กลางภาค'!AG43="","",IF($BM$7="","",IF($BM$7="SBMLD",SUM($AL44:$AV44),AL44))))</f>
        <v/>
      </c>
      <c r="BN44" s="110" t="str">
        <f>IF(AM44="มส","มส",IF('5.กลางภาค'!AG43="","",IF($BN$7="","",IF($BN$7="SBMLD",SUM($AM44:$AV44),AM44))))</f>
        <v/>
      </c>
      <c r="BO44" s="111" t="str">
        <f>IF(AN44="มส","มส",IF('5.กลางภาค'!AG43="","",IF($BO$7="","",IF($BO$7="SBMLD",SUM($AN44:$AV44),AN44))))</f>
        <v/>
      </c>
      <c r="BP44" s="288"/>
      <c r="BQ44" s="118" t="str">
        <f t="shared" si="2"/>
        <v/>
      </c>
      <c r="BR44" s="119" t="str">
        <f t="shared" si="3"/>
        <v/>
      </c>
      <c r="BS44" s="119" t="str">
        <f t="shared" si="4"/>
        <v/>
      </c>
      <c r="BT44" s="110" t="str">
        <f t="shared" si="5"/>
        <v/>
      </c>
      <c r="BU44" s="119" t="str">
        <f t="shared" si="6"/>
        <v/>
      </c>
      <c r="BV44" s="119" t="str">
        <f t="shared" si="7"/>
        <v/>
      </c>
      <c r="BW44" s="119" t="str">
        <f t="shared" si="8"/>
        <v/>
      </c>
      <c r="BX44" s="119" t="str">
        <f t="shared" si="9"/>
        <v/>
      </c>
      <c r="BY44" s="110" t="str">
        <f t="shared" si="10"/>
        <v/>
      </c>
      <c r="BZ44" s="151" t="str">
        <f t="shared" si="11"/>
        <v/>
      </c>
      <c r="CA44" s="151" t="str">
        <f t="shared" si="12"/>
        <v/>
      </c>
      <c r="CB44" s="111" t="str">
        <f t="shared" si="17"/>
        <v/>
      </c>
      <c r="CC44" s="118" t="str">
        <f t="shared" si="13"/>
        <v/>
      </c>
      <c r="CD44" s="119" t="str">
        <f t="shared" si="14"/>
        <v/>
      </c>
      <c r="CE44" s="119" t="str">
        <f t="shared" si="15"/>
        <v/>
      </c>
      <c r="CF44" s="119" t="str">
        <f t="shared" si="18"/>
        <v/>
      </c>
      <c r="CG44" s="111" t="str">
        <f t="shared" si="16"/>
        <v/>
      </c>
      <c r="CH44" s="148" t="str">
        <f>IF('2.ชื่อนักเรียน'!R46="มส","",IF('2.ชื่อนักเรียน'!R46="ย้าย","",IF(C44="","",SUM(BQ44:CG44)/SUM(top))))</f>
        <v/>
      </c>
      <c r="CI44" s="21" t="str">
        <f>IF('2.ชื่อนักเรียน'!R46="มส","มส",IF('2.ชื่อนักเรียน'!R46="ย้าย","ย้าย",IF('2.ชื่อนักเรียน'!R46="ร","ร",IF(CH44="","",RANK(CH44,$CH$9:$CH$53,0)))))</f>
        <v/>
      </c>
    </row>
    <row r="45" spans="1:87" s="29" customFormat="1" ht="16.5" customHeight="1" x14ac:dyDescent="0.25">
      <c r="A45" s="31">
        <v>37</v>
      </c>
      <c r="B45" s="305" t="str">
        <f>IF(IDstu37="","",IDstu37)</f>
        <v/>
      </c>
      <c r="C45" s="699" t="str">
        <f>IF(Name37="","",Name37)</f>
        <v/>
      </c>
      <c r="D45" s="700"/>
      <c r="E45" s="700"/>
      <c r="F45" s="700"/>
      <c r="G45" s="700"/>
      <c r="H45" s="700" t="str">
        <f>IF(Surname37="","",Surname37)</f>
        <v/>
      </c>
      <c r="I45" s="700"/>
      <c r="J45" s="700"/>
      <c r="K45" s="700"/>
      <c r="L45" s="701"/>
      <c r="M45" s="234" t="str">
        <f>VLOOKUP($B45,'6.คีย์ปลายภาค'!$C$6:$EI$50,9,FALSE)</f>
        <v/>
      </c>
      <c r="N45" s="230" t="str">
        <f>VLOOKUP($B45,'6.คีย์ปลายภาค'!$C$6:$EI$50,14,FALSE)</f>
        <v/>
      </c>
      <c r="O45" s="230" t="str">
        <f>VLOOKUP($B45,'6.คีย์ปลายภาค'!$C$6:$EI$50,19,FALSE)</f>
        <v/>
      </c>
      <c r="P45" s="230" t="str">
        <f>VLOOKUP($B45,'6.คีย์ปลายภาค'!$C$6:$EI$50,24,FALSE)</f>
        <v/>
      </c>
      <c r="Q45" s="230" t="str">
        <f>VLOOKUP($B45,'6.คีย์ปลายภาค'!$C$6:$EI$50,29,FALSE)</f>
        <v/>
      </c>
      <c r="R45" s="230" t="str">
        <f>VLOOKUP($B45,'6.คีย์ปลายภาค'!$C$6:$EI$50,34,FALSE)</f>
        <v/>
      </c>
      <c r="S45" s="230" t="str">
        <f>VLOOKUP($B45,'6.คีย์ปลายภาค'!$C$6:$EI$50,39,FALSE)</f>
        <v/>
      </c>
      <c r="T45" s="230" t="str">
        <f>VLOOKUP($B45,'6.คีย์ปลายภาค'!$C$6:$EI$50,44,FALSE)</f>
        <v/>
      </c>
      <c r="U45" s="230" t="str">
        <f>VLOOKUP($B45,'6.คีย์ปลายภาค'!$C$6:$EI$50,49,FALSE)</f>
        <v/>
      </c>
      <c r="V45" s="231" t="str">
        <f>VLOOKUP($B45,'6.คีย์ปลายภาค'!$C$6:$EI$50,54,FALSE)</f>
        <v/>
      </c>
      <c r="W45" s="231" t="str">
        <f>VLOOKUP($B45,'6.คีย์ปลายภาค'!$C$6:$EI$50,59,FALSE)</f>
        <v/>
      </c>
      <c r="X45" s="232" t="str">
        <f>VLOOKUP($B45,'6.คีย์ปลายภาค'!$C$6:$EI$50,64,FALSE)</f>
        <v/>
      </c>
      <c r="Y45" s="31">
        <v>37</v>
      </c>
      <c r="Z45" s="699" t="str">
        <f>IF(Name37="","",Name37)</f>
        <v/>
      </c>
      <c r="AA45" s="700"/>
      <c r="AB45" s="700"/>
      <c r="AC45" s="700"/>
      <c r="AD45" s="700"/>
      <c r="AE45" s="700" t="str">
        <f>IF(Surname37="","",Surname37)</f>
        <v/>
      </c>
      <c r="AF45" s="700"/>
      <c r="AG45" s="700"/>
      <c r="AH45" s="700"/>
      <c r="AI45" s="701"/>
      <c r="AJ45" s="234" t="str">
        <f>VLOOKUP($B45,'6.คีย์ปลายภาค'!$C$6:$EI$50,69,FALSE)</f>
        <v/>
      </c>
      <c r="AK45" s="230" t="str">
        <f>VLOOKUP($B45,'6.คีย์ปลายภาค'!$C$6:$EI$50,74,FALSE)</f>
        <v/>
      </c>
      <c r="AL45" s="230" t="str">
        <f>VLOOKUP($B45,'6.คีย์ปลายภาค'!$C$6:$EI$50,79,FALSE)</f>
        <v/>
      </c>
      <c r="AM45" s="231" t="str">
        <f>VLOOKUP($B45,'6.คีย์ปลายภาค'!$C$6:$EI$50,84,FALSE)</f>
        <v/>
      </c>
      <c r="AN45" s="231" t="str">
        <f>VLOOKUP($B45,'6.คีย์ปลายภาค'!$C$6:$EI$50,89,FALSE)</f>
        <v/>
      </c>
      <c r="AO45" s="231" t="str">
        <f>VLOOKUP($B45,'6.คีย์ปลายภาค'!$C$6:$EI$50,94,FALSE)</f>
        <v/>
      </c>
      <c r="AP45" s="231" t="str">
        <f>VLOOKUP($B45,'6.คีย์ปลายภาค'!$C$6:$EI$50,99,FALSE)</f>
        <v/>
      </c>
      <c r="AQ45" s="231" t="str">
        <f>VLOOKUP($B45,'6.คีย์ปลายภาค'!$C$6:$EI$50,104,FALSE)</f>
        <v/>
      </c>
      <c r="AR45" s="231" t="str">
        <f>VLOOKUP($B45,'6.คีย์ปลายภาค'!$C$6:$EI$50,109,FALSE)</f>
        <v/>
      </c>
      <c r="AS45" s="231" t="str">
        <f>VLOOKUP($B45,'6.คีย์ปลายภาค'!$C$6:$EI$50,114,FALSE)</f>
        <v/>
      </c>
      <c r="AT45" s="231" t="str">
        <f>VLOOKUP($B45,'6.คีย์ปลายภาค'!$C$6:$EI$50,119,FALSE)</f>
        <v/>
      </c>
      <c r="AU45" s="230" t="str">
        <f>VLOOKUP($B45,'6.คีย์ปลายภาค'!$C$6:$EI$50,124,FALSE)</f>
        <v/>
      </c>
      <c r="AV45" s="520" t="str">
        <f>VLOOKUP($B45,'6.คีย์ปลายภาค'!$C$6:$EI$50,129,FALSE)</f>
        <v/>
      </c>
      <c r="AW45" s="547" t="str">
        <f t="shared" si="1"/>
        <v/>
      </c>
      <c r="AX45" s="520" t="str">
        <f>IF('2.ชื่อนักเรียน'!R47="มส","มส",IF('2.ชื่อนักเรียน'!R47="ย้าย","ย้าย",IF('2.ชื่อนักเรียน'!R47="ร","ร",IF(AW45="","",RANK(AW45,$AW$9:$AW$53,0)))))</f>
        <v/>
      </c>
      <c r="AY45" s="118" t="str">
        <v/>
      </c>
      <c r="AZ45" s="119" t="str">
        <v/>
      </c>
      <c r="BA45" s="119" t="str">
        <v/>
      </c>
      <c r="BB45" s="110" t="str">
        <v/>
      </c>
      <c r="BC45" s="110" t="str">
        <v/>
      </c>
      <c r="BD45" s="110" t="str">
        <v/>
      </c>
      <c r="BE45" s="119" t="str">
        <v/>
      </c>
      <c r="BF45" s="119" t="str">
        <v/>
      </c>
      <c r="BG45" s="110" t="str">
        <v/>
      </c>
      <c r="BH45" s="151" t="str">
        <v/>
      </c>
      <c r="BI45" s="151" t="str">
        <v/>
      </c>
      <c r="BJ45" s="111" t="str">
        <v/>
      </c>
      <c r="BK45" s="118" t="str">
        <f>IF(AJ45="มส","มส",IF('5.กลางภาค'!AG44="","",IF($BK$7="","",IF($BK$7="SBMLD",SUM($AJ45:$AV45),AJ45))))</f>
        <v/>
      </c>
      <c r="BL45" s="119" t="str">
        <f>IF(AK45="มส","มส",IF('5.กลางภาค'!AG44="","",IF($BL$7="","",IF($BL$7="SBMLD",SUM($AK45:$AV45),AK45))))</f>
        <v/>
      </c>
      <c r="BM45" s="119" t="str">
        <f>IF(AL45="มส","มส",IF('5.กลางภาค'!AG44="","",IF($BM$7="","",IF($BM$7="SBMLD",SUM($AL45:$AV45),AL45))))</f>
        <v/>
      </c>
      <c r="BN45" s="110" t="str">
        <f>IF(AM45="มส","มส",IF('5.กลางภาค'!AG44="","",IF($BN$7="","",IF($BN$7="SBMLD",SUM($AM45:$AV45),AM45))))</f>
        <v/>
      </c>
      <c r="BO45" s="111" t="str">
        <f>IF(AN45="มส","มส",IF('5.กลางภาค'!AG44="","",IF($BO$7="","",IF($BO$7="SBMLD",SUM($AN45:$AV45),AN45))))</f>
        <v/>
      </c>
      <c r="BP45" s="288"/>
      <c r="BQ45" s="118" t="str">
        <f t="shared" si="2"/>
        <v/>
      </c>
      <c r="BR45" s="119" t="str">
        <f t="shared" si="3"/>
        <v/>
      </c>
      <c r="BS45" s="119" t="str">
        <f t="shared" si="4"/>
        <v/>
      </c>
      <c r="BT45" s="110" t="str">
        <f t="shared" si="5"/>
        <v/>
      </c>
      <c r="BU45" s="110" t="str">
        <f t="shared" si="6"/>
        <v/>
      </c>
      <c r="BV45" s="110" t="str">
        <f t="shared" si="7"/>
        <v/>
      </c>
      <c r="BW45" s="119" t="str">
        <f t="shared" si="8"/>
        <v/>
      </c>
      <c r="BX45" s="119" t="str">
        <f t="shared" si="9"/>
        <v/>
      </c>
      <c r="BY45" s="110" t="str">
        <f t="shared" si="10"/>
        <v/>
      </c>
      <c r="BZ45" s="151" t="str">
        <f t="shared" si="11"/>
        <v/>
      </c>
      <c r="CA45" s="151" t="str">
        <f t="shared" si="12"/>
        <v/>
      </c>
      <c r="CB45" s="111" t="str">
        <f t="shared" si="17"/>
        <v/>
      </c>
      <c r="CC45" s="118" t="str">
        <f t="shared" si="13"/>
        <v/>
      </c>
      <c r="CD45" s="119" t="str">
        <f t="shared" si="14"/>
        <v/>
      </c>
      <c r="CE45" s="119" t="str">
        <f t="shared" si="15"/>
        <v/>
      </c>
      <c r="CF45" s="119" t="str">
        <f t="shared" si="18"/>
        <v/>
      </c>
      <c r="CG45" s="111" t="str">
        <f t="shared" si="16"/>
        <v/>
      </c>
      <c r="CH45" s="148" t="str">
        <f>IF('2.ชื่อนักเรียน'!R47="มส","",IF('2.ชื่อนักเรียน'!R47="ย้าย","",IF(C45="","",SUM(BQ45:CG45)/SUM(top))))</f>
        <v/>
      </c>
      <c r="CI45" s="21" t="str">
        <f>IF('2.ชื่อนักเรียน'!R47="มส","มส",IF('2.ชื่อนักเรียน'!R47="ย้าย","ย้าย",IF('2.ชื่อนักเรียน'!R47="ร","ร",IF(CH45="","",RANK(CH45,$CH$9:$CH$53,0)))))</f>
        <v/>
      </c>
    </row>
    <row r="46" spans="1:87" s="29" customFormat="1" ht="16.5" customHeight="1" x14ac:dyDescent="0.25">
      <c r="A46" s="31">
        <v>38</v>
      </c>
      <c r="B46" s="305" t="str">
        <f>IF(IDstu38="","",IDstu38)</f>
        <v/>
      </c>
      <c r="C46" s="699" t="str">
        <f>IF(Name38="","",Name38)</f>
        <v/>
      </c>
      <c r="D46" s="700"/>
      <c r="E46" s="700"/>
      <c r="F46" s="700"/>
      <c r="G46" s="700"/>
      <c r="H46" s="700" t="str">
        <f>IF(Surname38="","",Surname38)</f>
        <v/>
      </c>
      <c r="I46" s="700"/>
      <c r="J46" s="700"/>
      <c r="K46" s="700"/>
      <c r="L46" s="701"/>
      <c r="M46" s="234" t="str">
        <f>VLOOKUP($B46,'6.คีย์ปลายภาค'!$C$6:$EI$50,9,FALSE)</f>
        <v/>
      </c>
      <c r="N46" s="230" t="str">
        <f>VLOOKUP($B46,'6.คีย์ปลายภาค'!$C$6:$EI$50,14,FALSE)</f>
        <v/>
      </c>
      <c r="O46" s="230" t="str">
        <f>VLOOKUP($B46,'6.คีย์ปลายภาค'!$C$6:$EI$50,19,FALSE)</f>
        <v/>
      </c>
      <c r="P46" s="230" t="str">
        <f>VLOOKUP($B46,'6.คีย์ปลายภาค'!$C$6:$EI$50,24,FALSE)</f>
        <v/>
      </c>
      <c r="Q46" s="230" t="str">
        <f>VLOOKUP($B46,'6.คีย์ปลายภาค'!$C$6:$EI$50,29,FALSE)</f>
        <v/>
      </c>
      <c r="R46" s="230" t="str">
        <f>VLOOKUP($B46,'6.คีย์ปลายภาค'!$C$6:$EI$50,34,FALSE)</f>
        <v/>
      </c>
      <c r="S46" s="230" t="str">
        <f>VLOOKUP($B46,'6.คีย์ปลายภาค'!$C$6:$EI$50,39,FALSE)</f>
        <v/>
      </c>
      <c r="T46" s="230" t="str">
        <f>VLOOKUP($B46,'6.คีย์ปลายภาค'!$C$6:$EI$50,44,FALSE)</f>
        <v/>
      </c>
      <c r="U46" s="230" t="str">
        <f>VLOOKUP($B46,'6.คีย์ปลายภาค'!$C$6:$EI$50,49,FALSE)</f>
        <v/>
      </c>
      <c r="V46" s="231" t="str">
        <f>VLOOKUP($B46,'6.คีย์ปลายภาค'!$C$6:$EI$50,54,FALSE)</f>
        <v/>
      </c>
      <c r="W46" s="231" t="str">
        <f>VLOOKUP($B46,'6.คีย์ปลายภาค'!$C$6:$EI$50,59,FALSE)</f>
        <v/>
      </c>
      <c r="X46" s="232" t="str">
        <f>VLOOKUP($B46,'6.คีย์ปลายภาค'!$C$6:$EI$50,64,FALSE)</f>
        <v/>
      </c>
      <c r="Y46" s="31">
        <v>38</v>
      </c>
      <c r="Z46" s="699" t="str">
        <f>IF(Name38="","",Name38)</f>
        <v/>
      </c>
      <c r="AA46" s="700"/>
      <c r="AB46" s="700"/>
      <c r="AC46" s="700"/>
      <c r="AD46" s="700"/>
      <c r="AE46" s="700" t="str">
        <f>IF(Surname38="","",Surname38)</f>
        <v/>
      </c>
      <c r="AF46" s="700"/>
      <c r="AG46" s="700"/>
      <c r="AH46" s="700"/>
      <c r="AI46" s="701"/>
      <c r="AJ46" s="234" t="str">
        <f>VLOOKUP($B46,'6.คีย์ปลายภาค'!$C$6:$EI$50,69,FALSE)</f>
        <v/>
      </c>
      <c r="AK46" s="230" t="str">
        <f>VLOOKUP($B46,'6.คีย์ปลายภาค'!$C$6:$EI$50,74,FALSE)</f>
        <v/>
      </c>
      <c r="AL46" s="230" t="str">
        <f>VLOOKUP($B46,'6.คีย์ปลายภาค'!$C$6:$EI$50,79,FALSE)</f>
        <v/>
      </c>
      <c r="AM46" s="231" t="str">
        <f>VLOOKUP($B46,'6.คีย์ปลายภาค'!$C$6:$EI$50,84,FALSE)</f>
        <v/>
      </c>
      <c r="AN46" s="231" t="str">
        <f>VLOOKUP($B46,'6.คีย์ปลายภาค'!$C$6:$EI$50,89,FALSE)</f>
        <v/>
      </c>
      <c r="AO46" s="231" t="str">
        <f>VLOOKUP($B46,'6.คีย์ปลายภาค'!$C$6:$EI$50,94,FALSE)</f>
        <v/>
      </c>
      <c r="AP46" s="231" t="str">
        <f>VLOOKUP($B46,'6.คีย์ปลายภาค'!$C$6:$EI$50,99,FALSE)</f>
        <v/>
      </c>
      <c r="AQ46" s="231" t="str">
        <f>VLOOKUP($B46,'6.คีย์ปลายภาค'!$C$6:$EI$50,104,FALSE)</f>
        <v/>
      </c>
      <c r="AR46" s="231" t="str">
        <f>VLOOKUP($B46,'6.คีย์ปลายภาค'!$C$6:$EI$50,109,FALSE)</f>
        <v/>
      </c>
      <c r="AS46" s="231" t="str">
        <f>VLOOKUP($B46,'6.คีย์ปลายภาค'!$C$6:$EI$50,114,FALSE)</f>
        <v/>
      </c>
      <c r="AT46" s="231" t="str">
        <f>VLOOKUP($B46,'6.คีย์ปลายภาค'!$C$6:$EI$50,119,FALSE)</f>
        <v/>
      </c>
      <c r="AU46" s="230" t="str">
        <f>VLOOKUP($B46,'6.คีย์ปลายภาค'!$C$6:$EI$50,124,FALSE)</f>
        <v/>
      </c>
      <c r="AV46" s="520" t="str">
        <f>VLOOKUP($B46,'6.คีย์ปลายภาค'!$C$6:$EI$50,129,FALSE)</f>
        <v/>
      </c>
      <c r="AW46" s="547" t="str">
        <f t="shared" si="1"/>
        <v/>
      </c>
      <c r="AX46" s="520" t="str">
        <f>IF('2.ชื่อนักเรียน'!R48="มส","มส",IF('2.ชื่อนักเรียน'!R48="ย้าย","ย้าย",IF('2.ชื่อนักเรียน'!R48="ร","ร",IF(AW46="","",RANK(AW46,$AW$9:$AW$53,0)))))</f>
        <v/>
      </c>
      <c r="AY46" s="118" t="str">
        <v/>
      </c>
      <c r="AZ46" s="119" t="str">
        <v/>
      </c>
      <c r="BA46" s="119" t="str">
        <v/>
      </c>
      <c r="BB46" s="110" t="str">
        <v/>
      </c>
      <c r="BC46" s="110" t="str">
        <v/>
      </c>
      <c r="BD46" s="110" t="str">
        <v/>
      </c>
      <c r="BE46" s="119" t="str">
        <v/>
      </c>
      <c r="BF46" s="119" t="str">
        <v/>
      </c>
      <c r="BG46" s="110" t="str">
        <v/>
      </c>
      <c r="BH46" s="151" t="str">
        <v/>
      </c>
      <c r="BI46" s="151" t="str">
        <v/>
      </c>
      <c r="BJ46" s="111" t="str">
        <v/>
      </c>
      <c r="BK46" s="118" t="str">
        <f>IF(AJ46="มส","มส",IF('5.กลางภาค'!AG45="","",IF($BK$7="","",IF($BK$7="SBMLD",SUM($AJ46:$AV46),AJ46))))</f>
        <v/>
      </c>
      <c r="BL46" s="119" t="str">
        <f>IF(AK46="มส","มส",IF('5.กลางภาค'!AG45="","",IF($BL$7="","",IF($BL$7="SBMLD",SUM($AK46:$AV46),AK46))))</f>
        <v/>
      </c>
      <c r="BM46" s="119" t="str">
        <f>IF(AL46="มส","มส",IF('5.กลางภาค'!AG45="","",IF($BM$7="","",IF($BM$7="SBMLD",SUM($AL46:$AV46),AL46))))</f>
        <v/>
      </c>
      <c r="BN46" s="110" t="str">
        <f>IF(AM46="มส","มส",IF('5.กลางภาค'!AG45="","",IF($BN$7="","",IF($BN$7="SBMLD",SUM($AM46:$AV46),AM46))))</f>
        <v/>
      </c>
      <c r="BO46" s="111" t="str">
        <f>IF(AN46="มส","มส",IF('5.กลางภาค'!AG45="","",IF($BO$7="","",IF($BO$7="SBMLD",SUM($AN46:$AV46),AN46))))</f>
        <v/>
      </c>
      <c r="BP46" s="288"/>
      <c r="BQ46" s="118" t="str">
        <f t="shared" si="2"/>
        <v/>
      </c>
      <c r="BR46" s="119" t="str">
        <f t="shared" si="3"/>
        <v/>
      </c>
      <c r="BS46" s="119" t="str">
        <f t="shared" si="4"/>
        <v/>
      </c>
      <c r="BT46" s="110" t="str">
        <f t="shared" si="5"/>
        <v/>
      </c>
      <c r="BU46" s="110" t="str">
        <f t="shared" si="6"/>
        <v/>
      </c>
      <c r="BV46" s="110" t="str">
        <f t="shared" si="7"/>
        <v/>
      </c>
      <c r="BW46" s="119" t="str">
        <f t="shared" si="8"/>
        <v/>
      </c>
      <c r="BX46" s="119" t="str">
        <f t="shared" si="9"/>
        <v/>
      </c>
      <c r="BY46" s="110" t="str">
        <f t="shared" si="10"/>
        <v/>
      </c>
      <c r="BZ46" s="151" t="str">
        <f t="shared" si="11"/>
        <v/>
      </c>
      <c r="CA46" s="151" t="str">
        <f t="shared" si="12"/>
        <v/>
      </c>
      <c r="CB46" s="111" t="str">
        <f t="shared" si="17"/>
        <v/>
      </c>
      <c r="CC46" s="118" t="str">
        <f t="shared" si="13"/>
        <v/>
      </c>
      <c r="CD46" s="119" t="str">
        <f t="shared" si="14"/>
        <v/>
      </c>
      <c r="CE46" s="119" t="str">
        <f t="shared" si="15"/>
        <v/>
      </c>
      <c r="CF46" s="119" t="str">
        <f t="shared" si="18"/>
        <v/>
      </c>
      <c r="CG46" s="111" t="str">
        <f t="shared" si="16"/>
        <v/>
      </c>
      <c r="CH46" s="148" t="str">
        <f>IF('2.ชื่อนักเรียน'!R48="มส","",IF('2.ชื่อนักเรียน'!R48="ย้าย","",IF(C46="","",SUM(BQ46:CG46)/SUM(top))))</f>
        <v/>
      </c>
      <c r="CI46" s="21" t="str">
        <f>IF('2.ชื่อนักเรียน'!R48="มส","มส",IF('2.ชื่อนักเรียน'!R48="ย้าย","ย้าย",IF('2.ชื่อนักเรียน'!R48="ร","ร",IF(CH46="","",RANK(CH46,$CH$9:$CH$53,0)))))</f>
        <v/>
      </c>
    </row>
    <row r="47" spans="1:87" s="29" customFormat="1" ht="16.5" customHeight="1" x14ac:dyDescent="0.25">
      <c r="A47" s="31">
        <v>39</v>
      </c>
      <c r="B47" s="305" t="str">
        <f>IF(IDstu39="","",IDstu39)</f>
        <v/>
      </c>
      <c r="C47" s="699" t="str">
        <f>IF(Name39="","",Name39)</f>
        <v/>
      </c>
      <c r="D47" s="700"/>
      <c r="E47" s="700"/>
      <c r="F47" s="700"/>
      <c r="G47" s="700"/>
      <c r="H47" s="700" t="str">
        <f>IF(Surname39="","",Surname39)</f>
        <v/>
      </c>
      <c r="I47" s="700"/>
      <c r="J47" s="700"/>
      <c r="K47" s="700"/>
      <c r="L47" s="701"/>
      <c r="M47" s="234" t="str">
        <f>VLOOKUP($B47,'6.คีย์ปลายภาค'!$C$6:$EI$50,9,FALSE)</f>
        <v/>
      </c>
      <c r="N47" s="230" t="str">
        <f>VLOOKUP($B47,'6.คีย์ปลายภาค'!$C$6:$EI$50,14,FALSE)</f>
        <v/>
      </c>
      <c r="O47" s="230" t="str">
        <f>VLOOKUP($B47,'6.คีย์ปลายภาค'!$C$6:$EI$50,19,FALSE)</f>
        <v/>
      </c>
      <c r="P47" s="230" t="str">
        <f>VLOOKUP($B47,'6.คีย์ปลายภาค'!$C$6:$EI$50,24,FALSE)</f>
        <v/>
      </c>
      <c r="Q47" s="230" t="str">
        <f>VLOOKUP($B47,'6.คีย์ปลายภาค'!$C$6:$EI$50,29,FALSE)</f>
        <v/>
      </c>
      <c r="R47" s="230" t="str">
        <f>VLOOKUP($B47,'6.คีย์ปลายภาค'!$C$6:$EI$50,34,FALSE)</f>
        <v/>
      </c>
      <c r="S47" s="230" t="str">
        <f>VLOOKUP($B47,'6.คีย์ปลายภาค'!$C$6:$EI$50,39,FALSE)</f>
        <v/>
      </c>
      <c r="T47" s="230" t="str">
        <f>VLOOKUP($B47,'6.คีย์ปลายภาค'!$C$6:$EI$50,44,FALSE)</f>
        <v/>
      </c>
      <c r="U47" s="230" t="str">
        <f>VLOOKUP($B47,'6.คีย์ปลายภาค'!$C$6:$EI$50,49,FALSE)</f>
        <v/>
      </c>
      <c r="V47" s="231" t="str">
        <f>VLOOKUP($B47,'6.คีย์ปลายภาค'!$C$6:$EI$50,54,FALSE)</f>
        <v/>
      </c>
      <c r="W47" s="231" t="str">
        <f>VLOOKUP($B47,'6.คีย์ปลายภาค'!$C$6:$EI$50,59,FALSE)</f>
        <v/>
      </c>
      <c r="X47" s="232" t="str">
        <f>VLOOKUP($B47,'6.คีย์ปลายภาค'!$C$6:$EI$50,64,FALSE)</f>
        <v/>
      </c>
      <c r="Y47" s="31">
        <v>39</v>
      </c>
      <c r="Z47" s="699" t="str">
        <f>IF(Name39="","",Name39)</f>
        <v/>
      </c>
      <c r="AA47" s="700"/>
      <c r="AB47" s="700"/>
      <c r="AC47" s="700"/>
      <c r="AD47" s="700"/>
      <c r="AE47" s="700" t="str">
        <f>IF(Surname39="","",Surname39)</f>
        <v/>
      </c>
      <c r="AF47" s="700"/>
      <c r="AG47" s="700"/>
      <c r="AH47" s="700"/>
      <c r="AI47" s="701"/>
      <c r="AJ47" s="234" t="str">
        <f>VLOOKUP($B47,'6.คีย์ปลายภาค'!$C$6:$EI$50,69,FALSE)</f>
        <v/>
      </c>
      <c r="AK47" s="230" t="str">
        <f>VLOOKUP($B47,'6.คีย์ปลายภาค'!$C$6:$EI$50,74,FALSE)</f>
        <v/>
      </c>
      <c r="AL47" s="230" t="str">
        <f>VLOOKUP($B47,'6.คีย์ปลายภาค'!$C$6:$EI$50,79,FALSE)</f>
        <v/>
      </c>
      <c r="AM47" s="231" t="str">
        <f>VLOOKUP($B47,'6.คีย์ปลายภาค'!$C$6:$EI$50,84,FALSE)</f>
        <v/>
      </c>
      <c r="AN47" s="231" t="str">
        <f>VLOOKUP($B47,'6.คีย์ปลายภาค'!$C$6:$EI$50,89,FALSE)</f>
        <v/>
      </c>
      <c r="AO47" s="231" t="str">
        <f>VLOOKUP($B47,'6.คีย์ปลายภาค'!$C$6:$EI$50,94,FALSE)</f>
        <v/>
      </c>
      <c r="AP47" s="231" t="str">
        <f>VLOOKUP($B47,'6.คีย์ปลายภาค'!$C$6:$EI$50,99,FALSE)</f>
        <v/>
      </c>
      <c r="AQ47" s="231" t="str">
        <f>VLOOKUP($B47,'6.คีย์ปลายภาค'!$C$6:$EI$50,104,FALSE)</f>
        <v/>
      </c>
      <c r="AR47" s="231" t="str">
        <f>VLOOKUP($B47,'6.คีย์ปลายภาค'!$C$6:$EI$50,109,FALSE)</f>
        <v/>
      </c>
      <c r="AS47" s="231" t="str">
        <f>VLOOKUP($B47,'6.คีย์ปลายภาค'!$C$6:$EI$50,114,FALSE)</f>
        <v/>
      </c>
      <c r="AT47" s="231" t="str">
        <f>VLOOKUP($B47,'6.คีย์ปลายภาค'!$C$6:$EI$50,119,FALSE)</f>
        <v/>
      </c>
      <c r="AU47" s="230" t="str">
        <f>VLOOKUP($B47,'6.คีย์ปลายภาค'!$C$6:$EI$50,124,FALSE)</f>
        <v/>
      </c>
      <c r="AV47" s="520" t="str">
        <f>VLOOKUP($B47,'6.คีย์ปลายภาค'!$C$6:$EI$50,129,FALSE)</f>
        <v/>
      </c>
      <c r="AW47" s="547" t="str">
        <f t="shared" si="1"/>
        <v/>
      </c>
      <c r="AX47" s="520" t="str">
        <f>IF('2.ชื่อนักเรียน'!R49="มส","มส",IF('2.ชื่อนักเรียน'!R49="ย้าย","ย้าย",IF('2.ชื่อนักเรียน'!R49="ร","ร",IF(AW47="","",RANK(AW47,$AW$9:$AW$53,0)))))</f>
        <v/>
      </c>
      <c r="AY47" s="118" t="str">
        <v/>
      </c>
      <c r="AZ47" s="119" t="str">
        <v/>
      </c>
      <c r="BA47" s="119" t="str">
        <v/>
      </c>
      <c r="BB47" s="110" t="str">
        <v/>
      </c>
      <c r="BC47" s="119" t="str">
        <v/>
      </c>
      <c r="BD47" s="119" t="str">
        <v/>
      </c>
      <c r="BE47" s="119" t="str">
        <v/>
      </c>
      <c r="BF47" s="119" t="str">
        <v/>
      </c>
      <c r="BG47" s="110" t="str">
        <v/>
      </c>
      <c r="BH47" s="151" t="str">
        <v/>
      </c>
      <c r="BI47" s="151" t="str">
        <v/>
      </c>
      <c r="BJ47" s="111" t="str">
        <v/>
      </c>
      <c r="BK47" s="118" t="str">
        <f>IF(AJ47="มส","มส",IF('5.กลางภาค'!AG46="","",IF($BK$7="","",IF($BK$7="SBMLD",SUM($AJ47:$AV47),AJ47))))</f>
        <v/>
      </c>
      <c r="BL47" s="119" t="str">
        <f>IF(AK47="มส","มส",IF('5.กลางภาค'!AG46="","",IF($BL$7="","",IF($BL$7="SBMLD",SUM($AK47:$AV47),AK47))))</f>
        <v/>
      </c>
      <c r="BM47" s="119" t="str">
        <f>IF(AL47="มส","มส",IF('5.กลางภาค'!AG46="","",IF($BM$7="","",IF($BM$7="SBMLD",SUM($AL47:$AV47),AL47))))</f>
        <v/>
      </c>
      <c r="BN47" s="110" t="str">
        <f>IF(AM47="มส","มส",IF('5.กลางภาค'!AG46="","",IF($BN$7="","",IF($BN$7="SBMLD",SUM($AM47:$AV47),AM47))))</f>
        <v/>
      </c>
      <c r="BO47" s="111" t="str">
        <f>IF(AN47="มส","มส",IF('5.กลางภาค'!AG46="","",IF($BO$7="","",IF($BO$7="SBMLD",SUM($AN47:$AV47),AN47))))</f>
        <v/>
      </c>
      <c r="BP47" s="288"/>
      <c r="BQ47" s="118" t="str">
        <f t="shared" si="2"/>
        <v/>
      </c>
      <c r="BR47" s="119" t="str">
        <f t="shared" si="3"/>
        <v/>
      </c>
      <c r="BS47" s="119" t="str">
        <f t="shared" si="4"/>
        <v/>
      </c>
      <c r="BT47" s="110" t="str">
        <f t="shared" si="5"/>
        <v/>
      </c>
      <c r="BU47" s="119" t="str">
        <f t="shared" si="6"/>
        <v/>
      </c>
      <c r="BV47" s="119" t="str">
        <f t="shared" si="7"/>
        <v/>
      </c>
      <c r="BW47" s="119" t="str">
        <f t="shared" si="8"/>
        <v/>
      </c>
      <c r="BX47" s="119" t="str">
        <f t="shared" si="9"/>
        <v/>
      </c>
      <c r="BY47" s="110" t="str">
        <f t="shared" si="10"/>
        <v/>
      </c>
      <c r="BZ47" s="151" t="str">
        <f t="shared" si="11"/>
        <v/>
      </c>
      <c r="CA47" s="151" t="str">
        <f t="shared" si="12"/>
        <v/>
      </c>
      <c r="CB47" s="111" t="str">
        <f t="shared" si="17"/>
        <v/>
      </c>
      <c r="CC47" s="118" t="str">
        <f t="shared" si="13"/>
        <v/>
      </c>
      <c r="CD47" s="119" t="str">
        <f t="shared" si="14"/>
        <v/>
      </c>
      <c r="CE47" s="119" t="str">
        <f t="shared" si="15"/>
        <v/>
      </c>
      <c r="CF47" s="119" t="str">
        <f t="shared" si="18"/>
        <v/>
      </c>
      <c r="CG47" s="111" t="str">
        <f t="shared" si="16"/>
        <v/>
      </c>
      <c r="CH47" s="148" t="str">
        <f>IF('2.ชื่อนักเรียน'!R49="มส","",IF('2.ชื่อนักเรียน'!R49="ย้าย","",IF(C47="","",SUM(BQ47:CG47)/SUM(top))))</f>
        <v/>
      </c>
      <c r="CI47" s="21" t="str">
        <f>IF('2.ชื่อนักเรียน'!R49="มส","มส",IF('2.ชื่อนักเรียน'!R49="ย้าย","ย้าย",IF('2.ชื่อนักเรียน'!R49="ร","ร",IF(CH47="","",RANK(CH47,$CH$9:$CH$53,0)))))</f>
        <v/>
      </c>
    </row>
    <row r="48" spans="1:87" s="29" customFormat="1" ht="16.5" customHeight="1" x14ac:dyDescent="0.25">
      <c r="A48" s="31">
        <v>40</v>
      </c>
      <c r="B48" s="305" t="str">
        <f>IF(IDstu40="","",IDstu40)</f>
        <v/>
      </c>
      <c r="C48" s="699" t="str">
        <f>IF(Name40="","",Name40)</f>
        <v/>
      </c>
      <c r="D48" s="700"/>
      <c r="E48" s="700"/>
      <c r="F48" s="700"/>
      <c r="G48" s="700"/>
      <c r="H48" s="700" t="str">
        <f>IF(Surname40="","",Surname40)</f>
        <v/>
      </c>
      <c r="I48" s="700"/>
      <c r="J48" s="700"/>
      <c r="K48" s="700"/>
      <c r="L48" s="701"/>
      <c r="M48" s="234" t="str">
        <f>VLOOKUP($B48,'6.คีย์ปลายภาค'!$C$6:$EI$50,9,FALSE)</f>
        <v/>
      </c>
      <c r="N48" s="230" t="str">
        <f>VLOOKUP($B48,'6.คีย์ปลายภาค'!$C$6:$EI$50,14,FALSE)</f>
        <v/>
      </c>
      <c r="O48" s="230" t="str">
        <f>VLOOKUP($B48,'6.คีย์ปลายภาค'!$C$6:$EI$50,19,FALSE)</f>
        <v/>
      </c>
      <c r="P48" s="230" t="str">
        <f>VLOOKUP($B48,'6.คีย์ปลายภาค'!$C$6:$EI$50,24,FALSE)</f>
        <v/>
      </c>
      <c r="Q48" s="230" t="str">
        <f>VLOOKUP($B48,'6.คีย์ปลายภาค'!$C$6:$EI$50,29,FALSE)</f>
        <v/>
      </c>
      <c r="R48" s="230" t="str">
        <f>VLOOKUP($B48,'6.คีย์ปลายภาค'!$C$6:$EI$50,34,FALSE)</f>
        <v/>
      </c>
      <c r="S48" s="230" t="str">
        <f>VLOOKUP($B48,'6.คีย์ปลายภาค'!$C$6:$EI$50,39,FALSE)</f>
        <v/>
      </c>
      <c r="T48" s="230" t="str">
        <f>VLOOKUP($B48,'6.คีย์ปลายภาค'!$C$6:$EI$50,44,FALSE)</f>
        <v/>
      </c>
      <c r="U48" s="230" t="str">
        <f>VLOOKUP($B48,'6.คีย์ปลายภาค'!$C$6:$EI$50,49,FALSE)</f>
        <v/>
      </c>
      <c r="V48" s="231" t="str">
        <f>VLOOKUP($B48,'6.คีย์ปลายภาค'!$C$6:$EI$50,54,FALSE)</f>
        <v/>
      </c>
      <c r="W48" s="231" t="str">
        <f>VLOOKUP($B48,'6.คีย์ปลายภาค'!$C$6:$EI$50,59,FALSE)</f>
        <v/>
      </c>
      <c r="X48" s="232" t="str">
        <f>VLOOKUP($B48,'6.คีย์ปลายภาค'!$C$6:$EI$50,64,FALSE)</f>
        <v/>
      </c>
      <c r="Y48" s="31">
        <v>40</v>
      </c>
      <c r="Z48" s="699" t="str">
        <f>IF(Name40="","",Name40)</f>
        <v/>
      </c>
      <c r="AA48" s="700"/>
      <c r="AB48" s="700"/>
      <c r="AC48" s="700"/>
      <c r="AD48" s="700"/>
      <c r="AE48" s="700" t="str">
        <f>IF(Surname40="","",Surname40)</f>
        <v/>
      </c>
      <c r="AF48" s="700"/>
      <c r="AG48" s="700"/>
      <c r="AH48" s="700"/>
      <c r="AI48" s="701"/>
      <c r="AJ48" s="234" t="str">
        <f>VLOOKUP($B48,'6.คีย์ปลายภาค'!$C$6:$EI$50,69,FALSE)</f>
        <v/>
      </c>
      <c r="AK48" s="230" t="str">
        <f>VLOOKUP($B48,'6.คีย์ปลายภาค'!$C$6:$EI$50,74,FALSE)</f>
        <v/>
      </c>
      <c r="AL48" s="230" t="str">
        <f>VLOOKUP($B48,'6.คีย์ปลายภาค'!$C$6:$EI$50,79,FALSE)</f>
        <v/>
      </c>
      <c r="AM48" s="231" t="str">
        <f>VLOOKUP($B48,'6.คีย์ปลายภาค'!$C$6:$EI$50,84,FALSE)</f>
        <v/>
      </c>
      <c r="AN48" s="231" t="str">
        <f>VLOOKUP($B48,'6.คีย์ปลายภาค'!$C$6:$EI$50,89,FALSE)</f>
        <v/>
      </c>
      <c r="AO48" s="231" t="str">
        <f>VLOOKUP($B48,'6.คีย์ปลายภาค'!$C$6:$EI$50,94,FALSE)</f>
        <v/>
      </c>
      <c r="AP48" s="231" t="str">
        <f>VLOOKUP($B48,'6.คีย์ปลายภาค'!$C$6:$EI$50,99,FALSE)</f>
        <v/>
      </c>
      <c r="AQ48" s="231" t="str">
        <f>VLOOKUP($B48,'6.คีย์ปลายภาค'!$C$6:$EI$50,104,FALSE)</f>
        <v/>
      </c>
      <c r="AR48" s="231" t="str">
        <f>VLOOKUP($B48,'6.คีย์ปลายภาค'!$C$6:$EI$50,109,FALSE)</f>
        <v/>
      </c>
      <c r="AS48" s="231" t="str">
        <f>VLOOKUP($B48,'6.คีย์ปลายภาค'!$C$6:$EI$50,114,FALSE)</f>
        <v/>
      </c>
      <c r="AT48" s="231" t="str">
        <f>VLOOKUP($B48,'6.คีย์ปลายภาค'!$C$6:$EI$50,119,FALSE)</f>
        <v/>
      </c>
      <c r="AU48" s="230" t="str">
        <f>VLOOKUP($B48,'6.คีย์ปลายภาค'!$C$6:$EI$50,124,FALSE)</f>
        <v/>
      </c>
      <c r="AV48" s="520" t="str">
        <f>VLOOKUP($B48,'6.คีย์ปลายภาค'!$C$6:$EI$50,129,FALSE)</f>
        <v/>
      </c>
      <c r="AW48" s="547" t="str">
        <f t="shared" si="1"/>
        <v/>
      </c>
      <c r="AX48" s="520" t="str">
        <f>IF('2.ชื่อนักเรียน'!R50="มส","มส",IF('2.ชื่อนักเรียน'!R50="ย้าย","ย้าย",IF('2.ชื่อนักเรียน'!R50="ร","ร",IF(AW48="","",RANK(AW48,$AW$9:$AW$53,0)))))</f>
        <v/>
      </c>
      <c r="AY48" s="118" t="str">
        <v/>
      </c>
      <c r="AZ48" s="119" t="str">
        <v/>
      </c>
      <c r="BA48" s="119" t="str">
        <v/>
      </c>
      <c r="BB48" s="110" t="str">
        <v/>
      </c>
      <c r="BC48" s="119" t="str">
        <v/>
      </c>
      <c r="BD48" s="119" t="str">
        <v/>
      </c>
      <c r="BE48" s="119" t="str">
        <v/>
      </c>
      <c r="BF48" s="119" t="str">
        <v/>
      </c>
      <c r="BG48" s="110" t="str">
        <v/>
      </c>
      <c r="BH48" s="151" t="str">
        <v/>
      </c>
      <c r="BI48" s="151" t="str">
        <v/>
      </c>
      <c r="BJ48" s="111" t="str">
        <v/>
      </c>
      <c r="BK48" s="118" t="str">
        <f>IF(AJ48="มส","มส",IF('5.กลางภาค'!AG47="","",IF($BK$7="","",IF($BK$7="SBMLD",SUM($AJ48:$AV48),AJ48))))</f>
        <v/>
      </c>
      <c r="BL48" s="119" t="str">
        <f>IF(AK48="มส","มส",IF('5.กลางภาค'!AG47="","",IF($BL$7="","",IF($BL$7="SBMLD",SUM($AK48:$AV48),AK48))))</f>
        <v/>
      </c>
      <c r="BM48" s="119" t="str">
        <f>IF(AL48="มส","มส",IF('5.กลางภาค'!AG47="","",IF($BM$7="","",IF($BM$7="SBMLD",SUM($AL48:$AV48),AL48))))</f>
        <v/>
      </c>
      <c r="BN48" s="110" t="str">
        <f>IF(AM48="มส","มส",IF('5.กลางภาค'!AG47="","",IF($BN$7="","",IF($BN$7="SBMLD",SUM($AM48:$AV48),AM48))))</f>
        <v/>
      </c>
      <c r="BO48" s="111" t="str">
        <f>IF(AN48="มส","มส",IF('5.กลางภาค'!AG47="","",IF($BO$7="","",IF($BO$7="SBMLD",SUM($AN48:$AV48),AN48))))</f>
        <v/>
      </c>
      <c r="BP48" s="288"/>
      <c r="BQ48" s="118" t="str">
        <f t="shared" si="2"/>
        <v/>
      </c>
      <c r="BR48" s="119" t="str">
        <f t="shared" si="3"/>
        <v/>
      </c>
      <c r="BS48" s="119" t="str">
        <f t="shared" si="4"/>
        <v/>
      </c>
      <c r="BT48" s="110" t="str">
        <f t="shared" si="5"/>
        <v/>
      </c>
      <c r="BU48" s="119" t="str">
        <f t="shared" si="6"/>
        <v/>
      </c>
      <c r="BV48" s="119" t="str">
        <f t="shared" si="7"/>
        <v/>
      </c>
      <c r="BW48" s="119" t="str">
        <f t="shared" si="8"/>
        <v/>
      </c>
      <c r="BX48" s="119" t="str">
        <f t="shared" si="9"/>
        <v/>
      </c>
      <c r="BY48" s="110" t="str">
        <f t="shared" si="10"/>
        <v/>
      </c>
      <c r="BZ48" s="151" t="str">
        <f t="shared" si="11"/>
        <v/>
      </c>
      <c r="CA48" s="151" t="str">
        <f t="shared" si="12"/>
        <v/>
      </c>
      <c r="CB48" s="111" t="str">
        <f t="shared" si="17"/>
        <v/>
      </c>
      <c r="CC48" s="118" t="str">
        <f t="shared" si="13"/>
        <v/>
      </c>
      <c r="CD48" s="119" t="str">
        <f t="shared" si="14"/>
        <v/>
      </c>
      <c r="CE48" s="119" t="str">
        <f t="shared" si="15"/>
        <v/>
      </c>
      <c r="CF48" s="119" t="str">
        <f t="shared" si="18"/>
        <v/>
      </c>
      <c r="CG48" s="111" t="str">
        <f t="shared" si="16"/>
        <v/>
      </c>
      <c r="CH48" s="148" t="str">
        <f>IF('2.ชื่อนักเรียน'!R50="มส","",IF('2.ชื่อนักเรียน'!R50="ย้าย","",IF(C48="","",SUM(BQ48:CG48)/SUM(top))))</f>
        <v/>
      </c>
      <c r="CI48" s="21" t="str">
        <f>IF('2.ชื่อนักเรียน'!R50="มส","มส",IF('2.ชื่อนักเรียน'!R50="ย้าย","ย้าย",IF('2.ชื่อนักเรียน'!R50="ร","ร",IF(CH48="","",RANK(CH48,$CH$9:$CH$53,0)))))</f>
        <v/>
      </c>
    </row>
    <row r="49" spans="1:87" s="29" customFormat="1" ht="16.5" customHeight="1" x14ac:dyDescent="0.25">
      <c r="A49" s="31">
        <v>41</v>
      </c>
      <c r="B49" s="305" t="str">
        <f>IF(IDstu41="","",IDstu41)</f>
        <v/>
      </c>
      <c r="C49" s="699" t="str">
        <f>IF(Name41="","",Name41)</f>
        <v/>
      </c>
      <c r="D49" s="700"/>
      <c r="E49" s="700"/>
      <c r="F49" s="700"/>
      <c r="G49" s="700"/>
      <c r="H49" s="700" t="str">
        <f>IF(Surname41="","",Surname41)</f>
        <v/>
      </c>
      <c r="I49" s="700"/>
      <c r="J49" s="700"/>
      <c r="K49" s="700"/>
      <c r="L49" s="701"/>
      <c r="M49" s="234" t="str">
        <f>VLOOKUP($B49,'6.คีย์ปลายภาค'!$C$6:$EI$50,9,FALSE)</f>
        <v/>
      </c>
      <c r="N49" s="230" t="str">
        <f>VLOOKUP($B49,'6.คีย์ปลายภาค'!$C$6:$EI$50,14,FALSE)</f>
        <v/>
      </c>
      <c r="O49" s="230" t="str">
        <f>VLOOKUP($B49,'6.คีย์ปลายภาค'!$C$6:$EI$50,19,FALSE)</f>
        <v/>
      </c>
      <c r="P49" s="230" t="str">
        <f>VLOOKUP($B49,'6.คีย์ปลายภาค'!$C$6:$EI$50,24,FALSE)</f>
        <v/>
      </c>
      <c r="Q49" s="230" t="str">
        <f>VLOOKUP($B49,'6.คีย์ปลายภาค'!$C$6:$EI$50,29,FALSE)</f>
        <v/>
      </c>
      <c r="R49" s="230" t="str">
        <f>VLOOKUP($B49,'6.คีย์ปลายภาค'!$C$6:$EI$50,34,FALSE)</f>
        <v/>
      </c>
      <c r="S49" s="230" t="str">
        <f>VLOOKUP($B49,'6.คีย์ปลายภาค'!$C$6:$EI$50,39,FALSE)</f>
        <v/>
      </c>
      <c r="T49" s="230" t="str">
        <f>VLOOKUP($B49,'6.คีย์ปลายภาค'!$C$6:$EI$50,44,FALSE)</f>
        <v/>
      </c>
      <c r="U49" s="230" t="str">
        <f>VLOOKUP($B49,'6.คีย์ปลายภาค'!$C$6:$EI$50,49,FALSE)</f>
        <v/>
      </c>
      <c r="V49" s="231" t="str">
        <f>VLOOKUP($B49,'6.คีย์ปลายภาค'!$C$6:$EI$50,54,FALSE)</f>
        <v/>
      </c>
      <c r="W49" s="231" t="str">
        <f>VLOOKUP($B49,'6.คีย์ปลายภาค'!$C$6:$EI$50,59,FALSE)</f>
        <v/>
      </c>
      <c r="X49" s="232" t="str">
        <f>VLOOKUP($B49,'6.คีย์ปลายภาค'!$C$6:$EI$50,64,FALSE)</f>
        <v/>
      </c>
      <c r="Y49" s="31">
        <v>41</v>
      </c>
      <c r="Z49" s="699" t="str">
        <f>IF(Name41="","",Name41)</f>
        <v/>
      </c>
      <c r="AA49" s="700"/>
      <c r="AB49" s="700"/>
      <c r="AC49" s="700"/>
      <c r="AD49" s="700"/>
      <c r="AE49" s="700" t="str">
        <f>IF(Surname41="","",Surname41)</f>
        <v/>
      </c>
      <c r="AF49" s="700"/>
      <c r="AG49" s="700"/>
      <c r="AH49" s="700"/>
      <c r="AI49" s="701"/>
      <c r="AJ49" s="234" t="str">
        <f>VLOOKUP($B49,'6.คีย์ปลายภาค'!$C$6:$EI$50,69,FALSE)</f>
        <v/>
      </c>
      <c r="AK49" s="230" t="str">
        <f>VLOOKUP($B49,'6.คีย์ปลายภาค'!$C$6:$EI$50,74,FALSE)</f>
        <v/>
      </c>
      <c r="AL49" s="230" t="str">
        <f>VLOOKUP($B49,'6.คีย์ปลายภาค'!$C$6:$EI$50,79,FALSE)</f>
        <v/>
      </c>
      <c r="AM49" s="231" t="str">
        <f>VLOOKUP($B49,'6.คีย์ปลายภาค'!$C$6:$EI$50,84,FALSE)</f>
        <v/>
      </c>
      <c r="AN49" s="231" t="str">
        <f>VLOOKUP($B49,'6.คีย์ปลายภาค'!$C$6:$EI$50,89,FALSE)</f>
        <v/>
      </c>
      <c r="AO49" s="231" t="str">
        <f>VLOOKUP($B49,'6.คีย์ปลายภาค'!$C$6:$EI$50,94,FALSE)</f>
        <v/>
      </c>
      <c r="AP49" s="231" t="str">
        <f>VLOOKUP($B49,'6.คีย์ปลายภาค'!$C$6:$EI$50,99,FALSE)</f>
        <v/>
      </c>
      <c r="AQ49" s="231" t="str">
        <f>VLOOKUP($B49,'6.คีย์ปลายภาค'!$C$6:$EI$50,104,FALSE)</f>
        <v/>
      </c>
      <c r="AR49" s="231" t="str">
        <f>VLOOKUP($B49,'6.คีย์ปลายภาค'!$C$6:$EI$50,109,FALSE)</f>
        <v/>
      </c>
      <c r="AS49" s="231" t="str">
        <f>VLOOKUP($B49,'6.คีย์ปลายภาค'!$C$6:$EI$50,114,FALSE)</f>
        <v/>
      </c>
      <c r="AT49" s="231" t="str">
        <f>VLOOKUP($B49,'6.คีย์ปลายภาค'!$C$6:$EI$50,119,FALSE)</f>
        <v/>
      </c>
      <c r="AU49" s="230" t="str">
        <f>VLOOKUP($B49,'6.คีย์ปลายภาค'!$C$6:$EI$50,124,FALSE)</f>
        <v/>
      </c>
      <c r="AV49" s="520" t="str">
        <f>VLOOKUP($B49,'6.คีย์ปลายภาค'!$C$6:$EI$50,129,FALSE)</f>
        <v/>
      </c>
      <c r="AW49" s="547" t="str">
        <f t="shared" si="1"/>
        <v/>
      </c>
      <c r="AX49" s="520" t="str">
        <f>IF('2.ชื่อนักเรียน'!R51="มส","มส",IF('2.ชื่อนักเรียน'!R51="ย้าย","ย้าย",IF('2.ชื่อนักเรียน'!R51="ร","ร",IF(AW49="","",RANK(AW49,$AW$9:$AW$53,0)))))</f>
        <v/>
      </c>
      <c r="AY49" s="118" t="str">
        <v/>
      </c>
      <c r="AZ49" s="119" t="str">
        <v/>
      </c>
      <c r="BA49" s="119" t="str">
        <v/>
      </c>
      <c r="BB49" s="110" t="str">
        <v/>
      </c>
      <c r="BC49" s="119" t="str">
        <v/>
      </c>
      <c r="BD49" s="119" t="str">
        <v/>
      </c>
      <c r="BE49" s="119" t="str">
        <v/>
      </c>
      <c r="BF49" s="119" t="str">
        <v/>
      </c>
      <c r="BG49" s="110" t="str">
        <v/>
      </c>
      <c r="BH49" s="151" t="str">
        <v/>
      </c>
      <c r="BI49" s="151" t="str">
        <v/>
      </c>
      <c r="BJ49" s="111" t="str">
        <v/>
      </c>
      <c r="BK49" s="118" t="str">
        <f>IF(AJ49="มส","มส",IF('5.กลางภาค'!AG48="","",IF($BK$7="","",IF($BK$7="SBMLD",SUM($AJ49:$AV49),AJ49))))</f>
        <v/>
      </c>
      <c r="BL49" s="119" t="str">
        <f>IF(AK49="มส","มส",IF('5.กลางภาค'!AG48="","",IF($BL$7="","",IF($BL$7="SBMLD",SUM($AK49:$AV49),AK49))))</f>
        <v/>
      </c>
      <c r="BM49" s="119" t="str">
        <f>IF(AL49="มส","มส",IF('5.กลางภาค'!AG48="","",IF($BM$7="","",IF($BM$7="SBMLD",SUM($AL49:$AV49),AL49))))</f>
        <v/>
      </c>
      <c r="BN49" s="110" t="str">
        <f>IF(AM49="มส","มส",IF('5.กลางภาค'!AG48="","",IF($BN$7="","",IF($BN$7="SBMLD",SUM($AM49:$AV49),AM49))))</f>
        <v/>
      </c>
      <c r="BO49" s="111" t="str">
        <f>IF(AN49="มส","มส",IF('5.กลางภาค'!AG48="","",IF($BO$7="","",IF($BO$7="SBMLD",SUM($AN49:$AV49),AN49))))</f>
        <v/>
      </c>
      <c r="BP49" s="288"/>
      <c r="BQ49" s="118" t="str">
        <f t="shared" si="2"/>
        <v/>
      </c>
      <c r="BR49" s="119" t="str">
        <f t="shared" si="3"/>
        <v/>
      </c>
      <c r="BS49" s="119" t="str">
        <f t="shared" si="4"/>
        <v/>
      </c>
      <c r="BT49" s="110" t="str">
        <f t="shared" si="5"/>
        <v/>
      </c>
      <c r="BU49" s="119" t="str">
        <f t="shared" si="6"/>
        <v/>
      </c>
      <c r="BV49" s="119" t="str">
        <f t="shared" si="7"/>
        <v/>
      </c>
      <c r="BW49" s="119" t="str">
        <f t="shared" si="8"/>
        <v/>
      </c>
      <c r="BX49" s="119" t="str">
        <f t="shared" si="9"/>
        <v/>
      </c>
      <c r="BY49" s="110" t="str">
        <f t="shared" si="10"/>
        <v/>
      </c>
      <c r="BZ49" s="151" t="str">
        <f t="shared" si="11"/>
        <v/>
      </c>
      <c r="CA49" s="151" t="str">
        <f t="shared" si="12"/>
        <v/>
      </c>
      <c r="CB49" s="111" t="str">
        <f t="shared" si="17"/>
        <v/>
      </c>
      <c r="CC49" s="118" t="str">
        <f t="shared" si="13"/>
        <v/>
      </c>
      <c r="CD49" s="119" t="str">
        <f t="shared" si="14"/>
        <v/>
      </c>
      <c r="CE49" s="119" t="str">
        <f t="shared" si="15"/>
        <v/>
      </c>
      <c r="CF49" s="119" t="str">
        <f t="shared" si="18"/>
        <v/>
      </c>
      <c r="CG49" s="111" t="str">
        <f t="shared" si="16"/>
        <v/>
      </c>
      <c r="CH49" s="148" t="str">
        <f>IF('2.ชื่อนักเรียน'!R51="มส","",IF('2.ชื่อนักเรียน'!R51="ย้าย","",IF(C49="","",SUM(BQ49:CG49)/SUM(top))))</f>
        <v/>
      </c>
      <c r="CI49" s="21" t="str">
        <f>IF('2.ชื่อนักเรียน'!R51="มส","มส",IF('2.ชื่อนักเรียน'!R51="ย้าย","ย้าย",IF('2.ชื่อนักเรียน'!R51="ร","ร",IF(CH49="","",RANK(CH49,$CH$9:$CH$53,0)))))</f>
        <v/>
      </c>
    </row>
    <row r="50" spans="1:87" s="29" customFormat="1" ht="16.5" customHeight="1" x14ac:dyDescent="0.25">
      <c r="A50" s="31">
        <v>42</v>
      </c>
      <c r="B50" s="305" t="str">
        <f>IF(IDstu42="","",IDstu42)</f>
        <v/>
      </c>
      <c r="C50" s="699" t="str">
        <f>IF(Name42="","",Name42)</f>
        <v/>
      </c>
      <c r="D50" s="700"/>
      <c r="E50" s="700"/>
      <c r="F50" s="700"/>
      <c r="G50" s="700"/>
      <c r="H50" s="700" t="str">
        <f>IF(Surname42="","",Surname42)</f>
        <v/>
      </c>
      <c r="I50" s="700"/>
      <c r="J50" s="700"/>
      <c r="K50" s="700"/>
      <c r="L50" s="701"/>
      <c r="M50" s="234" t="str">
        <f>VLOOKUP($B50,'6.คีย์ปลายภาค'!$C$6:$EI$50,9,FALSE)</f>
        <v/>
      </c>
      <c r="N50" s="230" t="str">
        <f>VLOOKUP($B50,'6.คีย์ปลายภาค'!$C$6:$EI$50,14,FALSE)</f>
        <v/>
      </c>
      <c r="O50" s="230" t="str">
        <f>VLOOKUP($B50,'6.คีย์ปลายภาค'!$C$6:$EI$50,19,FALSE)</f>
        <v/>
      </c>
      <c r="P50" s="230" t="str">
        <f>VLOOKUP($B50,'6.คีย์ปลายภาค'!$C$6:$EI$50,24,FALSE)</f>
        <v/>
      </c>
      <c r="Q50" s="230" t="str">
        <f>VLOOKUP($B50,'6.คีย์ปลายภาค'!$C$6:$EI$50,29,FALSE)</f>
        <v/>
      </c>
      <c r="R50" s="230" t="str">
        <f>VLOOKUP($B50,'6.คีย์ปลายภาค'!$C$6:$EI$50,34,FALSE)</f>
        <v/>
      </c>
      <c r="S50" s="230" t="str">
        <f>VLOOKUP($B50,'6.คีย์ปลายภาค'!$C$6:$EI$50,39,FALSE)</f>
        <v/>
      </c>
      <c r="T50" s="230" t="str">
        <f>VLOOKUP($B50,'6.คีย์ปลายภาค'!$C$6:$EI$50,44,FALSE)</f>
        <v/>
      </c>
      <c r="U50" s="230" t="str">
        <f>VLOOKUP($B50,'6.คีย์ปลายภาค'!$C$6:$EI$50,49,FALSE)</f>
        <v/>
      </c>
      <c r="V50" s="231" t="str">
        <f>VLOOKUP($B50,'6.คีย์ปลายภาค'!$C$6:$EI$50,54,FALSE)</f>
        <v/>
      </c>
      <c r="W50" s="231" t="str">
        <f>VLOOKUP($B50,'6.คีย์ปลายภาค'!$C$6:$EI$50,59,FALSE)</f>
        <v/>
      </c>
      <c r="X50" s="232" t="str">
        <f>VLOOKUP($B50,'6.คีย์ปลายภาค'!$C$6:$EI$50,64,FALSE)</f>
        <v/>
      </c>
      <c r="Y50" s="31">
        <v>42</v>
      </c>
      <c r="Z50" s="699" t="str">
        <f>IF(Name42="","",Name42)</f>
        <v/>
      </c>
      <c r="AA50" s="700"/>
      <c r="AB50" s="700"/>
      <c r="AC50" s="700"/>
      <c r="AD50" s="700"/>
      <c r="AE50" s="700" t="str">
        <f>IF(Surname42="","",Surname42)</f>
        <v/>
      </c>
      <c r="AF50" s="700"/>
      <c r="AG50" s="700"/>
      <c r="AH50" s="700"/>
      <c r="AI50" s="701"/>
      <c r="AJ50" s="234" t="str">
        <f>VLOOKUP($B50,'6.คีย์ปลายภาค'!$C$6:$EI$50,69,FALSE)</f>
        <v/>
      </c>
      <c r="AK50" s="230" t="str">
        <f>VLOOKUP($B50,'6.คีย์ปลายภาค'!$C$6:$EI$50,74,FALSE)</f>
        <v/>
      </c>
      <c r="AL50" s="230" t="str">
        <f>VLOOKUP($B50,'6.คีย์ปลายภาค'!$C$6:$EI$50,79,FALSE)</f>
        <v/>
      </c>
      <c r="AM50" s="231" t="str">
        <f>VLOOKUP($B50,'6.คีย์ปลายภาค'!$C$6:$EI$50,84,FALSE)</f>
        <v/>
      </c>
      <c r="AN50" s="231" t="str">
        <f>VLOOKUP($B50,'6.คีย์ปลายภาค'!$C$6:$EI$50,89,FALSE)</f>
        <v/>
      </c>
      <c r="AO50" s="231" t="str">
        <f>VLOOKUP($B50,'6.คีย์ปลายภาค'!$C$6:$EI$50,94,FALSE)</f>
        <v/>
      </c>
      <c r="AP50" s="231" t="str">
        <f>VLOOKUP($B50,'6.คีย์ปลายภาค'!$C$6:$EI$50,99,FALSE)</f>
        <v/>
      </c>
      <c r="AQ50" s="231" t="str">
        <f>VLOOKUP($B50,'6.คีย์ปลายภาค'!$C$6:$EI$50,104,FALSE)</f>
        <v/>
      </c>
      <c r="AR50" s="231" t="str">
        <f>VLOOKUP($B50,'6.คีย์ปลายภาค'!$C$6:$EI$50,109,FALSE)</f>
        <v/>
      </c>
      <c r="AS50" s="231" t="str">
        <f>VLOOKUP($B50,'6.คีย์ปลายภาค'!$C$6:$EI$50,114,FALSE)</f>
        <v/>
      </c>
      <c r="AT50" s="231" t="str">
        <f>VLOOKUP($B50,'6.คีย์ปลายภาค'!$C$6:$EI$50,119,FALSE)</f>
        <v/>
      </c>
      <c r="AU50" s="230" t="str">
        <f>VLOOKUP($B50,'6.คีย์ปลายภาค'!$C$6:$EI$50,124,FALSE)</f>
        <v/>
      </c>
      <c r="AV50" s="520" t="str">
        <f>VLOOKUP($B50,'6.คีย์ปลายภาค'!$C$6:$EI$50,129,FALSE)</f>
        <v/>
      </c>
      <c r="AW50" s="547" t="str">
        <f t="shared" si="1"/>
        <v/>
      </c>
      <c r="AX50" s="520" t="str">
        <f>IF('2.ชื่อนักเรียน'!R52="มส","มส",IF('2.ชื่อนักเรียน'!R52="ย้าย","ย้าย",IF('2.ชื่อนักเรียน'!R52="ร","ร",IF(AW50="","",RANK(AW50,$AW$9:$AW$53,0)))))</f>
        <v/>
      </c>
      <c r="AY50" s="118" t="str">
        <v/>
      </c>
      <c r="AZ50" s="119" t="str">
        <v/>
      </c>
      <c r="BA50" s="119" t="str">
        <v/>
      </c>
      <c r="BB50" s="110" t="str">
        <v/>
      </c>
      <c r="BC50" s="119" t="str">
        <v/>
      </c>
      <c r="BD50" s="119" t="str">
        <v/>
      </c>
      <c r="BE50" s="119" t="str">
        <v/>
      </c>
      <c r="BF50" s="119" t="str">
        <v/>
      </c>
      <c r="BG50" s="110" t="str">
        <v/>
      </c>
      <c r="BH50" s="151" t="str">
        <v/>
      </c>
      <c r="BI50" s="151" t="str">
        <v/>
      </c>
      <c r="BJ50" s="111" t="str">
        <v/>
      </c>
      <c r="BK50" s="118" t="str">
        <f>IF(AJ50="มส","มส",IF('5.กลางภาค'!AG49="","",IF($BK$7="","",IF($BK$7="SBMLD",SUM($AJ50:$AV50),AJ50))))</f>
        <v/>
      </c>
      <c r="BL50" s="119" t="str">
        <f>IF(AK50="มส","มส",IF('5.กลางภาค'!AG49="","",IF($BL$7="","",IF($BL$7="SBMLD",SUM($AK50:$AV50),AK50))))</f>
        <v/>
      </c>
      <c r="BM50" s="119" t="str">
        <f>IF(AL50="มส","มส",IF('5.กลางภาค'!AG49="","",IF($BM$7="","",IF($BM$7="SBMLD",SUM($AL50:$AV50),AL50))))</f>
        <v/>
      </c>
      <c r="BN50" s="110" t="str">
        <f>IF(AM50="มส","มส",IF('5.กลางภาค'!AG49="","",IF($BN$7="","",IF($BN$7="SBMLD",SUM($AM50:$AV50),AM50))))</f>
        <v/>
      </c>
      <c r="BO50" s="111" t="str">
        <f>IF(AN50="มส","มส",IF('5.กลางภาค'!AG49="","",IF($BO$7="","",IF($BO$7="SBMLD",SUM($AN50:$AV50),AN50))))</f>
        <v/>
      </c>
      <c r="BP50" s="288"/>
      <c r="BQ50" s="118" t="str">
        <f t="shared" si="2"/>
        <v/>
      </c>
      <c r="BR50" s="119" t="str">
        <f t="shared" si="3"/>
        <v/>
      </c>
      <c r="BS50" s="119" t="str">
        <f t="shared" si="4"/>
        <v/>
      </c>
      <c r="BT50" s="110" t="str">
        <f t="shared" si="5"/>
        <v/>
      </c>
      <c r="BU50" s="119" t="str">
        <f t="shared" si="6"/>
        <v/>
      </c>
      <c r="BV50" s="119" t="str">
        <f t="shared" si="7"/>
        <v/>
      </c>
      <c r="BW50" s="119" t="str">
        <f t="shared" si="8"/>
        <v/>
      </c>
      <c r="BX50" s="119" t="str">
        <f t="shared" si="9"/>
        <v/>
      </c>
      <c r="BY50" s="110" t="str">
        <f t="shared" si="10"/>
        <v/>
      </c>
      <c r="BZ50" s="151" t="str">
        <f t="shared" si="11"/>
        <v/>
      </c>
      <c r="CA50" s="151" t="str">
        <f t="shared" si="12"/>
        <v/>
      </c>
      <c r="CB50" s="111" t="str">
        <f t="shared" si="17"/>
        <v/>
      </c>
      <c r="CC50" s="118" t="str">
        <f t="shared" si="13"/>
        <v/>
      </c>
      <c r="CD50" s="119" t="str">
        <f t="shared" si="14"/>
        <v/>
      </c>
      <c r="CE50" s="119" t="str">
        <f t="shared" si="15"/>
        <v/>
      </c>
      <c r="CF50" s="119" t="str">
        <f t="shared" si="18"/>
        <v/>
      </c>
      <c r="CG50" s="111" t="str">
        <f t="shared" si="16"/>
        <v/>
      </c>
      <c r="CH50" s="148" t="str">
        <f>IF('2.ชื่อนักเรียน'!R52="มส","",IF('2.ชื่อนักเรียน'!R52="ย้าย","",IF(C50="","",SUM(BQ50:CG50)/SUM(top))))</f>
        <v/>
      </c>
      <c r="CI50" s="21" t="str">
        <f>IF('2.ชื่อนักเรียน'!R52="มส","มส",IF('2.ชื่อนักเรียน'!R52="ย้าย","ย้าย",IF('2.ชื่อนักเรียน'!R52="ร","ร",IF(CH50="","",RANK(CH50,$CH$9:$CH$53,0)))))</f>
        <v/>
      </c>
    </row>
    <row r="51" spans="1:87" s="29" customFormat="1" ht="16.5" customHeight="1" x14ac:dyDescent="0.25">
      <c r="A51" s="31">
        <v>43</v>
      </c>
      <c r="B51" s="305" t="str">
        <f>IF(IDstu43="","",IDstu43)</f>
        <v/>
      </c>
      <c r="C51" s="699" t="str">
        <f>IF(Name43="","",Name43)</f>
        <v/>
      </c>
      <c r="D51" s="700"/>
      <c r="E51" s="700"/>
      <c r="F51" s="700"/>
      <c r="G51" s="700"/>
      <c r="H51" s="700" t="str">
        <f>IF(Surname43="","",Surname43)</f>
        <v/>
      </c>
      <c r="I51" s="700"/>
      <c r="J51" s="700"/>
      <c r="K51" s="700"/>
      <c r="L51" s="701"/>
      <c r="M51" s="234" t="str">
        <f>VLOOKUP($B51,'6.คีย์ปลายภาค'!$C$6:$EI$50,9,FALSE)</f>
        <v/>
      </c>
      <c r="N51" s="230" t="str">
        <f>VLOOKUP($B51,'6.คีย์ปลายภาค'!$C$6:$EI$50,14,FALSE)</f>
        <v/>
      </c>
      <c r="O51" s="230" t="str">
        <f>VLOOKUP($B51,'6.คีย์ปลายภาค'!$C$6:$EI$50,19,FALSE)</f>
        <v/>
      </c>
      <c r="P51" s="230" t="str">
        <f>VLOOKUP($B51,'6.คีย์ปลายภาค'!$C$6:$EI$50,24,FALSE)</f>
        <v/>
      </c>
      <c r="Q51" s="230" t="str">
        <f>VLOOKUP($B51,'6.คีย์ปลายภาค'!$C$6:$EI$50,29,FALSE)</f>
        <v/>
      </c>
      <c r="R51" s="230" t="str">
        <f>VLOOKUP($B51,'6.คีย์ปลายภาค'!$C$6:$EI$50,34,FALSE)</f>
        <v/>
      </c>
      <c r="S51" s="230" t="str">
        <f>VLOOKUP($B51,'6.คีย์ปลายภาค'!$C$6:$EI$50,39,FALSE)</f>
        <v/>
      </c>
      <c r="T51" s="230" t="str">
        <f>VLOOKUP($B51,'6.คีย์ปลายภาค'!$C$6:$EI$50,44,FALSE)</f>
        <v/>
      </c>
      <c r="U51" s="230" t="str">
        <f>VLOOKUP($B51,'6.คีย์ปลายภาค'!$C$6:$EI$50,49,FALSE)</f>
        <v/>
      </c>
      <c r="V51" s="231" t="str">
        <f>VLOOKUP($B51,'6.คีย์ปลายภาค'!$C$6:$EI$50,54,FALSE)</f>
        <v/>
      </c>
      <c r="W51" s="231" t="str">
        <f>VLOOKUP($B51,'6.คีย์ปลายภาค'!$C$6:$EI$50,59,FALSE)</f>
        <v/>
      </c>
      <c r="X51" s="232" t="str">
        <f>VLOOKUP($B51,'6.คีย์ปลายภาค'!$C$6:$EI$50,64,FALSE)</f>
        <v/>
      </c>
      <c r="Y51" s="31">
        <v>43</v>
      </c>
      <c r="Z51" s="699" t="str">
        <f>IF(Name43="","",Name43)</f>
        <v/>
      </c>
      <c r="AA51" s="700"/>
      <c r="AB51" s="700"/>
      <c r="AC51" s="700"/>
      <c r="AD51" s="700"/>
      <c r="AE51" s="700" t="str">
        <f>IF(Surname43="","",Surname43)</f>
        <v/>
      </c>
      <c r="AF51" s="700"/>
      <c r="AG51" s="700"/>
      <c r="AH51" s="700"/>
      <c r="AI51" s="701"/>
      <c r="AJ51" s="234" t="str">
        <f>VLOOKUP($B51,'6.คีย์ปลายภาค'!$C$6:$EI$50,69,FALSE)</f>
        <v/>
      </c>
      <c r="AK51" s="230" t="str">
        <f>VLOOKUP($B51,'6.คีย์ปลายภาค'!$C$6:$EI$50,74,FALSE)</f>
        <v/>
      </c>
      <c r="AL51" s="230" t="str">
        <f>VLOOKUP($B51,'6.คีย์ปลายภาค'!$C$6:$EI$50,79,FALSE)</f>
        <v/>
      </c>
      <c r="AM51" s="231" t="str">
        <f>VLOOKUP($B51,'6.คีย์ปลายภาค'!$C$6:$EI$50,84,FALSE)</f>
        <v/>
      </c>
      <c r="AN51" s="231" t="str">
        <f>VLOOKUP($B51,'6.คีย์ปลายภาค'!$C$6:$EI$50,89,FALSE)</f>
        <v/>
      </c>
      <c r="AO51" s="231" t="str">
        <f>VLOOKUP($B51,'6.คีย์ปลายภาค'!$C$6:$EI$50,94,FALSE)</f>
        <v/>
      </c>
      <c r="AP51" s="231" t="str">
        <f>VLOOKUP($B51,'6.คีย์ปลายภาค'!$C$6:$EI$50,99,FALSE)</f>
        <v/>
      </c>
      <c r="AQ51" s="231" t="str">
        <f>VLOOKUP($B51,'6.คีย์ปลายภาค'!$C$6:$EI$50,104,FALSE)</f>
        <v/>
      </c>
      <c r="AR51" s="231" t="str">
        <f>VLOOKUP($B51,'6.คีย์ปลายภาค'!$C$6:$EI$50,109,FALSE)</f>
        <v/>
      </c>
      <c r="AS51" s="231" t="str">
        <f>VLOOKUP($B51,'6.คีย์ปลายภาค'!$C$6:$EI$50,114,FALSE)</f>
        <v/>
      </c>
      <c r="AT51" s="231" t="str">
        <f>VLOOKUP($B51,'6.คีย์ปลายภาค'!$C$6:$EI$50,119,FALSE)</f>
        <v/>
      </c>
      <c r="AU51" s="230" t="str">
        <f>VLOOKUP($B51,'6.คีย์ปลายภาค'!$C$6:$EI$50,124,FALSE)</f>
        <v/>
      </c>
      <c r="AV51" s="520" t="str">
        <f>VLOOKUP($B51,'6.คีย์ปลายภาค'!$C$6:$EI$50,129,FALSE)</f>
        <v/>
      </c>
      <c r="AW51" s="547" t="str">
        <f t="shared" si="1"/>
        <v/>
      </c>
      <c r="AX51" s="520" t="str">
        <f>IF('2.ชื่อนักเรียน'!R53="มส","มส",IF('2.ชื่อนักเรียน'!R53="ย้าย","ย้าย",IF('2.ชื่อนักเรียน'!R53="ร","ร",IF(AW51="","",RANK(AW51,$AW$9:$AW$53,0)))))</f>
        <v/>
      </c>
      <c r="AY51" s="118" t="str">
        <v/>
      </c>
      <c r="AZ51" s="119" t="str">
        <v/>
      </c>
      <c r="BA51" s="119" t="str">
        <v/>
      </c>
      <c r="BB51" s="110" t="str">
        <v/>
      </c>
      <c r="BC51" s="119" t="str">
        <v/>
      </c>
      <c r="BD51" s="119" t="str">
        <v/>
      </c>
      <c r="BE51" s="119" t="str">
        <v/>
      </c>
      <c r="BF51" s="119" t="str">
        <v/>
      </c>
      <c r="BG51" s="110" t="str">
        <v/>
      </c>
      <c r="BH51" s="151" t="str">
        <v/>
      </c>
      <c r="BI51" s="151" t="str">
        <v/>
      </c>
      <c r="BJ51" s="111" t="str">
        <v/>
      </c>
      <c r="BK51" s="118" t="str">
        <f>IF(AJ51="มส","มส",IF('5.กลางภาค'!AG50="","",IF($BK$7="","",IF($BK$7="SBMLD",SUM($AJ51:$AV51),AJ51))))</f>
        <v/>
      </c>
      <c r="BL51" s="119" t="str">
        <f>IF(AK51="มส","มส",IF('5.กลางภาค'!AG50="","",IF($BL$7="","",IF($BL$7="SBMLD",SUM($AK51:$AV51),AK51))))</f>
        <v/>
      </c>
      <c r="BM51" s="119" t="str">
        <f>IF(AL51="มส","มส",IF('5.กลางภาค'!AG50="","",IF($BM$7="","",IF($BM$7="SBMLD",SUM($AL51:$AV51),AL51))))</f>
        <v/>
      </c>
      <c r="BN51" s="110" t="str">
        <f>IF(AM51="มส","มส",IF('5.กลางภาค'!AG50="","",IF($BN$7="","",IF($BN$7="SBMLD",SUM($AM51:$AV51),AM51))))</f>
        <v/>
      </c>
      <c r="BO51" s="111" t="str">
        <f>IF(AN51="มส","มส",IF('5.กลางภาค'!AG50="","",IF($BO$7="","",IF($BO$7="SBMLD",SUM($AN51:$AV51),AN51))))</f>
        <v/>
      </c>
      <c r="BP51" s="288"/>
      <c r="BQ51" s="118" t="str">
        <f t="shared" si="2"/>
        <v/>
      </c>
      <c r="BR51" s="119" t="str">
        <f t="shared" si="3"/>
        <v/>
      </c>
      <c r="BS51" s="119" t="str">
        <f t="shared" si="4"/>
        <v/>
      </c>
      <c r="BT51" s="110" t="str">
        <f t="shared" si="5"/>
        <v/>
      </c>
      <c r="BU51" s="119" t="str">
        <f t="shared" si="6"/>
        <v/>
      </c>
      <c r="BV51" s="119" t="str">
        <f t="shared" si="7"/>
        <v/>
      </c>
      <c r="BW51" s="119" t="str">
        <f t="shared" si="8"/>
        <v/>
      </c>
      <c r="BX51" s="119" t="str">
        <f t="shared" si="9"/>
        <v/>
      </c>
      <c r="BY51" s="110" t="str">
        <f t="shared" si="10"/>
        <v/>
      </c>
      <c r="BZ51" s="151" t="str">
        <f t="shared" si="11"/>
        <v/>
      </c>
      <c r="CA51" s="151" t="str">
        <f t="shared" si="12"/>
        <v/>
      </c>
      <c r="CB51" s="111" t="str">
        <f t="shared" si="17"/>
        <v/>
      </c>
      <c r="CC51" s="118" t="str">
        <f t="shared" si="13"/>
        <v/>
      </c>
      <c r="CD51" s="119" t="str">
        <f t="shared" si="14"/>
        <v/>
      </c>
      <c r="CE51" s="119" t="str">
        <f t="shared" si="15"/>
        <v/>
      </c>
      <c r="CF51" s="119" t="str">
        <f t="shared" si="18"/>
        <v/>
      </c>
      <c r="CG51" s="111" t="str">
        <f t="shared" si="16"/>
        <v/>
      </c>
      <c r="CH51" s="148" t="str">
        <f>IF('2.ชื่อนักเรียน'!R53="มส","",IF('2.ชื่อนักเรียน'!R53="ย้าย","",IF(C51="","",SUM(BQ51:CG51)/SUM(top))))</f>
        <v/>
      </c>
      <c r="CI51" s="21" t="str">
        <f>IF('2.ชื่อนักเรียน'!R53="มส","มส",IF('2.ชื่อนักเรียน'!R53="ย้าย","ย้าย",IF('2.ชื่อนักเรียน'!R53="ร","ร",IF(CH51="","",RANK(CH51,$CH$9:$CH$53,0)))))</f>
        <v/>
      </c>
    </row>
    <row r="52" spans="1:87" s="29" customFormat="1" ht="16.5" customHeight="1" x14ac:dyDescent="0.25">
      <c r="A52" s="31">
        <v>44</v>
      </c>
      <c r="B52" s="305" t="str">
        <f>IF(IDstu44="","",IDstu44)</f>
        <v/>
      </c>
      <c r="C52" s="699" t="str">
        <f>IF(Name44="","",Name44)</f>
        <v/>
      </c>
      <c r="D52" s="700"/>
      <c r="E52" s="700"/>
      <c r="F52" s="700"/>
      <c r="G52" s="700"/>
      <c r="H52" s="700" t="str">
        <f>IF(Surname44="","",Surname44)</f>
        <v/>
      </c>
      <c r="I52" s="700"/>
      <c r="J52" s="700"/>
      <c r="K52" s="700"/>
      <c r="L52" s="701"/>
      <c r="M52" s="234" t="str">
        <f>VLOOKUP($B52,'6.คีย์ปลายภาค'!$C$6:$EI$50,9,FALSE)</f>
        <v/>
      </c>
      <c r="N52" s="230" t="str">
        <f>VLOOKUP($B52,'6.คีย์ปลายภาค'!$C$6:$EI$50,14,FALSE)</f>
        <v/>
      </c>
      <c r="O52" s="230" t="str">
        <f>VLOOKUP($B52,'6.คีย์ปลายภาค'!$C$6:$EI$50,19,FALSE)</f>
        <v/>
      </c>
      <c r="P52" s="230" t="str">
        <f>VLOOKUP($B52,'6.คีย์ปลายภาค'!$C$6:$EI$50,24,FALSE)</f>
        <v/>
      </c>
      <c r="Q52" s="230" t="str">
        <f>VLOOKUP($B52,'6.คีย์ปลายภาค'!$C$6:$EI$50,29,FALSE)</f>
        <v/>
      </c>
      <c r="R52" s="230" t="str">
        <f>VLOOKUP($B52,'6.คีย์ปลายภาค'!$C$6:$EI$50,34,FALSE)</f>
        <v/>
      </c>
      <c r="S52" s="230" t="str">
        <f>VLOOKUP($B52,'6.คีย์ปลายภาค'!$C$6:$EI$50,39,FALSE)</f>
        <v/>
      </c>
      <c r="T52" s="230" t="str">
        <f>VLOOKUP($B52,'6.คีย์ปลายภาค'!$C$6:$EI$50,44,FALSE)</f>
        <v/>
      </c>
      <c r="U52" s="230" t="str">
        <f>VLOOKUP($B52,'6.คีย์ปลายภาค'!$C$6:$EI$50,49,FALSE)</f>
        <v/>
      </c>
      <c r="V52" s="231" t="str">
        <f>VLOOKUP($B52,'6.คีย์ปลายภาค'!$C$6:$EI$50,54,FALSE)</f>
        <v/>
      </c>
      <c r="W52" s="231" t="str">
        <f>VLOOKUP($B52,'6.คีย์ปลายภาค'!$C$6:$EI$50,59,FALSE)</f>
        <v/>
      </c>
      <c r="X52" s="232" t="str">
        <f>VLOOKUP($B52,'6.คีย์ปลายภาค'!$C$6:$EI$50,64,FALSE)</f>
        <v/>
      </c>
      <c r="Y52" s="31">
        <v>44</v>
      </c>
      <c r="Z52" s="699" t="str">
        <f>IF(Name44="","",Name44)</f>
        <v/>
      </c>
      <c r="AA52" s="700"/>
      <c r="AB52" s="700"/>
      <c r="AC52" s="700"/>
      <c r="AD52" s="700"/>
      <c r="AE52" s="700" t="str">
        <f>IF(Surname44="","",Surname44)</f>
        <v/>
      </c>
      <c r="AF52" s="700"/>
      <c r="AG52" s="700"/>
      <c r="AH52" s="700"/>
      <c r="AI52" s="701"/>
      <c r="AJ52" s="234" t="str">
        <f>VLOOKUP($B52,'6.คีย์ปลายภาค'!$C$6:$EI$50,69,FALSE)</f>
        <v/>
      </c>
      <c r="AK52" s="230" t="str">
        <f>VLOOKUP($B52,'6.คีย์ปลายภาค'!$C$6:$EI$50,74,FALSE)</f>
        <v/>
      </c>
      <c r="AL52" s="230" t="str">
        <f>VLOOKUP($B52,'6.คีย์ปลายภาค'!$C$6:$EI$50,79,FALSE)</f>
        <v/>
      </c>
      <c r="AM52" s="231" t="str">
        <f>VLOOKUP($B52,'6.คีย์ปลายภาค'!$C$6:$EI$50,84,FALSE)</f>
        <v/>
      </c>
      <c r="AN52" s="231" t="str">
        <f>VLOOKUP($B52,'6.คีย์ปลายภาค'!$C$6:$EI$50,89,FALSE)</f>
        <v/>
      </c>
      <c r="AO52" s="231" t="str">
        <f>VLOOKUP($B52,'6.คีย์ปลายภาค'!$C$6:$EI$50,94,FALSE)</f>
        <v/>
      </c>
      <c r="AP52" s="231" t="str">
        <f>VLOOKUP($B52,'6.คีย์ปลายภาค'!$C$6:$EI$50,99,FALSE)</f>
        <v/>
      </c>
      <c r="AQ52" s="231" t="str">
        <f>VLOOKUP($B52,'6.คีย์ปลายภาค'!$C$6:$EI$50,104,FALSE)</f>
        <v/>
      </c>
      <c r="AR52" s="231" t="str">
        <f>VLOOKUP($B52,'6.คีย์ปลายภาค'!$C$6:$EI$50,109,FALSE)</f>
        <v/>
      </c>
      <c r="AS52" s="231" t="str">
        <f>VLOOKUP($B52,'6.คีย์ปลายภาค'!$C$6:$EI$50,114,FALSE)</f>
        <v/>
      </c>
      <c r="AT52" s="231" t="str">
        <f>VLOOKUP($B52,'6.คีย์ปลายภาค'!$C$6:$EI$50,119,FALSE)</f>
        <v/>
      </c>
      <c r="AU52" s="230" t="str">
        <f>VLOOKUP($B52,'6.คีย์ปลายภาค'!$C$6:$EI$50,124,FALSE)</f>
        <v/>
      </c>
      <c r="AV52" s="520" t="str">
        <f>VLOOKUP($B52,'6.คีย์ปลายภาค'!$C$6:$EI$50,129,FALSE)</f>
        <v/>
      </c>
      <c r="AW52" s="547" t="str">
        <f t="shared" si="1"/>
        <v/>
      </c>
      <c r="AX52" s="520" t="str">
        <f>IF('2.ชื่อนักเรียน'!R54="มส","มส",IF('2.ชื่อนักเรียน'!R54="ย้าย","ย้าย",IF('2.ชื่อนักเรียน'!R54="ร","ร",IF(AW52="","",RANK(AW52,$AW$9:$AW$53,0)))))</f>
        <v/>
      </c>
      <c r="AY52" s="118" t="str">
        <v/>
      </c>
      <c r="AZ52" s="119" t="str">
        <v/>
      </c>
      <c r="BA52" s="119" t="str">
        <v/>
      </c>
      <c r="BB52" s="110" t="str">
        <v/>
      </c>
      <c r="BC52" s="119" t="str">
        <v/>
      </c>
      <c r="BD52" s="119" t="str">
        <v/>
      </c>
      <c r="BE52" s="119" t="str">
        <v/>
      </c>
      <c r="BF52" s="119" t="str">
        <v/>
      </c>
      <c r="BG52" s="110" t="str">
        <v/>
      </c>
      <c r="BH52" s="151" t="str">
        <v/>
      </c>
      <c r="BI52" s="151" t="str">
        <v/>
      </c>
      <c r="BJ52" s="111" t="str">
        <v/>
      </c>
      <c r="BK52" s="118" t="str">
        <f>IF(AJ52="มส","มส",IF('5.กลางภาค'!AG51="","",IF($BK$7="","",IF($BK$7="SBMLD",SUM($AJ52:$AV52),AJ52))))</f>
        <v/>
      </c>
      <c r="BL52" s="119" t="str">
        <f>IF(AK52="มส","มส",IF('5.กลางภาค'!AG51="","",IF($BL$7="","",IF($BL$7="SBMLD",SUM($AK52:$AV52),AK52))))</f>
        <v/>
      </c>
      <c r="BM52" s="119" t="str">
        <f>IF(AL52="มส","มส",IF('5.กลางภาค'!AG51="","",IF($BM$7="","",IF($BM$7="SBMLD",SUM($AL52:$AV52),AL52))))</f>
        <v/>
      </c>
      <c r="BN52" s="110" t="str">
        <f>IF(AM52="มส","มส",IF('5.กลางภาค'!AG51="","",IF($BN$7="","",IF($BN$7="SBMLD",SUM($AM52:$AV52),AM52))))</f>
        <v/>
      </c>
      <c r="BO52" s="111" t="str">
        <f>IF(AN52="มส","มส",IF('5.กลางภาค'!AG51="","",IF($BO$7="","",IF($BO$7="SBMLD",SUM($AN52:$AV52),AN52))))</f>
        <v/>
      </c>
      <c r="BP52" s="288"/>
      <c r="BQ52" s="118" t="str">
        <f t="shared" si="2"/>
        <v/>
      </c>
      <c r="BR52" s="119" t="str">
        <f t="shared" si="3"/>
        <v/>
      </c>
      <c r="BS52" s="119" t="str">
        <f t="shared" si="4"/>
        <v/>
      </c>
      <c r="BT52" s="110" t="str">
        <f t="shared" si="5"/>
        <v/>
      </c>
      <c r="BU52" s="119" t="str">
        <f t="shared" si="6"/>
        <v/>
      </c>
      <c r="BV52" s="119" t="str">
        <f t="shared" si="7"/>
        <v/>
      </c>
      <c r="BW52" s="119" t="str">
        <f t="shared" si="8"/>
        <v/>
      </c>
      <c r="BX52" s="119" t="str">
        <f t="shared" si="9"/>
        <v/>
      </c>
      <c r="BY52" s="110" t="str">
        <f t="shared" si="10"/>
        <v/>
      </c>
      <c r="BZ52" s="151" t="str">
        <f t="shared" si="11"/>
        <v/>
      </c>
      <c r="CA52" s="151" t="str">
        <f t="shared" si="12"/>
        <v/>
      </c>
      <c r="CB52" s="111" t="str">
        <f t="shared" si="17"/>
        <v/>
      </c>
      <c r="CC52" s="118" t="str">
        <f t="shared" si="13"/>
        <v/>
      </c>
      <c r="CD52" s="119" t="str">
        <f t="shared" si="14"/>
        <v/>
      </c>
      <c r="CE52" s="119" t="str">
        <f t="shared" si="15"/>
        <v/>
      </c>
      <c r="CF52" s="119" t="str">
        <f t="shared" si="18"/>
        <v/>
      </c>
      <c r="CG52" s="111" t="str">
        <f t="shared" si="16"/>
        <v/>
      </c>
      <c r="CH52" s="148" t="str">
        <f>IF('2.ชื่อนักเรียน'!R54="มส","",IF('2.ชื่อนักเรียน'!R54="ย้าย","",IF(C52="","",SUM(BQ52:CG52)/SUM(top))))</f>
        <v/>
      </c>
      <c r="CI52" s="21" t="str">
        <f>IF('2.ชื่อนักเรียน'!R54="มส","มส",IF('2.ชื่อนักเรียน'!R54="ย้าย","ย้าย",IF('2.ชื่อนักเรียน'!R54="ร","ร",IF(CH52="","",RANK(CH52,$CH$9:$CH$53,0)))))</f>
        <v/>
      </c>
    </row>
    <row r="53" spans="1:87" s="29" customFormat="1" ht="16.5" customHeight="1" thickBot="1" x14ac:dyDescent="0.3">
      <c r="A53" s="32">
        <v>45</v>
      </c>
      <c r="B53" s="306" t="str">
        <f>IF(IDstu45="","",IDstu45)</f>
        <v/>
      </c>
      <c r="C53" s="702" t="str">
        <f>IF(Name45="","",Name45)</f>
        <v/>
      </c>
      <c r="D53" s="703"/>
      <c r="E53" s="703"/>
      <c r="F53" s="703"/>
      <c r="G53" s="703"/>
      <c r="H53" s="703" t="str">
        <f>IF(Surname45="","",Surname45)</f>
        <v/>
      </c>
      <c r="I53" s="703"/>
      <c r="J53" s="703"/>
      <c r="K53" s="703"/>
      <c r="L53" s="704"/>
      <c r="M53" s="515" t="str">
        <f>VLOOKUP($B53,'6.คีย์ปลายภาค'!$C$6:$EI$50,9,FALSE)</f>
        <v/>
      </c>
      <c r="N53" s="516" t="str">
        <f>VLOOKUP($B53,'6.คีย์ปลายภาค'!$C$6:$EI$50,14,FALSE)</f>
        <v/>
      </c>
      <c r="O53" s="516" t="str">
        <f>VLOOKUP($B53,'6.คีย์ปลายภาค'!$C$6:$EI$50,19,FALSE)</f>
        <v/>
      </c>
      <c r="P53" s="516" t="str">
        <f>VLOOKUP($B53,'6.คีย์ปลายภาค'!$C$6:$EI$50,24,FALSE)</f>
        <v/>
      </c>
      <c r="Q53" s="516" t="str">
        <f>VLOOKUP($B53,'6.คีย์ปลายภาค'!$C$6:$EI$50,29,FALSE)</f>
        <v/>
      </c>
      <c r="R53" s="516" t="str">
        <f>VLOOKUP($B53,'6.คีย์ปลายภาค'!$C$6:$EI$50,34,FALSE)</f>
        <v/>
      </c>
      <c r="S53" s="516" t="str">
        <f>VLOOKUP($B53,'6.คีย์ปลายภาค'!$C$6:$EI$50,39,FALSE)</f>
        <v/>
      </c>
      <c r="T53" s="516" t="str">
        <f>VLOOKUP($B53,'6.คีย์ปลายภาค'!$C$6:$EI$50,44,FALSE)</f>
        <v/>
      </c>
      <c r="U53" s="516" t="str">
        <f>VLOOKUP($B53,'6.คีย์ปลายภาค'!$C$6:$EI$50,49,FALSE)</f>
        <v/>
      </c>
      <c r="V53" s="517" t="str">
        <f>VLOOKUP($B53,'6.คีย์ปลายภาค'!$C$6:$EI$50,54,FALSE)</f>
        <v/>
      </c>
      <c r="W53" s="517" t="str">
        <f>VLOOKUP($B53,'6.คีย์ปลายภาค'!$C$6:$EI$50,59,FALSE)</f>
        <v/>
      </c>
      <c r="X53" s="514" t="str">
        <f>VLOOKUP($B53,'6.คีย์ปลายภาค'!$C$6:$EI$50,64,FALSE)</f>
        <v/>
      </c>
      <c r="Y53" s="32">
        <v>45</v>
      </c>
      <c r="Z53" s="702" t="str">
        <f>IF(Name45="","",Name45)</f>
        <v/>
      </c>
      <c r="AA53" s="703"/>
      <c r="AB53" s="703"/>
      <c r="AC53" s="703"/>
      <c r="AD53" s="703"/>
      <c r="AE53" s="703" t="str">
        <f>IF(Surname45="","",Surname45)</f>
        <v/>
      </c>
      <c r="AF53" s="703"/>
      <c r="AG53" s="703"/>
      <c r="AH53" s="703"/>
      <c r="AI53" s="704"/>
      <c r="AJ53" s="515" t="str">
        <f>VLOOKUP($B53,'6.คีย์ปลายภาค'!$C$6:$EI$50,69,FALSE)</f>
        <v/>
      </c>
      <c r="AK53" s="516" t="str">
        <f>VLOOKUP($B53,'6.คีย์ปลายภาค'!$C$6:$EI$50,74,FALSE)</f>
        <v/>
      </c>
      <c r="AL53" s="516" t="str">
        <f>VLOOKUP($B53,'6.คีย์ปลายภาค'!$C$6:$EI$50,79,FALSE)</f>
        <v/>
      </c>
      <c r="AM53" s="517" t="str">
        <f>VLOOKUP($B53,'6.คีย์ปลายภาค'!$C$6:$EI$50,84,FALSE)</f>
        <v/>
      </c>
      <c r="AN53" s="517" t="str">
        <f>VLOOKUP($B53,'6.คีย์ปลายภาค'!$C$6:$EI$50,89,FALSE)</f>
        <v/>
      </c>
      <c r="AO53" s="517" t="str">
        <f>VLOOKUP($B53,'6.คีย์ปลายภาค'!$C$6:$EI$50,94,FALSE)</f>
        <v/>
      </c>
      <c r="AP53" s="517" t="str">
        <f>VLOOKUP($B53,'6.คีย์ปลายภาค'!$C$6:$EI$50,99,FALSE)</f>
        <v/>
      </c>
      <c r="AQ53" s="517" t="str">
        <f>VLOOKUP($B53,'6.คีย์ปลายภาค'!$C$6:$EI$50,104,FALSE)</f>
        <v/>
      </c>
      <c r="AR53" s="517" t="str">
        <f>VLOOKUP($B53,'6.คีย์ปลายภาค'!$C$6:$EI$50,109,FALSE)</f>
        <v/>
      </c>
      <c r="AS53" s="517" t="str">
        <f>VLOOKUP($B53,'6.คีย์ปลายภาค'!$C$6:$EI$50,114,FALSE)</f>
        <v/>
      </c>
      <c r="AT53" s="517" t="str">
        <f>VLOOKUP($B53,'6.คีย์ปลายภาค'!$C$6:$EI$50,119,FALSE)</f>
        <v/>
      </c>
      <c r="AU53" s="516" t="str">
        <f>VLOOKUP($B53,'6.คีย์ปลายภาค'!$C$6:$EI$50,124,FALSE)</f>
        <v/>
      </c>
      <c r="AV53" s="521" t="str">
        <f>VLOOKUP($B53,'6.คีย์ปลายภาค'!$C$6:$EI$50,129,FALSE)</f>
        <v/>
      </c>
      <c r="AW53" s="548" t="str">
        <f t="shared" si="1"/>
        <v/>
      </c>
      <c r="AX53" s="521" t="str">
        <f>IF('2.ชื่อนักเรียน'!R55="มส","มส",IF('2.ชื่อนักเรียน'!R55="ย้าย","ย้าย",IF('2.ชื่อนักเรียน'!R55="ร","ร",IF(AW53="","",RANK(AW53,$AW$9:$AW$53,0)))))</f>
        <v/>
      </c>
      <c r="AY53" s="121" t="str">
        <v/>
      </c>
      <c r="AZ53" s="122" t="str">
        <v/>
      </c>
      <c r="BA53" s="122" t="str">
        <v/>
      </c>
      <c r="BB53" s="123" t="str">
        <v/>
      </c>
      <c r="BC53" s="122" t="str">
        <v/>
      </c>
      <c r="BD53" s="122" t="str">
        <v/>
      </c>
      <c r="BE53" s="122" t="str">
        <v/>
      </c>
      <c r="BF53" s="122" t="str">
        <v/>
      </c>
      <c r="BG53" s="123" t="str">
        <v/>
      </c>
      <c r="BH53" s="153" t="str">
        <v/>
      </c>
      <c r="BI53" s="153" t="str">
        <v/>
      </c>
      <c r="BJ53" s="124" t="str">
        <v/>
      </c>
      <c r="BK53" s="121" t="str">
        <f>IF(AJ53="มส","มส",IF('5.กลางภาค'!AG52="","",IF($BK$7="","",IF($BK$7="SBMLD",SUM($AJ53:$AV53),AJ53))))</f>
        <v/>
      </c>
      <c r="BL53" s="122" t="str">
        <f>IF(AK53="มส","มส",IF('5.กลางภาค'!AG52="","",IF($BL$7="","",IF($BL$7="SBMLD",SUM($AK53:$AV53),AK53))))</f>
        <v/>
      </c>
      <c r="BM53" s="122" t="str">
        <f>IF(AL53="มส","มส",IF('5.กลางภาค'!AG52="","",IF($BM$7="","",IF($BM$7="SBMLD",SUM($AL53:$AV53),AL53))))</f>
        <v/>
      </c>
      <c r="BN53" s="123" t="str">
        <f>IF(AM53="มส","มส",IF('5.กลางภาค'!AG52="","",IF($BN$7="","",IF($BN$7="SBMLD",SUM($AM53:$AV53),AM53))))</f>
        <v/>
      </c>
      <c r="BO53" s="124" t="str">
        <f>IF(AN53="มส","มส",IF('5.กลางภาค'!AG52="","",IF($BO$7="","",IF($BO$7="SBMLD",SUM($AN53:$AV53),AN53))))</f>
        <v/>
      </c>
      <c r="BP53" s="288"/>
      <c r="BQ53" s="121" t="str">
        <f t="shared" si="2"/>
        <v/>
      </c>
      <c r="BR53" s="122" t="str">
        <f t="shared" si="3"/>
        <v/>
      </c>
      <c r="BS53" s="122" t="str">
        <f t="shared" si="4"/>
        <v/>
      </c>
      <c r="BT53" s="123" t="str">
        <f t="shared" si="5"/>
        <v/>
      </c>
      <c r="BU53" s="122" t="str">
        <f t="shared" si="6"/>
        <v/>
      </c>
      <c r="BV53" s="122" t="str">
        <f t="shared" si="7"/>
        <v/>
      </c>
      <c r="BW53" s="122" t="str">
        <f t="shared" si="8"/>
        <v/>
      </c>
      <c r="BX53" s="122" t="str">
        <f t="shared" si="9"/>
        <v/>
      </c>
      <c r="BY53" s="123" t="str">
        <f t="shared" si="10"/>
        <v/>
      </c>
      <c r="BZ53" s="153" t="str">
        <f t="shared" si="11"/>
        <v/>
      </c>
      <c r="CA53" s="153" t="str">
        <f t="shared" si="12"/>
        <v/>
      </c>
      <c r="CB53" s="124" t="str">
        <f t="shared" si="17"/>
        <v/>
      </c>
      <c r="CC53" s="121" t="str">
        <f t="shared" si="13"/>
        <v/>
      </c>
      <c r="CD53" s="122" t="str">
        <f t="shared" si="14"/>
        <v/>
      </c>
      <c r="CE53" s="122" t="str">
        <f t="shared" si="15"/>
        <v/>
      </c>
      <c r="CF53" s="122" t="str">
        <f t="shared" si="18"/>
        <v/>
      </c>
      <c r="CG53" s="124" t="str">
        <f t="shared" si="16"/>
        <v/>
      </c>
      <c r="CH53" s="149" t="str">
        <f>IF('2.ชื่อนักเรียน'!R55="มส","",IF('2.ชื่อนักเรียน'!R55="ย้าย","",IF(C53="","",SUM(BQ53:CG53)/SUM(top))))</f>
        <v/>
      </c>
      <c r="CI53" s="136" t="str">
        <f>IF('2.ชื่อนักเรียน'!R55="มส","มส",IF('2.ชื่อนักเรียน'!R55="ย้าย","ย้าย",IF('2.ชื่อนักเรียน'!R55="ร","ร",IF(CH53="","",RANK(CH53,$CH$9:$CH$53,0)))))</f>
        <v/>
      </c>
    </row>
    <row r="54" spans="1:87" s="35" customFormat="1" ht="16.5" customHeight="1" x14ac:dyDescent="0.25">
      <c r="A54" s="34"/>
      <c r="B54" s="3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4"/>
      <c r="N54" s="34"/>
      <c r="AJ54" s="34"/>
      <c r="AK54" s="34"/>
      <c r="AY54" s="126"/>
      <c r="AZ54" s="126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6"/>
      <c r="BL54" s="126"/>
      <c r="BM54" s="127"/>
      <c r="BN54" s="127"/>
      <c r="BO54" s="127"/>
      <c r="BP54" s="127"/>
      <c r="BQ54" s="126"/>
      <c r="BR54" s="126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6"/>
      <c r="CD54" s="126"/>
      <c r="CE54" s="127"/>
      <c r="CF54" s="127"/>
      <c r="CG54" s="127"/>
    </row>
    <row r="55" spans="1:87" s="35" customFormat="1" ht="16.5" customHeight="1" x14ac:dyDescent="0.25">
      <c r="A55" s="34"/>
      <c r="B55" s="34"/>
      <c r="C55" s="695" t="s">
        <v>567</v>
      </c>
      <c r="D55" s="695"/>
      <c r="E55" s="695"/>
      <c r="F55" s="695"/>
      <c r="G55" s="695"/>
      <c r="H55" s="695"/>
      <c r="I55" s="695"/>
      <c r="Q55" s="695" t="s">
        <v>567</v>
      </c>
      <c r="R55" s="695"/>
      <c r="S55" s="695"/>
      <c r="T55" s="695"/>
      <c r="U55" s="695"/>
      <c r="V55" s="695"/>
      <c r="W55" s="695"/>
      <c r="Z55" s="695" t="s">
        <v>567</v>
      </c>
      <c r="AA55" s="695"/>
      <c r="AB55" s="695"/>
      <c r="AC55" s="695"/>
      <c r="AD55" s="695"/>
      <c r="AE55" s="695"/>
      <c r="AF55" s="695"/>
      <c r="AQ55" s="695" t="s">
        <v>567</v>
      </c>
      <c r="AR55" s="695"/>
      <c r="AS55" s="695"/>
      <c r="AT55" s="695"/>
      <c r="AU55" s="695"/>
      <c r="AV55" s="695"/>
      <c r="AW55" s="695"/>
      <c r="AY55" s="126"/>
      <c r="AZ55" s="126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6"/>
      <c r="BL55" s="126"/>
      <c r="BM55" s="127"/>
      <c r="BN55" s="127"/>
      <c r="BO55" s="127"/>
      <c r="BP55" s="127"/>
      <c r="BQ55" s="126"/>
      <c r="BR55" s="126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6"/>
      <c r="CD55" s="126"/>
      <c r="CE55" s="127"/>
      <c r="CF55" s="127"/>
      <c r="CG55" s="127"/>
    </row>
    <row r="56" spans="1:87" s="35" customFormat="1" ht="16.5" customHeight="1" x14ac:dyDescent="0.25">
      <c r="A56" s="34"/>
      <c r="B56" s="34"/>
      <c r="D56" s="696" t="str">
        <f>IF(Advisor="","(………………………………….)",CONCATENATE("(",Advisor,")"))</f>
        <v>(………………………………….)</v>
      </c>
      <c r="E56" s="696"/>
      <c r="F56" s="696"/>
      <c r="G56" s="696"/>
      <c r="H56" s="696"/>
      <c r="R56" s="696" t="str">
        <f>IF('1.ข้อมูลเบื้องต้น'!K8="","(………………………………….)",CONCATENATE("(",'1.ข้อมูลเบื้องต้น'!K8,")"))</f>
        <v>(………………………………….)</v>
      </c>
      <c r="S56" s="696"/>
      <c r="T56" s="696"/>
      <c r="U56" s="696"/>
      <c r="V56" s="696"/>
      <c r="W56" s="696"/>
      <c r="AA56" s="696" t="str">
        <f>IF(Advisor="","(………………………………….)",CONCATENATE("(",Advisor,")"))</f>
        <v>(………………………………….)</v>
      </c>
      <c r="AB56" s="696"/>
      <c r="AC56" s="696"/>
      <c r="AD56" s="696"/>
      <c r="AE56" s="696"/>
      <c r="AR56" s="696" t="str">
        <f>IF('1.ข้อมูลเบื้องต้น'!K8="","(………………………………….)",CONCATENATE("(",'1.ข้อมูลเบื้องต้น'!K8,")"))</f>
        <v>(………………………………….)</v>
      </c>
      <c r="AS56" s="696"/>
      <c r="AT56" s="696"/>
      <c r="AU56" s="696"/>
      <c r="AV56" s="696"/>
      <c r="AW56" s="696"/>
      <c r="AY56" s="126"/>
      <c r="AZ56" s="126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6"/>
      <c r="BL56" s="126"/>
      <c r="BM56" s="127"/>
      <c r="BN56" s="127"/>
      <c r="BO56" s="127"/>
      <c r="BP56" s="127"/>
      <c r="BQ56" s="126"/>
      <c r="BR56" s="126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6"/>
      <c r="CD56" s="126"/>
      <c r="CE56" s="127"/>
      <c r="CF56" s="127"/>
      <c r="CG56" s="127"/>
    </row>
    <row r="57" spans="1:87" ht="16.5" customHeight="1" x14ac:dyDescent="0.4">
      <c r="A57" s="34"/>
      <c r="B57" s="34"/>
      <c r="D57" s="696" t="s">
        <v>12</v>
      </c>
      <c r="E57" s="696"/>
      <c r="F57" s="696"/>
      <c r="G57" s="696"/>
      <c r="H57" s="696"/>
      <c r="R57" s="696" t="s">
        <v>692</v>
      </c>
      <c r="S57" s="696"/>
      <c r="T57" s="696"/>
      <c r="U57" s="696"/>
      <c r="V57" s="696"/>
      <c r="W57" s="696"/>
      <c r="AA57" s="696" t="s">
        <v>12</v>
      </c>
      <c r="AB57" s="696"/>
      <c r="AC57" s="696"/>
      <c r="AD57" s="696"/>
      <c r="AE57" s="696"/>
      <c r="AR57" s="696" t="s">
        <v>692</v>
      </c>
      <c r="AS57" s="696"/>
      <c r="AT57" s="696"/>
      <c r="AU57" s="696"/>
      <c r="AV57" s="696"/>
      <c r="AW57" s="696"/>
      <c r="AY57" s="128"/>
      <c r="AZ57" s="128"/>
      <c r="BK57" s="128"/>
      <c r="BL57" s="128"/>
      <c r="BQ57" s="128"/>
      <c r="BR57" s="128"/>
      <c r="CC57" s="128"/>
      <c r="CD57" s="128"/>
    </row>
    <row r="58" spans="1:87" ht="16.5" customHeight="1" x14ac:dyDescent="0.4">
      <c r="A58" s="34"/>
      <c r="B58" s="34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  <c r="N58" s="37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7"/>
      <c r="AL58" s="37"/>
      <c r="AY58" s="128"/>
      <c r="AZ58" s="128"/>
      <c r="BK58" s="128"/>
      <c r="BL58" s="128"/>
      <c r="BQ58" s="128"/>
      <c r="BR58" s="128"/>
      <c r="CC58" s="128"/>
      <c r="CD58" s="128"/>
    </row>
    <row r="59" spans="1:87" ht="16.5" customHeight="1" x14ac:dyDescent="0.4">
      <c r="A59" s="36"/>
      <c r="B59" s="36"/>
      <c r="C59" s="695" t="s">
        <v>748</v>
      </c>
      <c r="D59" s="695"/>
      <c r="E59" s="695"/>
      <c r="F59" s="695"/>
      <c r="G59" s="695"/>
      <c r="H59" s="695"/>
      <c r="I59" s="34"/>
      <c r="J59" s="36"/>
      <c r="K59" s="696" t="str">
        <f>IF(AssDirector="","","ลงชื่อ..............................")</f>
        <v/>
      </c>
      <c r="L59" s="696"/>
      <c r="M59" s="696"/>
      <c r="N59" s="696"/>
      <c r="O59" s="696"/>
      <c r="P59" s="35"/>
      <c r="Q59" s="35"/>
      <c r="R59" s="696" t="str">
        <f>IF(Director="","","ลงชื่อ.......................................")</f>
        <v>ลงชื่อ.......................................</v>
      </c>
      <c r="S59" s="696"/>
      <c r="T59" s="696"/>
      <c r="U59" s="696"/>
      <c r="V59" s="696"/>
      <c r="W59" s="696"/>
      <c r="Z59" s="695" t="s">
        <v>567</v>
      </c>
      <c r="AA59" s="695"/>
      <c r="AB59" s="695"/>
      <c r="AC59" s="695"/>
      <c r="AD59" s="695"/>
      <c r="AE59" s="695"/>
      <c r="AF59" s="695"/>
      <c r="AG59" s="34"/>
      <c r="AH59" s="36"/>
      <c r="AI59" s="696" t="str">
        <f>IF(AssDirector="","","ลงชื่อ...............................")</f>
        <v/>
      </c>
      <c r="AJ59" s="696"/>
      <c r="AK59" s="696"/>
      <c r="AL59" s="696"/>
      <c r="AM59" s="696"/>
      <c r="AN59" s="35"/>
      <c r="AO59" s="35"/>
      <c r="AP59" s="695" t="s">
        <v>567</v>
      </c>
      <c r="AQ59" s="695"/>
      <c r="AR59" s="695"/>
      <c r="AS59" s="695"/>
      <c r="AT59" s="695"/>
      <c r="AU59" s="695"/>
      <c r="AV59" s="695"/>
      <c r="AW59" s="695"/>
      <c r="AX59" s="35"/>
      <c r="AY59" s="126"/>
      <c r="AZ59" s="126"/>
      <c r="BK59" s="126"/>
      <c r="BL59" s="126"/>
      <c r="BQ59" s="126"/>
      <c r="BR59" s="126"/>
      <c r="CC59" s="126"/>
      <c r="CD59" s="126"/>
    </row>
    <row r="60" spans="1:87" ht="16.5" customHeight="1" x14ac:dyDescent="0.4">
      <c r="A60" s="33"/>
      <c r="B60" s="33"/>
      <c r="C60" s="696" t="str">
        <f>IF(Eval="","(………………………………….)",CONCATENATE("(",Eval,")"))</f>
        <v>(………………………………….)</v>
      </c>
      <c r="D60" s="696"/>
      <c r="E60" s="696"/>
      <c r="F60" s="696"/>
      <c r="G60" s="696"/>
      <c r="H60" s="696"/>
      <c r="I60" s="29"/>
      <c r="J60" s="29"/>
      <c r="K60" s="696" t="str">
        <f>IF(AssDirector="","",CONCATENATE("(",AssDirector,")"))</f>
        <v/>
      </c>
      <c r="L60" s="696"/>
      <c r="M60" s="696"/>
      <c r="N60" s="696"/>
      <c r="O60" s="696"/>
      <c r="P60" s="33"/>
      <c r="R60" s="696" t="str">
        <f>IF(Director="","",CONCATENATE("(",Director,")"))</f>
        <v>(นายอัศวิน   คงเพ็ชรศักดิ์)</v>
      </c>
      <c r="S60" s="696"/>
      <c r="T60" s="696"/>
      <c r="U60" s="696"/>
      <c r="V60" s="696"/>
      <c r="W60" s="696"/>
      <c r="AA60" s="696" t="str">
        <f>IF(Eval="","(………………………………….)",CONCATENATE("(",Eval,")"))</f>
        <v>(………………………………….)</v>
      </c>
      <c r="AB60" s="696"/>
      <c r="AC60" s="696"/>
      <c r="AD60" s="696"/>
      <c r="AE60" s="696"/>
      <c r="AF60" s="29"/>
      <c r="AG60" s="29"/>
      <c r="AH60" s="29"/>
      <c r="AI60" s="696" t="str">
        <f>IF(AssDirector="","",CONCATENATE("(",AssDirector,")"))</f>
        <v/>
      </c>
      <c r="AJ60" s="696"/>
      <c r="AK60" s="696"/>
      <c r="AL60" s="696"/>
      <c r="AM60" s="696"/>
      <c r="AN60" s="33"/>
      <c r="AP60" s="696" t="str">
        <f>IF(Director="","(………………………………….)",CONCATENATE("(",Director,")"))</f>
        <v>(นายอัศวิน   คงเพ็ชรศักดิ์)</v>
      </c>
      <c r="AQ60" s="696"/>
      <c r="AR60" s="696"/>
      <c r="AS60" s="696"/>
      <c r="AT60" s="696"/>
      <c r="AU60" s="696"/>
      <c r="AV60" s="696"/>
      <c r="AW60" s="696"/>
      <c r="AX60" s="33"/>
    </row>
    <row r="61" spans="1:87" ht="16.5" customHeight="1" x14ac:dyDescent="0.4">
      <c r="A61" s="33"/>
      <c r="B61" s="33"/>
      <c r="C61" s="696" t="s">
        <v>84</v>
      </c>
      <c r="D61" s="696"/>
      <c r="E61" s="696"/>
      <c r="F61" s="696"/>
      <c r="G61" s="696"/>
      <c r="H61" s="696"/>
      <c r="I61" s="29"/>
      <c r="J61" s="29"/>
      <c r="K61" s="696" t="str">
        <f>IF(AssDirector="","","รองผู้อำนวยการสถานศึกษา")</f>
        <v/>
      </c>
      <c r="L61" s="696"/>
      <c r="M61" s="696"/>
      <c r="N61" s="696"/>
      <c r="O61" s="696"/>
      <c r="P61" s="33"/>
      <c r="R61" s="696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S61" s="696"/>
      <c r="T61" s="696"/>
      <c r="U61" s="696"/>
      <c r="V61" s="696"/>
      <c r="W61" s="696"/>
      <c r="AA61" s="696" t="s">
        <v>84</v>
      </c>
      <c r="AB61" s="696"/>
      <c r="AC61" s="696"/>
      <c r="AD61" s="696"/>
      <c r="AE61" s="696"/>
      <c r="AF61" s="29"/>
      <c r="AG61" s="29"/>
      <c r="AH61" s="29"/>
      <c r="AI61" s="696" t="str">
        <f>IF(AssDirector="","","รองผู้อำนวยการสถานศึกษา")</f>
        <v/>
      </c>
      <c r="AJ61" s="696"/>
      <c r="AK61" s="696"/>
      <c r="AL61" s="696"/>
      <c r="AM61" s="696"/>
      <c r="AN61" s="33"/>
      <c r="AP61" s="696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Q61" s="696"/>
      <c r="AR61" s="696"/>
      <c r="AS61" s="696"/>
      <c r="AT61" s="696"/>
      <c r="AU61" s="696"/>
      <c r="AV61" s="696"/>
      <c r="AW61" s="696"/>
      <c r="AX61" s="33"/>
    </row>
    <row r="62" spans="1:87" ht="16.5" customHeight="1" x14ac:dyDescent="0.4">
      <c r="J62" s="697"/>
      <c r="K62" s="697"/>
      <c r="L62" s="697"/>
      <c r="M62" s="697"/>
      <c r="N62" s="697"/>
      <c r="O62" s="697"/>
      <c r="P62" s="697"/>
      <c r="R62" s="698" t="str">
        <f>IF(Director=AssDirector,"รักษาราชการแทน ผู้อำนวยการสถานศึกษา","")</f>
        <v/>
      </c>
      <c r="S62" s="698"/>
      <c r="T62" s="698"/>
      <c r="U62" s="698"/>
      <c r="V62" s="698"/>
      <c r="W62" s="698"/>
      <c r="X62" s="698"/>
      <c r="AP62" s="697" t="str">
        <f>IF(Director=AssDirector,"รักษาราชการแทนผู้อำนวยการสถานศึกษา","")</f>
        <v/>
      </c>
      <c r="AQ62" s="697"/>
      <c r="AR62" s="697"/>
      <c r="AS62" s="697"/>
      <c r="AT62" s="697"/>
      <c r="AU62" s="697"/>
      <c r="AV62" s="697"/>
      <c r="AW62" s="697"/>
    </row>
  </sheetData>
  <sheetProtection algorithmName="SHA-512" hashValue="PIvBUimxk4MdmGyAqb4CXWdy7LuWanqGnu5eMpdDp12T/ogGmzPe8oRfMSGCjanLwvUjDfp4k5jEgrhDQNYIKA==" saltValue="xgyhwanrr1EpcBsw+1hTPA==" spinCount="100000" sheet="1" objects="1" scenarios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243">
    <mergeCell ref="CJ1:CN5"/>
    <mergeCell ref="Z12:AD12"/>
    <mergeCell ref="Z13:AD13"/>
    <mergeCell ref="C14:G14"/>
    <mergeCell ref="C15:G15"/>
    <mergeCell ref="C16:G16"/>
    <mergeCell ref="BQ1:CF1"/>
    <mergeCell ref="BQ2:CF2"/>
    <mergeCell ref="BQ3:CF3"/>
    <mergeCell ref="BQ5:CB5"/>
    <mergeCell ref="AY1:BN1"/>
    <mergeCell ref="AY2:BN2"/>
    <mergeCell ref="AY3:BO3"/>
    <mergeCell ref="C9:G9"/>
    <mergeCell ref="C10:G10"/>
    <mergeCell ref="Z11:AD11"/>
    <mergeCell ref="AE11:AI11"/>
    <mergeCell ref="H9:L9"/>
    <mergeCell ref="H10:L10"/>
    <mergeCell ref="AE13:AI13"/>
    <mergeCell ref="H12:L12"/>
    <mergeCell ref="A5:A8"/>
    <mergeCell ref="C5:L8"/>
    <mergeCell ref="M5:X5"/>
    <mergeCell ref="Y5:Y8"/>
    <mergeCell ref="Z5:AI8"/>
    <mergeCell ref="A1:X1"/>
    <mergeCell ref="A2:X2"/>
    <mergeCell ref="A3:X3"/>
    <mergeCell ref="Y1:AX1"/>
    <mergeCell ref="Y2:AX2"/>
    <mergeCell ref="Y3:AX3"/>
    <mergeCell ref="AJ5:AV5"/>
    <mergeCell ref="AE35:AI35"/>
    <mergeCell ref="CJ7:CN7"/>
    <mergeCell ref="CH5:CH8"/>
    <mergeCell ref="CI5:CI8"/>
    <mergeCell ref="AW5:AW8"/>
    <mergeCell ref="AX5:AX8"/>
    <mergeCell ref="Z17:AD17"/>
    <mergeCell ref="AE17:AI17"/>
    <mergeCell ref="CC5:CG5"/>
    <mergeCell ref="AY5:BJ5"/>
    <mergeCell ref="BK5:BO5"/>
    <mergeCell ref="Z14:AD14"/>
    <mergeCell ref="AE14:AI14"/>
    <mergeCell ref="Z15:AD15"/>
    <mergeCell ref="AE15:AI15"/>
    <mergeCell ref="Z16:AD16"/>
    <mergeCell ref="AE16:AI16"/>
    <mergeCell ref="CJ8:CN12"/>
    <mergeCell ref="CJ13:CN16"/>
    <mergeCell ref="Z9:AD9"/>
    <mergeCell ref="AE9:AI9"/>
    <mergeCell ref="Z10:AD10"/>
    <mergeCell ref="AE10:AI10"/>
    <mergeCell ref="AE12:AI12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C18:G18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43:G43"/>
    <mergeCell ref="C17:G17"/>
    <mergeCell ref="H13:L13"/>
    <mergeCell ref="Z45:AD45"/>
    <mergeCell ref="AE45:AI45"/>
    <mergeCell ref="Z46:AD46"/>
    <mergeCell ref="Z44:AD44"/>
    <mergeCell ref="AE44:AI44"/>
    <mergeCell ref="Z20:AD20"/>
    <mergeCell ref="AE20:AI20"/>
    <mergeCell ref="Z29:AD29"/>
    <mergeCell ref="AE29:AI29"/>
    <mergeCell ref="Z26:AD26"/>
    <mergeCell ref="AE26:AI26"/>
    <mergeCell ref="Z27:AD27"/>
    <mergeCell ref="H44:L44"/>
    <mergeCell ref="H45:L45"/>
    <mergeCell ref="H46:L46"/>
    <mergeCell ref="H34:L34"/>
    <mergeCell ref="H35:L35"/>
    <mergeCell ref="H36:L36"/>
    <mergeCell ref="H37:L37"/>
    <mergeCell ref="H38:L38"/>
    <mergeCell ref="Z32:AD32"/>
    <mergeCell ref="D57:H57"/>
    <mergeCell ref="C59:H59"/>
    <mergeCell ref="C60:H60"/>
    <mergeCell ref="C61:H61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C55:I55"/>
    <mergeCell ref="K60:O60"/>
    <mergeCell ref="K61:O61"/>
    <mergeCell ref="K59:O59"/>
    <mergeCell ref="AE32:AI32"/>
    <mergeCell ref="Z33:AD33"/>
    <mergeCell ref="AE33:AI33"/>
    <mergeCell ref="Z34:AD34"/>
    <mergeCell ref="AE34:AI34"/>
    <mergeCell ref="Z30:AD30"/>
    <mergeCell ref="Z35:AD35"/>
    <mergeCell ref="D56:H56"/>
    <mergeCell ref="Z41:AD41"/>
    <mergeCell ref="AE41:AI41"/>
    <mergeCell ref="Z36:AD36"/>
    <mergeCell ref="AE36:AI36"/>
    <mergeCell ref="Z37:AD37"/>
    <mergeCell ref="AE37:AI37"/>
    <mergeCell ref="Z38:AD38"/>
    <mergeCell ref="AE38:AI38"/>
    <mergeCell ref="Z39:AD39"/>
    <mergeCell ref="AE39:AI39"/>
    <mergeCell ref="Z40:AD40"/>
    <mergeCell ref="AE40:AI40"/>
    <mergeCell ref="AE30:AI30"/>
    <mergeCell ref="Z31:AD31"/>
    <mergeCell ref="AE31:AI31"/>
    <mergeCell ref="AA56:AE56"/>
    <mergeCell ref="AE27:AI27"/>
    <mergeCell ref="Z28:AD28"/>
    <mergeCell ref="Z21:AD21"/>
    <mergeCell ref="AE21:AI21"/>
    <mergeCell ref="Z22:AD22"/>
    <mergeCell ref="AE22:AI22"/>
    <mergeCell ref="Z19:AD19"/>
    <mergeCell ref="AE19:AI19"/>
    <mergeCell ref="Z18:AD18"/>
    <mergeCell ref="AE18:AI18"/>
    <mergeCell ref="AE28:AI28"/>
    <mergeCell ref="Z25:AD25"/>
    <mergeCell ref="AE25:AI25"/>
    <mergeCell ref="Z23:AD23"/>
    <mergeCell ref="AE23:AI23"/>
    <mergeCell ref="Z24:AD24"/>
    <mergeCell ref="AE24:AI24"/>
    <mergeCell ref="Z53:AD53"/>
    <mergeCell ref="AE53:AI53"/>
    <mergeCell ref="Z50:AD50"/>
    <mergeCell ref="AE50:AI50"/>
    <mergeCell ref="Z51:AD51"/>
    <mergeCell ref="AE51:AI51"/>
    <mergeCell ref="Z52:AD52"/>
    <mergeCell ref="AE52:AI52"/>
    <mergeCell ref="Z59:AF59"/>
    <mergeCell ref="Z55:AF55"/>
    <mergeCell ref="Z47:AD47"/>
    <mergeCell ref="Z42:AD42"/>
    <mergeCell ref="AE42:AI42"/>
    <mergeCell ref="Z43:AD43"/>
    <mergeCell ref="AE43:AI43"/>
    <mergeCell ref="AE46:AI46"/>
    <mergeCell ref="AE48:AI48"/>
    <mergeCell ref="Z49:AD49"/>
    <mergeCell ref="AE49:AI49"/>
    <mergeCell ref="AE47:AI47"/>
    <mergeCell ref="Z48:AD48"/>
    <mergeCell ref="J62:P62"/>
    <mergeCell ref="R62:X62"/>
    <mergeCell ref="AP62:AW62"/>
    <mergeCell ref="AP59:AW59"/>
    <mergeCell ref="AA61:AE61"/>
    <mergeCell ref="AI61:AM61"/>
    <mergeCell ref="AI59:AM59"/>
    <mergeCell ref="AA60:AE60"/>
    <mergeCell ref="AI60:AM60"/>
    <mergeCell ref="Q55:W55"/>
    <mergeCell ref="R57:W57"/>
    <mergeCell ref="R56:W56"/>
    <mergeCell ref="AQ55:AW55"/>
    <mergeCell ref="AR56:AW56"/>
    <mergeCell ref="AR57:AW57"/>
    <mergeCell ref="R59:W59"/>
    <mergeCell ref="R60:W60"/>
    <mergeCell ref="R61:W61"/>
    <mergeCell ref="AP60:AW60"/>
    <mergeCell ref="AP61:AW61"/>
    <mergeCell ref="AA57:AE57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colBreaks count="1" manualBreakCount="1">
    <brk id="24" max="61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</sheetPr>
  <dimension ref="A1:CY59"/>
  <sheetViews>
    <sheetView view="pageBreakPreview" zoomScaleSheetLayoutView="100" workbookViewId="0">
      <pane xSplit="10" ySplit="8" topLeftCell="Z29" activePane="bottomRight" state="frozen"/>
      <selection pane="topRight" activeCell="K1" sqref="K1"/>
      <selection pane="bottomLeft" activeCell="A9" sqref="A9"/>
      <selection pane="bottomRight" activeCell="CU7" sqref="CU7:CY7"/>
    </sheetView>
  </sheetViews>
  <sheetFormatPr defaultColWidth="9.33203125" defaultRowHeight="21" x14ac:dyDescent="0.4"/>
  <cols>
    <col min="1" max="1" width="3.6640625" style="14" customWidth="1"/>
    <col min="2" max="2" width="11.33203125" style="14" hidden="1" customWidth="1"/>
    <col min="3" max="70" width="3.6640625" style="14" customWidth="1"/>
    <col min="71" max="71" width="3.6640625" style="14" hidden="1" customWidth="1"/>
    <col min="72" max="96" width="3.44140625" style="106" hidden="1" customWidth="1"/>
    <col min="97" max="98" width="4.33203125" style="14" hidden="1" customWidth="1"/>
    <col min="99" max="16384" width="9.33203125" style="14"/>
  </cols>
  <sheetData>
    <row r="1" spans="1:103" s="13" customFormat="1" ht="24" customHeight="1" x14ac:dyDescent="0.35">
      <c r="A1" s="775" t="str">
        <f>IF(C9="","ประกาศผลสอบปลายภาคเรียนที่.................../.................................",CONCATENATE("ประกาศผลสอบปลายภาคเรียนที่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 t="str">
        <f>IF(AJ9="","ประกาศผลสอบปลายภาคเรียนที่.................../.................................",CONCATENATE("ประกาศผลสอบปลายภาคเรียนที่ ",Semester,"/",Year))</f>
        <v>ประกาศผลสอบปลายภาคเรียนที่.................../.................................</v>
      </c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775"/>
      <c r="BJ1" s="775"/>
      <c r="BK1" s="775"/>
      <c r="BL1" s="775"/>
      <c r="BM1" s="775"/>
      <c r="BN1" s="775"/>
      <c r="BO1" s="775"/>
      <c r="BP1" s="775"/>
      <c r="BQ1" s="775"/>
      <c r="BR1" s="775"/>
      <c r="BS1" s="775"/>
      <c r="BT1" s="754"/>
      <c r="BU1" s="754"/>
      <c r="BV1" s="754"/>
      <c r="BW1" s="754"/>
      <c r="BX1" s="754"/>
      <c r="BY1" s="754"/>
      <c r="BZ1" s="754"/>
      <c r="CA1" s="754"/>
      <c r="CB1" s="754"/>
      <c r="CC1" s="754"/>
      <c r="CD1" s="754"/>
      <c r="CE1" s="754"/>
      <c r="CF1" s="754"/>
      <c r="CG1" s="754"/>
      <c r="CH1" s="754"/>
      <c r="CI1" s="754"/>
      <c r="CJ1" s="754"/>
      <c r="CK1" s="166"/>
      <c r="CL1" s="166"/>
      <c r="CM1" s="166"/>
      <c r="CN1" s="166"/>
      <c r="CO1" s="166"/>
      <c r="CP1" s="166"/>
      <c r="CQ1" s="166"/>
      <c r="CR1" s="166"/>
    </row>
    <row r="2" spans="1:103" s="13" customFormat="1" ht="24" customHeight="1" x14ac:dyDescent="0.35">
      <c r="A2" s="775" t="s">
        <v>693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 t="s">
        <v>693</v>
      </c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  <c r="BE2" s="775"/>
      <c r="BF2" s="775"/>
      <c r="BG2" s="775"/>
      <c r="BH2" s="775"/>
      <c r="BI2" s="775"/>
      <c r="BJ2" s="775"/>
      <c r="BK2" s="775"/>
      <c r="BL2" s="775"/>
      <c r="BM2" s="775"/>
      <c r="BN2" s="775"/>
      <c r="BO2" s="775"/>
      <c r="BP2" s="775"/>
      <c r="BQ2" s="775"/>
      <c r="BR2" s="775"/>
      <c r="BS2" s="775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166"/>
      <c r="CL2" s="166"/>
      <c r="CM2" s="166"/>
      <c r="CN2" s="166"/>
      <c r="CO2" s="166"/>
      <c r="CP2" s="166"/>
      <c r="CQ2" s="166"/>
      <c r="CR2" s="166"/>
    </row>
    <row r="3" spans="1:103" s="13" customFormat="1" ht="24" customHeight="1" x14ac:dyDescent="0.35">
      <c r="A3" s="775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 t="str">
        <f>IF(C9="","ชั้นมัธยมศึกษาปีที่.................",CONCATENATE("ชั้นมัธยมศึกษาปีที่ ",Class))</f>
        <v>ชั้นมัธยมศึกษาปีที่.................</v>
      </c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5"/>
      <c r="BK3" s="775"/>
      <c r="BL3" s="775"/>
      <c r="BM3" s="775"/>
      <c r="BN3" s="775"/>
      <c r="BO3" s="775"/>
      <c r="BP3" s="775"/>
      <c r="BQ3" s="775"/>
      <c r="BR3" s="775"/>
      <c r="BS3" s="775"/>
      <c r="BT3" s="754" t="s">
        <v>74</v>
      </c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166"/>
      <c r="CL3" s="166"/>
      <c r="CM3" s="166"/>
      <c r="CN3" s="166"/>
      <c r="CO3" s="166"/>
      <c r="CP3" s="166"/>
      <c r="CQ3" s="166"/>
      <c r="CR3" s="166"/>
    </row>
    <row r="4" spans="1:103" ht="22.5" customHeight="1" thickBot="1" x14ac:dyDescent="0.45">
      <c r="N4" s="15"/>
      <c r="O4" s="15"/>
      <c r="AU4" s="15"/>
      <c r="AV4" s="15"/>
      <c r="BU4" s="107"/>
      <c r="CG4" s="107"/>
      <c r="CL4" s="107"/>
    </row>
    <row r="5" spans="1:103" s="16" customFormat="1" ht="21" customHeight="1" x14ac:dyDescent="0.4">
      <c r="A5" s="651" t="s">
        <v>0</v>
      </c>
      <c r="B5" s="291"/>
      <c r="C5" s="654" t="s">
        <v>1</v>
      </c>
      <c r="D5" s="738"/>
      <c r="E5" s="738"/>
      <c r="F5" s="738"/>
      <c r="G5" s="738"/>
      <c r="H5" s="738"/>
      <c r="I5" s="738"/>
      <c r="J5" s="738"/>
      <c r="K5" s="784" t="s">
        <v>2</v>
      </c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6"/>
      <c r="AI5" s="651" t="s">
        <v>0</v>
      </c>
      <c r="AJ5" s="776" t="s">
        <v>60</v>
      </c>
      <c r="AK5" s="777"/>
      <c r="AL5" s="777"/>
      <c r="AM5" s="777"/>
      <c r="AN5" s="777"/>
      <c r="AO5" s="777"/>
      <c r="AP5" s="777"/>
      <c r="AQ5" s="777"/>
      <c r="AR5" s="761" t="s">
        <v>3</v>
      </c>
      <c r="AS5" s="762"/>
      <c r="AT5" s="762"/>
      <c r="AU5" s="762"/>
      <c r="AV5" s="762"/>
      <c r="AW5" s="762"/>
      <c r="AX5" s="762"/>
      <c r="AY5" s="762"/>
      <c r="AZ5" s="762"/>
      <c r="BA5" s="762"/>
      <c r="BB5" s="762"/>
      <c r="BC5" s="762"/>
      <c r="BD5" s="762"/>
      <c r="BE5" s="762"/>
      <c r="BF5" s="762"/>
      <c r="BG5" s="762"/>
      <c r="BH5" s="762"/>
      <c r="BI5" s="762"/>
      <c r="BJ5" s="762"/>
      <c r="BK5" s="762"/>
      <c r="BL5" s="762"/>
      <c r="BM5" s="762"/>
      <c r="BN5" s="762"/>
      <c r="BO5" s="762"/>
      <c r="BP5" s="762"/>
      <c r="BQ5" s="763"/>
      <c r="BR5" s="720" t="s">
        <v>13</v>
      </c>
      <c r="BS5" s="720" t="s">
        <v>5</v>
      </c>
      <c r="BT5" s="726" t="s">
        <v>2</v>
      </c>
      <c r="BU5" s="727"/>
      <c r="BV5" s="727"/>
      <c r="BW5" s="727"/>
      <c r="BX5" s="727"/>
      <c r="BY5" s="727"/>
      <c r="BZ5" s="727"/>
      <c r="CA5" s="727"/>
      <c r="CB5" s="727"/>
      <c r="CC5" s="728"/>
      <c r="CD5" s="728"/>
      <c r="CE5" s="729"/>
      <c r="CF5" s="723" t="s">
        <v>3</v>
      </c>
      <c r="CG5" s="724"/>
      <c r="CH5" s="724"/>
      <c r="CI5" s="724"/>
      <c r="CJ5" s="724"/>
      <c r="CK5" s="724"/>
      <c r="CL5" s="724"/>
      <c r="CM5" s="724"/>
      <c r="CN5" s="724"/>
      <c r="CO5" s="724"/>
      <c r="CP5" s="724"/>
      <c r="CQ5" s="724"/>
      <c r="CR5" s="725"/>
      <c r="CS5" s="713" t="s">
        <v>13</v>
      </c>
      <c r="CT5" s="716" t="s">
        <v>5</v>
      </c>
    </row>
    <row r="6" spans="1:103" ht="23.25" hidden="1" customHeight="1" x14ac:dyDescent="0.4">
      <c r="A6" s="652"/>
      <c r="B6" s="292"/>
      <c r="C6" s="656"/>
      <c r="D6" s="739"/>
      <c r="E6" s="739"/>
      <c r="F6" s="739"/>
      <c r="G6" s="739"/>
      <c r="H6" s="739"/>
      <c r="I6" s="739"/>
      <c r="J6" s="739"/>
      <c r="K6" s="223"/>
      <c r="L6" s="222"/>
      <c r="M6" s="220"/>
      <c r="N6" s="18"/>
      <c r="O6" s="18"/>
      <c r="P6" s="18"/>
      <c r="Q6" s="18"/>
      <c r="R6" s="18"/>
      <c r="S6" s="18"/>
      <c r="T6" s="19"/>
      <c r="U6" s="19"/>
      <c r="V6" s="19"/>
      <c r="W6" s="19"/>
      <c r="X6" s="20"/>
      <c r="Y6" s="20"/>
      <c r="Z6" s="20"/>
      <c r="AA6" s="20"/>
      <c r="AB6" s="20"/>
      <c r="AC6" s="134"/>
      <c r="AD6" s="134"/>
      <c r="AE6" s="134"/>
      <c r="AF6" s="134"/>
      <c r="AG6" s="134"/>
      <c r="AH6" s="21"/>
      <c r="AI6" s="652"/>
      <c r="AJ6" s="778"/>
      <c r="AK6" s="752"/>
      <c r="AL6" s="752"/>
      <c r="AM6" s="752"/>
      <c r="AN6" s="752"/>
      <c r="AO6" s="752"/>
      <c r="AP6" s="752"/>
      <c r="AQ6" s="752"/>
      <c r="AR6" s="235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477"/>
      <c r="BR6" s="721"/>
      <c r="BS6" s="721"/>
      <c r="BT6" s="108"/>
      <c r="BU6" s="109"/>
      <c r="BV6" s="109"/>
      <c r="BW6" s="109"/>
      <c r="BX6" s="109"/>
      <c r="BY6" s="109"/>
      <c r="BZ6" s="110"/>
      <c r="CA6" s="110"/>
      <c r="CB6" s="110"/>
      <c r="CC6" s="151"/>
      <c r="CD6" s="151"/>
      <c r="CE6" s="111"/>
      <c r="CF6" s="108"/>
      <c r="CG6" s="109"/>
      <c r="CH6" s="109"/>
      <c r="CI6" s="112"/>
      <c r="CJ6" s="113"/>
      <c r="CK6" s="108"/>
      <c r="CL6" s="109"/>
      <c r="CM6" s="109"/>
      <c r="CN6" s="112"/>
      <c r="CO6" s="109"/>
      <c r="CP6" s="112"/>
      <c r="CQ6" s="113"/>
      <c r="CR6" s="493"/>
      <c r="CS6" s="714"/>
      <c r="CT6" s="717"/>
    </row>
    <row r="7" spans="1:103" ht="124.5" customHeight="1" x14ac:dyDescent="0.4">
      <c r="A7" s="652"/>
      <c r="B7" s="292" t="s">
        <v>24</v>
      </c>
      <c r="C7" s="656"/>
      <c r="D7" s="739"/>
      <c r="E7" s="739"/>
      <c r="F7" s="739"/>
      <c r="G7" s="739"/>
      <c r="H7" s="739"/>
      <c r="I7" s="739"/>
      <c r="J7" s="739"/>
      <c r="K7" s="791" t="str">
        <f>IF(SubGen1="","",SubGen1)</f>
        <v/>
      </c>
      <c r="L7" s="789"/>
      <c r="M7" s="788" t="str">
        <f>IF(SubGen2="","",SubGen2)</f>
        <v/>
      </c>
      <c r="N7" s="789"/>
      <c r="O7" s="788" t="str">
        <f>IF(SubGen3="","",SubGen3)</f>
        <v/>
      </c>
      <c r="P7" s="789"/>
      <c r="Q7" s="788" t="str">
        <f>IF(SubGen4="","",SubGen4)</f>
        <v/>
      </c>
      <c r="R7" s="789"/>
      <c r="S7" s="788" t="str">
        <f>IF(SubGen5="","",SubGen5)</f>
        <v/>
      </c>
      <c r="T7" s="789"/>
      <c r="U7" s="788" t="str">
        <f>IF(SubGen6="","",SubGen6)</f>
        <v/>
      </c>
      <c r="V7" s="789"/>
      <c r="W7" s="788" t="str">
        <f>IF(SubGen7="","",SubGen7)</f>
        <v/>
      </c>
      <c r="X7" s="789"/>
      <c r="Y7" s="788" t="str">
        <f>IF(SubGen8="","",SubGen8)</f>
        <v/>
      </c>
      <c r="Z7" s="789"/>
      <c r="AA7" s="788" t="str">
        <f>IF(SubGen9="","",SubGen9)</f>
        <v/>
      </c>
      <c r="AB7" s="789"/>
      <c r="AC7" s="788" t="str">
        <f>IF(SubGen10="","",SubGen10)</f>
        <v/>
      </c>
      <c r="AD7" s="789"/>
      <c r="AE7" s="788" t="str">
        <f>IF(SubGen11="","",SubGen11)</f>
        <v/>
      </c>
      <c r="AF7" s="789"/>
      <c r="AG7" s="788" t="str">
        <f>IF(SubGen12="","",SubGen12)</f>
        <v/>
      </c>
      <c r="AH7" s="790"/>
      <c r="AI7" s="652"/>
      <c r="AJ7" s="778"/>
      <c r="AK7" s="752"/>
      <c r="AL7" s="752"/>
      <c r="AM7" s="752"/>
      <c r="AN7" s="752"/>
      <c r="AO7" s="752"/>
      <c r="AP7" s="752"/>
      <c r="AQ7" s="752"/>
      <c r="AR7" s="787" t="str">
        <f>IF(SubEle1="","",SubEle1)</f>
        <v/>
      </c>
      <c r="AS7" s="764"/>
      <c r="AT7" s="764" t="str">
        <f>IF(SubEle2="","",SubEle2)</f>
        <v/>
      </c>
      <c r="AU7" s="764"/>
      <c r="AV7" s="764" t="str">
        <f>IF(SubEle3="","",SubEle3)</f>
        <v/>
      </c>
      <c r="AW7" s="764"/>
      <c r="AX7" s="764" t="str">
        <f>IF(SubEle4="","",SubEle4)</f>
        <v/>
      </c>
      <c r="AY7" s="764"/>
      <c r="AZ7" s="764" t="str">
        <f>IF(SubEle5="","",SubEle5)</f>
        <v/>
      </c>
      <c r="BA7" s="764"/>
      <c r="BB7" s="764" t="str">
        <f>IF(SubEle6="","",SubEle6)</f>
        <v/>
      </c>
      <c r="BC7" s="764"/>
      <c r="BD7" s="764" t="str">
        <f>IF(SubEle7="","",SubEle7)</f>
        <v/>
      </c>
      <c r="BE7" s="764"/>
      <c r="BF7" s="764" t="str">
        <f>IF(SubEle8="","",SubEle8)</f>
        <v/>
      </c>
      <c r="BG7" s="764"/>
      <c r="BH7" s="764" t="str">
        <f>IF(SubEle9="","",SubEle9)</f>
        <v/>
      </c>
      <c r="BI7" s="764"/>
      <c r="BJ7" s="764" t="str">
        <f>IF(SubEle10="","",SubEle10)</f>
        <v/>
      </c>
      <c r="BK7" s="764"/>
      <c r="BL7" s="764" t="str">
        <f>IF(SubEle11="","",SubEle11)</f>
        <v/>
      </c>
      <c r="BM7" s="764"/>
      <c r="BN7" s="764" t="str">
        <f>IF(SubEle12="","",SubEle12)</f>
        <v/>
      </c>
      <c r="BO7" s="764"/>
      <c r="BP7" s="764" t="str">
        <f>IF('1.ข้อมูลเบื้องต้น'!$C$32="","",'1.ข้อมูลเบื้องต้น'!$C$32)</f>
        <v/>
      </c>
      <c r="BQ7" s="792"/>
      <c r="BR7" s="721"/>
      <c r="BS7" s="721"/>
      <c r="BT7" s="38" t="str">
        <f>IF(SubGen1="","",SubGen1)</f>
        <v/>
      </c>
      <c r="BU7" s="22" t="str">
        <f>IF(SubGen2="","",SubGen2)</f>
        <v/>
      </c>
      <c r="BV7" s="22" t="str">
        <f>IF(SubGen3="","",SubGen3)</f>
        <v/>
      </c>
      <c r="BW7" s="22" t="str">
        <f>IF(SubGen4="","",SubGen4)</f>
        <v/>
      </c>
      <c r="BX7" s="22" t="str">
        <f>IF(SubGen5="","",SubGen5)</f>
        <v/>
      </c>
      <c r="BY7" s="22" t="str">
        <f>IF(SubGen6="","",SubGen6)</f>
        <v/>
      </c>
      <c r="BZ7" s="22" t="str">
        <f>IF(SubGen7="","",SubGen7)</f>
        <v/>
      </c>
      <c r="CA7" s="22" t="str">
        <f>IF(SubGen8="","",SubGen8)</f>
        <v/>
      </c>
      <c r="CB7" s="22" t="str">
        <f>IF(SubGen9="","",SubGen9)</f>
        <v/>
      </c>
      <c r="CC7" s="22" t="str">
        <f>IF(SubGen10="","",SubGen10)</f>
        <v/>
      </c>
      <c r="CD7" s="22" t="str">
        <f>IF(SubGen11="","",SubGen11)</f>
        <v/>
      </c>
      <c r="CE7" s="39" t="str">
        <f>IF(SubGen12="","",SubGen12)</f>
        <v/>
      </c>
      <c r="CF7" s="38" t="str">
        <f>IF(SubEle1="","",SubEle1)</f>
        <v/>
      </c>
      <c r="CG7" s="22" t="str">
        <f>IF(SubEle2="","",SubEle2)</f>
        <v/>
      </c>
      <c r="CH7" s="150" t="str">
        <f>IF(SubEle3="","",SubEle3)</f>
        <v/>
      </c>
      <c r="CI7" s="150" t="str">
        <f>IF(SubEle4="","",SubEle4)</f>
        <v/>
      </c>
      <c r="CJ7" s="150" t="str">
        <f>IF(SubEle5="","",SubEle5)</f>
        <v/>
      </c>
      <c r="CK7" s="150" t="str">
        <f>IF(SubEle6="","",SubEle6)</f>
        <v/>
      </c>
      <c r="CL7" s="150" t="str">
        <f>IF(SubEle7="","",SubEle7)</f>
        <v/>
      </c>
      <c r="CM7" s="22" t="str">
        <f>IF(SubEle8="","",SubEle8)</f>
        <v/>
      </c>
      <c r="CN7" s="22" t="str">
        <f>IF(SubEle9="","",SubEle9)</f>
        <v/>
      </c>
      <c r="CO7" s="22" t="str">
        <f>IF(SubEle10="","",SubEle10)</f>
        <v/>
      </c>
      <c r="CP7" s="22" t="str">
        <f>IF(SubEle11="","",SubEle11)</f>
        <v/>
      </c>
      <c r="CQ7" s="39" t="str">
        <f>IF(SubEle12="","",SubEle12)</f>
        <v/>
      </c>
      <c r="CR7" s="482" t="str">
        <f>IF('1.ข้อมูลเบื้องต้น'!$C$32="","",'1.ข้อมูลเบื้องต้น'!$C$32)</f>
        <v/>
      </c>
      <c r="CS7" s="714"/>
      <c r="CT7" s="717"/>
      <c r="CU7" s="773" t="s">
        <v>1124</v>
      </c>
      <c r="CV7" s="774"/>
      <c r="CW7" s="774"/>
      <c r="CX7" s="774"/>
      <c r="CY7" s="774"/>
    </row>
    <row r="8" spans="1:103" s="27" customFormat="1" ht="18.75" customHeight="1" thickBot="1" x14ac:dyDescent="0.3">
      <c r="A8" s="653"/>
      <c r="B8" s="293"/>
      <c r="C8" s="658"/>
      <c r="D8" s="740"/>
      <c r="E8" s="740"/>
      <c r="F8" s="740"/>
      <c r="G8" s="740"/>
      <c r="H8" s="740"/>
      <c r="I8" s="740"/>
      <c r="J8" s="740"/>
      <c r="K8" s="23" t="str">
        <f>IF(K7="","",100)</f>
        <v/>
      </c>
      <c r="L8" s="221" t="str">
        <f>IF(CreditGen1="","",CreditGen1)</f>
        <v/>
      </c>
      <c r="M8" s="221" t="str">
        <f>IF(M7="","",100)</f>
        <v/>
      </c>
      <c r="N8" s="24" t="str">
        <f>IF(CreditGen2="","",CreditGen2)</f>
        <v/>
      </c>
      <c r="O8" s="24" t="str">
        <f>IF(O7="","",100)</f>
        <v/>
      </c>
      <c r="P8" s="24" t="str">
        <f>IF(CreditGen3="","",CreditGen3)</f>
        <v/>
      </c>
      <c r="Q8" s="24" t="str">
        <f>IF(Q7="","",100)</f>
        <v/>
      </c>
      <c r="R8" s="24" t="str">
        <f>IF(CreditGen4="","",CreditGen4)</f>
        <v/>
      </c>
      <c r="S8" s="24" t="str">
        <f>IF(S7="","",100)</f>
        <v/>
      </c>
      <c r="T8" s="24" t="str">
        <f>IF(CreditGen5="","",CreditGen5)</f>
        <v/>
      </c>
      <c r="U8" s="24" t="str">
        <f>IF(U7="","",100)</f>
        <v/>
      </c>
      <c r="V8" s="24" t="str">
        <f>IF(CreditGen6="","",CreditGen6)</f>
        <v/>
      </c>
      <c r="W8" s="24" t="str">
        <f>IF(W7="","",100)</f>
        <v/>
      </c>
      <c r="X8" s="24" t="str">
        <f>IF(CreditGen7="","",CreditGen7)</f>
        <v/>
      </c>
      <c r="Y8" s="24" t="str">
        <f>IF(Y7="","",100)</f>
        <v/>
      </c>
      <c r="Z8" s="24" t="str">
        <f>IF(CreditGen8="","",CreditGen8)</f>
        <v/>
      </c>
      <c r="AA8" s="24" t="str">
        <f>IF(AA7="","",100)</f>
        <v/>
      </c>
      <c r="AB8" s="24" t="str">
        <f>IF(CreditGen9="","",CreditGen9)</f>
        <v/>
      </c>
      <c r="AC8" s="26" t="str">
        <f>IF(AC7="","",100)</f>
        <v/>
      </c>
      <c r="AD8" s="26" t="str">
        <f>IF(CreditGen10="","",CreditGen10)</f>
        <v/>
      </c>
      <c r="AE8" s="26" t="str">
        <f>IF(AE7="","",100)</f>
        <v/>
      </c>
      <c r="AF8" s="26" t="str">
        <f>IF(CreditGen11="","",CreditGen11)</f>
        <v/>
      </c>
      <c r="AG8" s="26" t="str">
        <f>IF(AG7="","",100)</f>
        <v/>
      </c>
      <c r="AH8" s="25" t="str">
        <f>IF(CreditGen12="","",CreditGen12)</f>
        <v/>
      </c>
      <c r="AI8" s="653"/>
      <c r="AJ8" s="779"/>
      <c r="AK8" s="780"/>
      <c r="AL8" s="780"/>
      <c r="AM8" s="780"/>
      <c r="AN8" s="780"/>
      <c r="AO8" s="780"/>
      <c r="AP8" s="780"/>
      <c r="AQ8" s="780"/>
      <c r="AR8" s="23" t="str">
        <f>IF(AR7="","",100)</f>
        <v/>
      </c>
      <c r="AS8" s="24" t="str">
        <f>IF(CreditEle1="","",CreditEle1)</f>
        <v/>
      </c>
      <c r="AT8" s="24" t="str">
        <f>IF(AT7="","",100)</f>
        <v/>
      </c>
      <c r="AU8" s="24" t="str">
        <f>IF(CreditEle2="","",CreditEle2)</f>
        <v/>
      </c>
      <c r="AV8" s="24" t="str">
        <f>IF(AV7="","",100)</f>
        <v/>
      </c>
      <c r="AW8" s="24" t="str">
        <f>IF(CreditEle3="","",CreditEle3)</f>
        <v/>
      </c>
      <c r="AX8" s="24" t="str">
        <f>IF(AX7="","",100)</f>
        <v/>
      </c>
      <c r="AY8" s="24" t="str">
        <f>IF(CreditEle4="","",CreditEle4)</f>
        <v/>
      </c>
      <c r="AZ8" s="24" t="str">
        <f>IF(AZ7="","",100)</f>
        <v/>
      </c>
      <c r="BA8" s="24" t="str">
        <f>IF(CreditEle5="","",CreditEle5)</f>
        <v/>
      </c>
      <c r="BB8" s="24" t="str">
        <f>IF(BB7="","",100)</f>
        <v/>
      </c>
      <c r="BC8" s="24" t="str">
        <f>IF(CreditEle6="","",CreditEle6)</f>
        <v/>
      </c>
      <c r="BD8" s="24" t="str">
        <f>IF(BD7="","",100)</f>
        <v/>
      </c>
      <c r="BE8" s="24" t="str">
        <f>IF(CreditEle7="","",CreditEle7)</f>
        <v/>
      </c>
      <c r="BF8" s="24" t="str">
        <f>IF(BF7="","",100)</f>
        <v/>
      </c>
      <c r="BG8" s="24" t="str">
        <f>IF(CreditEle8="","",CreditEle8)</f>
        <v/>
      </c>
      <c r="BH8" s="24" t="str">
        <f>IF(BH7="","",100)</f>
        <v/>
      </c>
      <c r="BI8" s="24" t="str">
        <f>IF(CreditEle9="","",CreditEle9)</f>
        <v/>
      </c>
      <c r="BJ8" s="24" t="str">
        <f>IF(BJ7="","",100)</f>
        <v/>
      </c>
      <c r="BK8" s="24" t="str">
        <f>IF(CreditEle10="","",CreditEle10)</f>
        <v/>
      </c>
      <c r="BL8" s="24" t="str">
        <f>IF(BL7="","",100)</f>
        <v/>
      </c>
      <c r="BM8" s="24" t="str">
        <f>IF(CreditEle11="","",CreditEle11)</f>
        <v/>
      </c>
      <c r="BN8" s="24" t="str">
        <f>IF(BN7="","",100)</f>
        <v/>
      </c>
      <c r="BO8" s="24" t="str">
        <f>IF(CreditEle12="","",CreditEle12)</f>
        <v/>
      </c>
      <c r="BP8" s="24" t="str">
        <f>IF(BP7="","",100)</f>
        <v/>
      </c>
      <c r="BQ8" s="25" t="str">
        <f>IF('1.ข้อมูลเบื้องต้น'!$D$32="","",'1.ข้อมูลเบื้องต้น'!$D$32)</f>
        <v/>
      </c>
      <c r="BR8" s="722"/>
      <c r="BS8" s="722"/>
      <c r="BT8" s="23" t="str">
        <f>IF(CreditGen1="","",CreditGen1)</f>
        <v/>
      </c>
      <c r="BU8" s="24" t="str">
        <f>IF(CreditGen2="","",CreditGen2)</f>
        <v/>
      </c>
      <c r="BV8" s="24" t="str">
        <f>IF(CreditGen3="","",CreditGen3)</f>
        <v/>
      </c>
      <c r="BW8" s="24" t="str">
        <f>IF(CreditGen4="","",CreditGen4)</f>
        <v/>
      </c>
      <c r="BX8" s="24" t="str">
        <f>IF(CreditGen5="","",CreditGen5)</f>
        <v/>
      </c>
      <c r="BY8" s="24" t="str">
        <f>IF(CreditGen6="","",CreditGen6)</f>
        <v/>
      </c>
      <c r="BZ8" s="24" t="str">
        <f>IF(CreditGen7="","",CreditGen7)</f>
        <v/>
      </c>
      <c r="CA8" s="24" t="str">
        <f>IF(CreditGen8="","",CreditGen8)</f>
        <v/>
      </c>
      <c r="CB8" s="24" t="str">
        <f>IF(CreditGen9="","",CreditGen9)</f>
        <v/>
      </c>
      <c r="CC8" s="26" t="str">
        <f>IF(CreditGen10="","",CreditGen10)</f>
        <v/>
      </c>
      <c r="CD8" s="26" t="str">
        <f>IF(CreditGen11="","",CreditGen11)</f>
        <v/>
      </c>
      <c r="CE8" s="25" t="str">
        <f>IF(CreditGen12="","",CreditGen12)</f>
        <v/>
      </c>
      <c r="CF8" s="23" t="str">
        <f>IF(CreditEle1="","",CreditEle1)</f>
        <v/>
      </c>
      <c r="CG8" s="24" t="str">
        <f>IF(CreditEle2="","",CreditEle2)</f>
        <v/>
      </c>
      <c r="CH8" s="24" t="str">
        <f>IF(CreditEle3="","",CreditEle3)</f>
        <v/>
      </c>
      <c r="CI8" s="24" t="str">
        <f>IF(CreditEle4="","",CreditEle4)</f>
        <v/>
      </c>
      <c r="CJ8" s="24" t="str">
        <f>IF(CreditEle5="","",CreditEle5)</f>
        <v/>
      </c>
      <c r="CK8" s="24" t="str">
        <f>IF(CreditEle6="","",CreditEle6)</f>
        <v/>
      </c>
      <c r="CL8" s="24" t="str">
        <f>IF(CreditEle7="","",CreditEle7)</f>
        <v/>
      </c>
      <c r="CM8" s="24" t="str">
        <f>IF(CreditEle8="","",CreditEle8)</f>
        <v/>
      </c>
      <c r="CN8" s="26" t="str">
        <f>IF(CreditEle9="","",CreditEle9)</f>
        <v/>
      </c>
      <c r="CO8" s="24" t="str">
        <f>IF(CreditEle10="","",CreditEle10)</f>
        <v/>
      </c>
      <c r="CP8" s="26" t="str">
        <f>IF(CreditEle11="","",CreditEle11)</f>
        <v/>
      </c>
      <c r="CQ8" s="25" t="str">
        <f>IF(CreditEle12="","",CreditEle12)</f>
        <v/>
      </c>
      <c r="CR8" s="490" t="str">
        <f>IF('1.ข้อมูลเบื้องต้น'!$D$32="","",'1.ข้อมูลเบื้องต้น'!$D$32)</f>
        <v/>
      </c>
      <c r="CS8" s="715"/>
      <c r="CT8" s="718"/>
      <c r="CU8" s="730" t="s">
        <v>162</v>
      </c>
      <c r="CV8" s="731"/>
      <c r="CW8" s="731"/>
      <c r="CX8" s="731"/>
      <c r="CY8" s="731"/>
    </row>
    <row r="9" spans="1:103" s="29" customFormat="1" ht="18.75" customHeight="1" x14ac:dyDescent="0.25">
      <c r="A9" s="233">
        <v>1</v>
      </c>
      <c r="B9" s="511" t="str">
        <f>IF(IDstu1="","",IDstu1)</f>
        <v/>
      </c>
      <c r="C9" s="781" t="str">
        <f>IF(Name1="","",Name1)</f>
        <v/>
      </c>
      <c r="D9" s="782"/>
      <c r="E9" s="782"/>
      <c r="F9" s="782"/>
      <c r="G9" s="783" t="str">
        <f>IF(Surname1="","",Surname1)</f>
        <v/>
      </c>
      <c r="H9" s="783"/>
      <c r="I9" s="783"/>
      <c r="J9" s="783"/>
      <c r="K9" s="233" t="str">
        <f>IF(VLOOKUP($B9,'6.คีย์ปลายภาค'!$C$6:$EI$50,8,FALSE)="","",VLOOKUP($B9,'6.คีย์ปลายภาค'!$C$6:$EI$50,8,FALSE))</f>
        <v/>
      </c>
      <c r="L9" s="224" t="str">
        <f>VLOOKUP($B9,'6.คีย์ปลายภาค'!$C$6:$EI$50,9,FALSE)</f>
        <v/>
      </c>
      <c r="M9" s="224" t="str">
        <f>IF(VLOOKUP($B9,'6.คีย์ปลายภาค'!$C$6:$EI$50,13,FALSE)="","",VLOOKUP($B9,'6.คีย์ปลายภาค'!$C$6:$EI$50,13,FALSE))</f>
        <v/>
      </c>
      <c r="N9" s="225" t="str">
        <f>VLOOKUP($B9,'6.คีย์ปลายภาค'!$C$6:$EI$50,14,FALSE)</f>
        <v/>
      </c>
      <c r="O9" s="226" t="str">
        <f>IF(VLOOKUP($B9,'6.คีย์ปลายภาค'!$C$6:$EI$50,18,FALSE)="","",VLOOKUP($B9,'6.คีย์ปลายภาค'!$C$6:$EI$50,18,FALSE))</f>
        <v/>
      </c>
      <c r="P9" s="226" t="str">
        <f>VLOOKUP($B9,'6.คีย์ปลายภาค'!$C$6:$EI$50,19,FALSE)</f>
        <v/>
      </c>
      <c r="Q9" s="226" t="str">
        <f>IF(VLOOKUP($B9,'6.คีย์ปลายภาค'!$C$6:$EI$50,23,FALSE)="","",VLOOKUP($B9,'6.คีย์ปลายภาค'!$C$6:$EI$50,23,FALSE))</f>
        <v/>
      </c>
      <c r="R9" s="225" t="str">
        <f>VLOOKUP($B9,'6.คีย์ปลายภาค'!$C$6:$EI$50,24,FALSE)</f>
        <v/>
      </c>
      <c r="S9" s="226" t="str">
        <f>IF(VLOOKUP($B9,'6.คีย์ปลายภาค'!$C$6:$EI$50,28,FALSE)="","",VLOOKUP($B9,'6.คีย์ปลายภาค'!$C$6:$EI$50,28,FALSE))</f>
        <v/>
      </c>
      <c r="T9" s="225" t="str">
        <f>VLOOKUP($B9,'6.คีย์ปลายภาค'!$C$6:$EI$50,29,FALSE)</f>
        <v/>
      </c>
      <c r="U9" s="226" t="str">
        <f>IF(VLOOKUP($B9,'6.คีย์ปลายภาค'!$C$6:$EI$50,33,FALSE)="","",VLOOKUP($B9,'6.คีย์ปลายภาค'!$C$6:$EI$50,33,FALSE))</f>
        <v/>
      </c>
      <c r="V9" s="225" t="str">
        <f>VLOOKUP($B9,'6.คีย์ปลายภาค'!$C$6:$EI$50,34,FALSE)</f>
        <v/>
      </c>
      <c r="W9" s="226" t="str">
        <f>IF(VLOOKUP($B9,'6.คีย์ปลายภาค'!$C$6:$EI$50,38,FALSE)="","",VLOOKUP($B9,'6.คีย์ปลายภาค'!$C$6:$EI$50,38,FALSE))</f>
        <v/>
      </c>
      <c r="X9" s="226" t="str">
        <f>VLOOKUP($B9,'6.คีย์ปลายภาค'!$C$6:$EI$50,39,FALSE)</f>
        <v/>
      </c>
      <c r="Y9" s="226" t="str">
        <f>IF(VLOOKUP($B9,'6.คีย์ปลายภาค'!$C$6:$EI$50,43,FALSE)="","",VLOOKUP($B9,'6.คีย์ปลายภาค'!$C$6:$EI$50,43,FALSE))</f>
        <v/>
      </c>
      <c r="Z9" s="226" t="str">
        <f>VLOOKUP($B9,'6.คีย์ปลายภาค'!$C$6:$EI$50,44,FALSE)</f>
        <v/>
      </c>
      <c r="AA9" s="226" t="str">
        <f>IF(VLOOKUP($B9,'6.คีย์ปลายภาค'!$C$6:$EI$50,48,FALSE)="","",VLOOKUP($B9,'6.คีย์ปลายภาค'!$C$6:$EI$50,48,FALSE))</f>
        <v/>
      </c>
      <c r="AB9" s="225" t="str">
        <f>VLOOKUP($B9,'6.คีย์ปลายภาค'!$C$6:$EI$50,49,FALSE)</f>
        <v/>
      </c>
      <c r="AC9" s="226" t="str">
        <f>IF(VLOOKUP($B9,'6.คีย์ปลายภาค'!$C$6:$EI$50,53,FALSE)="","",VLOOKUP($B9,'6.คีย์ปลายภาค'!$C$6:$EI$50,53,FALSE))</f>
        <v/>
      </c>
      <c r="AD9" s="227" t="str">
        <f>VLOOKUP($B9,'6.คีย์ปลายภาค'!$C$6:$EI$50,54,FALSE)</f>
        <v/>
      </c>
      <c r="AE9" s="226" t="str">
        <f>IF(VLOOKUP($B9,'6.คีย์ปลายภาค'!$C$6:$EI$50,58,FALSE)="","",VLOOKUP($B9,'6.คีย์ปลายภาค'!$C$6:$EI$50,58,FALSE))</f>
        <v/>
      </c>
      <c r="AF9" s="227" t="str">
        <f>VLOOKUP($B9,'6.คีย์ปลายภาค'!$C$6:$EI$50,59,FALSE)</f>
        <v/>
      </c>
      <c r="AG9" s="226" t="str">
        <f>IF(VLOOKUP($B9,'6.คีย์ปลายภาค'!$C$6:$EI$50,63,FALSE)="","",VLOOKUP($B9,'6.คีย์ปลายภาค'!$C$6:$EI$50,63,FALSE))</f>
        <v/>
      </c>
      <c r="AH9" s="228" t="str">
        <f>VLOOKUP($B9,'6.คีย์ปลายภาค'!$C$6:$EI$50,64,FALSE)</f>
        <v/>
      </c>
      <c r="AI9" s="28">
        <v>1</v>
      </c>
      <c r="AJ9" s="781" t="str">
        <f>IF(Name1="","",Name1)</f>
        <v/>
      </c>
      <c r="AK9" s="782"/>
      <c r="AL9" s="782"/>
      <c r="AM9" s="782"/>
      <c r="AN9" s="783" t="str">
        <f>IF(Surname1="","",Surname1)</f>
        <v/>
      </c>
      <c r="AO9" s="783"/>
      <c r="AP9" s="783"/>
      <c r="AQ9" s="783"/>
      <c r="AR9" s="492" t="str">
        <f>IF(VLOOKUP($B9,'6.คีย์ปลายภาค'!$C$6:$EI$50,68,FALSE)="","",VLOOKUP($B9,'6.คีย์ปลายภาค'!$C$6:$EI$50,68,FALSE))</f>
        <v/>
      </c>
      <c r="AS9" s="509" t="str">
        <f>VLOOKUP($B9,'6.คีย์ปลายภาค'!$C$6:$EI$50,69,FALSE)</f>
        <v/>
      </c>
      <c r="AT9" s="509" t="str">
        <f>IF(VLOOKUP($B9,'6.คีย์ปลายภาค'!$C$6:$EI$50,73,FALSE)="","",VLOOKUP($B9,'6.คีย์ปลายภาค'!$C$6:$EI$50,73,FALSE))</f>
        <v/>
      </c>
      <c r="AU9" s="509" t="str">
        <f>VLOOKUP($B9,'6.คีย์ปลายภาค'!$C$6:$EI$50,74,FALSE)</f>
        <v/>
      </c>
      <c r="AV9" s="509" t="str">
        <f>IF(VLOOKUP($B9,'6.คีย์ปลายภาค'!$C$6:$EI$50,78,FALSE)="","",VLOOKUP($B9,'6.คีย์ปลายภาค'!$C$6:$EI$50,78,FALSE))</f>
        <v/>
      </c>
      <c r="AW9" s="509" t="str">
        <f>VLOOKUP($B9,'6.คีย์ปลายภาค'!$C$6:$EI$50,79,FALSE)</f>
        <v/>
      </c>
      <c r="AX9" s="509" t="str">
        <f>IF(VLOOKUP($B9,'6.คีย์ปลายภาค'!$C$6:$EI$50,83,FALSE)="","",VLOOKUP($B9,'6.คีย์ปลายภาค'!$C$6:$EI$50,83,FALSE))</f>
        <v/>
      </c>
      <c r="AY9" s="509" t="str">
        <f>VLOOKUP($B9,'6.คีย์ปลายภาค'!$C$6:$EI$50,84,FALSE)</f>
        <v/>
      </c>
      <c r="AZ9" s="509" t="str">
        <f>IF(VLOOKUP($B9,'6.คีย์ปลายภาค'!$C$6:$EI$50,88,FALSE)="","",VLOOKUP($B9,'6.คีย์ปลายภาค'!$C$6:$EI$50,88,FALSE))</f>
        <v/>
      </c>
      <c r="BA9" s="509" t="str">
        <f>VLOOKUP($B9,'6.คีย์ปลายภาค'!$C$6:$EI$50,89,FALSE)</f>
        <v/>
      </c>
      <c r="BB9" s="509" t="str">
        <f>IF(VLOOKUP($B9,'6.คีย์ปลายภาค'!$C$6:$EI$50,93,FALSE)="","",VLOOKUP($B9,'6.คีย์ปลายภาค'!$C$6:$EI$50,93,FALSE))</f>
        <v/>
      </c>
      <c r="BC9" s="509" t="str">
        <f>VLOOKUP($B9,'6.คีย์ปลายภาค'!$C$6:$EI$50,94,FALSE)</f>
        <v/>
      </c>
      <c r="BD9" s="509" t="str">
        <f>IF(VLOOKUP($B9,'6.คีย์ปลายภาค'!$C$6:$EI$50,98,FALSE)="","",VLOOKUP($B9,'6.คีย์ปลายภาค'!$C$6:$EI$50,98,FALSE))</f>
        <v/>
      </c>
      <c r="BE9" s="509" t="str">
        <f>VLOOKUP($B9,'6.คีย์ปลายภาค'!$C$6:$EI$50,99,FALSE)</f>
        <v/>
      </c>
      <c r="BF9" s="509" t="str">
        <f>IF(VLOOKUP($B9,'6.คีย์ปลายภาค'!$C$6:$EI$50,103,FALSE)="","",VLOOKUP($B9,'6.คีย์ปลายภาค'!$C$6:$EI$50,103,FALSE))</f>
        <v/>
      </c>
      <c r="BG9" s="509" t="str">
        <f>VLOOKUP($B9,'6.คีย์ปลายภาค'!$C$6:$EI$50,104,FALSE)</f>
        <v/>
      </c>
      <c r="BH9" s="509" t="str">
        <f>IF(VLOOKUP($B9,'6.คีย์ปลายภาค'!$C$6:$EI$50,108,FALSE)="","",VLOOKUP($B9,'6.คีย์ปลายภาค'!$C$6:$EI$50,108,FALSE))</f>
        <v/>
      </c>
      <c r="BI9" s="509" t="str">
        <f>VLOOKUP($B9,'6.คีย์ปลายภาค'!$C$6:$EI$50,109,FALSE)</f>
        <v/>
      </c>
      <c r="BJ9" s="509" t="str">
        <f>IF(VLOOKUP($B9,'6.คีย์ปลายภาค'!$C$6:$EI$50,113,FALSE)="","",VLOOKUP($B9,'6.คีย์ปลายภาค'!$C$6:$EI$50,113,FALSE))</f>
        <v/>
      </c>
      <c r="BK9" s="509" t="str">
        <f>VLOOKUP($B9,'6.คีย์ปลายภาค'!$C$6:$EI$50,114,FALSE)</f>
        <v/>
      </c>
      <c r="BL9" s="509" t="str">
        <f>IF(VLOOKUP($B9,'6.คีย์ปลายภาค'!$C$6:$EI$50,118,FALSE)="","",VLOOKUP($B9,'6.คีย์ปลายภาค'!$C$6:$EI$50,118,FALSE))</f>
        <v/>
      </c>
      <c r="BM9" s="509" t="str">
        <f>VLOOKUP($B9,'6.คีย์ปลายภาค'!$C$6:$EI$50,119,FALSE)</f>
        <v/>
      </c>
      <c r="BN9" s="509" t="str">
        <f>IF(VLOOKUP($B9,'6.คีย์ปลายภาค'!$C$6:$EI$50,123,FALSE)="","",VLOOKUP($B9,'6.คีย์ปลายภาค'!$C$6:$EI$50,123,FALSE))</f>
        <v/>
      </c>
      <c r="BO9" s="509" t="str">
        <f>VLOOKUP($B9,'6.คีย์ปลายภาค'!$C$6:$EI$50,124,FALSE)</f>
        <v/>
      </c>
      <c r="BP9" s="509" t="str">
        <f>IF(VLOOKUP($B9,'6.คีย์ปลายภาค'!$C$6:$EI$50,128,FALSE)="","",VLOOKUP($B9,'6.คีย์ปลายภาค'!$C$6:$EI$50,128,FALSE))</f>
        <v/>
      </c>
      <c r="BQ9" s="510" t="str">
        <f>VLOOKUP($B9,'6.คีย์ปลายภาค'!$C$6:$EI$50,129,FALSE)</f>
        <v/>
      </c>
      <c r="BR9" s="549" t="str">
        <f>IF(L9="","",IF('2.ชื่อนักเรียน'!R11="มส","",IF('2.ชื่อนักเรียน'!R11="ย้าย","",IF('2.ชื่อนักเรียน'!R11="ร","",SUM(BT9:CR9)/13.5))))</f>
        <v/>
      </c>
      <c r="BS9" s="519" t="str">
        <f>IF('2.ชื่อนักเรียน'!R11="มส","มส",IF('2.ชื่อนักเรียน'!R11="ย้าย","ย้าย",IF('2.ชื่อนักเรียน'!R11="ร","ร",IF(BR9="","",RANK(BR9,$BR$9:$BR$53,0)))))</f>
        <v/>
      </c>
      <c r="BT9" s="114" t="str">
        <f t="shared" ref="BT9:BT53" si="0">IF(L9="","",IF(L9="ร","0",IF(L9="มส","0",L9*L$8)))</f>
        <v/>
      </c>
      <c r="BU9" s="115" t="str">
        <f t="shared" ref="BU9:BU53" si="1">IF(N9="","",IF(N9="ร","0",IF(N9="มส","0",N9*N$8)))</f>
        <v/>
      </c>
      <c r="BV9" s="116" t="str">
        <f t="shared" ref="BV9:BV53" si="2">IF(P9="","",IF(P9="ร","0",IF(P9="มส","0",P9*P$8)))</f>
        <v/>
      </c>
      <c r="BW9" s="115" t="str">
        <f t="shared" ref="BW9:BW53" si="3">IF(R9="","",IF(R9="ร","0",IF(R9="มส","0",R9*R$8)))</f>
        <v/>
      </c>
      <c r="BX9" s="115" t="str">
        <f t="shared" ref="BX9:BX53" si="4">IF(T9="","",IF(T9="ร","0",IF(T9="มส","0",T9*T$8)))</f>
        <v/>
      </c>
      <c r="BY9" s="115" t="str">
        <f t="shared" ref="BY9:BY53" si="5">IF(V9="","",IF(V9="ร","0",IF(V9="มส","0",V9*V$8)))</f>
        <v/>
      </c>
      <c r="BZ9" s="116" t="str">
        <f t="shared" ref="BZ9:BZ53" si="6">IF(X9="","",IF(X9="ร","0",IF(X9="มส","0",X9*X$8)))</f>
        <v/>
      </c>
      <c r="CA9" s="116" t="str">
        <f t="shared" ref="CA9:CA53" si="7">IF(Z9="","",IF(Z9="ร","0",IF(Z9="มส","0",Z9*Z$8)))</f>
        <v/>
      </c>
      <c r="CB9" s="115" t="str">
        <f t="shared" ref="CB9:CB53" si="8">IF(AB9="","",IF(AB9="ร","0",IF(AB9="มส","0",AB9*AB$8)))</f>
        <v/>
      </c>
      <c r="CC9" s="152" t="str">
        <f t="shared" ref="CC9:CC53" si="9">IF(AD9="","",IF(AD9="ร","0",IF(AD9="มส","0",AD9*AD$8)))</f>
        <v/>
      </c>
      <c r="CD9" s="152" t="str">
        <f t="shared" ref="CD9:CD53" si="10">IF(AF9="","",IF(AF9="ร","0",IF(AF9="มส","0",AF9*AF$8)))</f>
        <v/>
      </c>
      <c r="CE9" s="117" t="str">
        <f t="shared" ref="CE9:CE33" si="11">IF(AH9="","",IF(AH9="ร","0",IF(AH9="มส","0",AH9*AH$8)))</f>
        <v/>
      </c>
      <c r="CF9" s="137" t="str">
        <f t="shared" ref="CF9:CF53" si="12">IF(AS9="","",IF(AS9="ร","0",IF(AS9="มส","0",AS9*AS$8)))</f>
        <v/>
      </c>
      <c r="CG9" s="138" t="str">
        <f t="shared" ref="CG9:CG53" si="13">IF(AU9="","",IF(AU9="ร","0",IF(AU9="มส","0",AU9*AU$8)))</f>
        <v/>
      </c>
      <c r="CH9" s="138" t="str">
        <f t="shared" ref="CH9:CH53" si="14">IF(AW9="","",IF(AW9="ร","0",IF(AW9="มส","0",AW9*AW$8)))</f>
        <v/>
      </c>
      <c r="CI9" s="138" t="str">
        <f t="shared" ref="CI9:CI53" si="15">IF(AY9="","",IF(AY9="ร","0",IF(AY9="มส","0",AY9*AY$8)))</f>
        <v/>
      </c>
      <c r="CJ9" s="138" t="str">
        <f t="shared" ref="CJ9:CJ53" si="16">IF(BA9="","",IF(BA9="ร","0",IF(BA9="มส","0",BA9*BA$8)))</f>
        <v/>
      </c>
      <c r="CK9" s="138" t="str">
        <f t="shared" ref="CK9:CK53" si="17">IF(BC9="","",IF(BC9="ร","0",IF(BC9="มส","0",BC9*BC$8)))</f>
        <v/>
      </c>
      <c r="CL9" s="138" t="str">
        <f t="shared" ref="CL9:CL53" si="18">IF(BE9="","",IF(BE9="ร","0",IF(BE9="มส","0",BE9*BE$8)))</f>
        <v/>
      </c>
      <c r="CM9" s="178" t="str">
        <f t="shared" ref="CM9:CM53" si="19">IF(BG9="","",IF(BG9="ร","0",IF(BG9="มส","0",BG9*BG$8)))</f>
        <v/>
      </c>
      <c r="CN9" s="179" t="str">
        <f t="shared" ref="CN9:CN53" si="20">IF(BI9="","",IF(BI9="ร","0",IF(BI9="มส","0",BI9*BI$8)))</f>
        <v/>
      </c>
      <c r="CO9" s="178" t="str">
        <f t="shared" ref="CO9:CO53" si="21">IF(BK9="","",IF(BK9="ร","0",IF(BK9="มส","0",BK9*BK$8)))</f>
        <v/>
      </c>
      <c r="CP9" s="179" t="str">
        <f t="shared" ref="CP9:CP53" si="22">IF(BM9="","",IF(BM9="ร","0",IF(BM9="มส","0",BM9*BM$8)))</f>
        <v/>
      </c>
      <c r="CQ9" s="139" t="str">
        <f>IF(BO9="","",IF(BO9="ร","0",IF(BO9="มส","0",BO9*BO$8)))</f>
        <v/>
      </c>
      <c r="CR9" s="139" t="str">
        <f>IF(BQ9="","",IF(BQ9="ร","0",IF(BQ9="มส","0",BQ9*BQ$8)))</f>
        <v/>
      </c>
      <c r="CS9" s="146">
        <f>SUM(BT9:CR9)/13.5</f>
        <v>0</v>
      </c>
      <c r="CT9" s="135">
        <f>IF('2.ชื่อนักเรียน'!AP11="มส","มส",IF('2.ชื่อนักเรียน'!AP11="ย้าย","ย้าย",IF('2.ชื่อนักเรียน'!AP11="ร","ร",IF(CS9="","",RANK(CS9,$CS$9:$CS$53,0)))))</f>
        <v>1</v>
      </c>
      <c r="CU9" s="730"/>
      <c r="CV9" s="731"/>
      <c r="CW9" s="731"/>
      <c r="CX9" s="731"/>
      <c r="CY9" s="731"/>
    </row>
    <row r="10" spans="1:103" s="29" customFormat="1" ht="18.75" customHeight="1" x14ac:dyDescent="0.25">
      <c r="A10" s="234">
        <v>2</v>
      </c>
      <c r="B10" s="512" t="str">
        <f>IF(IDstu2="","",IDstu2)</f>
        <v/>
      </c>
      <c r="C10" s="771" t="str">
        <f>IF(Name2="","",Name2)</f>
        <v/>
      </c>
      <c r="D10" s="772"/>
      <c r="E10" s="772"/>
      <c r="F10" s="772"/>
      <c r="G10" s="707" t="str">
        <f>IF(Surname2="","",Surname2)</f>
        <v/>
      </c>
      <c r="H10" s="707"/>
      <c r="I10" s="707"/>
      <c r="J10" s="707"/>
      <c r="K10" s="234" t="str">
        <f>IF(VLOOKUP($B10,'6.คีย์ปลายภาค'!$C$6:$EI$50,8,FALSE)="","",VLOOKUP($B10,'6.คีย์ปลายภาค'!$C$6:$EI$50,8,FALSE))</f>
        <v/>
      </c>
      <c r="L10" s="229" t="str">
        <f>VLOOKUP($B10,'6.คีย์ปลายภาค'!$C$6:$EI$50,9,FALSE)</f>
        <v/>
      </c>
      <c r="M10" s="229" t="str">
        <f>IF(VLOOKUP($B10,'6.คีย์ปลายภาค'!$C$6:$EI$50,13,FALSE)="","",VLOOKUP($B10,'6.คีย์ปลายภาค'!$C$6:$EI$50,13,FALSE))</f>
        <v/>
      </c>
      <c r="N10" s="230" t="str">
        <f>VLOOKUP($B10,'6.คีย์ปลายภาค'!$C$6:$EI$50,14,FALSE)</f>
        <v/>
      </c>
      <c r="O10" s="230" t="str">
        <f>IF(VLOOKUP($B10,'6.คีย์ปลายภาค'!$C$6:$EI$50,18,FALSE)="","",VLOOKUP($B10,'6.คีย์ปลายภาค'!$C$6:$EI$50,18,FALSE))</f>
        <v/>
      </c>
      <c r="P10" s="230" t="str">
        <f>VLOOKUP($B10,'6.คีย์ปลายภาค'!$C$6:$EI$50,19,FALSE)</f>
        <v/>
      </c>
      <c r="Q10" s="230" t="str">
        <f>IF(VLOOKUP($B10,'6.คีย์ปลายภาค'!$C$6:$EI$50,23,FALSE)="","",VLOOKUP($B10,'6.คีย์ปลายภาค'!$C$6:$EI$50,23,FALSE))</f>
        <v/>
      </c>
      <c r="R10" s="230" t="str">
        <f>VLOOKUP($B10,'6.คีย์ปลายภาค'!$C$6:$EI$50,24,FALSE)</f>
        <v/>
      </c>
      <c r="S10" s="230" t="str">
        <f>IF(VLOOKUP($B10,'6.คีย์ปลายภาค'!$C$6:$EI$50,28,FALSE)="","",VLOOKUP($B10,'6.คีย์ปลายภาค'!$C$6:$EI$50,28,FALSE))</f>
        <v/>
      </c>
      <c r="T10" s="230" t="str">
        <f>VLOOKUP($B10,'6.คีย์ปลายภาค'!$C$6:$EI$50,29,FALSE)</f>
        <v/>
      </c>
      <c r="U10" s="230" t="str">
        <f>IF(VLOOKUP($B10,'6.คีย์ปลายภาค'!$C$6:$EI$50,33,FALSE)="","",VLOOKUP($B10,'6.คีย์ปลายภาค'!$C$6:$EI$50,33,FALSE))</f>
        <v/>
      </c>
      <c r="V10" s="230" t="str">
        <f>VLOOKUP($B10,'6.คีย์ปลายภาค'!$C$6:$EI$50,34,FALSE)</f>
        <v/>
      </c>
      <c r="W10" s="230" t="str">
        <f>IF(VLOOKUP($B10,'6.คีย์ปลายภาค'!$C$6:$EI$50,38,FALSE)="","",VLOOKUP($B10,'6.คีย์ปลายภาค'!$C$6:$EI$50,38,FALSE))</f>
        <v/>
      </c>
      <c r="X10" s="230" t="str">
        <f>VLOOKUP($B10,'6.คีย์ปลายภาค'!$C$6:$EI$50,39,FALSE)</f>
        <v/>
      </c>
      <c r="Y10" s="230" t="str">
        <f>IF(VLOOKUP($B10,'6.คีย์ปลายภาค'!$C$6:$EI$50,43,FALSE)="","",VLOOKUP($B10,'6.คีย์ปลายภาค'!$C$6:$EI$50,43,FALSE))</f>
        <v/>
      </c>
      <c r="Z10" s="230" t="str">
        <f>VLOOKUP($B10,'6.คีย์ปลายภาค'!$C$6:$EI$50,44,FALSE)</f>
        <v/>
      </c>
      <c r="AA10" s="230" t="str">
        <f>IF(VLOOKUP($B10,'6.คีย์ปลายภาค'!$C$6:$EI$50,48,FALSE)="","",VLOOKUP($B10,'6.คีย์ปลายภาค'!$C$6:$EI$50,48,FALSE))</f>
        <v/>
      </c>
      <c r="AB10" s="230" t="str">
        <f>VLOOKUP($B10,'6.คีย์ปลายภาค'!$C$6:$EI$50,49,FALSE)</f>
        <v/>
      </c>
      <c r="AC10" s="231" t="str">
        <f>IF(VLOOKUP($B10,'6.คีย์ปลายภาค'!$C$6:$EI$50,53,FALSE)="","",VLOOKUP($B10,'6.คีย์ปลายภาค'!$C$6:$EI$50,53,FALSE))</f>
        <v/>
      </c>
      <c r="AD10" s="231" t="str">
        <f>VLOOKUP($B10,'6.คีย์ปลายภาค'!$C$6:$EI$50,54,FALSE)</f>
        <v/>
      </c>
      <c r="AE10" s="231" t="str">
        <f>IF(VLOOKUP($B10,'6.คีย์ปลายภาค'!$C$6:$EI$50,58,FALSE)="","",VLOOKUP($B10,'6.คีย์ปลายภาค'!$C$6:$EI$50,58,FALSE))</f>
        <v/>
      </c>
      <c r="AF10" s="231" t="str">
        <f>VLOOKUP($B10,'6.คีย์ปลายภาค'!$C$6:$EI$50,59,FALSE)</f>
        <v/>
      </c>
      <c r="AG10" s="231" t="str">
        <f>IF(VLOOKUP($B10,'6.คีย์ปลายภาค'!$C$6:$EI$50,63,FALSE)="","",VLOOKUP($B10,'6.คีย์ปลายภาค'!$C$6:$EI$50,63,FALSE))</f>
        <v/>
      </c>
      <c r="AH10" s="232" t="str">
        <f>VLOOKUP($B10,'6.คีย์ปลายภาค'!$C$6:$EI$50,64,FALSE)</f>
        <v/>
      </c>
      <c r="AI10" s="31">
        <v>2</v>
      </c>
      <c r="AJ10" s="771" t="str">
        <f>IF(Name2="","",Name2)</f>
        <v/>
      </c>
      <c r="AK10" s="772"/>
      <c r="AL10" s="772"/>
      <c r="AM10" s="772"/>
      <c r="AN10" s="707" t="str">
        <f>IF(Surname2="","",Surname2)</f>
        <v/>
      </c>
      <c r="AO10" s="707"/>
      <c r="AP10" s="707"/>
      <c r="AQ10" s="707"/>
      <c r="AR10" s="234" t="str">
        <f>IF(VLOOKUP($B10,'6.คีย์ปลายภาค'!$C$6:$EI$50,68,FALSE)="","",VLOOKUP($B10,'6.คีย์ปลายภาค'!$C$6:$EI$50,68,FALSE))</f>
        <v/>
      </c>
      <c r="AS10" s="230" t="str">
        <f>VLOOKUP($B10,'6.คีย์ปลายภาค'!$C$6:$EI$50,69,FALSE)</f>
        <v/>
      </c>
      <c r="AT10" s="230" t="str">
        <f>IF(VLOOKUP($B10,'6.คีย์ปลายภาค'!$C$6:$EI$50,73,FALSE)="","",VLOOKUP($B10,'6.คีย์ปลายภาค'!$C$6:$EI$50,73,FALSE))</f>
        <v/>
      </c>
      <c r="AU10" s="230" t="str">
        <f>VLOOKUP($B10,'6.คีย์ปลายภาค'!$C$6:$EI$50,74,FALSE)</f>
        <v/>
      </c>
      <c r="AV10" s="230" t="str">
        <f>IF(VLOOKUP($B10,'6.คีย์ปลายภาค'!$C$6:$EI$50,78,FALSE)="","",VLOOKUP($B10,'6.คีย์ปลายภาค'!$C$6:$EI$50,78,FALSE))</f>
        <v/>
      </c>
      <c r="AW10" s="230" t="str">
        <f>VLOOKUP($B10,'6.คีย์ปลายภาค'!$C$6:$EI$50,79,FALSE)</f>
        <v/>
      </c>
      <c r="AX10" s="230" t="str">
        <f>IF(VLOOKUP($B10,'6.คีย์ปลายภาค'!$C$6:$EI$50,83,FALSE)="","",VLOOKUP($B10,'6.คีย์ปลายภาค'!$C$6:$EI$50,83,FALSE))</f>
        <v/>
      </c>
      <c r="AY10" s="230" t="str">
        <f>VLOOKUP($B10,'6.คีย์ปลายภาค'!$C$6:$EI$50,84,FALSE)</f>
        <v/>
      </c>
      <c r="AZ10" s="230" t="str">
        <f>IF(VLOOKUP($B10,'6.คีย์ปลายภาค'!$C$6:$EI$50,88,FALSE)="","",VLOOKUP($B10,'6.คีย์ปลายภาค'!$C$6:$EI$50,88,FALSE))</f>
        <v/>
      </c>
      <c r="BA10" s="230" t="str">
        <f>VLOOKUP($B10,'6.คีย์ปลายภาค'!$C$6:$EI$50,89,FALSE)</f>
        <v/>
      </c>
      <c r="BB10" s="230" t="str">
        <f>IF(VLOOKUP($B10,'6.คีย์ปลายภาค'!$C$6:$EI$50,93,FALSE)="","",VLOOKUP($B10,'6.คีย์ปลายภาค'!$C$6:$EI$50,93,FALSE))</f>
        <v/>
      </c>
      <c r="BC10" s="230" t="str">
        <f>VLOOKUP($B10,'6.คีย์ปลายภาค'!$C$6:$EI$50,94,FALSE)</f>
        <v/>
      </c>
      <c r="BD10" s="230" t="str">
        <f>IF(VLOOKUP($B10,'6.คีย์ปลายภาค'!$C$6:$EI$50,98,FALSE)="","",VLOOKUP($B10,'6.คีย์ปลายภาค'!$C$6:$EI$50,98,FALSE))</f>
        <v/>
      </c>
      <c r="BE10" s="230" t="str">
        <f>VLOOKUP($B10,'6.คีย์ปลายภาค'!$C$6:$EI$50,99,FALSE)</f>
        <v/>
      </c>
      <c r="BF10" s="230" t="str">
        <f>IF(VLOOKUP($B10,'6.คีย์ปลายภาค'!$C$6:$EI$50,103,FALSE)="","",VLOOKUP($B10,'6.คีย์ปลายภาค'!$C$6:$EI$50,103,FALSE))</f>
        <v/>
      </c>
      <c r="BG10" s="230" t="str">
        <f>VLOOKUP($B10,'6.คีย์ปลายภาค'!$C$6:$EI$50,104,FALSE)</f>
        <v/>
      </c>
      <c r="BH10" s="230" t="str">
        <f>IF(VLOOKUP($B10,'6.คีย์ปลายภาค'!$C$6:$EI$50,108,FALSE)="","",VLOOKUP($B10,'6.คีย์ปลายภาค'!$C$6:$EI$50,108,FALSE))</f>
        <v/>
      </c>
      <c r="BI10" s="230" t="str">
        <f>VLOOKUP($B10,'6.คีย์ปลายภาค'!$C$6:$EI$50,109,FALSE)</f>
        <v/>
      </c>
      <c r="BJ10" s="230" t="str">
        <f>IF(VLOOKUP($B10,'6.คีย์ปลายภาค'!$C$6:$EI$50,113,FALSE)="","",VLOOKUP($B10,'6.คีย์ปลายภาค'!$C$6:$EI$50,113,FALSE))</f>
        <v/>
      </c>
      <c r="BK10" s="230" t="str">
        <f>VLOOKUP($B10,'6.คีย์ปลายภาค'!$C$6:$EI$50,114,FALSE)</f>
        <v/>
      </c>
      <c r="BL10" s="230" t="str">
        <f>IF(VLOOKUP($B10,'6.คีย์ปลายภาค'!$C$6:$EI$50,118,FALSE)="","",VLOOKUP($B10,'6.คีย์ปลายภาค'!$C$6:$EI$50,118,FALSE))</f>
        <v/>
      </c>
      <c r="BM10" s="230" t="str">
        <f>VLOOKUP($B10,'6.คีย์ปลายภาค'!$C$6:$EI$50,119,FALSE)</f>
        <v/>
      </c>
      <c r="BN10" s="230" t="str">
        <f>IF(VLOOKUP($B10,'6.คีย์ปลายภาค'!$C$6:$EI$50,123,FALSE)="","",VLOOKUP($B10,'6.คีย์ปลายภาค'!$C$6:$EI$50,123,FALSE))</f>
        <v/>
      </c>
      <c r="BO10" s="230" t="str">
        <f>VLOOKUP($B10,'6.คีย์ปลายภาค'!$C$6:$EI$50,124,FALSE)</f>
        <v/>
      </c>
      <c r="BP10" s="230" t="str">
        <f>IF(VLOOKUP($B10,'6.คีย์ปลายภาค'!$C$6:$EI$50,128,FALSE)="","",VLOOKUP($B10,'6.คีย์ปลายภาค'!$C$6:$EI$50,128,FALSE))</f>
        <v/>
      </c>
      <c r="BQ10" s="232" t="str">
        <f>VLOOKUP($B10,'6.คีย์ปลายภาค'!$C$6:$EI$50,129,FALSE)</f>
        <v/>
      </c>
      <c r="BR10" s="550" t="str">
        <f>IF(L10="","",IF('2.ชื่อนักเรียน'!R12="มส","",IF('2.ชื่อนักเรียน'!R12="ย้าย","",IF('2.ชื่อนักเรียน'!R12="ร","",SUM(BT10:CR10)/13.5))))</f>
        <v/>
      </c>
      <c r="BS10" s="520" t="str">
        <f>IF('2.ชื่อนักเรียน'!R12="มส","มส",IF('2.ชื่อนักเรียน'!R12="ย้าย","ย้าย",IF('2.ชื่อนักเรียน'!R12="ร","ร",IF(BR10="","",RANK(BR10,$BR$9:$BR$53,0)))))</f>
        <v/>
      </c>
      <c r="BT10" s="118" t="str">
        <f t="shared" si="0"/>
        <v/>
      </c>
      <c r="BU10" s="119" t="str">
        <f t="shared" si="1"/>
        <v/>
      </c>
      <c r="BV10" s="119" t="str">
        <f t="shared" si="2"/>
        <v/>
      </c>
      <c r="BW10" s="110" t="str">
        <f t="shared" si="3"/>
        <v/>
      </c>
      <c r="BX10" s="119" t="str">
        <f t="shared" si="4"/>
        <v/>
      </c>
      <c r="BY10" s="119" t="str">
        <f t="shared" si="5"/>
        <v/>
      </c>
      <c r="BZ10" s="119" t="str">
        <f t="shared" si="6"/>
        <v/>
      </c>
      <c r="CA10" s="119" t="str">
        <f t="shared" si="7"/>
        <v/>
      </c>
      <c r="CB10" s="110" t="str">
        <f t="shared" si="8"/>
        <v/>
      </c>
      <c r="CC10" s="151" t="str">
        <f t="shared" si="9"/>
        <v/>
      </c>
      <c r="CD10" s="151" t="str">
        <f t="shared" si="10"/>
        <v/>
      </c>
      <c r="CE10" s="111" t="str">
        <f t="shared" si="11"/>
        <v/>
      </c>
      <c r="CF10" s="118" t="str">
        <f t="shared" si="12"/>
        <v/>
      </c>
      <c r="CG10" s="119" t="str">
        <f t="shared" si="13"/>
        <v/>
      </c>
      <c r="CH10" s="119" t="str">
        <f t="shared" si="14"/>
        <v/>
      </c>
      <c r="CI10" s="119" t="str">
        <f t="shared" si="15"/>
        <v/>
      </c>
      <c r="CJ10" s="110" t="str">
        <f t="shared" si="16"/>
        <v/>
      </c>
      <c r="CK10" s="110" t="str">
        <f t="shared" si="17"/>
        <v/>
      </c>
      <c r="CL10" s="119" t="str">
        <f t="shared" si="18"/>
        <v/>
      </c>
      <c r="CM10" s="119" t="str">
        <f t="shared" si="19"/>
        <v/>
      </c>
      <c r="CN10" s="120" t="str">
        <f t="shared" si="20"/>
        <v/>
      </c>
      <c r="CO10" s="119" t="str">
        <f t="shared" si="21"/>
        <v/>
      </c>
      <c r="CP10" s="120" t="str">
        <f t="shared" si="22"/>
        <v/>
      </c>
      <c r="CQ10" s="111" t="str">
        <f t="shared" ref="CQ10:CQ31" si="23">IF(BO10="","",IF(BO10="ร","0",IF(BO10="มส","0",BO10*BO$8)))</f>
        <v/>
      </c>
      <c r="CR10" s="494" t="str">
        <f t="shared" ref="CR10:CR53" si="24">IF(BQ10="","",IF(BQ10="ร","0",IF(BQ10="มส","0",BQ10*BQ$8)))</f>
        <v/>
      </c>
      <c r="CS10" s="148">
        <f t="shared" ref="CS10:CS53" si="25">SUM(BT10:CR10)/13.5</f>
        <v>0</v>
      </c>
      <c r="CT10" s="21">
        <f>IF('2.ชื่อนักเรียน'!AP12="มส","มส",IF('2.ชื่อนักเรียน'!AP12="ย้าย","ย้าย",IF('2.ชื่อนักเรียน'!AP12="ร","ร",IF(CS10="","",RANK(CS10,$CS$9:$CS$53,0)))))</f>
        <v>1</v>
      </c>
      <c r="CU10" s="730"/>
      <c r="CV10" s="731"/>
      <c r="CW10" s="731"/>
      <c r="CX10" s="731"/>
      <c r="CY10" s="731"/>
    </row>
    <row r="11" spans="1:103" s="29" customFormat="1" ht="18.75" customHeight="1" x14ac:dyDescent="0.25">
      <c r="A11" s="234">
        <v>3</v>
      </c>
      <c r="B11" s="512" t="str">
        <f>IF(IDstu3="","",IDstu3)</f>
        <v/>
      </c>
      <c r="C11" s="771" t="str">
        <f>IF(Name3="","",Name3)</f>
        <v/>
      </c>
      <c r="D11" s="772"/>
      <c r="E11" s="772"/>
      <c r="F11" s="772"/>
      <c r="G11" s="707" t="str">
        <f>IF(Surname3="","",Surname3)</f>
        <v/>
      </c>
      <c r="H11" s="707"/>
      <c r="I11" s="707"/>
      <c r="J11" s="707"/>
      <c r="K11" s="234" t="str">
        <f>IF(VLOOKUP($B11,'6.คีย์ปลายภาค'!$C$6:$EI$50,8,FALSE)="","",VLOOKUP($B11,'6.คีย์ปลายภาค'!$C$6:$EI$50,8,FALSE))</f>
        <v/>
      </c>
      <c r="L11" s="229" t="str">
        <f>VLOOKUP($B11,'6.คีย์ปลายภาค'!$C$6:$EI$50,9,FALSE)</f>
        <v/>
      </c>
      <c r="M11" s="229" t="str">
        <f>IF(VLOOKUP($B11,'6.คีย์ปลายภาค'!$C$6:$EI$50,13,FALSE)="","",VLOOKUP($B11,'6.คีย์ปลายภาค'!$C$6:$EI$50,13,FALSE))</f>
        <v/>
      </c>
      <c r="N11" s="230" t="str">
        <f>VLOOKUP($B11,'6.คีย์ปลายภาค'!$C$6:$EI$50,14,FALSE)</f>
        <v/>
      </c>
      <c r="O11" s="230" t="str">
        <f>IF(VLOOKUP($B11,'6.คีย์ปลายภาค'!$C$6:$EI$50,18,FALSE)="","",VLOOKUP($B11,'6.คีย์ปลายภาค'!$C$6:$EI$50,18,FALSE))</f>
        <v/>
      </c>
      <c r="P11" s="230" t="str">
        <f>VLOOKUP($B11,'6.คีย์ปลายภาค'!$C$6:$EI$50,19,FALSE)</f>
        <v/>
      </c>
      <c r="Q11" s="230" t="str">
        <f>IF(VLOOKUP($B11,'6.คีย์ปลายภาค'!$C$6:$EI$50,23,FALSE)="","",VLOOKUP($B11,'6.คีย์ปลายภาค'!$C$6:$EI$50,23,FALSE))</f>
        <v/>
      </c>
      <c r="R11" s="230" t="str">
        <f>VLOOKUP($B11,'6.คีย์ปลายภาค'!$C$6:$EI$50,24,FALSE)</f>
        <v/>
      </c>
      <c r="S11" s="230" t="str">
        <f>IF(VLOOKUP($B11,'6.คีย์ปลายภาค'!$C$6:$EI$50,28,FALSE)="","",VLOOKUP($B11,'6.คีย์ปลายภาค'!$C$6:$EI$50,28,FALSE))</f>
        <v/>
      </c>
      <c r="T11" s="230" t="str">
        <f>VLOOKUP($B11,'6.คีย์ปลายภาค'!$C$6:$EI$50,29,FALSE)</f>
        <v/>
      </c>
      <c r="U11" s="230" t="str">
        <f>IF(VLOOKUP($B11,'6.คีย์ปลายภาค'!$C$6:$EI$50,33,FALSE)="","",VLOOKUP($B11,'6.คีย์ปลายภาค'!$C$6:$EI$50,33,FALSE))</f>
        <v/>
      </c>
      <c r="V11" s="230" t="str">
        <f>VLOOKUP($B11,'6.คีย์ปลายภาค'!$C$6:$EI$50,34,FALSE)</f>
        <v/>
      </c>
      <c r="W11" s="230" t="str">
        <f>IF(VLOOKUP($B11,'6.คีย์ปลายภาค'!$C$6:$EI$50,38,FALSE)="","",VLOOKUP($B11,'6.คีย์ปลายภาค'!$C$6:$EI$50,38,FALSE))</f>
        <v/>
      </c>
      <c r="X11" s="230" t="str">
        <f>VLOOKUP($B11,'6.คีย์ปลายภาค'!$C$6:$EI$50,39,FALSE)</f>
        <v/>
      </c>
      <c r="Y11" s="230" t="str">
        <f>IF(VLOOKUP($B11,'6.คีย์ปลายภาค'!$C$6:$EI$50,43,FALSE)="","",VLOOKUP($B11,'6.คีย์ปลายภาค'!$C$6:$EI$50,43,FALSE))</f>
        <v/>
      </c>
      <c r="Z11" s="230" t="str">
        <f>VLOOKUP($B11,'6.คีย์ปลายภาค'!$C$6:$EI$50,44,FALSE)</f>
        <v/>
      </c>
      <c r="AA11" s="230" t="str">
        <f>IF(VLOOKUP($B11,'6.คีย์ปลายภาค'!$C$6:$EI$50,48,FALSE)="","",VLOOKUP($B11,'6.คีย์ปลายภาค'!$C$6:$EI$50,48,FALSE))</f>
        <v/>
      </c>
      <c r="AB11" s="230" t="str">
        <f>VLOOKUP($B11,'6.คีย์ปลายภาค'!$C$6:$EI$50,49,FALSE)</f>
        <v/>
      </c>
      <c r="AC11" s="231" t="str">
        <f>IF(VLOOKUP($B11,'6.คีย์ปลายภาค'!$C$6:$EI$50,53,FALSE)="","",VLOOKUP($B11,'6.คีย์ปลายภาค'!$C$6:$EI$50,53,FALSE))</f>
        <v/>
      </c>
      <c r="AD11" s="231" t="str">
        <f>VLOOKUP($B11,'6.คีย์ปลายภาค'!$C$6:$EI$50,54,FALSE)</f>
        <v/>
      </c>
      <c r="AE11" s="231" t="str">
        <f>IF(VLOOKUP($B11,'6.คีย์ปลายภาค'!$C$6:$EI$50,58,FALSE)="","",VLOOKUP($B11,'6.คีย์ปลายภาค'!$C$6:$EI$50,58,FALSE))</f>
        <v/>
      </c>
      <c r="AF11" s="231" t="str">
        <f>VLOOKUP($B11,'6.คีย์ปลายภาค'!$C$6:$EI$50,59,FALSE)</f>
        <v/>
      </c>
      <c r="AG11" s="231" t="str">
        <f>IF(VLOOKUP($B11,'6.คีย์ปลายภาค'!$C$6:$EI$50,63,FALSE)="","",VLOOKUP($B11,'6.คีย์ปลายภาค'!$C$6:$EI$50,63,FALSE))</f>
        <v/>
      </c>
      <c r="AH11" s="232" t="str">
        <f>VLOOKUP($B11,'6.คีย์ปลายภาค'!$C$6:$EI$50,64,FALSE)</f>
        <v/>
      </c>
      <c r="AI11" s="31">
        <v>3</v>
      </c>
      <c r="AJ11" s="771" t="str">
        <f>IF(Name3="","",Name3)</f>
        <v/>
      </c>
      <c r="AK11" s="772"/>
      <c r="AL11" s="772"/>
      <c r="AM11" s="772"/>
      <c r="AN11" s="707" t="str">
        <f>IF(Surname3="","",Surname3)</f>
        <v/>
      </c>
      <c r="AO11" s="707"/>
      <c r="AP11" s="707"/>
      <c r="AQ11" s="707"/>
      <c r="AR11" s="234" t="str">
        <f>IF(VLOOKUP($B11,'6.คีย์ปลายภาค'!$C$6:$EI$50,68,FALSE)="","",VLOOKUP($B11,'6.คีย์ปลายภาค'!$C$6:$EI$50,68,FALSE))</f>
        <v/>
      </c>
      <c r="AS11" s="230" t="str">
        <f>VLOOKUP($B11,'6.คีย์ปลายภาค'!$C$6:$EI$50,69,FALSE)</f>
        <v/>
      </c>
      <c r="AT11" s="230" t="str">
        <f>IF(VLOOKUP($B11,'6.คีย์ปลายภาค'!$C$6:$EI$50,73,FALSE)="","",VLOOKUP($B11,'6.คีย์ปลายภาค'!$C$6:$EI$50,73,FALSE))</f>
        <v/>
      </c>
      <c r="AU11" s="230" t="str">
        <f>VLOOKUP($B11,'6.คีย์ปลายภาค'!$C$6:$EI$50,74,FALSE)</f>
        <v/>
      </c>
      <c r="AV11" s="230" t="str">
        <f>IF(VLOOKUP($B11,'6.คีย์ปลายภาค'!$C$6:$EI$50,78,FALSE)="","",VLOOKUP($B11,'6.คีย์ปลายภาค'!$C$6:$EI$50,78,FALSE))</f>
        <v/>
      </c>
      <c r="AW11" s="230" t="str">
        <f>VLOOKUP($B11,'6.คีย์ปลายภาค'!$C$6:$EI$50,79,FALSE)</f>
        <v/>
      </c>
      <c r="AX11" s="230" t="str">
        <f>IF(VLOOKUP($B11,'6.คีย์ปลายภาค'!$C$6:$EI$50,83,FALSE)="","",VLOOKUP($B11,'6.คีย์ปลายภาค'!$C$6:$EI$50,83,FALSE))</f>
        <v/>
      </c>
      <c r="AY11" s="230" t="str">
        <f>VLOOKUP($B11,'6.คีย์ปลายภาค'!$C$6:$EI$50,84,FALSE)</f>
        <v/>
      </c>
      <c r="AZ11" s="230" t="str">
        <f>IF(VLOOKUP($B11,'6.คีย์ปลายภาค'!$C$6:$EI$50,88,FALSE)="","",VLOOKUP($B11,'6.คีย์ปลายภาค'!$C$6:$EI$50,88,FALSE))</f>
        <v/>
      </c>
      <c r="BA11" s="230" t="str">
        <f>VLOOKUP($B11,'6.คีย์ปลายภาค'!$C$6:$EI$50,89,FALSE)</f>
        <v/>
      </c>
      <c r="BB11" s="230" t="str">
        <f>IF(VLOOKUP($B11,'6.คีย์ปลายภาค'!$C$6:$EI$50,93,FALSE)="","",VLOOKUP($B11,'6.คีย์ปลายภาค'!$C$6:$EI$50,93,FALSE))</f>
        <v/>
      </c>
      <c r="BC11" s="230" t="str">
        <f>VLOOKUP($B11,'6.คีย์ปลายภาค'!$C$6:$EI$50,94,FALSE)</f>
        <v/>
      </c>
      <c r="BD11" s="230" t="str">
        <f>IF(VLOOKUP($B11,'6.คีย์ปลายภาค'!$C$6:$EI$50,98,FALSE)="","",VLOOKUP($B11,'6.คีย์ปลายภาค'!$C$6:$EI$50,98,FALSE))</f>
        <v/>
      </c>
      <c r="BE11" s="230" t="str">
        <f>VLOOKUP($B11,'6.คีย์ปลายภาค'!$C$6:$EI$50,99,FALSE)</f>
        <v/>
      </c>
      <c r="BF11" s="230" t="str">
        <f>IF(VLOOKUP($B11,'6.คีย์ปลายภาค'!$C$6:$EI$50,103,FALSE)="","",VLOOKUP($B11,'6.คีย์ปลายภาค'!$C$6:$EI$50,103,FALSE))</f>
        <v/>
      </c>
      <c r="BG11" s="230" t="str">
        <f>VLOOKUP($B11,'6.คีย์ปลายภาค'!$C$6:$EI$50,104,FALSE)</f>
        <v/>
      </c>
      <c r="BH11" s="230" t="str">
        <f>IF(VLOOKUP($B11,'6.คีย์ปลายภาค'!$C$6:$EI$50,108,FALSE)="","",VLOOKUP($B11,'6.คีย์ปลายภาค'!$C$6:$EI$50,108,FALSE))</f>
        <v/>
      </c>
      <c r="BI11" s="230" t="str">
        <f>VLOOKUP($B11,'6.คีย์ปลายภาค'!$C$6:$EI$50,109,FALSE)</f>
        <v/>
      </c>
      <c r="BJ11" s="230" t="str">
        <f>IF(VLOOKUP($B11,'6.คีย์ปลายภาค'!$C$6:$EI$50,113,FALSE)="","",VLOOKUP($B11,'6.คีย์ปลายภาค'!$C$6:$EI$50,113,FALSE))</f>
        <v/>
      </c>
      <c r="BK11" s="230" t="str">
        <f>VLOOKUP($B11,'6.คีย์ปลายภาค'!$C$6:$EI$50,114,FALSE)</f>
        <v/>
      </c>
      <c r="BL11" s="230" t="str">
        <f>IF(VLOOKUP($B11,'6.คีย์ปลายภาค'!$C$6:$EI$50,118,FALSE)="","",VLOOKUP($B11,'6.คีย์ปลายภาค'!$C$6:$EI$50,118,FALSE))</f>
        <v/>
      </c>
      <c r="BM11" s="230" t="str">
        <f>VLOOKUP($B11,'6.คีย์ปลายภาค'!$C$6:$EI$50,119,FALSE)</f>
        <v/>
      </c>
      <c r="BN11" s="230" t="str">
        <f>IF(VLOOKUP($B11,'6.คีย์ปลายภาค'!$C$6:$EI$50,123,FALSE)="","",VLOOKUP($B11,'6.คีย์ปลายภาค'!$C$6:$EI$50,123,FALSE))</f>
        <v/>
      </c>
      <c r="BO11" s="230" t="str">
        <f>VLOOKUP($B11,'6.คีย์ปลายภาค'!$C$6:$EI$50,124,FALSE)</f>
        <v/>
      </c>
      <c r="BP11" s="230" t="str">
        <f>IF(VLOOKUP($B11,'6.คีย์ปลายภาค'!$C$6:$EI$50,128,FALSE)="","",VLOOKUP($B11,'6.คีย์ปลายภาค'!$C$6:$EI$50,128,FALSE))</f>
        <v/>
      </c>
      <c r="BQ11" s="232" t="str">
        <f>VLOOKUP($B11,'6.คีย์ปลายภาค'!$C$6:$EI$50,129,FALSE)</f>
        <v/>
      </c>
      <c r="BR11" s="550" t="str">
        <f>IF(L11="","",IF('2.ชื่อนักเรียน'!R13="มส","",IF('2.ชื่อนักเรียน'!R13="ย้าย","",IF('2.ชื่อนักเรียน'!R13="ร","",SUM(BT11:CR11)/13.5))))</f>
        <v/>
      </c>
      <c r="BS11" s="520" t="str">
        <f>IF('2.ชื่อนักเรียน'!R13="มส","มส",IF('2.ชื่อนักเรียน'!R13="ย้าย","ย้าย",IF('2.ชื่อนักเรียน'!R13="ร","ร",IF(BR11="","",RANK(BR11,$BR$9:$BR$53,0)))))</f>
        <v/>
      </c>
      <c r="BT11" s="118" t="str">
        <f t="shared" si="0"/>
        <v/>
      </c>
      <c r="BU11" s="119" t="str">
        <f t="shared" si="1"/>
        <v/>
      </c>
      <c r="BV11" s="119" t="str">
        <f t="shared" si="2"/>
        <v/>
      </c>
      <c r="BW11" s="110" t="str">
        <f t="shared" si="3"/>
        <v/>
      </c>
      <c r="BX11" s="119" t="str">
        <f t="shared" si="4"/>
        <v/>
      </c>
      <c r="BY11" s="119" t="str">
        <f t="shared" si="5"/>
        <v/>
      </c>
      <c r="BZ11" s="119" t="str">
        <f t="shared" si="6"/>
        <v/>
      </c>
      <c r="CA11" s="119" t="str">
        <f t="shared" si="7"/>
        <v/>
      </c>
      <c r="CB11" s="110" t="str">
        <f t="shared" si="8"/>
        <v/>
      </c>
      <c r="CC11" s="151" t="str">
        <f t="shared" si="9"/>
        <v/>
      </c>
      <c r="CD11" s="151" t="str">
        <f t="shared" si="10"/>
        <v/>
      </c>
      <c r="CE11" s="111" t="str">
        <f t="shared" si="11"/>
        <v/>
      </c>
      <c r="CF11" s="118" t="str">
        <f t="shared" si="12"/>
        <v/>
      </c>
      <c r="CG11" s="119" t="str">
        <f t="shared" si="13"/>
        <v/>
      </c>
      <c r="CH11" s="119" t="str">
        <f t="shared" si="14"/>
        <v/>
      </c>
      <c r="CI11" s="119" t="str">
        <f t="shared" si="15"/>
        <v/>
      </c>
      <c r="CJ11" s="110" t="str">
        <f t="shared" si="16"/>
        <v/>
      </c>
      <c r="CK11" s="110" t="str">
        <f t="shared" si="17"/>
        <v/>
      </c>
      <c r="CL11" s="119" t="str">
        <f t="shared" si="18"/>
        <v/>
      </c>
      <c r="CM11" s="119" t="str">
        <f t="shared" si="19"/>
        <v/>
      </c>
      <c r="CN11" s="120" t="str">
        <f t="shared" si="20"/>
        <v/>
      </c>
      <c r="CO11" s="119" t="str">
        <f t="shared" si="21"/>
        <v/>
      </c>
      <c r="CP11" s="120" t="str">
        <f t="shared" si="22"/>
        <v/>
      </c>
      <c r="CQ11" s="111" t="str">
        <f t="shared" si="23"/>
        <v/>
      </c>
      <c r="CR11" s="494" t="str">
        <f t="shared" si="24"/>
        <v/>
      </c>
      <c r="CS11" s="148">
        <f t="shared" si="25"/>
        <v>0</v>
      </c>
      <c r="CT11" s="21">
        <f>IF('2.ชื่อนักเรียน'!AP13="มส","มส",IF('2.ชื่อนักเรียน'!AP13="ย้าย","ย้าย",IF('2.ชื่อนักเรียน'!AP13="ร","ร",IF(CS11="","",RANK(CS11,$CS$9:$CS$53,0)))))</f>
        <v>1</v>
      </c>
      <c r="CU11" s="730"/>
      <c r="CV11" s="731"/>
      <c r="CW11" s="731"/>
      <c r="CX11" s="731"/>
      <c r="CY11" s="731"/>
    </row>
    <row r="12" spans="1:103" s="29" customFormat="1" ht="18.75" customHeight="1" x14ac:dyDescent="0.25">
      <c r="A12" s="234">
        <v>4</v>
      </c>
      <c r="B12" s="512" t="str">
        <f>IF(IDstu4="","",IDstu4)</f>
        <v/>
      </c>
      <c r="C12" s="771" t="str">
        <f>IF(Name4="","",Name4)</f>
        <v/>
      </c>
      <c r="D12" s="772"/>
      <c r="E12" s="772"/>
      <c r="F12" s="772"/>
      <c r="G12" s="707" t="str">
        <f>IF(Surname4="","",Surname4)</f>
        <v/>
      </c>
      <c r="H12" s="707"/>
      <c r="I12" s="707"/>
      <c r="J12" s="707"/>
      <c r="K12" s="234" t="str">
        <f>IF(VLOOKUP($B12,'6.คีย์ปลายภาค'!$C$6:$EI$50,8,FALSE)="","",VLOOKUP($B12,'6.คีย์ปลายภาค'!$C$6:$EI$50,8,FALSE))</f>
        <v/>
      </c>
      <c r="L12" s="229" t="str">
        <f>VLOOKUP($B12,'6.คีย์ปลายภาค'!$C$6:$EI$50,9,FALSE)</f>
        <v/>
      </c>
      <c r="M12" s="229" t="str">
        <f>IF(VLOOKUP($B12,'6.คีย์ปลายภาค'!$C$6:$EI$50,13,FALSE)="","",VLOOKUP($B12,'6.คีย์ปลายภาค'!$C$6:$EI$50,13,FALSE))</f>
        <v/>
      </c>
      <c r="N12" s="230" t="str">
        <f>VLOOKUP($B12,'6.คีย์ปลายภาค'!$C$6:$EI$50,14,FALSE)</f>
        <v/>
      </c>
      <c r="O12" s="230" t="str">
        <f>IF(VLOOKUP($B12,'6.คีย์ปลายภาค'!$C$6:$EI$50,18,FALSE)="","",VLOOKUP($B12,'6.คีย์ปลายภาค'!$C$6:$EI$50,18,FALSE))</f>
        <v/>
      </c>
      <c r="P12" s="230" t="str">
        <f>VLOOKUP($B12,'6.คีย์ปลายภาค'!$C$6:$EI$50,19,FALSE)</f>
        <v/>
      </c>
      <c r="Q12" s="230" t="str">
        <f>IF(VLOOKUP($B12,'6.คีย์ปลายภาค'!$C$6:$EI$50,23,FALSE)="","",VLOOKUP($B12,'6.คีย์ปลายภาค'!$C$6:$EI$50,23,FALSE))</f>
        <v/>
      </c>
      <c r="R12" s="230" t="str">
        <f>VLOOKUP($B12,'6.คีย์ปลายภาค'!$C$6:$EI$50,24,FALSE)</f>
        <v/>
      </c>
      <c r="S12" s="230" t="str">
        <f>IF(VLOOKUP($B12,'6.คีย์ปลายภาค'!$C$6:$EI$50,28,FALSE)="","",VLOOKUP($B12,'6.คีย์ปลายภาค'!$C$6:$EI$50,28,FALSE))</f>
        <v/>
      </c>
      <c r="T12" s="230" t="str">
        <f>VLOOKUP($B12,'6.คีย์ปลายภาค'!$C$6:$EI$50,29,FALSE)</f>
        <v/>
      </c>
      <c r="U12" s="230" t="str">
        <f>IF(VLOOKUP($B12,'6.คีย์ปลายภาค'!$C$6:$EI$50,33,FALSE)="","",VLOOKUP($B12,'6.คีย์ปลายภาค'!$C$6:$EI$50,33,FALSE))</f>
        <v/>
      </c>
      <c r="V12" s="230" t="str">
        <f>VLOOKUP($B12,'6.คีย์ปลายภาค'!$C$6:$EI$50,34,FALSE)</f>
        <v/>
      </c>
      <c r="W12" s="230" t="str">
        <f>IF(VLOOKUP($B12,'6.คีย์ปลายภาค'!$C$6:$EI$50,38,FALSE)="","",VLOOKUP($B12,'6.คีย์ปลายภาค'!$C$6:$EI$50,38,FALSE))</f>
        <v/>
      </c>
      <c r="X12" s="230" t="str">
        <f>VLOOKUP($B12,'6.คีย์ปลายภาค'!$C$6:$EI$50,39,FALSE)</f>
        <v/>
      </c>
      <c r="Y12" s="230" t="str">
        <f>IF(VLOOKUP($B12,'6.คีย์ปลายภาค'!$C$6:$EI$50,43,FALSE)="","",VLOOKUP($B12,'6.คีย์ปลายภาค'!$C$6:$EI$50,43,FALSE))</f>
        <v/>
      </c>
      <c r="Z12" s="230" t="str">
        <f>VLOOKUP($B12,'6.คีย์ปลายภาค'!$C$6:$EI$50,44,FALSE)</f>
        <v/>
      </c>
      <c r="AA12" s="230" t="str">
        <f>IF(VLOOKUP($B12,'6.คีย์ปลายภาค'!$C$6:$EI$50,48,FALSE)="","",VLOOKUP($B12,'6.คีย์ปลายภาค'!$C$6:$EI$50,48,FALSE))</f>
        <v/>
      </c>
      <c r="AB12" s="230" t="str">
        <f>VLOOKUP($B12,'6.คีย์ปลายภาค'!$C$6:$EI$50,49,FALSE)</f>
        <v/>
      </c>
      <c r="AC12" s="231" t="str">
        <f>IF(VLOOKUP($B12,'6.คีย์ปลายภาค'!$C$6:$EI$50,53,FALSE)="","",VLOOKUP($B12,'6.คีย์ปลายภาค'!$C$6:$EI$50,53,FALSE))</f>
        <v/>
      </c>
      <c r="AD12" s="231" t="str">
        <f>VLOOKUP($B12,'6.คีย์ปลายภาค'!$C$6:$EI$50,54,FALSE)</f>
        <v/>
      </c>
      <c r="AE12" s="231" t="str">
        <f>IF(VLOOKUP($B12,'6.คีย์ปลายภาค'!$C$6:$EI$50,58,FALSE)="","",VLOOKUP($B12,'6.คีย์ปลายภาค'!$C$6:$EI$50,58,FALSE))</f>
        <v/>
      </c>
      <c r="AF12" s="231" t="str">
        <f>VLOOKUP($B12,'6.คีย์ปลายภาค'!$C$6:$EI$50,59,FALSE)</f>
        <v/>
      </c>
      <c r="AG12" s="231" t="str">
        <f>IF(VLOOKUP($B12,'6.คีย์ปลายภาค'!$C$6:$EI$50,63,FALSE)="","",VLOOKUP($B12,'6.คีย์ปลายภาค'!$C$6:$EI$50,63,FALSE))</f>
        <v/>
      </c>
      <c r="AH12" s="232" t="str">
        <f>VLOOKUP($B12,'6.คีย์ปลายภาค'!$C$6:$EI$50,64,FALSE)</f>
        <v/>
      </c>
      <c r="AI12" s="31">
        <v>4</v>
      </c>
      <c r="AJ12" s="771" t="str">
        <f>IF(Name4="","",Name4)</f>
        <v/>
      </c>
      <c r="AK12" s="772"/>
      <c r="AL12" s="772"/>
      <c r="AM12" s="772"/>
      <c r="AN12" s="707" t="str">
        <f>IF(Surname4="","",Surname4)</f>
        <v/>
      </c>
      <c r="AO12" s="707"/>
      <c r="AP12" s="707"/>
      <c r="AQ12" s="707"/>
      <c r="AR12" s="234" t="str">
        <f>IF(VLOOKUP($B12,'6.คีย์ปลายภาค'!$C$6:$EI$50,68,FALSE)="","",VLOOKUP($B12,'6.คีย์ปลายภาค'!$C$6:$EI$50,68,FALSE))</f>
        <v/>
      </c>
      <c r="AS12" s="230" t="str">
        <f>VLOOKUP($B12,'6.คีย์ปลายภาค'!$C$6:$EI$50,69,FALSE)</f>
        <v/>
      </c>
      <c r="AT12" s="230" t="str">
        <f>IF(VLOOKUP($B12,'6.คีย์ปลายภาค'!$C$6:$EI$50,73,FALSE)="","",VLOOKUP($B12,'6.คีย์ปลายภาค'!$C$6:$EI$50,73,FALSE))</f>
        <v/>
      </c>
      <c r="AU12" s="230" t="str">
        <f>VLOOKUP($B12,'6.คีย์ปลายภาค'!$C$6:$EI$50,74,FALSE)</f>
        <v/>
      </c>
      <c r="AV12" s="230" t="str">
        <f>IF(VLOOKUP($B12,'6.คีย์ปลายภาค'!$C$6:$EI$50,78,FALSE)="","",VLOOKUP($B12,'6.คีย์ปลายภาค'!$C$6:$EI$50,78,FALSE))</f>
        <v/>
      </c>
      <c r="AW12" s="230" t="str">
        <f>VLOOKUP($B12,'6.คีย์ปลายภาค'!$C$6:$EI$50,79,FALSE)</f>
        <v/>
      </c>
      <c r="AX12" s="230" t="str">
        <f>IF(VLOOKUP($B12,'6.คีย์ปลายภาค'!$C$6:$EI$50,83,FALSE)="","",VLOOKUP($B12,'6.คีย์ปลายภาค'!$C$6:$EI$50,83,FALSE))</f>
        <v/>
      </c>
      <c r="AY12" s="230" t="str">
        <f>VLOOKUP($B12,'6.คีย์ปลายภาค'!$C$6:$EI$50,84,FALSE)</f>
        <v/>
      </c>
      <c r="AZ12" s="230" t="str">
        <f>IF(VLOOKUP($B12,'6.คีย์ปลายภาค'!$C$6:$EI$50,88,FALSE)="","",VLOOKUP($B12,'6.คีย์ปลายภาค'!$C$6:$EI$50,88,FALSE))</f>
        <v/>
      </c>
      <c r="BA12" s="230" t="str">
        <f>VLOOKUP($B12,'6.คีย์ปลายภาค'!$C$6:$EI$50,89,FALSE)</f>
        <v/>
      </c>
      <c r="BB12" s="230" t="str">
        <f>IF(VLOOKUP($B12,'6.คีย์ปลายภาค'!$C$6:$EI$50,93,FALSE)="","",VLOOKUP($B12,'6.คีย์ปลายภาค'!$C$6:$EI$50,93,FALSE))</f>
        <v/>
      </c>
      <c r="BC12" s="230" t="str">
        <f>VLOOKUP($B12,'6.คีย์ปลายภาค'!$C$6:$EI$50,94,FALSE)</f>
        <v/>
      </c>
      <c r="BD12" s="230" t="str">
        <f>IF(VLOOKUP($B12,'6.คีย์ปลายภาค'!$C$6:$EI$50,98,FALSE)="","",VLOOKUP($B12,'6.คีย์ปลายภาค'!$C$6:$EI$50,98,FALSE))</f>
        <v/>
      </c>
      <c r="BE12" s="230" t="str">
        <f>VLOOKUP($B12,'6.คีย์ปลายภาค'!$C$6:$EI$50,99,FALSE)</f>
        <v/>
      </c>
      <c r="BF12" s="230" t="str">
        <f>IF(VLOOKUP($B12,'6.คีย์ปลายภาค'!$C$6:$EI$50,103,FALSE)="","",VLOOKUP($B12,'6.คีย์ปลายภาค'!$C$6:$EI$50,103,FALSE))</f>
        <v/>
      </c>
      <c r="BG12" s="230" t="str">
        <f>VLOOKUP($B12,'6.คีย์ปลายภาค'!$C$6:$EI$50,104,FALSE)</f>
        <v/>
      </c>
      <c r="BH12" s="230" t="str">
        <f>IF(VLOOKUP($B12,'6.คีย์ปลายภาค'!$C$6:$EI$50,108,FALSE)="","",VLOOKUP($B12,'6.คีย์ปลายภาค'!$C$6:$EI$50,108,FALSE))</f>
        <v/>
      </c>
      <c r="BI12" s="230" t="str">
        <f>VLOOKUP($B12,'6.คีย์ปลายภาค'!$C$6:$EI$50,109,FALSE)</f>
        <v/>
      </c>
      <c r="BJ12" s="230" t="str">
        <f>IF(VLOOKUP($B12,'6.คีย์ปลายภาค'!$C$6:$EI$50,113,FALSE)="","",VLOOKUP($B12,'6.คีย์ปลายภาค'!$C$6:$EI$50,113,FALSE))</f>
        <v/>
      </c>
      <c r="BK12" s="230" t="str">
        <f>VLOOKUP($B12,'6.คีย์ปลายภาค'!$C$6:$EI$50,114,FALSE)</f>
        <v/>
      </c>
      <c r="BL12" s="230" t="str">
        <f>IF(VLOOKUP($B12,'6.คีย์ปลายภาค'!$C$6:$EI$50,118,FALSE)="","",VLOOKUP($B12,'6.คีย์ปลายภาค'!$C$6:$EI$50,118,FALSE))</f>
        <v/>
      </c>
      <c r="BM12" s="230" t="str">
        <f>VLOOKUP($B12,'6.คีย์ปลายภาค'!$C$6:$EI$50,119,FALSE)</f>
        <v/>
      </c>
      <c r="BN12" s="230" t="str">
        <f>IF(VLOOKUP($B12,'6.คีย์ปลายภาค'!$C$6:$EI$50,123,FALSE)="","",VLOOKUP($B12,'6.คีย์ปลายภาค'!$C$6:$EI$50,123,FALSE))</f>
        <v/>
      </c>
      <c r="BO12" s="230" t="str">
        <f>VLOOKUP($B12,'6.คีย์ปลายภาค'!$C$6:$EI$50,124,FALSE)</f>
        <v/>
      </c>
      <c r="BP12" s="230" t="str">
        <f>IF(VLOOKUP($B12,'6.คีย์ปลายภาค'!$C$6:$EI$50,128,FALSE)="","",VLOOKUP($B12,'6.คีย์ปลายภาค'!$C$6:$EI$50,128,FALSE))</f>
        <v/>
      </c>
      <c r="BQ12" s="232" t="str">
        <f>VLOOKUP($B12,'6.คีย์ปลายภาค'!$C$6:$EI$50,129,FALSE)</f>
        <v/>
      </c>
      <c r="BR12" s="550" t="str">
        <f>IF(L12="","",IF('2.ชื่อนักเรียน'!R14="มส","",IF('2.ชื่อนักเรียน'!R14="ย้าย","",IF('2.ชื่อนักเรียน'!R14="ร","",SUM(BT12:CR12)/13.5))))</f>
        <v/>
      </c>
      <c r="BS12" s="520" t="str">
        <f>IF('2.ชื่อนักเรียน'!R14="มส","มส",IF('2.ชื่อนักเรียน'!R14="ย้าย","ย้าย",IF('2.ชื่อนักเรียน'!R14="ร","ร",IF(BR12="","",RANK(BR12,$BR$9:$BR$53,0)))))</f>
        <v/>
      </c>
      <c r="BT12" s="118" t="str">
        <f t="shared" si="0"/>
        <v/>
      </c>
      <c r="BU12" s="119" t="str">
        <f t="shared" si="1"/>
        <v/>
      </c>
      <c r="BV12" s="119" t="str">
        <f t="shared" si="2"/>
        <v/>
      </c>
      <c r="BW12" s="110" t="str">
        <f t="shared" si="3"/>
        <v/>
      </c>
      <c r="BX12" s="119" t="str">
        <f t="shared" si="4"/>
        <v/>
      </c>
      <c r="BY12" s="119" t="str">
        <f t="shared" si="5"/>
        <v/>
      </c>
      <c r="BZ12" s="119" t="str">
        <f t="shared" si="6"/>
        <v/>
      </c>
      <c r="CA12" s="119" t="str">
        <f t="shared" si="7"/>
        <v/>
      </c>
      <c r="CB12" s="110" t="str">
        <f t="shared" si="8"/>
        <v/>
      </c>
      <c r="CC12" s="151" t="str">
        <f t="shared" si="9"/>
        <v/>
      </c>
      <c r="CD12" s="151" t="str">
        <f t="shared" si="10"/>
        <v/>
      </c>
      <c r="CE12" s="111" t="str">
        <f t="shared" si="11"/>
        <v/>
      </c>
      <c r="CF12" s="118" t="str">
        <f t="shared" si="12"/>
        <v/>
      </c>
      <c r="CG12" s="119" t="str">
        <f t="shared" si="13"/>
        <v/>
      </c>
      <c r="CH12" s="119" t="str">
        <f t="shared" si="14"/>
        <v/>
      </c>
      <c r="CI12" s="119" t="str">
        <f t="shared" si="15"/>
        <v/>
      </c>
      <c r="CJ12" s="110" t="str">
        <f t="shared" si="16"/>
        <v/>
      </c>
      <c r="CK12" s="110" t="str">
        <f t="shared" si="17"/>
        <v/>
      </c>
      <c r="CL12" s="119" t="str">
        <f t="shared" si="18"/>
        <v/>
      </c>
      <c r="CM12" s="119" t="str">
        <f t="shared" si="19"/>
        <v/>
      </c>
      <c r="CN12" s="120" t="str">
        <f t="shared" si="20"/>
        <v/>
      </c>
      <c r="CO12" s="119" t="str">
        <f t="shared" si="21"/>
        <v/>
      </c>
      <c r="CP12" s="120" t="str">
        <f t="shared" si="22"/>
        <v/>
      </c>
      <c r="CQ12" s="111" t="str">
        <f t="shared" si="23"/>
        <v/>
      </c>
      <c r="CR12" s="494" t="str">
        <f t="shared" si="24"/>
        <v/>
      </c>
      <c r="CS12" s="148">
        <f t="shared" si="25"/>
        <v>0</v>
      </c>
      <c r="CT12" s="21">
        <f>IF('2.ชื่อนักเรียน'!AP14="มส","มส",IF('2.ชื่อนักเรียน'!AP14="ย้าย","ย้าย",IF('2.ชื่อนักเรียน'!AP14="ร","ร",IF(CS12="","",RANK(CS12,$CS$9:$CS$53,0)))))</f>
        <v>1</v>
      </c>
      <c r="CU12" s="730"/>
      <c r="CV12" s="731"/>
      <c r="CW12" s="731"/>
      <c r="CX12" s="731"/>
      <c r="CY12" s="731"/>
    </row>
    <row r="13" spans="1:103" s="29" customFormat="1" ht="18.75" customHeight="1" x14ac:dyDescent="0.25">
      <c r="A13" s="234">
        <v>5</v>
      </c>
      <c r="B13" s="512" t="str">
        <f>IF(IDstu5="","",IDstu5)</f>
        <v/>
      </c>
      <c r="C13" s="771" t="str">
        <f>IF(Name5="","",Name5)</f>
        <v/>
      </c>
      <c r="D13" s="772"/>
      <c r="E13" s="772"/>
      <c r="F13" s="772"/>
      <c r="G13" s="707" t="str">
        <f>IF(Surname5="","",Surname5)</f>
        <v/>
      </c>
      <c r="H13" s="707"/>
      <c r="I13" s="707"/>
      <c r="J13" s="707"/>
      <c r="K13" s="234" t="str">
        <f>IF(VLOOKUP($B13,'6.คีย์ปลายภาค'!$C$6:$EI$50,8,FALSE)="","",VLOOKUP($B13,'6.คีย์ปลายภาค'!$C$6:$EI$50,8,FALSE))</f>
        <v/>
      </c>
      <c r="L13" s="229" t="str">
        <f>VLOOKUP($B13,'6.คีย์ปลายภาค'!$C$6:$EI$50,9,FALSE)</f>
        <v/>
      </c>
      <c r="M13" s="229" t="str">
        <f>IF(VLOOKUP($B13,'6.คีย์ปลายภาค'!$C$6:$EI$50,13,FALSE)="","",VLOOKUP($B13,'6.คีย์ปลายภาค'!$C$6:$EI$50,13,FALSE))</f>
        <v/>
      </c>
      <c r="N13" s="230" t="str">
        <f>VLOOKUP($B13,'6.คีย์ปลายภาค'!$C$6:$EI$50,14,FALSE)</f>
        <v/>
      </c>
      <c r="O13" s="230" t="str">
        <f>IF(VLOOKUP($B13,'6.คีย์ปลายภาค'!$C$6:$EI$50,18,FALSE)="","",VLOOKUP($B13,'6.คีย์ปลายภาค'!$C$6:$EI$50,18,FALSE))</f>
        <v/>
      </c>
      <c r="P13" s="230" t="str">
        <f>VLOOKUP($B13,'6.คีย์ปลายภาค'!$C$6:$EI$50,19,FALSE)</f>
        <v/>
      </c>
      <c r="Q13" s="230" t="str">
        <f>IF(VLOOKUP($B13,'6.คีย์ปลายภาค'!$C$6:$EI$50,23,FALSE)="","",VLOOKUP($B13,'6.คีย์ปลายภาค'!$C$6:$EI$50,23,FALSE))</f>
        <v/>
      </c>
      <c r="R13" s="230" t="str">
        <f>VLOOKUP($B13,'6.คีย์ปลายภาค'!$C$6:$EI$50,24,FALSE)</f>
        <v/>
      </c>
      <c r="S13" s="230" t="str">
        <f>IF(VLOOKUP($B13,'6.คีย์ปลายภาค'!$C$6:$EI$50,28,FALSE)="","",VLOOKUP($B13,'6.คีย์ปลายภาค'!$C$6:$EI$50,28,FALSE))</f>
        <v/>
      </c>
      <c r="T13" s="230" t="str">
        <f>VLOOKUP($B13,'6.คีย์ปลายภาค'!$C$6:$EI$50,29,FALSE)</f>
        <v/>
      </c>
      <c r="U13" s="230" t="str">
        <f>IF(VLOOKUP($B13,'6.คีย์ปลายภาค'!$C$6:$EI$50,33,FALSE)="","",VLOOKUP($B13,'6.คีย์ปลายภาค'!$C$6:$EI$50,33,FALSE))</f>
        <v/>
      </c>
      <c r="V13" s="230" t="str">
        <f>VLOOKUP($B13,'6.คีย์ปลายภาค'!$C$6:$EI$50,34,FALSE)</f>
        <v/>
      </c>
      <c r="W13" s="230" t="str">
        <f>IF(VLOOKUP($B13,'6.คีย์ปลายภาค'!$C$6:$EI$50,38,FALSE)="","",VLOOKUP($B13,'6.คีย์ปลายภาค'!$C$6:$EI$50,38,FALSE))</f>
        <v/>
      </c>
      <c r="X13" s="230" t="str">
        <f>VLOOKUP($B13,'6.คีย์ปลายภาค'!$C$6:$EI$50,39,FALSE)</f>
        <v/>
      </c>
      <c r="Y13" s="230" t="str">
        <f>IF(VLOOKUP($B13,'6.คีย์ปลายภาค'!$C$6:$EI$50,43,FALSE)="","",VLOOKUP($B13,'6.คีย์ปลายภาค'!$C$6:$EI$50,43,FALSE))</f>
        <v/>
      </c>
      <c r="Z13" s="230" t="str">
        <f>VLOOKUP($B13,'6.คีย์ปลายภาค'!$C$6:$EI$50,44,FALSE)</f>
        <v/>
      </c>
      <c r="AA13" s="230" t="str">
        <f>IF(VLOOKUP($B13,'6.คีย์ปลายภาค'!$C$6:$EI$50,48,FALSE)="","",VLOOKUP($B13,'6.คีย์ปลายภาค'!$C$6:$EI$50,48,FALSE))</f>
        <v/>
      </c>
      <c r="AB13" s="230" t="str">
        <f>VLOOKUP($B13,'6.คีย์ปลายภาค'!$C$6:$EI$50,49,FALSE)</f>
        <v/>
      </c>
      <c r="AC13" s="231" t="str">
        <f>IF(VLOOKUP($B13,'6.คีย์ปลายภาค'!$C$6:$EI$50,53,FALSE)="","",VLOOKUP($B13,'6.คีย์ปลายภาค'!$C$6:$EI$50,53,FALSE))</f>
        <v/>
      </c>
      <c r="AD13" s="231" t="str">
        <f>VLOOKUP($B13,'6.คีย์ปลายภาค'!$C$6:$EI$50,54,FALSE)</f>
        <v/>
      </c>
      <c r="AE13" s="231" t="str">
        <f>IF(VLOOKUP($B13,'6.คีย์ปลายภาค'!$C$6:$EI$50,58,FALSE)="","",VLOOKUP($B13,'6.คีย์ปลายภาค'!$C$6:$EI$50,58,FALSE))</f>
        <v/>
      </c>
      <c r="AF13" s="231" t="str">
        <f>VLOOKUP($B13,'6.คีย์ปลายภาค'!$C$6:$EI$50,59,FALSE)</f>
        <v/>
      </c>
      <c r="AG13" s="231" t="str">
        <f>IF(VLOOKUP($B13,'6.คีย์ปลายภาค'!$C$6:$EI$50,63,FALSE)="","",VLOOKUP($B13,'6.คีย์ปลายภาค'!$C$6:$EI$50,63,FALSE))</f>
        <v/>
      </c>
      <c r="AH13" s="232" t="str">
        <f>VLOOKUP($B13,'6.คีย์ปลายภาค'!$C$6:$EI$50,64,FALSE)</f>
        <v/>
      </c>
      <c r="AI13" s="31">
        <v>5</v>
      </c>
      <c r="AJ13" s="771" t="str">
        <f>IF(Name5="","",Name5)</f>
        <v/>
      </c>
      <c r="AK13" s="772"/>
      <c r="AL13" s="772"/>
      <c r="AM13" s="772"/>
      <c r="AN13" s="707" t="str">
        <f>IF(Surname5="","",Surname5)</f>
        <v/>
      </c>
      <c r="AO13" s="707"/>
      <c r="AP13" s="707"/>
      <c r="AQ13" s="707"/>
      <c r="AR13" s="234" t="str">
        <f>IF(VLOOKUP($B13,'6.คีย์ปลายภาค'!$C$6:$EI$50,68,FALSE)="","",VLOOKUP($B13,'6.คีย์ปลายภาค'!$C$6:$EI$50,68,FALSE))</f>
        <v/>
      </c>
      <c r="AS13" s="230" t="str">
        <f>VLOOKUP($B13,'6.คีย์ปลายภาค'!$C$6:$EI$50,69,FALSE)</f>
        <v/>
      </c>
      <c r="AT13" s="230" t="str">
        <f>IF(VLOOKUP($B13,'6.คีย์ปลายภาค'!$C$6:$EI$50,73,FALSE)="","",VLOOKUP($B13,'6.คีย์ปลายภาค'!$C$6:$EI$50,73,FALSE))</f>
        <v/>
      </c>
      <c r="AU13" s="230" t="str">
        <f>VLOOKUP($B13,'6.คีย์ปลายภาค'!$C$6:$EI$50,74,FALSE)</f>
        <v/>
      </c>
      <c r="AV13" s="230" t="str">
        <f>IF(VLOOKUP($B13,'6.คีย์ปลายภาค'!$C$6:$EI$50,78,FALSE)="","",VLOOKUP($B13,'6.คีย์ปลายภาค'!$C$6:$EI$50,78,FALSE))</f>
        <v/>
      </c>
      <c r="AW13" s="230" t="str">
        <f>VLOOKUP($B13,'6.คีย์ปลายภาค'!$C$6:$EI$50,79,FALSE)</f>
        <v/>
      </c>
      <c r="AX13" s="230" t="str">
        <f>IF(VLOOKUP($B13,'6.คีย์ปลายภาค'!$C$6:$EI$50,83,FALSE)="","",VLOOKUP($B13,'6.คีย์ปลายภาค'!$C$6:$EI$50,83,FALSE))</f>
        <v/>
      </c>
      <c r="AY13" s="230" t="str">
        <f>VLOOKUP($B13,'6.คีย์ปลายภาค'!$C$6:$EI$50,84,FALSE)</f>
        <v/>
      </c>
      <c r="AZ13" s="230" t="str">
        <f>IF(VLOOKUP($B13,'6.คีย์ปลายภาค'!$C$6:$EI$50,88,FALSE)="","",VLOOKUP($B13,'6.คีย์ปลายภาค'!$C$6:$EI$50,88,FALSE))</f>
        <v/>
      </c>
      <c r="BA13" s="230" t="str">
        <f>VLOOKUP($B13,'6.คีย์ปลายภาค'!$C$6:$EI$50,89,FALSE)</f>
        <v/>
      </c>
      <c r="BB13" s="230" t="str">
        <f>IF(VLOOKUP($B13,'6.คีย์ปลายภาค'!$C$6:$EI$50,93,FALSE)="","",VLOOKUP($B13,'6.คีย์ปลายภาค'!$C$6:$EI$50,93,FALSE))</f>
        <v/>
      </c>
      <c r="BC13" s="230" t="str">
        <f>VLOOKUP($B13,'6.คีย์ปลายภาค'!$C$6:$EI$50,94,FALSE)</f>
        <v/>
      </c>
      <c r="BD13" s="230" t="str">
        <f>IF(VLOOKUP($B13,'6.คีย์ปลายภาค'!$C$6:$EI$50,98,FALSE)="","",VLOOKUP($B13,'6.คีย์ปลายภาค'!$C$6:$EI$50,98,FALSE))</f>
        <v/>
      </c>
      <c r="BE13" s="230" t="str">
        <f>VLOOKUP($B13,'6.คีย์ปลายภาค'!$C$6:$EI$50,99,FALSE)</f>
        <v/>
      </c>
      <c r="BF13" s="230" t="str">
        <f>IF(VLOOKUP($B13,'6.คีย์ปลายภาค'!$C$6:$EI$50,103,FALSE)="","",VLOOKUP($B13,'6.คีย์ปลายภาค'!$C$6:$EI$50,103,FALSE))</f>
        <v/>
      </c>
      <c r="BG13" s="230" t="str">
        <f>VLOOKUP($B13,'6.คีย์ปลายภาค'!$C$6:$EI$50,104,FALSE)</f>
        <v/>
      </c>
      <c r="BH13" s="230" t="str">
        <f>IF(VLOOKUP($B13,'6.คีย์ปลายภาค'!$C$6:$EI$50,108,FALSE)="","",VLOOKUP($B13,'6.คีย์ปลายภาค'!$C$6:$EI$50,108,FALSE))</f>
        <v/>
      </c>
      <c r="BI13" s="230" t="str">
        <f>VLOOKUP($B13,'6.คีย์ปลายภาค'!$C$6:$EI$50,109,FALSE)</f>
        <v/>
      </c>
      <c r="BJ13" s="230" t="str">
        <f>IF(VLOOKUP($B13,'6.คีย์ปลายภาค'!$C$6:$EI$50,113,FALSE)="","",VLOOKUP($B13,'6.คีย์ปลายภาค'!$C$6:$EI$50,113,FALSE))</f>
        <v/>
      </c>
      <c r="BK13" s="230" t="str">
        <f>VLOOKUP($B13,'6.คีย์ปลายภาค'!$C$6:$EI$50,114,FALSE)</f>
        <v/>
      </c>
      <c r="BL13" s="230" t="str">
        <f>IF(VLOOKUP($B13,'6.คีย์ปลายภาค'!$C$6:$EI$50,118,FALSE)="","",VLOOKUP($B13,'6.คีย์ปลายภาค'!$C$6:$EI$50,118,FALSE))</f>
        <v/>
      </c>
      <c r="BM13" s="230" t="str">
        <f>VLOOKUP($B13,'6.คีย์ปลายภาค'!$C$6:$EI$50,119,FALSE)</f>
        <v/>
      </c>
      <c r="BN13" s="230" t="str">
        <f>IF(VLOOKUP($B13,'6.คีย์ปลายภาค'!$C$6:$EI$50,123,FALSE)="","",VLOOKUP($B13,'6.คีย์ปลายภาค'!$C$6:$EI$50,123,FALSE))</f>
        <v/>
      </c>
      <c r="BO13" s="230" t="str">
        <f>VLOOKUP($B13,'6.คีย์ปลายภาค'!$C$6:$EI$50,124,FALSE)</f>
        <v/>
      </c>
      <c r="BP13" s="230" t="str">
        <f>IF(VLOOKUP($B13,'6.คีย์ปลายภาค'!$C$6:$EI$50,128,FALSE)="","",VLOOKUP($B13,'6.คีย์ปลายภาค'!$C$6:$EI$50,128,FALSE))</f>
        <v/>
      </c>
      <c r="BQ13" s="232" t="str">
        <f>VLOOKUP($B13,'6.คีย์ปลายภาค'!$C$6:$EI$50,129,FALSE)</f>
        <v/>
      </c>
      <c r="BR13" s="550" t="str">
        <f>IF(L13="","",IF('2.ชื่อนักเรียน'!R15="มส","",IF('2.ชื่อนักเรียน'!R15="ย้าย","",IF('2.ชื่อนักเรียน'!R15="ร","",SUM(BT13:CR13)/13.5))))</f>
        <v/>
      </c>
      <c r="BS13" s="520" t="str">
        <f>IF('2.ชื่อนักเรียน'!R15="มส","มส",IF('2.ชื่อนักเรียน'!R15="ย้าย","ย้าย",IF('2.ชื่อนักเรียน'!R15="ร","ร",IF(BR13="","",RANK(BR13,$BR$9:$BR$53,0)))))</f>
        <v/>
      </c>
      <c r="BT13" s="118" t="str">
        <f t="shared" si="0"/>
        <v/>
      </c>
      <c r="BU13" s="119" t="str">
        <f t="shared" si="1"/>
        <v/>
      </c>
      <c r="BV13" s="119" t="str">
        <f t="shared" si="2"/>
        <v/>
      </c>
      <c r="BW13" s="110" t="str">
        <f t="shared" si="3"/>
        <v/>
      </c>
      <c r="BX13" s="119" t="str">
        <f t="shared" si="4"/>
        <v/>
      </c>
      <c r="BY13" s="119" t="str">
        <f t="shared" si="5"/>
        <v/>
      </c>
      <c r="BZ13" s="119" t="str">
        <f t="shared" si="6"/>
        <v/>
      </c>
      <c r="CA13" s="119" t="str">
        <f t="shared" si="7"/>
        <v/>
      </c>
      <c r="CB13" s="110" t="str">
        <f t="shared" si="8"/>
        <v/>
      </c>
      <c r="CC13" s="151" t="str">
        <f t="shared" si="9"/>
        <v/>
      </c>
      <c r="CD13" s="151" t="str">
        <f t="shared" si="10"/>
        <v/>
      </c>
      <c r="CE13" s="111" t="str">
        <f t="shared" si="11"/>
        <v/>
      </c>
      <c r="CF13" s="118" t="str">
        <f t="shared" si="12"/>
        <v/>
      </c>
      <c r="CG13" s="119" t="str">
        <f t="shared" si="13"/>
        <v/>
      </c>
      <c r="CH13" s="119" t="str">
        <f t="shared" si="14"/>
        <v/>
      </c>
      <c r="CI13" s="119" t="str">
        <f t="shared" si="15"/>
        <v/>
      </c>
      <c r="CJ13" s="110" t="str">
        <f t="shared" si="16"/>
        <v/>
      </c>
      <c r="CK13" s="110" t="str">
        <f t="shared" si="17"/>
        <v/>
      </c>
      <c r="CL13" s="119" t="str">
        <f t="shared" si="18"/>
        <v/>
      </c>
      <c r="CM13" s="119" t="str">
        <f t="shared" si="19"/>
        <v/>
      </c>
      <c r="CN13" s="120" t="str">
        <f t="shared" si="20"/>
        <v/>
      </c>
      <c r="CO13" s="119" t="str">
        <f t="shared" si="21"/>
        <v/>
      </c>
      <c r="CP13" s="120" t="str">
        <f t="shared" si="22"/>
        <v/>
      </c>
      <c r="CQ13" s="111" t="str">
        <f>IF(BO13="","",IF(BO13="ร","0",IF(BO13="มส","0",BO13*BO$8)))</f>
        <v/>
      </c>
      <c r="CR13" s="494" t="str">
        <f t="shared" si="24"/>
        <v/>
      </c>
      <c r="CS13" s="148">
        <f t="shared" si="25"/>
        <v>0</v>
      </c>
      <c r="CT13" s="21">
        <f>IF('2.ชื่อนักเรียน'!AP15="มส","มส",IF('2.ชื่อนักเรียน'!AP15="ย้าย","ย้าย",IF('2.ชื่อนักเรียน'!AP15="ร","ร",IF(CS13="","",RANK(CS13,$CS$9:$CS$53,0)))))</f>
        <v>1</v>
      </c>
      <c r="CU13" s="732"/>
      <c r="CV13" s="733"/>
      <c r="CW13" s="733"/>
      <c r="CX13" s="733"/>
      <c r="CY13" s="733"/>
    </row>
    <row r="14" spans="1:103" s="29" customFormat="1" ht="18.75" customHeight="1" x14ac:dyDescent="0.25">
      <c r="A14" s="234">
        <v>6</v>
      </c>
      <c r="B14" s="512" t="str">
        <f>IF(IDstu6="","",IDstu6)</f>
        <v/>
      </c>
      <c r="C14" s="771" t="str">
        <f>IF(Name6="","",Name6)</f>
        <v/>
      </c>
      <c r="D14" s="772"/>
      <c r="E14" s="772"/>
      <c r="F14" s="772"/>
      <c r="G14" s="707" t="str">
        <f>IF(Surname6="","",Surname6)</f>
        <v/>
      </c>
      <c r="H14" s="707"/>
      <c r="I14" s="707"/>
      <c r="J14" s="707"/>
      <c r="K14" s="234" t="str">
        <f>IF(VLOOKUP($B14,'6.คีย์ปลายภาค'!$C$6:$EI$50,8,FALSE)="","",VLOOKUP($B14,'6.คีย์ปลายภาค'!$C$6:$EI$50,8,FALSE))</f>
        <v/>
      </c>
      <c r="L14" s="229" t="str">
        <f>VLOOKUP($B14,'6.คีย์ปลายภาค'!$C$6:$EI$50,9,FALSE)</f>
        <v/>
      </c>
      <c r="M14" s="229" t="str">
        <f>IF(VLOOKUP($B14,'6.คีย์ปลายภาค'!$C$6:$EI$50,13,FALSE)="","",VLOOKUP($B14,'6.คีย์ปลายภาค'!$C$6:$EI$50,13,FALSE))</f>
        <v/>
      </c>
      <c r="N14" s="230" t="str">
        <f>VLOOKUP($B14,'6.คีย์ปลายภาค'!$C$6:$EI$50,14,FALSE)</f>
        <v/>
      </c>
      <c r="O14" s="230" t="str">
        <f>IF(VLOOKUP($B14,'6.คีย์ปลายภาค'!$C$6:$EI$50,18,FALSE)="","",VLOOKUP($B14,'6.คีย์ปลายภาค'!$C$6:$EI$50,18,FALSE))</f>
        <v/>
      </c>
      <c r="P14" s="230" t="str">
        <f>VLOOKUP($B14,'6.คีย์ปลายภาค'!$C$6:$EI$50,19,FALSE)</f>
        <v/>
      </c>
      <c r="Q14" s="230" t="str">
        <f>IF(VLOOKUP($B14,'6.คีย์ปลายภาค'!$C$6:$EI$50,23,FALSE)="","",VLOOKUP($B14,'6.คีย์ปลายภาค'!$C$6:$EI$50,23,FALSE))</f>
        <v/>
      </c>
      <c r="R14" s="230" t="str">
        <f>VLOOKUP($B14,'6.คีย์ปลายภาค'!$C$6:$EI$50,24,FALSE)</f>
        <v/>
      </c>
      <c r="S14" s="230" t="str">
        <f>IF(VLOOKUP($B14,'6.คีย์ปลายภาค'!$C$6:$EI$50,28,FALSE)="","",VLOOKUP($B14,'6.คีย์ปลายภาค'!$C$6:$EI$50,28,FALSE))</f>
        <v/>
      </c>
      <c r="T14" s="230" t="str">
        <f>VLOOKUP($B14,'6.คีย์ปลายภาค'!$C$6:$EI$50,29,FALSE)</f>
        <v/>
      </c>
      <c r="U14" s="230" t="str">
        <f>IF(VLOOKUP($B14,'6.คีย์ปลายภาค'!$C$6:$EI$50,33,FALSE)="","",VLOOKUP($B14,'6.คีย์ปลายภาค'!$C$6:$EI$50,33,FALSE))</f>
        <v/>
      </c>
      <c r="V14" s="230" t="str">
        <f>VLOOKUP($B14,'6.คีย์ปลายภาค'!$C$6:$EI$50,34,FALSE)</f>
        <v/>
      </c>
      <c r="W14" s="230" t="str">
        <f>IF(VLOOKUP($B14,'6.คีย์ปลายภาค'!$C$6:$EI$50,38,FALSE)="","",VLOOKUP($B14,'6.คีย์ปลายภาค'!$C$6:$EI$50,38,FALSE))</f>
        <v/>
      </c>
      <c r="X14" s="230" t="str">
        <f>VLOOKUP($B14,'6.คีย์ปลายภาค'!$C$6:$EI$50,39,FALSE)</f>
        <v/>
      </c>
      <c r="Y14" s="230" t="str">
        <f>IF(VLOOKUP($B14,'6.คีย์ปลายภาค'!$C$6:$EI$50,43,FALSE)="","",VLOOKUP($B14,'6.คีย์ปลายภาค'!$C$6:$EI$50,43,FALSE))</f>
        <v/>
      </c>
      <c r="Z14" s="230" t="str">
        <f>VLOOKUP($B14,'6.คีย์ปลายภาค'!$C$6:$EI$50,44,FALSE)</f>
        <v/>
      </c>
      <c r="AA14" s="230" t="str">
        <f>IF(VLOOKUP($B14,'6.คีย์ปลายภาค'!$C$6:$EI$50,48,FALSE)="","",VLOOKUP($B14,'6.คีย์ปลายภาค'!$C$6:$EI$50,48,FALSE))</f>
        <v/>
      </c>
      <c r="AB14" s="230" t="str">
        <f>VLOOKUP($B14,'6.คีย์ปลายภาค'!$C$6:$EI$50,49,FALSE)</f>
        <v/>
      </c>
      <c r="AC14" s="231" t="str">
        <f>IF(VLOOKUP($B14,'6.คีย์ปลายภาค'!$C$6:$EI$50,53,FALSE)="","",VLOOKUP($B14,'6.คีย์ปลายภาค'!$C$6:$EI$50,53,FALSE))</f>
        <v/>
      </c>
      <c r="AD14" s="231" t="str">
        <f>VLOOKUP($B14,'6.คีย์ปลายภาค'!$C$6:$EI$50,54,FALSE)</f>
        <v/>
      </c>
      <c r="AE14" s="231" t="str">
        <f>IF(VLOOKUP($B14,'6.คีย์ปลายภาค'!$C$6:$EI$50,58,FALSE)="","",VLOOKUP($B14,'6.คีย์ปลายภาค'!$C$6:$EI$50,58,FALSE))</f>
        <v/>
      </c>
      <c r="AF14" s="231" t="str">
        <f>VLOOKUP($B14,'6.คีย์ปลายภาค'!$C$6:$EI$50,59,FALSE)</f>
        <v/>
      </c>
      <c r="AG14" s="231" t="str">
        <f>IF(VLOOKUP($B14,'6.คีย์ปลายภาค'!$C$6:$EI$50,63,FALSE)="","",VLOOKUP($B14,'6.คีย์ปลายภาค'!$C$6:$EI$50,63,FALSE))</f>
        <v/>
      </c>
      <c r="AH14" s="232" t="str">
        <f>VLOOKUP($B14,'6.คีย์ปลายภาค'!$C$6:$EI$50,64,FALSE)</f>
        <v/>
      </c>
      <c r="AI14" s="31">
        <v>6</v>
      </c>
      <c r="AJ14" s="771" t="str">
        <f>IF(Name6="","",Name6)</f>
        <v/>
      </c>
      <c r="AK14" s="772"/>
      <c r="AL14" s="772"/>
      <c r="AM14" s="772"/>
      <c r="AN14" s="707" t="str">
        <f>IF(Surname6="","",Surname6)</f>
        <v/>
      </c>
      <c r="AO14" s="707"/>
      <c r="AP14" s="707"/>
      <c r="AQ14" s="707"/>
      <c r="AR14" s="234" t="str">
        <f>IF(VLOOKUP($B14,'6.คีย์ปลายภาค'!$C$6:$EI$50,68,FALSE)="","",VLOOKUP($B14,'6.คีย์ปลายภาค'!$C$6:$EI$50,68,FALSE))</f>
        <v/>
      </c>
      <c r="AS14" s="230" t="str">
        <f>VLOOKUP($B14,'6.คีย์ปลายภาค'!$C$6:$EI$50,69,FALSE)</f>
        <v/>
      </c>
      <c r="AT14" s="230" t="str">
        <f>IF(VLOOKUP($B14,'6.คีย์ปลายภาค'!$C$6:$EI$50,73,FALSE)="","",VLOOKUP($B14,'6.คีย์ปลายภาค'!$C$6:$EI$50,73,FALSE))</f>
        <v/>
      </c>
      <c r="AU14" s="230" t="str">
        <f>VLOOKUP($B14,'6.คีย์ปลายภาค'!$C$6:$EI$50,74,FALSE)</f>
        <v/>
      </c>
      <c r="AV14" s="230" t="str">
        <f>IF(VLOOKUP($B14,'6.คีย์ปลายภาค'!$C$6:$EI$50,78,FALSE)="","",VLOOKUP($B14,'6.คีย์ปลายภาค'!$C$6:$EI$50,78,FALSE))</f>
        <v/>
      </c>
      <c r="AW14" s="230" t="str">
        <f>VLOOKUP($B14,'6.คีย์ปลายภาค'!$C$6:$EI$50,79,FALSE)</f>
        <v/>
      </c>
      <c r="AX14" s="230" t="str">
        <f>IF(VLOOKUP($B14,'6.คีย์ปลายภาค'!$C$6:$EI$50,83,FALSE)="","",VLOOKUP($B14,'6.คีย์ปลายภาค'!$C$6:$EI$50,83,FALSE))</f>
        <v/>
      </c>
      <c r="AY14" s="230" t="str">
        <f>VLOOKUP($B14,'6.คีย์ปลายภาค'!$C$6:$EI$50,84,FALSE)</f>
        <v/>
      </c>
      <c r="AZ14" s="230" t="str">
        <f>IF(VLOOKUP($B14,'6.คีย์ปลายภาค'!$C$6:$EI$50,88,FALSE)="","",VLOOKUP($B14,'6.คีย์ปลายภาค'!$C$6:$EI$50,88,FALSE))</f>
        <v/>
      </c>
      <c r="BA14" s="230" t="str">
        <f>VLOOKUP($B14,'6.คีย์ปลายภาค'!$C$6:$EI$50,89,FALSE)</f>
        <v/>
      </c>
      <c r="BB14" s="230" t="str">
        <f>IF(VLOOKUP($B14,'6.คีย์ปลายภาค'!$C$6:$EI$50,93,FALSE)="","",VLOOKUP($B14,'6.คีย์ปลายภาค'!$C$6:$EI$50,93,FALSE))</f>
        <v/>
      </c>
      <c r="BC14" s="230" t="str">
        <f>VLOOKUP($B14,'6.คีย์ปลายภาค'!$C$6:$EI$50,94,FALSE)</f>
        <v/>
      </c>
      <c r="BD14" s="230" t="str">
        <f>IF(VLOOKUP($B14,'6.คีย์ปลายภาค'!$C$6:$EI$50,98,FALSE)="","",VLOOKUP($B14,'6.คีย์ปลายภาค'!$C$6:$EI$50,98,FALSE))</f>
        <v/>
      </c>
      <c r="BE14" s="230" t="str">
        <f>VLOOKUP($B14,'6.คีย์ปลายภาค'!$C$6:$EI$50,99,FALSE)</f>
        <v/>
      </c>
      <c r="BF14" s="230" t="str">
        <f>IF(VLOOKUP($B14,'6.คีย์ปลายภาค'!$C$6:$EI$50,103,FALSE)="","",VLOOKUP($B14,'6.คีย์ปลายภาค'!$C$6:$EI$50,103,FALSE))</f>
        <v/>
      </c>
      <c r="BG14" s="230" t="str">
        <f>VLOOKUP($B14,'6.คีย์ปลายภาค'!$C$6:$EI$50,104,FALSE)</f>
        <v/>
      </c>
      <c r="BH14" s="230" t="str">
        <f>IF(VLOOKUP($B14,'6.คีย์ปลายภาค'!$C$6:$EI$50,108,FALSE)="","",VLOOKUP($B14,'6.คีย์ปลายภาค'!$C$6:$EI$50,108,FALSE))</f>
        <v/>
      </c>
      <c r="BI14" s="230" t="str">
        <f>VLOOKUP($B14,'6.คีย์ปลายภาค'!$C$6:$EI$50,109,FALSE)</f>
        <v/>
      </c>
      <c r="BJ14" s="230" t="str">
        <f>IF(VLOOKUP($B14,'6.คีย์ปลายภาค'!$C$6:$EI$50,113,FALSE)="","",VLOOKUP($B14,'6.คีย์ปลายภาค'!$C$6:$EI$50,113,FALSE))</f>
        <v/>
      </c>
      <c r="BK14" s="230" t="str">
        <f>VLOOKUP($B14,'6.คีย์ปลายภาค'!$C$6:$EI$50,114,FALSE)</f>
        <v/>
      </c>
      <c r="BL14" s="230" t="str">
        <f>IF(VLOOKUP($B14,'6.คีย์ปลายภาค'!$C$6:$EI$50,118,FALSE)="","",VLOOKUP($B14,'6.คีย์ปลายภาค'!$C$6:$EI$50,118,FALSE))</f>
        <v/>
      </c>
      <c r="BM14" s="230" t="str">
        <f>VLOOKUP($B14,'6.คีย์ปลายภาค'!$C$6:$EI$50,119,FALSE)</f>
        <v/>
      </c>
      <c r="BN14" s="230" t="str">
        <f>IF(VLOOKUP($B14,'6.คีย์ปลายภาค'!$C$6:$EI$50,123,FALSE)="","",VLOOKUP($B14,'6.คีย์ปลายภาค'!$C$6:$EI$50,123,FALSE))</f>
        <v/>
      </c>
      <c r="BO14" s="230" t="str">
        <f>VLOOKUP($B14,'6.คีย์ปลายภาค'!$C$6:$EI$50,124,FALSE)</f>
        <v/>
      </c>
      <c r="BP14" s="230" t="str">
        <f>IF(VLOOKUP($B14,'6.คีย์ปลายภาค'!$C$6:$EI$50,128,FALSE)="","",VLOOKUP($B14,'6.คีย์ปลายภาค'!$C$6:$EI$50,128,FALSE))</f>
        <v/>
      </c>
      <c r="BQ14" s="232" t="str">
        <f>VLOOKUP($B14,'6.คีย์ปลายภาค'!$C$6:$EI$50,129,FALSE)</f>
        <v/>
      </c>
      <c r="BR14" s="550" t="str">
        <f>IF(L14="","",IF('2.ชื่อนักเรียน'!R16="มส","",IF('2.ชื่อนักเรียน'!R16="ย้าย","",IF('2.ชื่อนักเรียน'!R16="ร","",SUM(BT14:CR14)/13.5))))</f>
        <v/>
      </c>
      <c r="BS14" s="520" t="str">
        <f>IF('2.ชื่อนักเรียน'!R16="มส","มส",IF('2.ชื่อนักเรียน'!R16="ย้าย","ย้าย",IF('2.ชื่อนักเรียน'!R16="ร","ร",IF(BR14="","",RANK(BR14,$BR$9:$BR$53,0)))))</f>
        <v/>
      </c>
      <c r="BT14" s="118" t="str">
        <f t="shared" si="0"/>
        <v/>
      </c>
      <c r="BU14" s="119" t="str">
        <f t="shared" si="1"/>
        <v/>
      </c>
      <c r="BV14" s="119" t="str">
        <f t="shared" si="2"/>
        <v/>
      </c>
      <c r="BW14" s="110" t="str">
        <f t="shared" si="3"/>
        <v/>
      </c>
      <c r="BX14" s="119" t="str">
        <f t="shared" si="4"/>
        <v/>
      </c>
      <c r="BY14" s="119" t="str">
        <f t="shared" si="5"/>
        <v/>
      </c>
      <c r="BZ14" s="119" t="str">
        <f t="shared" si="6"/>
        <v/>
      </c>
      <c r="CA14" s="119" t="str">
        <f t="shared" si="7"/>
        <v/>
      </c>
      <c r="CB14" s="110" t="str">
        <f t="shared" si="8"/>
        <v/>
      </c>
      <c r="CC14" s="151" t="str">
        <f t="shared" si="9"/>
        <v/>
      </c>
      <c r="CD14" s="151" t="str">
        <f t="shared" si="10"/>
        <v/>
      </c>
      <c r="CE14" s="111" t="str">
        <f t="shared" si="11"/>
        <v/>
      </c>
      <c r="CF14" s="118" t="str">
        <f t="shared" si="12"/>
        <v/>
      </c>
      <c r="CG14" s="119" t="str">
        <f t="shared" si="13"/>
        <v/>
      </c>
      <c r="CH14" s="119" t="str">
        <f t="shared" si="14"/>
        <v/>
      </c>
      <c r="CI14" s="119" t="str">
        <f t="shared" si="15"/>
        <v/>
      </c>
      <c r="CJ14" s="110" t="str">
        <f t="shared" si="16"/>
        <v/>
      </c>
      <c r="CK14" s="110" t="str">
        <f t="shared" si="17"/>
        <v/>
      </c>
      <c r="CL14" s="119" t="str">
        <f t="shared" si="18"/>
        <v/>
      </c>
      <c r="CM14" s="119" t="str">
        <f t="shared" si="19"/>
        <v/>
      </c>
      <c r="CN14" s="120" t="str">
        <f t="shared" si="20"/>
        <v/>
      </c>
      <c r="CO14" s="119" t="str">
        <f t="shared" si="21"/>
        <v/>
      </c>
      <c r="CP14" s="120" t="str">
        <f t="shared" si="22"/>
        <v/>
      </c>
      <c r="CQ14" s="111" t="str">
        <f t="shared" si="23"/>
        <v/>
      </c>
      <c r="CR14" s="494" t="str">
        <f t="shared" si="24"/>
        <v/>
      </c>
      <c r="CS14" s="148">
        <f t="shared" si="25"/>
        <v>0</v>
      </c>
      <c r="CT14" s="21">
        <f>IF('2.ชื่อนักเรียน'!AP16="มส","มส",IF('2.ชื่อนักเรียน'!AP16="ย้าย","ย้าย",IF('2.ชื่อนักเรียน'!AP16="ร","ร",IF(CS14="","",RANK(CS14,$CS$9:$CS$53,0)))))</f>
        <v>1</v>
      </c>
      <c r="CU14" s="732"/>
      <c r="CV14" s="733"/>
      <c r="CW14" s="733"/>
      <c r="CX14" s="733"/>
      <c r="CY14" s="733"/>
    </row>
    <row r="15" spans="1:103" s="29" customFormat="1" ht="18.75" customHeight="1" x14ac:dyDescent="0.25">
      <c r="A15" s="234">
        <v>7</v>
      </c>
      <c r="B15" s="512" t="str">
        <f>IF(IDstu7="","",IDstu7)</f>
        <v/>
      </c>
      <c r="C15" s="771" t="str">
        <f>IF(Name7="","",Name7)</f>
        <v/>
      </c>
      <c r="D15" s="772"/>
      <c r="E15" s="772"/>
      <c r="F15" s="772"/>
      <c r="G15" s="767" t="str">
        <f>IF(Surname7="","",Surname7)</f>
        <v/>
      </c>
      <c r="H15" s="767"/>
      <c r="I15" s="767"/>
      <c r="J15" s="767"/>
      <c r="K15" s="234" t="str">
        <f>IF(VLOOKUP($B15,'6.คีย์ปลายภาค'!$C$6:$EI$50,8,FALSE)="","",VLOOKUP($B15,'6.คีย์ปลายภาค'!$C$6:$EI$50,8,FALSE))</f>
        <v/>
      </c>
      <c r="L15" s="229" t="str">
        <f>VLOOKUP($B15,'6.คีย์ปลายภาค'!$C$6:$EI$50,9,FALSE)</f>
        <v/>
      </c>
      <c r="M15" s="229" t="str">
        <f>IF(VLOOKUP($B15,'6.คีย์ปลายภาค'!$C$6:$EI$50,13,FALSE)="","",VLOOKUP($B15,'6.คีย์ปลายภาค'!$C$6:$EI$50,13,FALSE))</f>
        <v/>
      </c>
      <c r="N15" s="230" t="str">
        <f>VLOOKUP($B15,'6.คีย์ปลายภาค'!$C$6:$EI$50,14,FALSE)</f>
        <v/>
      </c>
      <c r="O15" s="230" t="str">
        <f>IF(VLOOKUP($B15,'6.คีย์ปลายภาค'!$C$6:$EI$50,18,FALSE)="","",VLOOKUP($B15,'6.คีย์ปลายภาค'!$C$6:$EI$50,18,FALSE))</f>
        <v/>
      </c>
      <c r="P15" s="230" t="str">
        <f>VLOOKUP($B15,'6.คีย์ปลายภาค'!$C$6:$EI$50,19,FALSE)</f>
        <v/>
      </c>
      <c r="Q15" s="230" t="str">
        <f>IF(VLOOKUP($B15,'6.คีย์ปลายภาค'!$C$6:$EI$50,23,FALSE)="","",VLOOKUP($B15,'6.คีย์ปลายภาค'!$C$6:$EI$50,23,FALSE))</f>
        <v/>
      </c>
      <c r="R15" s="230" t="str">
        <f>VLOOKUP($B15,'6.คีย์ปลายภาค'!$C$6:$EI$50,24,FALSE)</f>
        <v/>
      </c>
      <c r="S15" s="230" t="str">
        <f>IF(VLOOKUP($B15,'6.คีย์ปลายภาค'!$C$6:$EI$50,28,FALSE)="","",VLOOKUP($B15,'6.คีย์ปลายภาค'!$C$6:$EI$50,28,FALSE))</f>
        <v/>
      </c>
      <c r="T15" s="230" t="str">
        <f>VLOOKUP($B15,'6.คีย์ปลายภาค'!$C$6:$EI$50,29,FALSE)</f>
        <v/>
      </c>
      <c r="U15" s="230" t="str">
        <f>IF(VLOOKUP($B15,'6.คีย์ปลายภาค'!$C$6:$EI$50,33,FALSE)="","",VLOOKUP($B15,'6.คีย์ปลายภาค'!$C$6:$EI$50,33,FALSE))</f>
        <v/>
      </c>
      <c r="V15" s="230" t="str">
        <f>VLOOKUP($B15,'6.คีย์ปลายภาค'!$C$6:$EI$50,34,FALSE)</f>
        <v/>
      </c>
      <c r="W15" s="230" t="str">
        <f>IF(VLOOKUP($B15,'6.คีย์ปลายภาค'!$C$6:$EI$50,38,FALSE)="","",VLOOKUP($B15,'6.คีย์ปลายภาค'!$C$6:$EI$50,38,FALSE))</f>
        <v/>
      </c>
      <c r="X15" s="230" t="str">
        <f>VLOOKUP($B15,'6.คีย์ปลายภาค'!$C$6:$EI$50,39,FALSE)</f>
        <v/>
      </c>
      <c r="Y15" s="230" t="str">
        <f>IF(VLOOKUP($B15,'6.คีย์ปลายภาค'!$C$6:$EI$50,43,FALSE)="","",VLOOKUP($B15,'6.คีย์ปลายภาค'!$C$6:$EI$50,43,FALSE))</f>
        <v/>
      </c>
      <c r="Z15" s="230" t="str">
        <f>VLOOKUP($B15,'6.คีย์ปลายภาค'!$C$6:$EI$50,44,FALSE)</f>
        <v/>
      </c>
      <c r="AA15" s="230" t="str">
        <f>IF(VLOOKUP($B15,'6.คีย์ปลายภาค'!$C$6:$EI$50,48,FALSE)="","",VLOOKUP($B15,'6.คีย์ปลายภาค'!$C$6:$EI$50,48,FALSE))</f>
        <v/>
      </c>
      <c r="AB15" s="230" t="str">
        <f>VLOOKUP($B15,'6.คีย์ปลายภาค'!$C$6:$EI$50,49,FALSE)</f>
        <v/>
      </c>
      <c r="AC15" s="231" t="str">
        <f>IF(VLOOKUP($B15,'6.คีย์ปลายภาค'!$C$6:$EI$50,53,FALSE)="","",VLOOKUP($B15,'6.คีย์ปลายภาค'!$C$6:$EI$50,53,FALSE))</f>
        <v/>
      </c>
      <c r="AD15" s="231" t="str">
        <f>VLOOKUP($B15,'6.คีย์ปลายภาค'!$C$6:$EI$50,54,FALSE)</f>
        <v/>
      </c>
      <c r="AE15" s="231" t="str">
        <f>IF(VLOOKUP($B15,'6.คีย์ปลายภาค'!$C$6:$EI$50,58,FALSE)="","",VLOOKUP($B15,'6.คีย์ปลายภาค'!$C$6:$EI$50,58,FALSE))</f>
        <v/>
      </c>
      <c r="AF15" s="231" t="str">
        <f>VLOOKUP($B15,'6.คีย์ปลายภาค'!$C$6:$EI$50,59,FALSE)</f>
        <v/>
      </c>
      <c r="AG15" s="231" t="str">
        <f>IF(VLOOKUP($B15,'6.คีย์ปลายภาค'!$C$6:$EI$50,63,FALSE)="","",VLOOKUP($B15,'6.คีย์ปลายภาค'!$C$6:$EI$50,63,FALSE))</f>
        <v/>
      </c>
      <c r="AH15" s="232" t="str">
        <f>VLOOKUP($B15,'6.คีย์ปลายภาค'!$C$6:$EI$50,64,FALSE)</f>
        <v/>
      </c>
      <c r="AI15" s="31">
        <v>7</v>
      </c>
      <c r="AJ15" s="771" t="str">
        <f>IF(Name7="","",Name7)</f>
        <v/>
      </c>
      <c r="AK15" s="772"/>
      <c r="AL15" s="772"/>
      <c r="AM15" s="772"/>
      <c r="AN15" s="767" t="str">
        <f>IF(Surname7="","",Surname7)</f>
        <v/>
      </c>
      <c r="AO15" s="767"/>
      <c r="AP15" s="767"/>
      <c r="AQ15" s="767"/>
      <c r="AR15" s="234" t="str">
        <f>IF(VLOOKUP($B15,'6.คีย์ปลายภาค'!$C$6:$EI$50,68,FALSE)="","",VLOOKUP($B15,'6.คีย์ปลายภาค'!$C$6:$EI$50,68,FALSE))</f>
        <v/>
      </c>
      <c r="AS15" s="230" t="str">
        <f>VLOOKUP($B15,'6.คีย์ปลายภาค'!$C$6:$EI$50,69,FALSE)</f>
        <v/>
      </c>
      <c r="AT15" s="230" t="str">
        <f>IF(VLOOKUP($B15,'6.คีย์ปลายภาค'!$C$6:$EI$50,73,FALSE)="","",VLOOKUP($B15,'6.คีย์ปลายภาค'!$C$6:$EI$50,73,FALSE))</f>
        <v/>
      </c>
      <c r="AU15" s="230" t="str">
        <f>VLOOKUP($B15,'6.คีย์ปลายภาค'!$C$6:$EI$50,74,FALSE)</f>
        <v/>
      </c>
      <c r="AV15" s="230" t="str">
        <f>IF(VLOOKUP($B15,'6.คีย์ปลายภาค'!$C$6:$EI$50,78,FALSE)="","",VLOOKUP($B15,'6.คีย์ปลายภาค'!$C$6:$EI$50,78,FALSE))</f>
        <v/>
      </c>
      <c r="AW15" s="230" t="str">
        <f>VLOOKUP($B15,'6.คีย์ปลายภาค'!$C$6:$EI$50,79,FALSE)</f>
        <v/>
      </c>
      <c r="AX15" s="230" t="str">
        <f>IF(VLOOKUP($B15,'6.คีย์ปลายภาค'!$C$6:$EI$50,83,FALSE)="","",VLOOKUP($B15,'6.คีย์ปลายภาค'!$C$6:$EI$50,83,FALSE))</f>
        <v/>
      </c>
      <c r="AY15" s="230" t="str">
        <f>VLOOKUP($B15,'6.คีย์ปลายภาค'!$C$6:$EI$50,84,FALSE)</f>
        <v/>
      </c>
      <c r="AZ15" s="230" t="str">
        <f>IF(VLOOKUP($B15,'6.คีย์ปลายภาค'!$C$6:$EI$50,88,FALSE)="","",VLOOKUP($B15,'6.คีย์ปลายภาค'!$C$6:$EI$50,88,FALSE))</f>
        <v/>
      </c>
      <c r="BA15" s="230" t="str">
        <f>VLOOKUP($B15,'6.คีย์ปลายภาค'!$C$6:$EI$50,89,FALSE)</f>
        <v/>
      </c>
      <c r="BB15" s="230" t="str">
        <f>IF(VLOOKUP($B15,'6.คีย์ปลายภาค'!$C$6:$EI$50,93,FALSE)="","",VLOOKUP($B15,'6.คีย์ปลายภาค'!$C$6:$EI$50,93,FALSE))</f>
        <v/>
      </c>
      <c r="BC15" s="230" t="str">
        <f>VLOOKUP($B15,'6.คีย์ปลายภาค'!$C$6:$EI$50,94,FALSE)</f>
        <v/>
      </c>
      <c r="BD15" s="230" t="str">
        <f>IF(VLOOKUP($B15,'6.คีย์ปลายภาค'!$C$6:$EI$50,98,FALSE)="","",VLOOKUP($B15,'6.คีย์ปลายภาค'!$C$6:$EI$50,98,FALSE))</f>
        <v/>
      </c>
      <c r="BE15" s="230" t="str">
        <f>VLOOKUP($B15,'6.คีย์ปลายภาค'!$C$6:$EI$50,99,FALSE)</f>
        <v/>
      </c>
      <c r="BF15" s="230" t="str">
        <f>IF(VLOOKUP($B15,'6.คีย์ปลายภาค'!$C$6:$EI$50,103,FALSE)="","",VLOOKUP($B15,'6.คีย์ปลายภาค'!$C$6:$EI$50,103,FALSE))</f>
        <v/>
      </c>
      <c r="BG15" s="230" t="str">
        <f>VLOOKUP($B15,'6.คีย์ปลายภาค'!$C$6:$EI$50,104,FALSE)</f>
        <v/>
      </c>
      <c r="BH15" s="230" t="str">
        <f>IF(VLOOKUP($B15,'6.คีย์ปลายภาค'!$C$6:$EI$50,108,FALSE)="","",VLOOKUP($B15,'6.คีย์ปลายภาค'!$C$6:$EI$50,108,FALSE))</f>
        <v/>
      </c>
      <c r="BI15" s="230" t="str">
        <f>VLOOKUP($B15,'6.คีย์ปลายภาค'!$C$6:$EI$50,109,FALSE)</f>
        <v/>
      </c>
      <c r="BJ15" s="230" t="str">
        <f>IF(VLOOKUP($B15,'6.คีย์ปลายภาค'!$C$6:$EI$50,113,FALSE)="","",VLOOKUP($B15,'6.คีย์ปลายภาค'!$C$6:$EI$50,113,FALSE))</f>
        <v/>
      </c>
      <c r="BK15" s="230" t="str">
        <f>VLOOKUP($B15,'6.คีย์ปลายภาค'!$C$6:$EI$50,114,FALSE)</f>
        <v/>
      </c>
      <c r="BL15" s="230" t="str">
        <f>IF(VLOOKUP($B15,'6.คีย์ปลายภาค'!$C$6:$EI$50,118,FALSE)="","",VLOOKUP($B15,'6.คีย์ปลายภาค'!$C$6:$EI$50,118,FALSE))</f>
        <v/>
      </c>
      <c r="BM15" s="230" t="str">
        <f>VLOOKUP($B15,'6.คีย์ปลายภาค'!$C$6:$EI$50,119,FALSE)</f>
        <v/>
      </c>
      <c r="BN15" s="230" t="str">
        <f>IF(VLOOKUP($B15,'6.คีย์ปลายภาค'!$C$6:$EI$50,123,FALSE)="","",VLOOKUP($B15,'6.คีย์ปลายภาค'!$C$6:$EI$50,123,FALSE))</f>
        <v/>
      </c>
      <c r="BO15" s="230" t="str">
        <f>VLOOKUP($B15,'6.คีย์ปลายภาค'!$C$6:$EI$50,124,FALSE)</f>
        <v/>
      </c>
      <c r="BP15" s="230" t="str">
        <f>IF(VLOOKUP($B15,'6.คีย์ปลายภาค'!$C$6:$EI$50,128,FALSE)="","",VLOOKUP($B15,'6.คีย์ปลายภาค'!$C$6:$EI$50,128,FALSE))</f>
        <v/>
      </c>
      <c r="BQ15" s="232" t="str">
        <f>VLOOKUP($B15,'6.คีย์ปลายภาค'!$C$6:$EI$50,129,FALSE)</f>
        <v/>
      </c>
      <c r="BR15" s="550" t="str">
        <f>IF(L15="","",IF('2.ชื่อนักเรียน'!R17="มส","",IF('2.ชื่อนักเรียน'!R17="ย้าย","",IF('2.ชื่อนักเรียน'!R17="ร","",SUM(BT15:CR15)/13.5))))</f>
        <v/>
      </c>
      <c r="BS15" s="520" t="str">
        <f>IF('2.ชื่อนักเรียน'!R17="มส","มส",IF('2.ชื่อนักเรียน'!R17="ย้าย","ย้าย",IF('2.ชื่อนักเรียน'!R17="ร","ร",IF(BR15="","",RANK(BR15,$BR$9:$BR$53,0)))))</f>
        <v/>
      </c>
      <c r="BT15" s="118" t="str">
        <f t="shared" si="0"/>
        <v/>
      </c>
      <c r="BU15" s="119" t="str">
        <f t="shared" si="1"/>
        <v/>
      </c>
      <c r="BV15" s="119" t="str">
        <f t="shared" si="2"/>
        <v/>
      </c>
      <c r="BW15" s="110" t="str">
        <f t="shared" si="3"/>
        <v/>
      </c>
      <c r="BX15" s="119" t="str">
        <f t="shared" si="4"/>
        <v/>
      </c>
      <c r="BY15" s="119" t="str">
        <f t="shared" si="5"/>
        <v/>
      </c>
      <c r="BZ15" s="119" t="str">
        <f t="shared" si="6"/>
        <v/>
      </c>
      <c r="CA15" s="119" t="str">
        <f t="shared" si="7"/>
        <v/>
      </c>
      <c r="CB15" s="110" t="str">
        <f t="shared" si="8"/>
        <v/>
      </c>
      <c r="CC15" s="151" t="str">
        <f t="shared" si="9"/>
        <v/>
      </c>
      <c r="CD15" s="151" t="str">
        <f t="shared" si="10"/>
        <v/>
      </c>
      <c r="CE15" s="111" t="str">
        <f t="shared" si="11"/>
        <v/>
      </c>
      <c r="CF15" s="118" t="str">
        <f t="shared" si="12"/>
        <v/>
      </c>
      <c r="CG15" s="119" t="str">
        <f t="shared" si="13"/>
        <v/>
      </c>
      <c r="CH15" s="119" t="str">
        <f t="shared" si="14"/>
        <v/>
      </c>
      <c r="CI15" s="119" t="str">
        <f t="shared" si="15"/>
        <v/>
      </c>
      <c r="CJ15" s="110" t="str">
        <f t="shared" si="16"/>
        <v/>
      </c>
      <c r="CK15" s="110" t="str">
        <f t="shared" si="17"/>
        <v/>
      </c>
      <c r="CL15" s="119" t="str">
        <f t="shared" si="18"/>
        <v/>
      </c>
      <c r="CM15" s="119" t="str">
        <f t="shared" si="19"/>
        <v/>
      </c>
      <c r="CN15" s="120" t="str">
        <f t="shared" si="20"/>
        <v/>
      </c>
      <c r="CO15" s="119" t="str">
        <f t="shared" si="21"/>
        <v/>
      </c>
      <c r="CP15" s="120" t="str">
        <f t="shared" si="22"/>
        <v/>
      </c>
      <c r="CQ15" s="111" t="str">
        <f t="shared" si="23"/>
        <v/>
      </c>
      <c r="CR15" s="494" t="str">
        <f t="shared" si="24"/>
        <v/>
      </c>
      <c r="CS15" s="148">
        <f t="shared" si="25"/>
        <v>0</v>
      </c>
      <c r="CT15" s="21">
        <f>IF('2.ชื่อนักเรียน'!AP17="มส","มส",IF('2.ชื่อนักเรียน'!AP17="ย้าย","ย้าย",IF('2.ชื่อนักเรียน'!AP17="ร","ร",IF(CS15="","",RANK(CS15,$CS$9:$CS$53,0)))))</f>
        <v>1</v>
      </c>
      <c r="CU15" s="732"/>
      <c r="CV15" s="733"/>
      <c r="CW15" s="733"/>
      <c r="CX15" s="733"/>
      <c r="CY15" s="733"/>
    </row>
    <row r="16" spans="1:103" s="29" customFormat="1" ht="18.75" customHeight="1" x14ac:dyDescent="0.25">
      <c r="A16" s="234">
        <v>8</v>
      </c>
      <c r="B16" s="512" t="str">
        <f>IF(IDstu8="","",IDstu8)</f>
        <v/>
      </c>
      <c r="C16" s="771" t="str">
        <f>IF(Name8="","",Name8)</f>
        <v/>
      </c>
      <c r="D16" s="772"/>
      <c r="E16" s="772"/>
      <c r="F16" s="772"/>
      <c r="G16" s="767" t="str">
        <f>IF(Surname8="","",Surname8)</f>
        <v/>
      </c>
      <c r="H16" s="767"/>
      <c r="I16" s="767"/>
      <c r="J16" s="767"/>
      <c r="K16" s="234" t="str">
        <f>IF(VLOOKUP($B16,'6.คีย์ปลายภาค'!$C$6:$EI$50,8,FALSE)="","",VLOOKUP($B16,'6.คีย์ปลายภาค'!$C$6:$EI$50,8,FALSE))</f>
        <v/>
      </c>
      <c r="L16" s="229" t="str">
        <f>VLOOKUP($B16,'6.คีย์ปลายภาค'!$C$6:$EI$50,9,FALSE)</f>
        <v/>
      </c>
      <c r="M16" s="229" t="str">
        <f>IF(VLOOKUP($B16,'6.คีย์ปลายภาค'!$C$6:$EI$50,13,FALSE)="","",VLOOKUP($B16,'6.คีย์ปลายภาค'!$C$6:$EI$50,13,FALSE))</f>
        <v/>
      </c>
      <c r="N16" s="230" t="str">
        <f>VLOOKUP($B16,'6.คีย์ปลายภาค'!$C$6:$EI$50,14,FALSE)</f>
        <v/>
      </c>
      <c r="O16" s="230" t="str">
        <f>IF(VLOOKUP($B16,'6.คีย์ปลายภาค'!$C$6:$EI$50,18,FALSE)="","",VLOOKUP($B16,'6.คีย์ปลายภาค'!$C$6:$EI$50,18,FALSE))</f>
        <v/>
      </c>
      <c r="P16" s="230" t="str">
        <f>VLOOKUP($B16,'6.คีย์ปลายภาค'!$C$6:$EI$50,19,FALSE)</f>
        <v/>
      </c>
      <c r="Q16" s="230" t="str">
        <f>IF(VLOOKUP($B16,'6.คีย์ปลายภาค'!$C$6:$EI$50,23,FALSE)="","",VLOOKUP($B16,'6.คีย์ปลายภาค'!$C$6:$EI$50,23,FALSE))</f>
        <v/>
      </c>
      <c r="R16" s="230" t="str">
        <f>VLOOKUP($B16,'6.คีย์ปลายภาค'!$C$6:$EI$50,24,FALSE)</f>
        <v/>
      </c>
      <c r="S16" s="230" t="str">
        <f>IF(VLOOKUP($B16,'6.คีย์ปลายภาค'!$C$6:$EI$50,28,FALSE)="","",VLOOKUP($B16,'6.คีย์ปลายภาค'!$C$6:$EI$50,28,FALSE))</f>
        <v/>
      </c>
      <c r="T16" s="230" t="str">
        <f>VLOOKUP($B16,'6.คีย์ปลายภาค'!$C$6:$EI$50,29,FALSE)</f>
        <v/>
      </c>
      <c r="U16" s="230" t="str">
        <f>IF(VLOOKUP($B16,'6.คีย์ปลายภาค'!$C$6:$EI$50,33,FALSE)="","",VLOOKUP($B16,'6.คีย์ปลายภาค'!$C$6:$EI$50,33,FALSE))</f>
        <v/>
      </c>
      <c r="V16" s="230" t="str">
        <f>VLOOKUP($B16,'6.คีย์ปลายภาค'!$C$6:$EI$50,34,FALSE)</f>
        <v/>
      </c>
      <c r="W16" s="230" t="str">
        <f>IF(VLOOKUP($B16,'6.คีย์ปลายภาค'!$C$6:$EI$50,38,FALSE)="","",VLOOKUP($B16,'6.คีย์ปลายภาค'!$C$6:$EI$50,38,FALSE))</f>
        <v/>
      </c>
      <c r="X16" s="230" t="str">
        <f>VLOOKUP($B16,'6.คีย์ปลายภาค'!$C$6:$EI$50,39,FALSE)</f>
        <v/>
      </c>
      <c r="Y16" s="230" t="str">
        <f>IF(VLOOKUP($B16,'6.คีย์ปลายภาค'!$C$6:$EI$50,43,FALSE)="","",VLOOKUP($B16,'6.คีย์ปลายภาค'!$C$6:$EI$50,43,FALSE))</f>
        <v/>
      </c>
      <c r="Z16" s="230" t="str">
        <f>VLOOKUP($B16,'6.คีย์ปลายภาค'!$C$6:$EI$50,44,FALSE)</f>
        <v/>
      </c>
      <c r="AA16" s="230" t="str">
        <f>IF(VLOOKUP($B16,'6.คีย์ปลายภาค'!$C$6:$EI$50,48,FALSE)="","",VLOOKUP($B16,'6.คีย์ปลายภาค'!$C$6:$EI$50,48,FALSE))</f>
        <v/>
      </c>
      <c r="AB16" s="230" t="str">
        <f>VLOOKUP($B16,'6.คีย์ปลายภาค'!$C$6:$EI$50,49,FALSE)</f>
        <v/>
      </c>
      <c r="AC16" s="231" t="str">
        <f>IF(VLOOKUP($B16,'6.คีย์ปลายภาค'!$C$6:$EI$50,53,FALSE)="","",VLOOKUP($B16,'6.คีย์ปลายภาค'!$C$6:$EI$50,53,FALSE))</f>
        <v/>
      </c>
      <c r="AD16" s="231" t="str">
        <f>VLOOKUP($B16,'6.คีย์ปลายภาค'!$C$6:$EI$50,54,FALSE)</f>
        <v/>
      </c>
      <c r="AE16" s="231" t="str">
        <f>IF(VLOOKUP($B16,'6.คีย์ปลายภาค'!$C$6:$EI$50,58,FALSE)="","",VLOOKUP($B16,'6.คีย์ปลายภาค'!$C$6:$EI$50,58,FALSE))</f>
        <v/>
      </c>
      <c r="AF16" s="231" t="str">
        <f>VLOOKUP($B16,'6.คีย์ปลายภาค'!$C$6:$EI$50,59,FALSE)</f>
        <v/>
      </c>
      <c r="AG16" s="231" t="str">
        <f>IF(VLOOKUP($B16,'6.คีย์ปลายภาค'!$C$6:$EI$50,63,FALSE)="","",VLOOKUP($B16,'6.คีย์ปลายภาค'!$C$6:$EI$50,63,FALSE))</f>
        <v/>
      </c>
      <c r="AH16" s="232" t="str">
        <f>VLOOKUP($B16,'6.คีย์ปลายภาค'!$C$6:$EI$50,64,FALSE)</f>
        <v/>
      </c>
      <c r="AI16" s="31">
        <v>8</v>
      </c>
      <c r="AJ16" s="771" t="str">
        <f>IF(Name8="","",Name8)</f>
        <v/>
      </c>
      <c r="AK16" s="772"/>
      <c r="AL16" s="772"/>
      <c r="AM16" s="772"/>
      <c r="AN16" s="767" t="str">
        <f>IF(Surname8="","",Surname8)</f>
        <v/>
      </c>
      <c r="AO16" s="767"/>
      <c r="AP16" s="767"/>
      <c r="AQ16" s="767"/>
      <c r="AR16" s="234" t="str">
        <f>IF(VLOOKUP($B16,'6.คีย์ปลายภาค'!$C$6:$EI$50,68,FALSE)="","",VLOOKUP($B16,'6.คีย์ปลายภาค'!$C$6:$EI$50,68,FALSE))</f>
        <v/>
      </c>
      <c r="AS16" s="230" t="str">
        <f>VLOOKUP($B16,'6.คีย์ปลายภาค'!$C$6:$EI$50,69,FALSE)</f>
        <v/>
      </c>
      <c r="AT16" s="230" t="str">
        <f>IF(VLOOKUP($B16,'6.คีย์ปลายภาค'!$C$6:$EI$50,73,FALSE)="","",VLOOKUP($B16,'6.คีย์ปลายภาค'!$C$6:$EI$50,73,FALSE))</f>
        <v/>
      </c>
      <c r="AU16" s="230" t="str">
        <f>VLOOKUP($B16,'6.คีย์ปลายภาค'!$C$6:$EI$50,74,FALSE)</f>
        <v/>
      </c>
      <c r="AV16" s="230" t="str">
        <f>IF(VLOOKUP($B16,'6.คีย์ปลายภาค'!$C$6:$EI$50,78,FALSE)="","",VLOOKUP($B16,'6.คีย์ปลายภาค'!$C$6:$EI$50,78,FALSE))</f>
        <v/>
      </c>
      <c r="AW16" s="230" t="str">
        <f>VLOOKUP($B16,'6.คีย์ปลายภาค'!$C$6:$EI$50,79,FALSE)</f>
        <v/>
      </c>
      <c r="AX16" s="230" t="str">
        <f>IF(VLOOKUP($B16,'6.คีย์ปลายภาค'!$C$6:$EI$50,83,FALSE)="","",VLOOKUP($B16,'6.คีย์ปลายภาค'!$C$6:$EI$50,83,FALSE))</f>
        <v/>
      </c>
      <c r="AY16" s="230" t="str">
        <f>VLOOKUP($B16,'6.คีย์ปลายภาค'!$C$6:$EI$50,84,FALSE)</f>
        <v/>
      </c>
      <c r="AZ16" s="230" t="str">
        <f>IF(VLOOKUP($B16,'6.คีย์ปลายภาค'!$C$6:$EI$50,88,FALSE)="","",VLOOKUP($B16,'6.คีย์ปลายภาค'!$C$6:$EI$50,88,FALSE))</f>
        <v/>
      </c>
      <c r="BA16" s="230" t="str">
        <f>VLOOKUP($B16,'6.คีย์ปลายภาค'!$C$6:$EI$50,89,FALSE)</f>
        <v/>
      </c>
      <c r="BB16" s="230" t="str">
        <f>IF(VLOOKUP($B16,'6.คีย์ปลายภาค'!$C$6:$EI$50,93,FALSE)="","",VLOOKUP($B16,'6.คีย์ปลายภาค'!$C$6:$EI$50,93,FALSE))</f>
        <v/>
      </c>
      <c r="BC16" s="230" t="str">
        <f>VLOOKUP($B16,'6.คีย์ปลายภาค'!$C$6:$EI$50,94,FALSE)</f>
        <v/>
      </c>
      <c r="BD16" s="230" t="str">
        <f>IF(VLOOKUP($B16,'6.คีย์ปลายภาค'!$C$6:$EI$50,98,FALSE)="","",VLOOKUP($B16,'6.คีย์ปลายภาค'!$C$6:$EI$50,98,FALSE))</f>
        <v/>
      </c>
      <c r="BE16" s="230" t="str">
        <f>VLOOKUP($B16,'6.คีย์ปลายภาค'!$C$6:$EI$50,99,FALSE)</f>
        <v/>
      </c>
      <c r="BF16" s="230" t="str">
        <f>IF(VLOOKUP($B16,'6.คีย์ปลายภาค'!$C$6:$EI$50,103,FALSE)="","",VLOOKUP($B16,'6.คีย์ปลายภาค'!$C$6:$EI$50,103,FALSE))</f>
        <v/>
      </c>
      <c r="BG16" s="230" t="str">
        <f>VLOOKUP($B16,'6.คีย์ปลายภาค'!$C$6:$EI$50,104,FALSE)</f>
        <v/>
      </c>
      <c r="BH16" s="230" t="str">
        <f>IF(VLOOKUP($B16,'6.คีย์ปลายภาค'!$C$6:$EI$50,108,FALSE)="","",VLOOKUP($B16,'6.คีย์ปลายภาค'!$C$6:$EI$50,108,FALSE))</f>
        <v/>
      </c>
      <c r="BI16" s="230" t="str">
        <f>VLOOKUP($B16,'6.คีย์ปลายภาค'!$C$6:$EI$50,109,FALSE)</f>
        <v/>
      </c>
      <c r="BJ16" s="230" t="str">
        <f>IF(VLOOKUP($B16,'6.คีย์ปลายภาค'!$C$6:$EI$50,113,FALSE)="","",VLOOKUP($B16,'6.คีย์ปลายภาค'!$C$6:$EI$50,113,FALSE))</f>
        <v/>
      </c>
      <c r="BK16" s="230" t="str">
        <f>VLOOKUP($B16,'6.คีย์ปลายภาค'!$C$6:$EI$50,114,FALSE)</f>
        <v/>
      </c>
      <c r="BL16" s="230" t="str">
        <f>IF(VLOOKUP($B16,'6.คีย์ปลายภาค'!$C$6:$EI$50,118,FALSE)="","",VLOOKUP($B16,'6.คีย์ปลายภาค'!$C$6:$EI$50,118,FALSE))</f>
        <v/>
      </c>
      <c r="BM16" s="230" t="str">
        <f>VLOOKUP($B16,'6.คีย์ปลายภาค'!$C$6:$EI$50,119,FALSE)</f>
        <v/>
      </c>
      <c r="BN16" s="230" t="str">
        <f>IF(VLOOKUP($B16,'6.คีย์ปลายภาค'!$C$6:$EI$50,123,FALSE)="","",VLOOKUP($B16,'6.คีย์ปลายภาค'!$C$6:$EI$50,123,FALSE))</f>
        <v/>
      </c>
      <c r="BO16" s="230" t="str">
        <f>VLOOKUP($B16,'6.คีย์ปลายภาค'!$C$6:$EI$50,124,FALSE)</f>
        <v/>
      </c>
      <c r="BP16" s="230" t="str">
        <f>IF(VLOOKUP($B16,'6.คีย์ปลายภาค'!$C$6:$EI$50,128,FALSE)="","",VLOOKUP($B16,'6.คีย์ปลายภาค'!$C$6:$EI$50,128,FALSE))</f>
        <v/>
      </c>
      <c r="BQ16" s="232" t="str">
        <f>VLOOKUP($B16,'6.คีย์ปลายภาค'!$C$6:$EI$50,129,FALSE)</f>
        <v/>
      </c>
      <c r="BR16" s="550" t="str">
        <f>IF(L16="","",IF('2.ชื่อนักเรียน'!R18="มส","",IF('2.ชื่อนักเรียน'!R18="ย้าย","",IF('2.ชื่อนักเรียน'!R18="ร","",SUM(BT16:CR16)/13.5))))</f>
        <v/>
      </c>
      <c r="BS16" s="520" t="str">
        <f>IF('2.ชื่อนักเรียน'!R18="มส","มส",IF('2.ชื่อนักเรียน'!R18="ย้าย","ย้าย",IF('2.ชื่อนักเรียน'!R18="ร","ร",IF(BR16="","",RANK(BR16,$BR$9:$BR$53,0)))))</f>
        <v/>
      </c>
      <c r="BT16" s="118" t="str">
        <f t="shared" si="0"/>
        <v/>
      </c>
      <c r="BU16" s="119" t="str">
        <f t="shared" si="1"/>
        <v/>
      </c>
      <c r="BV16" s="119" t="str">
        <f t="shared" si="2"/>
        <v/>
      </c>
      <c r="BW16" s="110" t="str">
        <f t="shared" si="3"/>
        <v/>
      </c>
      <c r="BX16" s="119" t="str">
        <f t="shared" si="4"/>
        <v/>
      </c>
      <c r="BY16" s="119" t="str">
        <f t="shared" si="5"/>
        <v/>
      </c>
      <c r="BZ16" s="119" t="str">
        <f t="shared" si="6"/>
        <v/>
      </c>
      <c r="CA16" s="119" t="str">
        <f t="shared" si="7"/>
        <v/>
      </c>
      <c r="CB16" s="110" t="str">
        <f t="shared" si="8"/>
        <v/>
      </c>
      <c r="CC16" s="151" t="str">
        <f t="shared" si="9"/>
        <v/>
      </c>
      <c r="CD16" s="151" t="str">
        <f t="shared" si="10"/>
        <v/>
      </c>
      <c r="CE16" s="111" t="str">
        <f t="shared" si="11"/>
        <v/>
      </c>
      <c r="CF16" s="118" t="str">
        <f t="shared" si="12"/>
        <v/>
      </c>
      <c r="CG16" s="119" t="str">
        <f t="shared" si="13"/>
        <v/>
      </c>
      <c r="CH16" s="119" t="str">
        <f t="shared" si="14"/>
        <v/>
      </c>
      <c r="CI16" s="119" t="str">
        <f t="shared" si="15"/>
        <v/>
      </c>
      <c r="CJ16" s="110" t="str">
        <f t="shared" si="16"/>
        <v/>
      </c>
      <c r="CK16" s="110" t="str">
        <f t="shared" si="17"/>
        <v/>
      </c>
      <c r="CL16" s="119" t="str">
        <f t="shared" si="18"/>
        <v/>
      </c>
      <c r="CM16" s="119" t="str">
        <f t="shared" si="19"/>
        <v/>
      </c>
      <c r="CN16" s="120" t="str">
        <f t="shared" si="20"/>
        <v/>
      </c>
      <c r="CO16" s="119" t="str">
        <f t="shared" si="21"/>
        <v/>
      </c>
      <c r="CP16" s="120" t="str">
        <f t="shared" si="22"/>
        <v/>
      </c>
      <c r="CQ16" s="111" t="str">
        <f t="shared" si="23"/>
        <v/>
      </c>
      <c r="CR16" s="494" t="str">
        <f t="shared" si="24"/>
        <v/>
      </c>
      <c r="CS16" s="148">
        <f t="shared" si="25"/>
        <v>0</v>
      </c>
      <c r="CT16" s="21">
        <f>IF('2.ชื่อนักเรียน'!AP18="มส","มส",IF('2.ชื่อนักเรียน'!AP18="ย้าย","ย้าย",IF('2.ชื่อนักเรียน'!AP18="ร","ร",IF(CS16="","",RANK(CS16,$CS$9:$CS$53,0)))))</f>
        <v>1</v>
      </c>
      <c r="CU16" s="732"/>
      <c r="CV16" s="733"/>
      <c r="CW16" s="733"/>
      <c r="CX16" s="733"/>
      <c r="CY16" s="733"/>
    </row>
    <row r="17" spans="1:98" s="29" customFormat="1" ht="18.75" customHeight="1" x14ac:dyDescent="0.25">
      <c r="A17" s="234">
        <v>9</v>
      </c>
      <c r="B17" s="512" t="str">
        <f>IF(IDstu9="","",IDstu9)</f>
        <v/>
      </c>
      <c r="C17" s="770" t="str">
        <f>IF(Name9="","",Name9)</f>
        <v/>
      </c>
      <c r="D17" s="707"/>
      <c r="E17" s="707"/>
      <c r="F17" s="707"/>
      <c r="G17" s="767" t="str">
        <f>IF(Surname9="","",Surname9)</f>
        <v/>
      </c>
      <c r="H17" s="767"/>
      <c r="I17" s="767"/>
      <c r="J17" s="767"/>
      <c r="K17" s="234" t="str">
        <f>IF(VLOOKUP($B17,'6.คีย์ปลายภาค'!$C$6:$EI$50,8,FALSE)="","",VLOOKUP($B17,'6.คีย์ปลายภาค'!$C$6:$EI$50,8,FALSE))</f>
        <v/>
      </c>
      <c r="L17" s="229" t="str">
        <f>VLOOKUP($B17,'6.คีย์ปลายภาค'!$C$6:$EI$50,9,FALSE)</f>
        <v/>
      </c>
      <c r="M17" s="229" t="str">
        <f>IF(VLOOKUP($B17,'6.คีย์ปลายภาค'!$C$6:$EI$50,13,FALSE)="","",VLOOKUP($B17,'6.คีย์ปลายภาค'!$C$6:$EI$50,13,FALSE))</f>
        <v/>
      </c>
      <c r="N17" s="230" t="str">
        <f>VLOOKUP($B17,'6.คีย์ปลายภาค'!$C$6:$EI$50,14,FALSE)</f>
        <v/>
      </c>
      <c r="O17" s="230" t="str">
        <f>IF(VLOOKUP($B17,'6.คีย์ปลายภาค'!$C$6:$EI$50,18,FALSE)="","",VLOOKUP($B17,'6.คีย์ปลายภาค'!$C$6:$EI$50,18,FALSE))</f>
        <v/>
      </c>
      <c r="P17" s="230" t="str">
        <f>VLOOKUP($B17,'6.คีย์ปลายภาค'!$C$6:$EI$50,19,FALSE)</f>
        <v/>
      </c>
      <c r="Q17" s="230" t="str">
        <f>IF(VLOOKUP($B17,'6.คีย์ปลายภาค'!$C$6:$EI$50,23,FALSE)="","",VLOOKUP($B17,'6.คีย์ปลายภาค'!$C$6:$EI$50,23,FALSE))</f>
        <v/>
      </c>
      <c r="R17" s="230" t="str">
        <f>VLOOKUP($B17,'6.คีย์ปลายภาค'!$C$6:$EI$50,24,FALSE)</f>
        <v/>
      </c>
      <c r="S17" s="230" t="str">
        <f>IF(VLOOKUP($B17,'6.คีย์ปลายภาค'!$C$6:$EI$50,28,FALSE)="","",VLOOKUP($B17,'6.คีย์ปลายภาค'!$C$6:$EI$50,28,FALSE))</f>
        <v/>
      </c>
      <c r="T17" s="230" t="str">
        <f>VLOOKUP($B17,'6.คีย์ปลายภาค'!$C$6:$EI$50,29,FALSE)</f>
        <v/>
      </c>
      <c r="U17" s="230" t="str">
        <f>IF(VLOOKUP($B17,'6.คีย์ปลายภาค'!$C$6:$EI$50,33,FALSE)="","",VLOOKUP($B17,'6.คีย์ปลายภาค'!$C$6:$EI$50,33,FALSE))</f>
        <v/>
      </c>
      <c r="V17" s="230" t="str">
        <f>VLOOKUP($B17,'6.คีย์ปลายภาค'!$C$6:$EI$50,34,FALSE)</f>
        <v/>
      </c>
      <c r="W17" s="230" t="str">
        <f>IF(VLOOKUP($B17,'6.คีย์ปลายภาค'!$C$6:$EI$50,38,FALSE)="","",VLOOKUP($B17,'6.คีย์ปลายภาค'!$C$6:$EI$50,38,FALSE))</f>
        <v/>
      </c>
      <c r="X17" s="230" t="str">
        <f>VLOOKUP($B17,'6.คีย์ปลายภาค'!$C$6:$EI$50,39,FALSE)</f>
        <v/>
      </c>
      <c r="Y17" s="230" t="str">
        <f>IF(VLOOKUP($B17,'6.คีย์ปลายภาค'!$C$6:$EI$50,43,FALSE)="","",VLOOKUP($B17,'6.คีย์ปลายภาค'!$C$6:$EI$50,43,FALSE))</f>
        <v/>
      </c>
      <c r="Z17" s="230" t="str">
        <f>VLOOKUP($B17,'6.คีย์ปลายภาค'!$C$6:$EI$50,44,FALSE)</f>
        <v/>
      </c>
      <c r="AA17" s="230" t="str">
        <f>IF(VLOOKUP($B17,'6.คีย์ปลายภาค'!$C$6:$EI$50,48,FALSE)="","",VLOOKUP($B17,'6.คีย์ปลายภาค'!$C$6:$EI$50,48,FALSE))</f>
        <v/>
      </c>
      <c r="AB17" s="230" t="str">
        <f>VLOOKUP($B17,'6.คีย์ปลายภาค'!$C$6:$EI$50,49,FALSE)</f>
        <v/>
      </c>
      <c r="AC17" s="231" t="str">
        <f>IF(VLOOKUP($B17,'6.คีย์ปลายภาค'!$C$6:$EI$50,53,FALSE)="","",VLOOKUP($B17,'6.คีย์ปลายภาค'!$C$6:$EI$50,53,FALSE))</f>
        <v/>
      </c>
      <c r="AD17" s="231" t="str">
        <f>VLOOKUP($B17,'6.คีย์ปลายภาค'!$C$6:$EI$50,54,FALSE)</f>
        <v/>
      </c>
      <c r="AE17" s="231" t="str">
        <f>IF(VLOOKUP($B17,'6.คีย์ปลายภาค'!$C$6:$EI$50,58,FALSE)="","",VLOOKUP($B17,'6.คีย์ปลายภาค'!$C$6:$EI$50,58,FALSE))</f>
        <v/>
      </c>
      <c r="AF17" s="231" t="str">
        <f>VLOOKUP($B17,'6.คีย์ปลายภาค'!$C$6:$EI$50,59,FALSE)</f>
        <v/>
      </c>
      <c r="AG17" s="231" t="str">
        <f>IF(VLOOKUP($B17,'6.คีย์ปลายภาค'!$C$6:$EI$50,63,FALSE)="","",VLOOKUP($B17,'6.คีย์ปลายภาค'!$C$6:$EI$50,63,FALSE))</f>
        <v/>
      </c>
      <c r="AH17" s="232" t="str">
        <f>VLOOKUP($B17,'6.คีย์ปลายภาค'!$C$6:$EI$50,64,FALSE)</f>
        <v/>
      </c>
      <c r="AI17" s="31">
        <v>9</v>
      </c>
      <c r="AJ17" s="770" t="str">
        <f>IF(Name9="","",Name9)</f>
        <v/>
      </c>
      <c r="AK17" s="707"/>
      <c r="AL17" s="707"/>
      <c r="AM17" s="707"/>
      <c r="AN17" s="767" t="str">
        <f>IF(Surname9="","",Surname9)</f>
        <v/>
      </c>
      <c r="AO17" s="767"/>
      <c r="AP17" s="767"/>
      <c r="AQ17" s="767"/>
      <c r="AR17" s="234" t="str">
        <f>IF(VLOOKUP($B17,'6.คีย์ปลายภาค'!$C$6:$EI$50,68,FALSE)="","",VLOOKUP($B17,'6.คีย์ปลายภาค'!$C$6:$EI$50,68,FALSE))</f>
        <v/>
      </c>
      <c r="AS17" s="230" t="str">
        <f>VLOOKUP($B17,'6.คีย์ปลายภาค'!$C$6:$EI$50,69,FALSE)</f>
        <v/>
      </c>
      <c r="AT17" s="230" t="str">
        <f>IF(VLOOKUP($B17,'6.คีย์ปลายภาค'!$C$6:$EI$50,73,FALSE)="","",VLOOKUP($B17,'6.คีย์ปลายภาค'!$C$6:$EI$50,73,FALSE))</f>
        <v/>
      </c>
      <c r="AU17" s="230" t="str">
        <f>VLOOKUP($B17,'6.คีย์ปลายภาค'!$C$6:$EI$50,74,FALSE)</f>
        <v/>
      </c>
      <c r="AV17" s="230" t="str">
        <f>IF(VLOOKUP($B17,'6.คีย์ปลายภาค'!$C$6:$EI$50,78,FALSE)="","",VLOOKUP($B17,'6.คีย์ปลายภาค'!$C$6:$EI$50,78,FALSE))</f>
        <v/>
      </c>
      <c r="AW17" s="230" t="str">
        <f>VLOOKUP($B17,'6.คีย์ปลายภาค'!$C$6:$EI$50,79,FALSE)</f>
        <v/>
      </c>
      <c r="AX17" s="230" t="str">
        <f>IF(VLOOKUP($B17,'6.คีย์ปลายภาค'!$C$6:$EI$50,83,FALSE)="","",VLOOKUP($B17,'6.คีย์ปลายภาค'!$C$6:$EI$50,83,FALSE))</f>
        <v/>
      </c>
      <c r="AY17" s="230" t="str">
        <f>VLOOKUP($B17,'6.คีย์ปลายภาค'!$C$6:$EI$50,84,FALSE)</f>
        <v/>
      </c>
      <c r="AZ17" s="230" t="str">
        <f>IF(VLOOKUP($B17,'6.คีย์ปลายภาค'!$C$6:$EI$50,88,FALSE)="","",VLOOKUP($B17,'6.คีย์ปลายภาค'!$C$6:$EI$50,88,FALSE))</f>
        <v/>
      </c>
      <c r="BA17" s="230" t="str">
        <f>VLOOKUP($B17,'6.คีย์ปลายภาค'!$C$6:$EI$50,89,FALSE)</f>
        <v/>
      </c>
      <c r="BB17" s="230" t="str">
        <f>IF(VLOOKUP($B17,'6.คีย์ปลายภาค'!$C$6:$EI$50,93,FALSE)="","",VLOOKUP($B17,'6.คีย์ปลายภาค'!$C$6:$EI$50,93,FALSE))</f>
        <v/>
      </c>
      <c r="BC17" s="230" t="str">
        <f>VLOOKUP($B17,'6.คีย์ปลายภาค'!$C$6:$EI$50,94,FALSE)</f>
        <v/>
      </c>
      <c r="BD17" s="230" t="str">
        <f>IF(VLOOKUP($B17,'6.คีย์ปลายภาค'!$C$6:$EI$50,98,FALSE)="","",VLOOKUP($B17,'6.คีย์ปลายภาค'!$C$6:$EI$50,98,FALSE))</f>
        <v/>
      </c>
      <c r="BE17" s="230" t="str">
        <f>VLOOKUP($B17,'6.คีย์ปลายภาค'!$C$6:$EI$50,99,FALSE)</f>
        <v/>
      </c>
      <c r="BF17" s="230" t="str">
        <f>IF(VLOOKUP($B17,'6.คีย์ปลายภาค'!$C$6:$EI$50,103,FALSE)="","",VLOOKUP($B17,'6.คีย์ปลายภาค'!$C$6:$EI$50,103,FALSE))</f>
        <v/>
      </c>
      <c r="BG17" s="230" t="str">
        <f>VLOOKUP($B17,'6.คีย์ปลายภาค'!$C$6:$EI$50,104,FALSE)</f>
        <v/>
      </c>
      <c r="BH17" s="230" t="str">
        <f>IF(VLOOKUP($B17,'6.คีย์ปลายภาค'!$C$6:$EI$50,108,FALSE)="","",VLOOKUP($B17,'6.คีย์ปลายภาค'!$C$6:$EI$50,108,FALSE))</f>
        <v/>
      </c>
      <c r="BI17" s="230" t="str">
        <f>VLOOKUP($B17,'6.คีย์ปลายภาค'!$C$6:$EI$50,109,FALSE)</f>
        <v/>
      </c>
      <c r="BJ17" s="230" t="str">
        <f>IF(VLOOKUP($B17,'6.คีย์ปลายภาค'!$C$6:$EI$50,113,FALSE)="","",VLOOKUP($B17,'6.คีย์ปลายภาค'!$C$6:$EI$50,113,FALSE))</f>
        <v/>
      </c>
      <c r="BK17" s="230" t="str">
        <f>VLOOKUP($B17,'6.คีย์ปลายภาค'!$C$6:$EI$50,114,FALSE)</f>
        <v/>
      </c>
      <c r="BL17" s="230" t="str">
        <f>IF(VLOOKUP($B17,'6.คีย์ปลายภาค'!$C$6:$EI$50,118,FALSE)="","",VLOOKUP($B17,'6.คีย์ปลายภาค'!$C$6:$EI$50,118,FALSE))</f>
        <v/>
      </c>
      <c r="BM17" s="230" t="str">
        <f>VLOOKUP($B17,'6.คีย์ปลายภาค'!$C$6:$EI$50,119,FALSE)</f>
        <v/>
      </c>
      <c r="BN17" s="230" t="str">
        <f>IF(VLOOKUP($B17,'6.คีย์ปลายภาค'!$C$6:$EI$50,123,FALSE)="","",VLOOKUP($B17,'6.คีย์ปลายภาค'!$C$6:$EI$50,123,FALSE))</f>
        <v/>
      </c>
      <c r="BO17" s="230" t="str">
        <f>VLOOKUP($B17,'6.คีย์ปลายภาค'!$C$6:$EI$50,124,FALSE)</f>
        <v/>
      </c>
      <c r="BP17" s="230" t="str">
        <f>IF(VLOOKUP($B17,'6.คีย์ปลายภาค'!$C$6:$EI$50,128,FALSE)="","",VLOOKUP($B17,'6.คีย์ปลายภาค'!$C$6:$EI$50,128,FALSE))</f>
        <v/>
      </c>
      <c r="BQ17" s="232" t="str">
        <f>VLOOKUP($B17,'6.คีย์ปลายภาค'!$C$6:$EI$50,129,FALSE)</f>
        <v/>
      </c>
      <c r="BR17" s="550" t="str">
        <f>IF(L17="","",IF('2.ชื่อนักเรียน'!R19="มส","",IF('2.ชื่อนักเรียน'!R19="ย้าย","",IF('2.ชื่อนักเรียน'!R19="ร","",SUM(BT17:CR17)/13.5))))</f>
        <v/>
      </c>
      <c r="BS17" s="520" t="str">
        <f>IF('2.ชื่อนักเรียน'!R19="มส","มส",IF('2.ชื่อนักเรียน'!R19="ย้าย","ย้าย",IF('2.ชื่อนักเรียน'!R19="ร","ร",IF(BR17="","",RANK(BR17,$BR$9:$BR$53,0)))))</f>
        <v/>
      </c>
      <c r="BT17" s="118" t="str">
        <f t="shared" si="0"/>
        <v/>
      </c>
      <c r="BU17" s="119" t="str">
        <f t="shared" si="1"/>
        <v/>
      </c>
      <c r="BV17" s="119" t="str">
        <f t="shared" si="2"/>
        <v/>
      </c>
      <c r="BW17" s="110" t="str">
        <f t="shared" si="3"/>
        <v/>
      </c>
      <c r="BX17" s="119" t="str">
        <f t="shared" si="4"/>
        <v/>
      </c>
      <c r="BY17" s="119" t="str">
        <f t="shared" si="5"/>
        <v/>
      </c>
      <c r="BZ17" s="119" t="str">
        <f t="shared" si="6"/>
        <v/>
      </c>
      <c r="CA17" s="119" t="str">
        <f t="shared" si="7"/>
        <v/>
      </c>
      <c r="CB17" s="110" t="str">
        <f t="shared" si="8"/>
        <v/>
      </c>
      <c r="CC17" s="151" t="str">
        <f t="shared" si="9"/>
        <v/>
      </c>
      <c r="CD17" s="151" t="str">
        <f t="shared" si="10"/>
        <v/>
      </c>
      <c r="CE17" s="111" t="str">
        <f t="shared" si="11"/>
        <v/>
      </c>
      <c r="CF17" s="118" t="str">
        <f t="shared" si="12"/>
        <v/>
      </c>
      <c r="CG17" s="119" t="str">
        <f t="shared" si="13"/>
        <v/>
      </c>
      <c r="CH17" s="119" t="str">
        <f t="shared" si="14"/>
        <v/>
      </c>
      <c r="CI17" s="119" t="str">
        <f t="shared" si="15"/>
        <v/>
      </c>
      <c r="CJ17" s="110" t="str">
        <f t="shared" si="16"/>
        <v/>
      </c>
      <c r="CK17" s="110" t="str">
        <f t="shared" si="17"/>
        <v/>
      </c>
      <c r="CL17" s="119" t="str">
        <f t="shared" si="18"/>
        <v/>
      </c>
      <c r="CM17" s="119" t="str">
        <f t="shared" si="19"/>
        <v/>
      </c>
      <c r="CN17" s="120" t="str">
        <f t="shared" si="20"/>
        <v/>
      </c>
      <c r="CO17" s="119" t="str">
        <f t="shared" si="21"/>
        <v/>
      </c>
      <c r="CP17" s="120" t="str">
        <f t="shared" si="22"/>
        <v/>
      </c>
      <c r="CQ17" s="111" t="str">
        <f t="shared" si="23"/>
        <v/>
      </c>
      <c r="CR17" s="494" t="str">
        <f t="shared" si="24"/>
        <v/>
      </c>
      <c r="CS17" s="148">
        <f t="shared" si="25"/>
        <v>0</v>
      </c>
      <c r="CT17" s="21">
        <f>IF('2.ชื่อนักเรียน'!AP19="มส","มส",IF('2.ชื่อนักเรียน'!AP19="ย้าย","ย้าย",IF('2.ชื่อนักเรียน'!AP19="ร","ร",IF(CS17="","",RANK(CS17,$CS$9:$CS$53,0)))))</f>
        <v>1</v>
      </c>
    </row>
    <row r="18" spans="1:98" s="29" customFormat="1" ht="18.75" customHeight="1" x14ac:dyDescent="0.25">
      <c r="A18" s="234">
        <v>10</v>
      </c>
      <c r="B18" s="512" t="str">
        <f>IF(IDstu10="","",IDstu10)</f>
        <v/>
      </c>
      <c r="C18" s="770" t="str">
        <f>IF(Name10="","",Name10)</f>
        <v/>
      </c>
      <c r="D18" s="707"/>
      <c r="E18" s="707"/>
      <c r="F18" s="707"/>
      <c r="G18" s="767" t="str">
        <f>IF(Surname10="","",Surname10)</f>
        <v/>
      </c>
      <c r="H18" s="767"/>
      <c r="I18" s="767"/>
      <c r="J18" s="767"/>
      <c r="K18" s="234" t="str">
        <f>IF(VLOOKUP($B18,'6.คีย์ปลายภาค'!$C$6:$EI$50,8,FALSE)="","",VLOOKUP($B18,'6.คีย์ปลายภาค'!$C$6:$EI$50,8,FALSE))</f>
        <v/>
      </c>
      <c r="L18" s="229" t="str">
        <f>VLOOKUP($B18,'6.คีย์ปลายภาค'!$C$6:$EI$50,9,FALSE)</f>
        <v/>
      </c>
      <c r="M18" s="229" t="str">
        <f>IF(VLOOKUP($B18,'6.คีย์ปลายภาค'!$C$6:$EI$50,13,FALSE)="","",VLOOKUP($B18,'6.คีย์ปลายภาค'!$C$6:$EI$50,13,FALSE))</f>
        <v/>
      </c>
      <c r="N18" s="230" t="str">
        <f>VLOOKUP($B18,'6.คีย์ปลายภาค'!$C$6:$EI$50,14,FALSE)</f>
        <v/>
      </c>
      <c r="O18" s="230" t="str">
        <f>IF(VLOOKUP($B18,'6.คีย์ปลายภาค'!$C$6:$EI$50,18,FALSE)="","",VLOOKUP($B18,'6.คีย์ปลายภาค'!$C$6:$EI$50,18,FALSE))</f>
        <v/>
      </c>
      <c r="P18" s="230" t="str">
        <f>VLOOKUP($B18,'6.คีย์ปลายภาค'!$C$6:$EI$50,19,FALSE)</f>
        <v/>
      </c>
      <c r="Q18" s="230" t="str">
        <f>IF(VLOOKUP($B18,'6.คีย์ปลายภาค'!$C$6:$EI$50,23,FALSE)="","",VLOOKUP($B18,'6.คีย์ปลายภาค'!$C$6:$EI$50,23,FALSE))</f>
        <v/>
      </c>
      <c r="R18" s="230" t="str">
        <f>VLOOKUP($B18,'6.คีย์ปลายภาค'!$C$6:$EI$50,24,FALSE)</f>
        <v/>
      </c>
      <c r="S18" s="230" t="str">
        <f>IF(VLOOKUP($B18,'6.คีย์ปลายภาค'!$C$6:$EI$50,28,FALSE)="","",VLOOKUP($B18,'6.คีย์ปลายภาค'!$C$6:$EI$50,28,FALSE))</f>
        <v/>
      </c>
      <c r="T18" s="230" t="str">
        <f>VLOOKUP($B18,'6.คีย์ปลายภาค'!$C$6:$EI$50,29,FALSE)</f>
        <v/>
      </c>
      <c r="U18" s="230" t="str">
        <f>IF(VLOOKUP($B18,'6.คีย์ปลายภาค'!$C$6:$EI$50,33,FALSE)="","",VLOOKUP($B18,'6.คีย์ปลายภาค'!$C$6:$EI$50,33,FALSE))</f>
        <v/>
      </c>
      <c r="V18" s="230" t="str">
        <f>VLOOKUP($B18,'6.คีย์ปลายภาค'!$C$6:$EI$50,34,FALSE)</f>
        <v/>
      </c>
      <c r="W18" s="230" t="str">
        <f>IF(VLOOKUP($B18,'6.คีย์ปลายภาค'!$C$6:$EI$50,38,FALSE)="","",VLOOKUP($B18,'6.คีย์ปลายภาค'!$C$6:$EI$50,38,FALSE))</f>
        <v/>
      </c>
      <c r="X18" s="230" t="str">
        <f>VLOOKUP($B18,'6.คีย์ปลายภาค'!$C$6:$EI$50,39,FALSE)</f>
        <v/>
      </c>
      <c r="Y18" s="230" t="str">
        <f>IF(VLOOKUP($B18,'6.คีย์ปลายภาค'!$C$6:$EI$50,43,FALSE)="","",VLOOKUP($B18,'6.คีย์ปลายภาค'!$C$6:$EI$50,43,FALSE))</f>
        <v/>
      </c>
      <c r="Z18" s="230" t="str">
        <f>VLOOKUP($B18,'6.คีย์ปลายภาค'!$C$6:$EI$50,44,FALSE)</f>
        <v/>
      </c>
      <c r="AA18" s="230" t="str">
        <f>IF(VLOOKUP($B18,'6.คีย์ปลายภาค'!$C$6:$EI$50,48,FALSE)="","",VLOOKUP($B18,'6.คีย์ปลายภาค'!$C$6:$EI$50,48,FALSE))</f>
        <v/>
      </c>
      <c r="AB18" s="230" t="str">
        <f>VLOOKUP($B18,'6.คีย์ปลายภาค'!$C$6:$EI$50,49,FALSE)</f>
        <v/>
      </c>
      <c r="AC18" s="231" t="str">
        <f>IF(VLOOKUP($B18,'6.คีย์ปลายภาค'!$C$6:$EI$50,53,FALSE)="","",VLOOKUP($B18,'6.คีย์ปลายภาค'!$C$6:$EI$50,53,FALSE))</f>
        <v/>
      </c>
      <c r="AD18" s="231" t="str">
        <f>VLOOKUP($B18,'6.คีย์ปลายภาค'!$C$6:$EI$50,54,FALSE)</f>
        <v/>
      </c>
      <c r="AE18" s="231" t="str">
        <f>IF(VLOOKUP($B18,'6.คีย์ปลายภาค'!$C$6:$EI$50,58,FALSE)="","",VLOOKUP($B18,'6.คีย์ปลายภาค'!$C$6:$EI$50,58,FALSE))</f>
        <v/>
      </c>
      <c r="AF18" s="231" t="str">
        <f>VLOOKUP($B18,'6.คีย์ปลายภาค'!$C$6:$EI$50,59,FALSE)</f>
        <v/>
      </c>
      <c r="AG18" s="231" t="str">
        <f>IF(VLOOKUP($B18,'6.คีย์ปลายภาค'!$C$6:$EI$50,63,FALSE)="","",VLOOKUP($B18,'6.คีย์ปลายภาค'!$C$6:$EI$50,63,FALSE))</f>
        <v/>
      </c>
      <c r="AH18" s="232" t="str">
        <f>VLOOKUP($B18,'6.คีย์ปลายภาค'!$C$6:$EI$50,64,FALSE)</f>
        <v/>
      </c>
      <c r="AI18" s="31">
        <v>10</v>
      </c>
      <c r="AJ18" s="770" t="str">
        <f>IF(Name10="","",Name10)</f>
        <v/>
      </c>
      <c r="AK18" s="707"/>
      <c r="AL18" s="707"/>
      <c r="AM18" s="707"/>
      <c r="AN18" s="767" t="str">
        <f>IF(Surname10="","",Surname10)</f>
        <v/>
      </c>
      <c r="AO18" s="767"/>
      <c r="AP18" s="767"/>
      <c r="AQ18" s="767"/>
      <c r="AR18" s="234" t="str">
        <f>IF(VLOOKUP($B18,'6.คีย์ปลายภาค'!$C$6:$EI$50,68,FALSE)="","",VLOOKUP($B18,'6.คีย์ปลายภาค'!$C$6:$EI$50,68,FALSE))</f>
        <v/>
      </c>
      <c r="AS18" s="230" t="str">
        <f>VLOOKUP($B18,'6.คีย์ปลายภาค'!$C$6:$EI$50,69,FALSE)</f>
        <v/>
      </c>
      <c r="AT18" s="230" t="str">
        <f>IF(VLOOKUP($B18,'6.คีย์ปลายภาค'!$C$6:$EI$50,73,FALSE)="","",VLOOKUP($B18,'6.คีย์ปลายภาค'!$C$6:$EI$50,73,FALSE))</f>
        <v/>
      </c>
      <c r="AU18" s="230" t="str">
        <f>VLOOKUP($B18,'6.คีย์ปลายภาค'!$C$6:$EI$50,74,FALSE)</f>
        <v/>
      </c>
      <c r="AV18" s="230" t="str">
        <f>IF(VLOOKUP($B18,'6.คีย์ปลายภาค'!$C$6:$EI$50,78,FALSE)="","",VLOOKUP($B18,'6.คีย์ปลายภาค'!$C$6:$EI$50,78,FALSE))</f>
        <v/>
      </c>
      <c r="AW18" s="230" t="str">
        <f>VLOOKUP($B18,'6.คีย์ปลายภาค'!$C$6:$EI$50,79,FALSE)</f>
        <v/>
      </c>
      <c r="AX18" s="230" t="str">
        <f>IF(VLOOKUP($B18,'6.คีย์ปลายภาค'!$C$6:$EI$50,83,FALSE)="","",VLOOKUP($B18,'6.คีย์ปลายภาค'!$C$6:$EI$50,83,FALSE))</f>
        <v/>
      </c>
      <c r="AY18" s="230" t="str">
        <f>VLOOKUP($B18,'6.คีย์ปลายภาค'!$C$6:$EI$50,84,FALSE)</f>
        <v/>
      </c>
      <c r="AZ18" s="230" t="str">
        <f>IF(VLOOKUP($B18,'6.คีย์ปลายภาค'!$C$6:$EI$50,88,FALSE)="","",VLOOKUP($B18,'6.คีย์ปลายภาค'!$C$6:$EI$50,88,FALSE))</f>
        <v/>
      </c>
      <c r="BA18" s="230" t="str">
        <f>VLOOKUP($B18,'6.คีย์ปลายภาค'!$C$6:$EI$50,89,FALSE)</f>
        <v/>
      </c>
      <c r="BB18" s="230" t="str">
        <f>IF(VLOOKUP($B18,'6.คีย์ปลายภาค'!$C$6:$EI$50,93,FALSE)="","",VLOOKUP($B18,'6.คีย์ปลายภาค'!$C$6:$EI$50,93,FALSE))</f>
        <v/>
      </c>
      <c r="BC18" s="230" t="str">
        <f>VLOOKUP($B18,'6.คีย์ปลายภาค'!$C$6:$EI$50,94,FALSE)</f>
        <v/>
      </c>
      <c r="BD18" s="230" t="str">
        <f>IF(VLOOKUP($B18,'6.คีย์ปลายภาค'!$C$6:$EI$50,98,FALSE)="","",VLOOKUP($B18,'6.คีย์ปลายภาค'!$C$6:$EI$50,98,FALSE))</f>
        <v/>
      </c>
      <c r="BE18" s="230" t="str">
        <f>VLOOKUP($B18,'6.คีย์ปลายภาค'!$C$6:$EI$50,99,FALSE)</f>
        <v/>
      </c>
      <c r="BF18" s="230" t="str">
        <f>IF(VLOOKUP($B18,'6.คีย์ปลายภาค'!$C$6:$EI$50,103,FALSE)="","",VLOOKUP($B18,'6.คีย์ปลายภาค'!$C$6:$EI$50,103,FALSE))</f>
        <v/>
      </c>
      <c r="BG18" s="230" t="str">
        <f>VLOOKUP($B18,'6.คีย์ปลายภาค'!$C$6:$EI$50,104,FALSE)</f>
        <v/>
      </c>
      <c r="BH18" s="230" t="str">
        <f>IF(VLOOKUP($B18,'6.คีย์ปลายภาค'!$C$6:$EI$50,108,FALSE)="","",VLOOKUP($B18,'6.คีย์ปลายภาค'!$C$6:$EI$50,108,FALSE))</f>
        <v/>
      </c>
      <c r="BI18" s="230" t="str">
        <f>VLOOKUP($B18,'6.คีย์ปลายภาค'!$C$6:$EI$50,109,FALSE)</f>
        <v/>
      </c>
      <c r="BJ18" s="230" t="str">
        <f>IF(VLOOKUP($B18,'6.คีย์ปลายภาค'!$C$6:$EI$50,113,FALSE)="","",VLOOKUP($B18,'6.คีย์ปลายภาค'!$C$6:$EI$50,113,FALSE))</f>
        <v/>
      </c>
      <c r="BK18" s="230" t="str">
        <f>VLOOKUP($B18,'6.คีย์ปลายภาค'!$C$6:$EI$50,114,FALSE)</f>
        <v/>
      </c>
      <c r="BL18" s="230" t="str">
        <f>IF(VLOOKUP($B18,'6.คีย์ปลายภาค'!$C$6:$EI$50,118,FALSE)="","",VLOOKUP($B18,'6.คีย์ปลายภาค'!$C$6:$EI$50,118,FALSE))</f>
        <v/>
      </c>
      <c r="BM18" s="230" t="str">
        <f>VLOOKUP($B18,'6.คีย์ปลายภาค'!$C$6:$EI$50,119,FALSE)</f>
        <v/>
      </c>
      <c r="BN18" s="230" t="str">
        <f>IF(VLOOKUP($B18,'6.คีย์ปลายภาค'!$C$6:$EI$50,123,FALSE)="","",VLOOKUP($B18,'6.คีย์ปลายภาค'!$C$6:$EI$50,123,FALSE))</f>
        <v/>
      </c>
      <c r="BO18" s="230" t="str">
        <f>VLOOKUP($B18,'6.คีย์ปลายภาค'!$C$6:$EI$50,124,FALSE)</f>
        <v/>
      </c>
      <c r="BP18" s="230" t="str">
        <f>IF(VLOOKUP($B18,'6.คีย์ปลายภาค'!$C$6:$EI$50,128,FALSE)="","",VLOOKUP($B18,'6.คีย์ปลายภาค'!$C$6:$EI$50,128,FALSE))</f>
        <v/>
      </c>
      <c r="BQ18" s="232" t="str">
        <f>VLOOKUP($B18,'6.คีย์ปลายภาค'!$C$6:$EI$50,129,FALSE)</f>
        <v/>
      </c>
      <c r="BR18" s="550" t="str">
        <f>IF(L18="","",IF('2.ชื่อนักเรียน'!R20="มส","",IF('2.ชื่อนักเรียน'!R20="ย้าย","",IF('2.ชื่อนักเรียน'!R20="ร","",SUM(BT18:CR18)/13.5))))</f>
        <v/>
      </c>
      <c r="BS18" s="520" t="str">
        <f>IF('2.ชื่อนักเรียน'!R20="มส","มส",IF('2.ชื่อนักเรียน'!R20="ย้าย","ย้าย",IF('2.ชื่อนักเรียน'!R20="ร","ร",IF(BR18="","",RANK(BR18,$BR$9:$BR$53,0)))))</f>
        <v/>
      </c>
      <c r="BT18" s="118" t="str">
        <f t="shared" si="0"/>
        <v/>
      </c>
      <c r="BU18" s="119" t="str">
        <f t="shared" si="1"/>
        <v/>
      </c>
      <c r="BV18" s="119" t="str">
        <f t="shared" si="2"/>
        <v/>
      </c>
      <c r="BW18" s="110" t="str">
        <f t="shared" si="3"/>
        <v/>
      </c>
      <c r="BX18" s="119" t="str">
        <f t="shared" si="4"/>
        <v/>
      </c>
      <c r="BY18" s="119" t="str">
        <f t="shared" si="5"/>
        <v/>
      </c>
      <c r="BZ18" s="119" t="str">
        <f t="shared" si="6"/>
        <v/>
      </c>
      <c r="CA18" s="119" t="str">
        <f t="shared" si="7"/>
        <v/>
      </c>
      <c r="CB18" s="110" t="str">
        <f t="shared" si="8"/>
        <v/>
      </c>
      <c r="CC18" s="151" t="str">
        <f t="shared" si="9"/>
        <v/>
      </c>
      <c r="CD18" s="151" t="str">
        <f t="shared" si="10"/>
        <v/>
      </c>
      <c r="CE18" s="111" t="str">
        <f t="shared" si="11"/>
        <v/>
      </c>
      <c r="CF18" s="118" t="str">
        <f t="shared" si="12"/>
        <v/>
      </c>
      <c r="CG18" s="119" t="str">
        <f t="shared" si="13"/>
        <v/>
      </c>
      <c r="CH18" s="119" t="str">
        <f t="shared" si="14"/>
        <v/>
      </c>
      <c r="CI18" s="119" t="str">
        <f t="shared" si="15"/>
        <v/>
      </c>
      <c r="CJ18" s="110" t="str">
        <f t="shared" si="16"/>
        <v/>
      </c>
      <c r="CK18" s="110" t="str">
        <f t="shared" si="17"/>
        <v/>
      </c>
      <c r="CL18" s="119" t="str">
        <f t="shared" si="18"/>
        <v/>
      </c>
      <c r="CM18" s="119" t="str">
        <f t="shared" si="19"/>
        <v/>
      </c>
      <c r="CN18" s="120" t="str">
        <f t="shared" si="20"/>
        <v/>
      </c>
      <c r="CO18" s="119" t="str">
        <f t="shared" si="21"/>
        <v/>
      </c>
      <c r="CP18" s="120" t="str">
        <f t="shared" si="22"/>
        <v/>
      </c>
      <c r="CQ18" s="111" t="str">
        <f t="shared" si="23"/>
        <v/>
      </c>
      <c r="CR18" s="494" t="str">
        <f t="shared" si="24"/>
        <v/>
      </c>
      <c r="CS18" s="148">
        <f t="shared" si="25"/>
        <v>0</v>
      </c>
      <c r="CT18" s="21">
        <f>IF('2.ชื่อนักเรียน'!AP20="มส","มส",IF('2.ชื่อนักเรียน'!AP20="ย้าย","ย้าย",IF('2.ชื่อนักเรียน'!AP20="ร","ร",IF(CS18="","",RANK(CS18,$CS$9:$CS$53,0)))))</f>
        <v>1</v>
      </c>
    </row>
    <row r="19" spans="1:98" s="29" customFormat="1" ht="18.75" customHeight="1" x14ac:dyDescent="0.25">
      <c r="A19" s="234">
        <v>11</v>
      </c>
      <c r="B19" s="512" t="str">
        <f>IF(IDstu11="","",IDstu11)</f>
        <v/>
      </c>
      <c r="C19" s="770" t="str">
        <f>IF(Name11="","",Name11)</f>
        <v/>
      </c>
      <c r="D19" s="707"/>
      <c r="E19" s="707"/>
      <c r="F19" s="707"/>
      <c r="G19" s="767" t="str">
        <f>IF(Surname11="","",Surname11)</f>
        <v/>
      </c>
      <c r="H19" s="767"/>
      <c r="I19" s="767"/>
      <c r="J19" s="767"/>
      <c r="K19" s="234" t="str">
        <f>IF(VLOOKUP($B19,'6.คีย์ปลายภาค'!$C$6:$EI$50,8,FALSE)="","",VLOOKUP($B19,'6.คีย์ปลายภาค'!$C$6:$EI$50,8,FALSE))</f>
        <v/>
      </c>
      <c r="L19" s="229" t="str">
        <f>VLOOKUP($B19,'6.คีย์ปลายภาค'!$C$6:$EI$50,9,FALSE)</f>
        <v/>
      </c>
      <c r="M19" s="229" t="str">
        <f>IF(VLOOKUP($B19,'6.คีย์ปลายภาค'!$C$6:$EI$50,13,FALSE)="","",VLOOKUP($B19,'6.คีย์ปลายภาค'!$C$6:$EI$50,13,FALSE))</f>
        <v/>
      </c>
      <c r="N19" s="230" t="str">
        <f>VLOOKUP($B19,'6.คีย์ปลายภาค'!$C$6:$EI$50,14,FALSE)</f>
        <v/>
      </c>
      <c r="O19" s="230" t="str">
        <f>IF(VLOOKUP($B19,'6.คีย์ปลายภาค'!$C$6:$EI$50,18,FALSE)="","",VLOOKUP($B19,'6.คีย์ปลายภาค'!$C$6:$EI$50,18,FALSE))</f>
        <v/>
      </c>
      <c r="P19" s="230" t="str">
        <f>VLOOKUP($B19,'6.คีย์ปลายภาค'!$C$6:$EI$50,19,FALSE)</f>
        <v/>
      </c>
      <c r="Q19" s="230" t="str">
        <f>IF(VLOOKUP($B19,'6.คีย์ปลายภาค'!$C$6:$EI$50,23,FALSE)="","",VLOOKUP($B19,'6.คีย์ปลายภาค'!$C$6:$EI$50,23,FALSE))</f>
        <v/>
      </c>
      <c r="R19" s="230" t="str">
        <f>VLOOKUP($B19,'6.คีย์ปลายภาค'!$C$6:$EI$50,24,FALSE)</f>
        <v/>
      </c>
      <c r="S19" s="230" t="str">
        <f>IF(VLOOKUP($B19,'6.คีย์ปลายภาค'!$C$6:$EI$50,28,FALSE)="","",VLOOKUP($B19,'6.คีย์ปลายภาค'!$C$6:$EI$50,28,FALSE))</f>
        <v/>
      </c>
      <c r="T19" s="230" t="str">
        <f>VLOOKUP($B19,'6.คีย์ปลายภาค'!$C$6:$EI$50,29,FALSE)</f>
        <v/>
      </c>
      <c r="U19" s="230" t="str">
        <f>IF(VLOOKUP($B19,'6.คีย์ปลายภาค'!$C$6:$EI$50,33,FALSE)="","",VLOOKUP($B19,'6.คีย์ปลายภาค'!$C$6:$EI$50,33,FALSE))</f>
        <v/>
      </c>
      <c r="V19" s="230" t="str">
        <f>VLOOKUP($B19,'6.คีย์ปลายภาค'!$C$6:$EI$50,34,FALSE)</f>
        <v/>
      </c>
      <c r="W19" s="230" t="str">
        <f>IF(VLOOKUP($B19,'6.คีย์ปลายภาค'!$C$6:$EI$50,38,FALSE)="","",VLOOKUP($B19,'6.คีย์ปลายภาค'!$C$6:$EI$50,38,FALSE))</f>
        <v/>
      </c>
      <c r="X19" s="230" t="str">
        <f>VLOOKUP($B19,'6.คีย์ปลายภาค'!$C$6:$EI$50,39,FALSE)</f>
        <v/>
      </c>
      <c r="Y19" s="230" t="str">
        <f>IF(VLOOKUP($B19,'6.คีย์ปลายภาค'!$C$6:$EI$50,43,FALSE)="","",VLOOKUP($B19,'6.คีย์ปลายภาค'!$C$6:$EI$50,43,FALSE))</f>
        <v/>
      </c>
      <c r="Z19" s="230" t="str">
        <f>VLOOKUP($B19,'6.คีย์ปลายภาค'!$C$6:$EI$50,44,FALSE)</f>
        <v/>
      </c>
      <c r="AA19" s="230" t="str">
        <f>IF(VLOOKUP($B19,'6.คีย์ปลายภาค'!$C$6:$EI$50,48,FALSE)="","",VLOOKUP($B19,'6.คีย์ปลายภาค'!$C$6:$EI$50,48,FALSE))</f>
        <v/>
      </c>
      <c r="AB19" s="230" t="str">
        <f>VLOOKUP($B19,'6.คีย์ปลายภาค'!$C$6:$EI$50,49,FALSE)</f>
        <v/>
      </c>
      <c r="AC19" s="231" t="str">
        <f>IF(VLOOKUP($B19,'6.คีย์ปลายภาค'!$C$6:$EI$50,53,FALSE)="","",VLOOKUP($B19,'6.คีย์ปลายภาค'!$C$6:$EI$50,53,FALSE))</f>
        <v/>
      </c>
      <c r="AD19" s="231" t="str">
        <f>VLOOKUP($B19,'6.คีย์ปลายภาค'!$C$6:$EI$50,54,FALSE)</f>
        <v/>
      </c>
      <c r="AE19" s="231" t="str">
        <f>IF(VLOOKUP($B19,'6.คีย์ปลายภาค'!$C$6:$EI$50,58,FALSE)="","",VLOOKUP($B19,'6.คีย์ปลายภาค'!$C$6:$EI$50,58,FALSE))</f>
        <v/>
      </c>
      <c r="AF19" s="231" t="str">
        <f>VLOOKUP($B19,'6.คีย์ปลายภาค'!$C$6:$EI$50,59,FALSE)</f>
        <v/>
      </c>
      <c r="AG19" s="231" t="str">
        <f>IF(VLOOKUP($B19,'6.คีย์ปลายภาค'!$C$6:$EI$50,63,FALSE)="","",VLOOKUP($B19,'6.คีย์ปลายภาค'!$C$6:$EI$50,63,FALSE))</f>
        <v/>
      </c>
      <c r="AH19" s="232" t="str">
        <f>VLOOKUP($B19,'6.คีย์ปลายภาค'!$C$6:$EI$50,64,FALSE)</f>
        <v/>
      </c>
      <c r="AI19" s="31">
        <v>11</v>
      </c>
      <c r="AJ19" s="770" t="str">
        <f>IF(Name11="","",Name11)</f>
        <v/>
      </c>
      <c r="AK19" s="707"/>
      <c r="AL19" s="707"/>
      <c r="AM19" s="707"/>
      <c r="AN19" s="767" t="str">
        <f>IF(Surname11="","",Surname11)</f>
        <v/>
      </c>
      <c r="AO19" s="767"/>
      <c r="AP19" s="767"/>
      <c r="AQ19" s="767"/>
      <c r="AR19" s="234" t="str">
        <f>IF(VLOOKUP($B19,'6.คีย์ปลายภาค'!$C$6:$EI$50,68,FALSE)="","",VLOOKUP($B19,'6.คีย์ปลายภาค'!$C$6:$EI$50,68,FALSE))</f>
        <v/>
      </c>
      <c r="AS19" s="230" t="str">
        <f>VLOOKUP($B19,'6.คีย์ปลายภาค'!$C$6:$EI$50,69,FALSE)</f>
        <v/>
      </c>
      <c r="AT19" s="230" t="str">
        <f>IF(VLOOKUP($B19,'6.คีย์ปลายภาค'!$C$6:$EI$50,73,FALSE)="","",VLOOKUP($B19,'6.คีย์ปลายภาค'!$C$6:$EI$50,73,FALSE))</f>
        <v/>
      </c>
      <c r="AU19" s="230" t="str">
        <f>VLOOKUP($B19,'6.คีย์ปลายภาค'!$C$6:$EI$50,74,FALSE)</f>
        <v/>
      </c>
      <c r="AV19" s="230" t="str">
        <f>IF(VLOOKUP($B19,'6.คีย์ปลายภาค'!$C$6:$EI$50,78,FALSE)="","",VLOOKUP($B19,'6.คีย์ปลายภาค'!$C$6:$EI$50,78,FALSE))</f>
        <v/>
      </c>
      <c r="AW19" s="230" t="str">
        <f>VLOOKUP($B19,'6.คีย์ปลายภาค'!$C$6:$EI$50,79,FALSE)</f>
        <v/>
      </c>
      <c r="AX19" s="230" t="str">
        <f>IF(VLOOKUP($B19,'6.คีย์ปลายภาค'!$C$6:$EI$50,83,FALSE)="","",VLOOKUP($B19,'6.คีย์ปลายภาค'!$C$6:$EI$50,83,FALSE))</f>
        <v/>
      </c>
      <c r="AY19" s="230" t="str">
        <f>VLOOKUP($B19,'6.คีย์ปลายภาค'!$C$6:$EI$50,84,FALSE)</f>
        <v/>
      </c>
      <c r="AZ19" s="230" t="str">
        <f>IF(VLOOKUP($B19,'6.คีย์ปลายภาค'!$C$6:$EI$50,88,FALSE)="","",VLOOKUP($B19,'6.คีย์ปลายภาค'!$C$6:$EI$50,88,FALSE))</f>
        <v/>
      </c>
      <c r="BA19" s="230" t="str">
        <f>VLOOKUP($B19,'6.คีย์ปลายภาค'!$C$6:$EI$50,89,FALSE)</f>
        <v/>
      </c>
      <c r="BB19" s="230" t="str">
        <f>IF(VLOOKUP($B19,'6.คีย์ปลายภาค'!$C$6:$EI$50,93,FALSE)="","",VLOOKUP($B19,'6.คีย์ปลายภาค'!$C$6:$EI$50,93,FALSE))</f>
        <v/>
      </c>
      <c r="BC19" s="230" t="str">
        <f>VLOOKUP($B19,'6.คีย์ปลายภาค'!$C$6:$EI$50,94,FALSE)</f>
        <v/>
      </c>
      <c r="BD19" s="230" t="str">
        <f>IF(VLOOKUP($B19,'6.คีย์ปลายภาค'!$C$6:$EI$50,98,FALSE)="","",VLOOKUP($B19,'6.คีย์ปลายภาค'!$C$6:$EI$50,98,FALSE))</f>
        <v/>
      </c>
      <c r="BE19" s="230" t="str">
        <f>VLOOKUP($B19,'6.คีย์ปลายภาค'!$C$6:$EI$50,99,FALSE)</f>
        <v/>
      </c>
      <c r="BF19" s="230" t="str">
        <f>IF(VLOOKUP($B19,'6.คีย์ปลายภาค'!$C$6:$EI$50,103,FALSE)="","",VLOOKUP($B19,'6.คีย์ปลายภาค'!$C$6:$EI$50,103,FALSE))</f>
        <v/>
      </c>
      <c r="BG19" s="230" t="str">
        <f>VLOOKUP($B19,'6.คีย์ปลายภาค'!$C$6:$EI$50,104,FALSE)</f>
        <v/>
      </c>
      <c r="BH19" s="230" t="str">
        <f>IF(VLOOKUP($B19,'6.คีย์ปลายภาค'!$C$6:$EI$50,108,FALSE)="","",VLOOKUP($B19,'6.คีย์ปลายภาค'!$C$6:$EI$50,108,FALSE))</f>
        <v/>
      </c>
      <c r="BI19" s="230" t="str">
        <f>VLOOKUP($B19,'6.คีย์ปลายภาค'!$C$6:$EI$50,109,FALSE)</f>
        <v/>
      </c>
      <c r="BJ19" s="230" t="str">
        <f>IF(VLOOKUP($B19,'6.คีย์ปลายภาค'!$C$6:$EI$50,113,FALSE)="","",VLOOKUP($B19,'6.คีย์ปลายภาค'!$C$6:$EI$50,113,FALSE))</f>
        <v/>
      </c>
      <c r="BK19" s="230" t="str">
        <f>VLOOKUP($B19,'6.คีย์ปลายภาค'!$C$6:$EI$50,114,FALSE)</f>
        <v/>
      </c>
      <c r="BL19" s="230" t="str">
        <f>IF(VLOOKUP($B19,'6.คีย์ปลายภาค'!$C$6:$EI$50,118,FALSE)="","",VLOOKUP($B19,'6.คีย์ปลายภาค'!$C$6:$EI$50,118,FALSE))</f>
        <v/>
      </c>
      <c r="BM19" s="230" t="str">
        <f>VLOOKUP($B19,'6.คีย์ปลายภาค'!$C$6:$EI$50,119,FALSE)</f>
        <v/>
      </c>
      <c r="BN19" s="230" t="str">
        <f>IF(VLOOKUP($B19,'6.คีย์ปลายภาค'!$C$6:$EI$50,123,FALSE)="","",VLOOKUP($B19,'6.คีย์ปลายภาค'!$C$6:$EI$50,123,FALSE))</f>
        <v/>
      </c>
      <c r="BO19" s="230" t="str">
        <f>VLOOKUP($B19,'6.คีย์ปลายภาค'!$C$6:$EI$50,124,FALSE)</f>
        <v/>
      </c>
      <c r="BP19" s="230" t="str">
        <f>IF(VLOOKUP($B19,'6.คีย์ปลายภาค'!$C$6:$EI$50,128,FALSE)="","",VLOOKUP($B19,'6.คีย์ปลายภาค'!$C$6:$EI$50,128,FALSE))</f>
        <v/>
      </c>
      <c r="BQ19" s="232" t="str">
        <f>VLOOKUP($B19,'6.คีย์ปลายภาค'!$C$6:$EI$50,129,FALSE)</f>
        <v/>
      </c>
      <c r="BR19" s="550" t="str">
        <f>IF(L19="","",IF('2.ชื่อนักเรียน'!R21="มส","",IF('2.ชื่อนักเรียน'!R21="ย้าย","",IF('2.ชื่อนักเรียน'!R21="ร","",SUM(BT19:CR19)/13.5))))</f>
        <v/>
      </c>
      <c r="BS19" s="520" t="str">
        <f>IF('2.ชื่อนักเรียน'!R21="มส","มส",IF('2.ชื่อนักเรียน'!R21="ย้าย","ย้าย",IF('2.ชื่อนักเรียน'!R21="ร","ร",IF(BR19="","",RANK(BR19,$BR$9:$BR$53,0)))))</f>
        <v/>
      </c>
      <c r="BT19" s="118" t="str">
        <f t="shared" si="0"/>
        <v/>
      </c>
      <c r="BU19" s="119" t="str">
        <f t="shared" si="1"/>
        <v/>
      </c>
      <c r="BV19" s="119" t="str">
        <f t="shared" si="2"/>
        <v/>
      </c>
      <c r="BW19" s="110" t="str">
        <f t="shared" si="3"/>
        <v/>
      </c>
      <c r="BX19" s="119" t="str">
        <f t="shared" si="4"/>
        <v/>
      </c>
      <c r="BY19" s="119" t="str">
        <f t="shared" si="5"/>
        <v/>
      </c>
      <c r="BZ19" s="119" t="str">
        <f t="shared" si="6"/>
        <v/>
      </c>
      <c r="CA19" s="119" t="str">
        <f t="shared" si="7"/>
        <v/>
      </c>
      <c r="CB19" s="110" t="str">
        <f t="shared" si="8"/>
        <v/>
      </c>
      <c r="CC19" s="151" t="str">
        <f t="shared" si="9"/>
        <v/>
      </c>
      <c r="CD19" s="151" t="str">
        <f t="shared" si="10"/>
        <v/>
      </c>
      <c r="CE19" s="111" t="str">
        <f t="shared" si="11"/>
        <v/>
      </c>
      <c r="CF19" s="118" t="str">
        <f t="shared" si="12"/>
        <v/>
      </c>
      <c r="CG19" s="119" t="str">
        <f t="shared" si="13"/>
        <v/>
      </c>
      <c r="CH19" s="119" t="str">
        <f t="shared" si="14"/>
        <v/>
      </c>
      <c r="CI19" s="119" t="str">
        <f t="shared" si="15"/>
        <v/>
      </c>
      <c r="CJ19" s="110" t="str">
        <f t="shared" si="16"/>
        <v/>
      </c>
      <c r="CK19" s="110" t="str">
        <f t="shared" si="17"/>
        <v/>
      </c>
      <c r="CL19" s="119" t="str">
        <f t="shared" si="18"/>
        <v/>
      </c>
      <c r="CM19" s="119" t="str">
        <f t="shared" si="19"/>
        <v/>
      </c>
      <c r="CN19" s="120" t="str">
        <f t="shared" si="20"/>
        <v/>
      </c>
      <c r="CO19" s="119" t="str">
        <f t="shared" si="21"/>
        <v/>
      </c>
      <c r="CP19" s="120" t="str">
        <f t="shared" si="22"/>
        <v/>
      </c>
      <c r="CQ19" s="111" t="str">
        <f t="shared" si="23"/>
        <v/>
      </c>
      <c r="CR19" s="494" t="str">
        <f t="shared" si="24"/>
        <v/>
      </c>
      <c r="CS19" s="148">
        <f t="shared" si="25"/>
        <v>0</v>
      </c>
      <c r="CT19" s="21">
        <f>IF('2.ชื่อนักเรียน'!AP21="มส","มส",IF('2.ชื่อนักเรียน'!AP21="ย้าย","ย้าย",IF('2.ชื่อนักเรียน'!AP21="ร","ร",IF(CS19="","",RANK(CS19,$CS$9:$CS$53,0)))))</f>
        <v>1</v>
      </c>
    </row>
    <row r="20" spans="1:98" s="29" customFormat="1" ht="18.75" customHeight="1" x14ac:dyDescent="0.25">
      <c r="A20" s="234">
        <v>12</v>
      </c>
      <c r="B20" s="512" t="str">
        <f>IF(IDstu12="","",IDstu12)</f>
        <v/>
      </c>
      <c r="C20" s="770" t="str">
        <f>IF(Name12="","",Name12)</f>
        <v/>
      </c>
      <c r="D20" s="707"/>
      <c r="E20" s="707"/>
      <c r="F20" s="707"/>
      <c r="G20" s="767" t="str">
        <f>IF(Surname12="","",Surname12)</f>
        <v/>
      </c>
      <c r="H20" s="767"/>
      <c r="I20" s="767"/>
      <c r="J20" s="767"/>
      <c r="K20" s="234" t="str">
        <f>IF(VLOOKUP($B20,'6.คีย์ปลายภาค'!$C$6:$EI$50,8,FALSE)="","",VLOOKUP($B20,'6.คีย์ปลายภาค'!$C$6:$EI$50,8,FALSE))</f>
        <v/>
      </c>
      <c r="L20" s="229" t="str">
        <f>VLOOKUP($B20,'6.คีย์ปลายภาค'!$C$6:$EI$50,9,FALSE)</f>
        <v/>
      </c>
      <c r="M20" s="229" t="str">
        <f>IF(VLOOKUP($B20,'6.คีย์ปลายภาค'!$C$6:$EI$50,13,FALSE)="","",VLOOKUP($B20,'6.คีย์ปลายภาค'!$C$6:$EI$50,13,FALSE))</f>
        <v/>
      </c>
      <c r="N20" s="230" t="str">
        <f>VLOOKUP($B20,'6.คีย์ปลายภาค'!$C$6:$EI$50,14,FALSE)</f>
        <v/>
      </c>
      <c r="O20" s="230" t="str">
        <f>IF(VLOOKUP($B20,'6.คีย์ปลายภาค'!$C$6:$EI$50,18,FALSE)="","",VLOOKUP($B20,'6.คีย์ปลายภาค'!$C$6:$EI$50,18,FALSE))</f>
        <v/>
      </c>
      <c r="P20" s="230" t="str">
        <f>VLOOKUP($B20,'6.คีย์ปลายภาค'!$C$6:$EI$50,19,FALSE)</f>
        <v/>
      </c>
      <c r="Q20" s="230" t="str">
        <f>IF(VLOOKUP($B20,'6.คีย์ปลายภาค'!$C$6:$EI$50,23,FALSE)="","",VLOOKUP($B20,'6.คีย์ปลายภาค'!$C$6:$EI$50,23,FALSE))</f>
        <v/>
      </c>
      <c r="R20" s="230" t="str">
        <f>VLOOKUP($B20,'6.คีย์ปลายภาค'!$C$6:$EI$50,24,FALSE)</f>
        <v/>
      </c>
      <c r="S20" s="230" t="str">
        <f>IF(VLOOKUP($B20,'6.คีย์ปลายภาค'!$C$6:$EI$50,28,FALSE)="","",VLOOKUP($B20,'6.คีย์ปลายภาค'!$C$6:$EI$50,28,FALSE))</f>
        <v/>
      </c>
      <c r="T20" s="230" t="str">
        <f>VLOOKUP($B20,'6.คีย์ปลายภาค'!$C$6:$EI$50,29,FALSE)</f>
        <v/>
      </c>
      <c r="U20" s="230" t="str">
        <f>IF(VLOOKUP($B20,'6.คีย์ปลายภาค'!$C$6:$EI$50,33,FALSE)="","",VLOOKUP($B20,'6.คีย์ปลายภาค'!$C$6:$EI$50,33,FALSE))</f>
        <v/>
      </c>
      <c r="V20" s="230" t="str">
        <f>VLOOKUP($B20,'6.คีย์ปลายภาค'!$C$6:$EI$50,34,FALSE)</f>
        <v/>
      </c>
      <c r="W20" s="230" t="str">
        <f>IF(VLOOKUP($B20,'6.คีย์ปลายภาค'!$C$6:$EI$50,38,FALSE)="","",VLOOKUP($B20,'6.คีย์ปลายภาค'!$C$6:$EI$50,38,FALSE))</f>
        <v/>
      </c>
      <c r="X20" s="230" t="str">
        <f>VLOOKUP($B20,'6.คีย์ปลายภาค'!$C$6:$EI$50,39,FALSE)</f>
        <v/>
      </c>
      <c r="Y20" s="230" t="str">
        <f>IF(VLOOKUP($B20,'6.คีย์ปลายภาค'!$C$6:$EI$50,43,FALSE)="","",VLOOKUP($B20,'6.คีย์ปลายภาค'!$C$6:$EI$50,43,FALSE))</f>
        <v/>
      </c>
      <c r="Z20" s="230" t="str">
        <f>VLOOKUP($B20,'6.คีย์ปลายภาค'!$C$6:$EI$50,44,FALSE)</f>
        <v/>
      </c>
      <c r="AA20" s="230" t="str">
        <f>IF(VLOOKUP($B20,'6.คีย์ปลายภาค'!$C$6:$EI$50,48,FALSE)="","",VLOOKUP($B20,'6.คีย์ปลายภาค'!$C$6:$EI$50,48,FALSE))</f>
        <v/>
      </c>
      <c r="AB20" s="230" t="str">
        <f>VLOOKUP($B20,'6.คีย์ปลายภาค'!$C$6:$EI$50,49,FALSE)</f>
        <v/>
      </c>
      <c r="AC20" s="231" t="str">
        <f>IF(VLOOKUP($B20,'6.คีย์ปลายภาค'!$C$6:$EI$50,53,FALSE)="","",VLOOKUP($B20,'6.คีย์ปลายภาค'!$C$6:$EI$50,53,FALSE))</f>
        <v/>
      </c>
      <c r="AD20" s="231" t="str">
        <f>VLOOKUP($B20,'6.คีย์ปลายภาค'!$C$6:$EI$50,54,FALSE)</f>
        <v/>
      </c>
      <c r="AE20" s="231" t="str">
        <f>IF(VLOOKUP($B20,'6.คีย์ปลายภาค'!$C$6:$EI$50,58,FALSE)="","",VLOOKUP($B20,'6.คีย์ปลายภาค'!$C$6:$EI$50,58,FALSE))</f>
        <v/>
      </c>
      <c r="AF20" s="231" t="str">
        <f>VLOOKUP($B20,'6.คีย์ปลายภาค'!$C$6:$EI$50,59,FALSE)</f>
        <v/>
      </c>
      <c r="AG20" s="231" t="str">
        <f>IF(VLOOKUP($B20,'6.คีย์ปลายภาค'!$C$6:$EI$50,63,FALSE)="","",VLOOKUP($B20,'6.คีย์ปลายภาค'!$C$6:$EI$50,63,FALSE))</f>
        <v/>
      </c>
      <c r="AH20" s="232" t="str">
        <f>VLOOKUP($B20,'6.คีย์ปลายภาค'!$C$6:$EI$50,64,FALSE)</f>
        <v/>
      </c>
      <c r="AI20" s="31">
        <v>12</v>
      </c>
      <c r="AJ20" s="770" t="str">
        <f>IF(Name12="","",Name12)</f>
        <v/>
      </c>
      <c r="AK20" s="707"/>
      <c r="AL20" s="707"/>
      <c r="AM20" s="707"/>
      <c r="AN20" s="767" t="str">
        <f>IF(Surname12="","",Surname12)</f>
        <v/>
      </c>
      <c r="AO20" s="767"/>
      <c r="AP20" s="767"/>
      <c r="AQ20" s="767"/>
      <c r="AR20" s="234" t="str">
        <f>IF(VLOOKUP($B20,'6.คีย์ปลายภาค'!$C$6:$EI$50,68,FALSE)="","",VLOOKUP($B20,'6.คีย์ปลายภาค'!$C$6:$EI$50,68,FALSE))</f>
        <v/>
      </c>
      <c r="AS20" s="230" t="str">
        <f>VLOOKUP($B20,'6.คีย์ปลายภาค'!$C$6:$EI$50,69,FALSE)</f>
        <v/>
      </c>
      <c r="AT20" s="230" t="str">
        <f>IF(VLOOKUP($B20,'6.คีย์ปลายภาค'!$C$6:$EI$50,73,FALSE)="","",VLOOKUP($B20,'6.คีย์ปลายภาค'!$C$6:$EI$50,73,FALSE))</f>
        <v/>
      </c>
      <c r="AU20" s="230" t="str">
        <f>VLOOKUP($B20,'6.คีย์ปลายภาค'!$C$6:$EI$50,74,FALSE)</f>
        <v/>
      </c>
      <c r="AV20" s="230" t="str">
        <f>IF(VLOOKUP($B20,'6.คีย์ปลายภาค'!$C$6:$EI$50,78,FALSE)="","",VLOOKUP($B20,'6.คีย์ปลายภาค'!$C$6:$EI$50,78,FALSE))</f>
        <v/>
      </c>
      <c r="AW20" s="230" t="str">
        <f>VLOOKUP($B20,'6.คีย์ปลายภาค'!$C$6:$EI$50,79,FALSE)</f>
        <v/>
      </c>
      <c r="AX20" s="230" t="str">
        <f>IF(VLOOKUP($B20,'6.คีย์ปลายภาค'!$C$6:$EI$50,83,FALSE)="","",VLOOKUP($B20,'6.คีย์ปลายภาค'!$C$6:$EI$50,83,FALSE))</f>
        <v/>
      </c>
      <c r="AY20" s="230" t="str">
        <f>VLOOKUP($B20,'6.คีย์ปลายภาค'!$C$6:$EI$50,84,FALSE)</f>
        <v/>
      </c>
      <c r="AZ20" s="230" t="str">
        <f>IF(VLOOKUP($B20,'6.คีย์ปลายภาค'!$C$6:$EI$50,88,FALSE)="","",VLOOKUP($B20,'6.คีย์ปลายภาค'!$C$6:$EI$50,88,FALSE))</f>
        <v/>
      </c>
      <c r="BA20" s="230" t="str">
        <f>VLOOKUP($B20,'6.คีย์ปลายภาค'!$C$6:$EI$50,89,FALSE)</f>
        <v/>
      </c>
      <c r="BB20" s="230" t="str">
        <f>IF(VLOOKUP($B20,'6.คีย์ปลายภาค'!$C$6:$EI$50,93,FALSE)="","",VLOOKUP($B20,'6.คีย์ปลายภาค'!$C$6:$EI$50,93,FALSE))</f>
        <v/>
      </c>
      <c r="BC20" s="230" t="str">
        <f>VLOOKUP($B20,'6.คีย์ปลายภาค'!$C$6:$EI$50,94,FALSE)</f>
        <v/>
      </c>
      <c r="BD20" s="230" t="str">
        <f>IF(VLOOKUP($B20,'6.คีย์ปลายภาค'!$C$6:$EI$50,98,FALSE)="","",VLOOKUP($B20,'6.คีย์ปลายภาค'!$C$6:$EI$50,98,FALSE))</f>
        <v/>
      </c>
      <c r="BE20" s="230" t="str">
        <f>VLOOKUP($B20,'6.คีย์ปลายภาค'!$C$6:$EI$50,99,FALSE)</f>
        <v/>
      </c>
      <c r="BF20" s="230" t="str">
        <f>IF(VLOOKUP($B20,'6.คีย์ปลายภาค'!$C$6:$EI$50,103,FALSE)="","",VLOOKUP($B20,'6.คีย์ปลายภาค'!$C$6:$EI$50,103,FALSE))</f>
        <v/>
      </c>
      <c r="BG20" s="230" t="str">
        <f>VLOOKUP($B20,'6.คีย์ปลายภาค'!$C$6:$EI$50,104,FALSE)</f>
        <v/>
      </c>
      <c r="BH20" s="230" t="str">
        <f>IF(VLOOKUP($B20,'6.คีย์ปลายภาค'!$C$6:$EI$50,108,FALSE)="","",VLOOKUP($B20,'6.คีย์ปลายภาค'!$C$6:$EI$50,108,FALSE))</f>
        <v/>
      </c>
      <c r="BI20" s="230" t="str">
        <f>VLOOKUP($B20,'6.คีย์ปลายภาค'!$C$6:$EI$50,109,FALSE)</f>
        <v/>
      </c>
      <c r="BJ20" s="230" t="str">
        <f>IF(VLOOKUP($B20,'6.คีย์ปลายภาค'!$C$6:$EI$50,113,FALSE)="","",VLOOKUP($B20,'6.คีย์ปลายภาค'!$C$6:$EI$50,113,FALSE))</f>
        <v/>
      </c>
      <c r="BK20" s="230" t="str">
        <f>VLOOKUP($B20,'6.คีย์ปลายภาค'!$C$6:$EI$50,114,FALSE)</f>
        <v/>
      </c>
      <c r="BL20" s="230" t="str">
        <f>IF(VLOOKUP($B20,'6.คีย์ปลายภาค'!$C$6:$EI$50,118,FALSE)="","",VLOOKUP($B20,'6.คีย์ปลายภาค'!$C$6:$EI$50,118,FALSE))</f>
        <v/>
      </c>
      <c r="BM20" s="230" t="str">
        <f>VLOOKUP($B20,'6.คีย์ปลายภาค'!$C$6:$EI$50,119,FALSE)</f>
        <v/>
      </c>
      <c r="BN20" s="230" t="str">
        <f>IF(VLOOKUP($B20,'6.คีย์ปลายภาค'!$C$6:$EI$50,123,FALSE)="","",VLOOKUP($B20,'6.คีย์ปลายภาค'!$C$6:$EI$50,123,FALSE))</f>
        <v/>
      </c>
      <c r="BO20" s="230" t="str">
        <f>VLOOKUP($B20,'6.คีย์ปลายภาค'!$C$6:$EI$50,124,FALSE)</f>
        <v/>
      </c>
      <c r="BP20" s="230" t="str">
        <f>IF(VLOOKUP($B20,'6.คีย์ปลายภาค'!$C$6:$EI$50,128,FALSE)="","",VLOOKUP($B20,'6.คีย์ปลายภาค'!$C$6:$EI$50,128,FALSE))</f>
        <v/>
      </c>
      <c r="BQ20" s="232" t="str">
        <f>VLOOKUP($B20,'6.คีย์ปลายภาค'!$C$6:$EI$50,129,FALSE)</f>
        <v/>
      </c>
      <c r="BR20" s="550" t="str">
        <f>IF(L20="","",IF('2.ชื่อนักเรียน'!R22="มส","",IF('2.ชื่อนักเรียน'!R22="ย้าย","",IF('2.ชื่อนักเรียน'!R22="ร","",SUM(BT20:CR20)/13.5))))</f>
        <v/>
      </c>
      <c r="BS20" s="520" t="str">
        <f>IF('2.ชื่อนักเรียน'!R22="มส","มส",IF('2.ชื่อนักเรียน'!R22="ย้าย","ย้าย",IF('2.ชื่อนักเรียน'!R22="ร","ร",IF(BR20="","",RANK(BR20,$BR$9:$BR$53,0)))))</f>
        <v/>
      </c>
      <c r="BT20" s="118" t="str">
        <f t="shared" si="0"/>
        <v/>
      </c>
      <c r="BU20" s="119" t="str">
        <f t="shared" si="1"/>
        <v/>
      </c>
      <c r="BV20" s="119" t="str">
        <f t="shared" si="2"/>
        <v/>
      </c>
      <c r="BW20" s="110" t="str">
        <f t="shared" si="3"/>
        <v/>
      </c>
      <c r="BX20" s="119" t="str">
        <f t="shared" si="4"/>
        <v/>
      </c>
      <c r="BY20" s="119" t="str">
        <f t="shared" si="5"/>
        <v/>
      </c>
      <c r="BZ20" s="119" t="str">
        <f t="shared" si="6"/>
        <v/>
      </c>
      <c r="CA20" s="119" t="str">
        <f t="shared" si="7"/>
        <v/>
      </c>
      <c r="CB20" s="110" t="str">
        <f t="shared" si="8"/>
        <v/>
      </c>
      <c r="CC20" s="151" t="str">
        <f t="shared" si="9"/>
        <v/>
      </c>
      <c r="CD20" s="151" t="str">
        <f t="shared" si="10"/>
        <v/>
      </c>
      <c r="CE20" s="111" t="str">
        <f t="shared" si="11"/>
        <v/>
      </c>
      <c r="CF20" s="118" t="str">
        <f t="shared" si="12"/>
        <v/>
      </c>
      <c r="CG20" s="119" t="str">
        <f t="shared" si="13"/>
        <v/>
      </c>
      <c r="CH20" s="119" t="str">
        <f t="shared" si="14"/>
        <v/>
      </c>
      <c r="CI20" s="119" t="str">
        <f t="shared" si="15"/>
        <v/>
      </c>
      <c r="CJ20" s="110" t="str">
        <f t="shared" si="16"/>
        <v/>
      </c>
      <c r="CK20" s="110" t="str">
        <f t="shared" si="17"/>
        <v/>
      </c>
      <c r="CL20" s="119" t="str">
        <f t="shared" si="18"/>
        <v/>
      </c>
      <c r="CM20" s="119" t="str">
        <f t="shared" si="19"/>
        <v/>
      </c>
      <c r="CN20" s="120" t="str">
        <f t="shared" si="20"/>
        <v/>
      </c>
      <c r="CO20" s="119" t="str">
        <f t="shared" si="21"/>
        <v/>
      </c>
      <c r="CP20" s="120" t="str">
        <f t="shared" si="22"/>
        <v/>
      </c>
      <c r="CQ20" s="111" t="str">
        <f t="shared" si="23"/>
        <v/>
      </c>
      <c r="CR20" s="494" t="str">
        <f t="shared" si="24"/>
        <v/>
      </c>
      <c r="CS20" s="148">
        <f t="shared" si="25"/>
        <v>0</v>
      </c>
      <c r="CT20" s="21">
        <f>IF('2.ชื่อนักเรียน'!AP22="มส","มส",IF('2.ชื่อนักเรียน'!AP22="ย้าย","ย้าย",IF('2.ชื่อนักเรียน'!AP22="ร","ร",IF(CS20="","",RANK(CS20,$CS$9:$CS$53,0)))))</f>
        <v>1</v>
      </c>
    </row>
    <row r="21" spans="1:98" s="29" customFormat="1" ht="18.75" customHeight="1" x14ac:dyDescent="0.25">
      <c r="A21" s="234">
        <v>13</v>
      </c>
      <c r="B21" s="512" t="str">
        <f>IF(IDstu13="","",IDstu13)</f>
        <v/>
      </c>
      <c r="C21" s="770" t="str">
        <f>IF(Name13="","",Name13)</f>
        <v/>
      </c>
      <c r="D21" s="707"/>
      <c r="E21" s="707"/>
      <c r="F21" s="707"/>
      <c r="G21" s="767" t="str">
        <f>IF(Surname13="","",Surname13)</f>
        <v/>
      </c>
      <c r="H21" s="767"/>
      <c r="I21" s="767"/>
      <c r="J21" s="767"/>
      <c r="K21" s="234" t="str">
        <f>IF(VLOOKUP($B21,'6.คีย์ปลายภาค'!$C$6:$EI$50,8,FALSE)="","",VLOOKUP($B21,'6.คีย์ปลายภาค'!$C$6:$EI$50,8,FALSE))</f>
        <v/>
      </c>
      <c r="L21" s="229" t="str">
        <f>VLOOKUP($B21,'6.คีย์ปลายภาค'!$C$6:$EI$50,9,FALSE)</f>
        <v/>
      </c>
      <c r="M21" s="229" t="str">
        <f>IF(VLOOKUP($B21,'6.คีย์ปลายภาค'!$C$6:$EI$50,13,FALSE)="","",VLOOKUP($B21,'6.คีย์ปลายภาค'!$C$6:$EI$50,13,FALSE))</f>
        <v/>
      </c>
      <c r="N21" s="230" t="str">
        <f>VLOOKUP($B21,'6.คีย์ปลายภาค'!$C$6:$EI$50,14,FALSE)</f>
        <v/>
      </c>
      <c r="O21" s="230" t="str">
        <f>IF(VLOOKUP($B21,'6.คีย์ปลายภาค'!$C$6:$EI$50,18,FALSE)="","",VLOOKUP($B21,'6.คีย์ปลายภาค'!$C$6:$EI$50,18,FALSE))</f>
        <v/>
      </c>
      <c r="P21" s="230" t="str">
        <f>VLOOKUP($B21,'6.คีย์ปลายภาค'!$C$6:$EI$50,19,FALSE)</f>
        <v/>
      </c>
      <c r="Q21" s="230" t="str">
        <f>IF(VLOOKUP($B21,'6.คีย์ปลายภาค'!$C$6:$EI$50,23,FALSE)="","",VLOOKUP($B21,'6.คีย์ปลายภาค'!$C$6:$EI$50,23,FALSE))</f>
        <v/>
      </c>
      <c r="R21" s="230" t="str">
        <f>VLOOKUP($B21,'6.คีย์ปลายภาค'!$C$6:$EI$50,24,FALSE)</f>
        <v/>
      </c>
      <c r="S21" s="230" t="str">
        <f>IF(VLOOKUP($B21,'6.คีย์ปลายภาค'!$C$6:$EI$50,28,FALSE)="","",VLOOKUP($B21,'6.คีย์ปลายภาค'!$C$6:$EI$50,28,FALSE))</f>
        <v/>
      </c>
      <c r="T21" s="230" t="str">
        <f>VLOOKUP($B21,'6.คีย์ปลายภาค'!$C$6:$EI$50,29,FALSE)</f>
        <v/>
      </c>
      <c r="U21" s="230" t="str">
        <f>IF(VLOOKUP($B21,'6.คีย์ปลายภาค'!$C$6:$EI$50,33,FALSE)="","",VLOOKUP($B21,'6.คีย์ปลายภาค'!$C$6:$EI$50,33,FALSE))</f>
        <v/>
      </c>
      <c r="V21" s="230" t="str">
        <f>VLOOKUP($B21,'6.คีย์ปลายภาค'!$C$6:$EI$50,34,FALSE)</f>
        <v/>
      </c>
      <c r="W21" s="230" t="str">
        <f>IF(VLOOKUP($B21,'6.คีย์ปลายภาค'!$C$6:$EI$50,38,FALSE)="","",VLOOKUP($B21,'6.คีย์ปลายภาค'!$C$6:$EI$50,38,FALSE))</f>
        <v/>
      </c>
      <c r="X21" s="230" t="str">
        <f>VLOOKUP($B21,'6.คีย์ปลายภาค'!$C$6:$EI$50,39,FALSE)</f>
        <v/>
      </c>
      <c r="Y21" s="230" t="str">
        <f>IF(VLOOKUP($B21,'6.คีย์ปลายภาค'!$C$6:$EI$50,43,FALSE)="","",VLOOKUP($B21,'6.คีย์ปลายภาค'!$C$6:$EI$50,43,FALSE))</f>
        <v/>
      </c>
      <c r="Z21" s="230" t="str">
        <f>VLOOKUP($B21,'6.คีย์ปลายภาค'!$C$6:$EI$50,44,FALSE)</f>
        <v/>
      </c>
      <c r="AA21" s="230" t="str">
        <f>IF(VLOOKUP($B21,'6.คีย์ปลายภาค'!$C$6:$EI$50,48,FALSE)="","",VLOOKUP($B21,'6.คีย์ปลายภาค'!$C$6:$EI$50,48,FALSE))</f>
        <v/>
      </c>
      <c r="AB21" s="230" t="str">
        <f>VLOOKUP($B21,'6.คีย์ปลายภาค'!$C$6:$EI$50,49,FALSE)</f>
        <v/>
      </c>
      <c r="AC21" s="231" t="str">
        <f>IF(VLOOKUP($B21,'6.คีย์ปลายภาค'!$C$6:$EI$50,53,FALSE)="","",VLOOKUP($B21,'6.คีย์ปลายภาค'!$C$6:$EI$50,53,FALSE))</f>
        <v/>
      </c>
      <c r="AD21" s="231" t="str">
        <f>VLOOKUP($B21,'6.คีย์ปลายภาค'!$C$6:$EI$50,54,FALSE)</f>
        <v/>
      </c>
      <c r="AE21" s="231" t="str">
        <f>IF(VLOOKUP($B21,'6.คีย์ปลายภาค'!$C$6:$EI$50,58,FALSE)="","",VLOOKUP($B21,'6.คีย์ปลายภาค'!$C$6:$EI$50,58,FALSE))</f>
        <v/>
      </c>
      <c r="AF21" s="231" t="str">
        <f>VLOOKUP($B21,'6.คีย์ปลายภาค'!$C$6:$EI$50,59,FALSE)</f>
        <v/>
      </c>
      <c r="AG21" s="231" t="str">
        <f>IF(VLOOKUP($B21,'6.คีย์ปลายภาค'!$C$6:$EI$50,63,FALSE)="","",VLOOKUP($B21,'6.คีย์ปลายภาค'!$C$6:$EI$50,63,FALSE))</f>
        <v/>
      </c>
      <c r="AH21" s="232" t="str">
        <f>VLOOKUP($B21,'6.คีย์ปลายภาค'!$C$6:$EI$50,64,FALSE)</f>
        <v/>
      </c>
      <c r="AI21" s="31">
        <v>13</v>
      </c>
      <c r="AJ21" s="770" t="str">
        <f>IF(Name13="","",Name13)</f>
        <v/>
      </c>
      <c r="AK21" s="707"/>
      <c r="AL21" s="707"/>
      <c r="AM21" s="707"/>
      <c r="AN21" s="767" t="str">
        <f>IF(Surname13="","",Surname13)</f>
        <v/>
      </c>
      <c r="AO21" s="767"/>
      <c r="AP21" s="767"/>
      <c r="AQ21" s="767"/>
      <c r="AR21" s="234" t="str">
        <f>IF(VLOOKUP($B21,'6.คีย์ปลายภาค'!$C$6:$EI$50,68,FALSE)="","",VLOOKUP($B21,'6.คีย์ปลายภาค'!$C$6:$EI$50,68,FALSE))</f>
        <v/>
      </c>
      <c r="AS21" s="230" t="str">
        <f>VLOOKUP($B21,'6.คีย์ปลายภาค'!$C$6:$EI$50,69,FALSE)</f>
        <v/>
      </c>
      <c r="AT21" s="230" t="str">
        <f>IF(VLOOKUP($B21,'6.คีย์ปลายภาค'!$C$6:$EI$50,73,FALSE)="","",VLOOKUP($B21,'6.คีย์ปลายภาค'!$C$6:$EI$50,73,FALSE))</f>
        <v/>
      </c>
      <c r="AU21" s="230" t="str">
        <f>VLOOKUP($B21,'6.คีย์ปลายภาค'!$C$6:$EI$50,74,FALSE)</f>
        <v/>
      </c>
      <c r="AV21" s="230" t="str">
        <f>IF(VLOOKUP($B21,'6.คีย์ปลายภาค'!$C$6:$EI$50,78,FALSE)="","",VLOOKUP($B21,'6.คีย์ปลายภาค'!$C$6:$EI$50,78,FALSE))</f>
        <v/>
      </c>
      <c r="AW21" s="230" t="str">
        <f>VLOOKUP($B21,'6.คีย์ปลายภาค'!$C$6:$EI$50,79,FALSE)</f>
        <v/>
      </c>
      <c r="AX21" s="230" t="str">
        <f>IF(VLOOKUP($B21,'6.คีย์ปลายภาค'!$C$6:$EI$50,83,FALSE)="","",VLOOKUP($B21,'6.คีย์ปลายภาค'!$C$6:$EI$50,83,FALSE))</f>
        <v/>
      </c>
      <c r="AY21" s="230" t="str">
        <f>VLOOKUP($B21,'6.คีย์ปลายภาค'!$C$6:$EI$50,84,FALSE)</f>
        <v/>
      </c>
      <c r="AZ21" s="230" t="str">
        <f>IF(VLOOKUP($B21,'6.คีย์ปลายภาค'!$C$6:$EI$50,88,FALSE)="","",VLOOKUP($B21,'6.คีย์ปลายภาค'!$C$6:$EI$50,88,FALSE))</f>
        <v/>
      </c>
      <c r="BA21" s="230" t="str">
        <f>VLOOKUP($B21,'6.คีย์ปลายภาค'!$C$6:$EI$50,89,FALSE)</f>
        <v/>
      </c>
      <c r="BB21" s="230" t="str">
        <f>IF(VLOOKUP($B21,'6.คีย์ปลายภาค'!$C$6:$EI$50,93,FALSE)="","",VLOOKUP($B21,'6.คีย์ปลายภาค'!$C$6:$EI$50,93,FALSE))</f>
        <v/>
      </c>
      <c r="BC21" s="230" t="str">
        <f>VLOOKUP($B21,'6.คีย์ปลายภาค'!$C$6:$EI$50,94,FALSE)</f>
        <v/>
      </c>
      <c r="BD21" s="230" t="str">
        <f>IF(VLOOKUP($B21,'6.คีย์ปลายภาค'!$C$6:$EI$50,98,FALSE)="","",VLOOKUP($B21,'6.คีย์ปลายภาค'!$C$6:$EI$50,98,FALSE))</f>
        <v/>
      </c>
      <c r="BE21" s="230" t="str">
        <f>VLOOKUP($B21,'6.คีย์ปลายภาค'!$C$6:$EI$50,99,FALSE)</f>
        <v/>
      </c>
      <c r="BF21" s="230" t="str">
        <f>IF(VLOOKUP($B21,'6.คีย์ปลายภาค'!$C$6:$EI$50,103,FALSE)="","",VLOOKUP($B21,'6.คีย์ปลายภาค'!$C$6:$EI$50,103,FALSE))</f>
        <v/>
      </c>
      <c r="BG21" s="230" t="str">
        <f>VLOOKUP($B21,'6.คีย์ปลายภาค'!$C$6:$EI$50,104,FALSE)</f>
        <v/>
      </c>
      <c r="BH21" s="230" t="str">
        <f>IF(VLOOKUP($B21,'6.คีย์ปลายภาค'!$C$6:$EI$50,108,FALSE)="","",VLOOKUP($B21,'6.คีย์ปลายภาค'!$C$6:$EI$50,108,FALSE))</f>
        <v/>
      </c>
      <c r="BI21" s="230" t="str">
        <f>VLOOKUP($B21,'6.คีย์ปลายภาค'!$C$6:$EI$50,109,FALSE)</f>
        <v/>
      </c>
      <c r="BJ21" s="230" t="str">
        <f>IF(VLOOKUP($B21,'6.คีย์ปลายภาค'!$C$6:$EI$50,113,FALSE)="","",VLOOKUP($B21,'6.คีย์ปลายภาค'!$C$6:$EI$50,113,FALSE))</f>
        <v/>
      </c>
      <c r="BK21" s="230" t="str">
        <f>VLOOKUP($B21,'6.คีย์ปลายภาค'!$C$6:$EI$50,114,FALSE)</f>
        <v/>
      </c>
      <c r="BL21" s="230" t="str">
        <f>IF(VLOOKUP($B21,'6.คีย์ปลายภาค'!$C$6:$EI$50,118,FALSE)="","",VLOOKUP($B21,'6.คีย์ปลายภาค'!$C$6:$EI$50,118,FALSE))</f>
        <v/>
      </c>
      <c r="BM21" s="230" t="str">
        <f>VLOOKUP($B21,'6.คีย์ปลายภาค'!$C$6:$EI$50,119,FALSE)</f>
        <v/>
      </c>
      <c r="BN21" s="230" t="str">
        <f>IF(VLOOKUP($B21,'6.คีย์ปลายภาค'!$C$6:$EI$50,123,FALSE)="","",VLOOKUP($B21,'6.คีย์ปลายภาค'!$C$6:$EI$50,123,FALSE))</f>
        <v/>
      </c>
      <c r="BO21" s="230" t="str">
        <f>VLOOKUP($B21,'6.คีย์ปลายภาค'!$C$6:$EI$50,124,FALSE)</f>
        <v/>
      </c>
      <c r="BP21" s="230" t="str">
        <f>IF(VLOOKUP($B21,'6.คีย์ปลายภาค'!$C$6:$EI$50,128,FALSE)="","",VLOOKUP($B21,'6.คีย์ปลายภาค'!$C$6:$EI$50,128,FALSE))</f>
        <v/>
      </c>
      <c r="BQ21" s="232" t="str">
        <f>VLOOKUP($B21,'6.คีย์ปลายภาค'!$C$6:$EI$50,129,FALSE)</f>
        <v/>
      </c>
      <c r="BR21" s="550" t="str">
        <f>IF(L21="","",IF('2.ชื่อนักเรียน'!R23="มส","",IF('2.ชื่อนักเรียน'!R23="ย้าย","",IF('2.ชื่อนักเรียน'!R23="ร","",SUM(BT21:CR21)/13.5))))</f>
        <v/>
      </c>
      <c r="BS21" s="520" t="str">
        <f>IF('2.ชื่อนักเรียน'!R23="มส","มส",IF('2.ชื่อนักเรียน'!R23="ย้าย","ย้าย",IF('2.ชื่อนักเรียน'!R23="ร","ร",IF(BR21="","",RANK(BR21,$BR$9:$BR$53,0)))))</f>
        <v/>
      </c>
      <c r="BT21" s="118" t="str">
        <f t="shared" si="0"/>
        <v/>
      </c>
      <c r="BU21" s="119" t="str">
        <f t="shared" si="1"/>
        <v/>
      </c>
      <c r="BV21" s="119" t="str">
        <f t="shared" si="2"/>
        <v/>
      </c>
      <c r="BW21" s="110" t="str">
        <f t="shared" si="3"/>
        <v/>
      </c>
      <c r="BX21" s="119" t="str">
        <f t="shared" si="4"/>
        <v/>
      </c>
      <c r="BY21" s="119" t="str">
        <f t="shared" si="5"/>
        <v/>
      </c>
      <c r="BZ21" s="119" t="str">
        <f t="shared" si="6"/>
        <v/>
      </c>
      <c r="CA21" s="119" t="str">
        <f t="shared" si="7"/>
        <v/>
      </c>
      <c r="CB21" s="110" t="str">
        <f t="shared" si="8"/>
        <v/>
      </c>
      <c r="CC21" s="151" t="str">
        <f t="shared" si="9"/>
        <v/>
      </c>
      <c r="CD21" s="151" t="str">
        <f t="shared" si="10"/>
        <v/>
      </c>
      <c r="CE21" s="111" t="str">
        <f t="shared" si="11"/>
        <v/>
      </c>
      <c r="CF21" s="118" t="str">
        <f t="shared" si="12"/>
        <v/>
      </c>
      <c r="CG21" s="119" t="str">
        <f t="shared" si="13"/>
        <v/>
      </c>
      <c r="CH21" s="119" t="str">
        <f t="shared" si="14"/>
        <v/>
      </c>
      <c r="CI21" s="119" t="str">
        <f t="shared" si="15"/>
        <v/>
      </c>
      <c r="CJ21" s="110" t="str">
        <f t="shared" si="16"/>
        <v/>
      </c>
      <c r="CK21" s="110" t="str">
        <f t="shared" si="17"/>
        <v/>
      </c>
      <c r="CL21" s="119" t="str">
        <f t="shared" si="18"/>
        <v/>
      </c>
      <c r="CM21" s="119" t="str">
        <f t="shared" si="19"/>
        <v/>
      </c>
      <c r="CN21" s="120" t="str">
        <f t="shared" si="20"/>
        <v/>
      </c>
      <c r="CO21" s="119" t="str">
        <f t="shared" si="21"/>
        <v/>
      </c>
      <c r="CP21" s="120" t="str">
        <f t="shared" si="22"/>
        <v/>
      </c>
      <c r="CQ21" s="111" t="str">
        <f t="shared" si="23"/>
        <v/>
      </c>
      <c r="CR21" s="494" t="str">
        <f t="shared" si="24"/>
        <v/>
      </c>
      <c r="CS21" s="148">
        <f t="shared" si="25"/>
        <v>0</v>
      </c>
      <c r="CT21" s="21">
        <f>IF('2.ชื่อนักเรียน'!AP23="มส","มส",IF('2.ชื่อนักเรียน'!AP23="ย้าย","ย้าย",IF('2.ชื่อนักเรียน'!AP23="ร","ร",IF(CS21="","",RANK(CS21,$CS$9:$CS$53,0)))))</f>
        <v>1</v>
      </c>
    </row>
    <row r="22" spans="1:98" s="29" customFormat="1" ht="18.75" customHeight="1" x14ac:dyDescent="0.25">
      <c r="A22" s="234">
        <v>14</v>
      </c>
      <c r="B22" s="512" t="str">
        <f>IF(IDstu14="","",IDstu14)</f>
        <v/>
      </c>
      <c r="C22" s="770" t="str">
        <f>IF(Name14="","",Name14)</f>
        <v/>
      </c>
      <c r="D22" s="707"/>
      <c r="E22" s="707"/>
      <c r="F22" s="707"/>
      <c r="G22" s="767" t="str">
        <f>IF(Surname14="","",Surname14)</f>
        <v/>
      </c>
      <c r="H22" s="767"/>
      <c r="I22" s="767"/>
      <c r="J22" s="767"/>
      <c r="K22" s="234" t="str">
        <f>IF(VLOOKUP($B22,'6.คีย์ปลายภาค'!$C$6:$EI$50,8,FALSE)="","",VLOOKUP($B22,'6.คีย์ปลายภาค'!$C$6:$EI$50,8,FALSE))</f>
        <v/>
      </c>
      <c r="L22" s="229" t="str">
        <f>VLOOKUP($B22,'6.คีย์ปลายภาค'!$C$6:$EI$50,9,FALSE)</f>
        <v/>
      </c>
      <c r="M22" s="229" t="str">
        <f>IF(VLOOKUP($B22,'6.คีย์ปลายภาค'!$C$6:$EI$50,13,FALSE)="","",VLOOKUP($B22,'6.คีย์ปลายภาค'!$C$6:$EI$50,13,FALSE))</f>
        <v/>
      </c>
      <c r="N22" s="230" t="str">
        <f>VLOOKUP($B22,'6.คีย์ปลายภาค'!$C$6:$EI$50,14,FALSE)</f>
        <v/>
      </c>
      <c r="O22" s="230" t="str">
        <f>IF(VLOOKUP($B22,'6.คีย์ปลายภาค'!$C$6:$EI$50,18,FALSE)="","",VLOOKUP($B22,'6.คีย์ปลายภาค'!$C$6:$EI$50,18,FALSE))</f>
        <v/>
      </c>
      <c r="P22" s="230" t="str">
        <f>VLOOKUP($B22,'6.คีย์ปลายภาค'!$C$6:$EI$50,19,FALSE)</f>
        <v/>
      </c>
      <c r="Q22" s="230" t="str">
        <f>IF(VLOOKUP($B22,'6.คีย์ปลายภาค'!$C$6:$EI$50,23,FALSE)="","",VLOOKUP($B22,'6.คีย์ปลายภาค'!$C$6:$EI$50,23,FALSE))</f>
        <v/>
      </c>
      <c r="R22" s="230" t="str">
        <f>VLOOKUP($B22,'6.คีย์ปลายภาค'!$C$6:$EI$50,24,FALSE)</f>
        <v/>
      </c>
      <c r="S22" s="230" t="str">
        <f>IF(VLOOKUP($B22,'6.คีย์ปลายภาค'!$C$6:$EI$50,28,FALSE)="","",VLOOKUP($B22,'6.คีย์ปลายภาค'!$C$6:$EI$50,28,FALSE))</f>
        <v/>
      </c>
      <c r="T22" s="230" t="str">
        <f>VLOOKUP($B22,'6.คีย์ปลายภาค'!$C$6:$EI$50,29,FALSE)</f>
        <v/>
      </c>
      <c r="U22" s="230" t="str">
        <f>IF(VLOOKUP($B22,'6.คีย์ปลายภาค'!$C$6:$EI$50,33,FALSE)="","",VLOOKUP($B22,'6.คีย์ปลายภาค'!$C$6:$EI$50,33,FALSE))</f>
        <v/>
      </c>
      <c r="V22" s="230" t="str">
        <f>VLOOKUP($B22,'6.คีย์ปลายภาค'!$C$6:$EI$50,34,FALSE)</f>
        <v/>
      </c>
      <c r="W22" s="230" t="str">
        <f>IF(VLOOKUP($B22,'6.คีย์ปลายภาค'!$C$6:$EI$50,38,FALSE)="","",VLOOKUP($B22,'6.คีย์ปลายภาค'!$C$6:$EI$50,38,FALSE))</f>
        <v/>
      </c>
      <c r="X22" s="230" t="str">
        <f>VLOOKUP($B22,'6.คีย์ปลายภาค'!$C$6:$EI$50,39,FALSE)</f>
        <v/>
      </c>
      <c r="Y22" s="230" t="str">
        <f>IF(VLOOKUP($B22,'6.คีย์ปลายภาค'!$C$6:$EI$50,43,FALSE)="","",VLOOKUP($B22,'6.คีย์ปลายภาค'!$C$6:$EI$50,43,FALSE))</f>
        <v/>
      </c>
      <c r="Z22" s="230" t="str">
        <f>VLOOKUP($B22,'6.คีย์ปลายภาค'!$C$6:$EI$50,44,FALSE)</f>
        <v/>
      </c>
      <c r="AA22" s="230" t="str">
        <f>IF(VLOOKUP($B22,'6.คีย์ปลายภาค'!$C$6:$EI$50,48,FALSE)="","",VLOOKUP($B22,'6.คีย์ปลายภาค'!$C$6:$EI$50,48,FALSE))</f>
        <v/>
      </c>
      <c r="AB22" s="230" t="str">
        <f>VLOOKUP($B22,'6.คีย์ปลายภาค'!$C$6:$EI$50,49,FALSE)</f>
        <v/>
      </c>
      <c r="AC22" s="231" t="str">
        <f>IF(VLOOKUP($B22,'6.คีย์ปลายภาค'!$C$6:$EI$50,53,FALSE)="","",VLOOKUP($B22,'6.คีย์ปลายภาค'!$C$6:$EI$50,53,FALSE))</f>
        <v/>
      </c>
      <c r="AD22" s="231" t="str">
        <f>VLOOKUP($B22,'6.คีย์ปลายภาค'!$C$6:$EI$50,54,FALSE)</f>
        <v/>
      </c>
      <c r="AE22" s="231" t="str">
        <f>IF(VLOOKUP($B22,'6.คีย์ปลายภาค'!$C$6:$EI$50,58,FALSE)="","",VLOOKUP($B22,'6.คีย์ปลายภาค'!$C$6:$EI$50,58,FALSE))</f>
        <v/>
      </c>
      <c r="AF22" s="231" t="str">
        <f>VLOOKUP($B22,'6.คีย์ปลายภาค'!$C$6:$EI$50,59,FALSE)</f>
        <v/>
      </c>
      <c r="AG22" s="231" t="str">
        <f>IF(VLOOKUP($B22,'6.คีย์ปลายภาค'!$C$6:$EI$50,63,FALSE)="","",VLOOKUP($B22,'6.คีย์ปลายภาค'!$C$6:$EI$50,63,FALSE))</f>
        <v/>
      </c>
      <c r="AH22" s="232" t="str">
        <f>VLOOKUP($B22,'6.คีย์ปลายภาค'!$C$6:$EI$50,64,FALSE)</f>
        <v/>
      </c>
      <c r="AI22" s="31">
        <v>14</v>
      </c>
      <c r="AJ22" s="770" t="str">
        <f>IF(Name14="","",Name14)</f>
        <v/>
      </c>
      <c r="AK22" s="707"/>
      <c r="AL22" s="707"/>
      <c r="AM22" s="707"/>
      <c r="AN22" s="767" t="str">
        <f>IF(Surname14="","",Surname14)</f>
        <v/>
      </c>
      <c r="AO22" s="767"/>
      <c r="AP22" s="767"/>
      <c r="AQ22" s="767"/>
      <c r="AR22" s="234" t="str">
        <f>IF(VLOOKUP($B22,'6.คีย์ปลายภาค'!$C$6:$EI$50,68,FALSE)="","",VLOOKUP($B22,'6.คีย์ปลายภาค'!$C$6:$EI$50,68,FALSE))</f>
        <v/>
      </c>
      <c r="AS22" s="230" t="str">
        <f>VLOOKUP($B22,'6.คีย์ปลายภาค'!$C$6:$EI$50,69,FALSE)</f>
        <v/>
      </c>
      <c r="AT22" s="230" t="str">
        <f>IF(VLOOKUP($B22,'6.คีย์ปลายภาค'!$C$6:$EI$50,73,FALSE)="","",VLOOKUP($B22,'6.คีย์ปลายภาค'!$C$6:$EI$50,73,FALSE))</f>
        <v/>
      </c>
      <c r="AU22" s="230" t="str">
        <f>VLOOKUP($B22,'6.คีย์ปลายภาค'!$C$6:$EI$50,74,FALSE)</f>
        <v/>
      </c>
      <c r="AV22" s="230" t="str">
        <f>IF(VLOOKUP($B22,'6.คีย์ปลายภาค'!$C$6:$EI$50,78,FALSE)="","",VLOOKUP($B22,'6.คีย์ปลายภาค'!$C$6:$EI$50,78,FALSE))</f>
        <v/>
      </c>
      <c r="AW22" s="230" t="str">
        <f>VLOOKUP($B22,'6.คีย์ปลายภาค'!$C$6:$EI$50,79,FALSE)</f>
        <v/>
      </c>
      <c r="AX22" s="230" t="str">
        <f>IF(VLOOKUP($B22,'6.คีย์ปลายภาค'!$C$6:$EI$50,83,FALSE)="","",VLOOKUP($B22,'6.คีย์ปลายภาค'!$C$6:$EI$50,83,FALSE))</f>
        <v/>
      </c>
      <c r="AY22" s="230" t="str">
        <f>VLOOKUP($B22,'6.คีย์ปลายภาค'!$C$6:$EI$50,84,FALSE)</f>
        <v/>
      </c>
      <c r="AZ22" s="230" t="str">
        <f>IF(VLOOKUP($B22,'6.คีย์ปลายภาค'!$C$6:$EI$50,88,FALSE)="","",VLOOKUP($B22,'6.คีย์ปลายภาค'!$C$6:$EI$50,88,FALSE))</f>
        <v/>
      </c>
      <c r="BA22" s="230" t="str">
        <f>VLOOKUP($B22,'6.คีย์ปลายภาค'!$C$6:$EI$50,89,FALSE)</f>
        <v/>
      </c>
      <c r="BB22" s="230" t="str">
        <f>IF(VLOOKUP($B22,'6.คีย์ปลายภาค'!$C$6:$EI$50,93,FALSE)="","",VLOOKUP($B22,'6.คีย์ปลายภาค'!$C$6:$EI$50,93,FALSE))</f>
        <v/>
      </c>
      <c r="BC22" s="230" t="str">
        <f>VLOOKUP($B22,'6.คีย์ปลายภาค'!$C$6:$EI$50,94,FALSE)</f>
        <v/>
      </c>
      <c r="BD22" s="230" t="str">
        <f>IF(VLOOKUP($B22,'6.คีย์ปลายภาค'!$C$6:$EI$50,98,FALSE)="","",VLOOKUP($B22,'6.คีย์ปลายภาค'!$C$6:$EI$50,98,FALSE))</f>
        <v/>
      </c>
      <c r="BE22" s="230" t="str">
        <f>VLOOKUP($B22,'6.คีย์ปลายภาค'!$C$6:$EI$50,99,FALSE)</f>
        <v/>
      </c>
      <c r="BF22" s="230" t="str">
        <f>IF(VLOOKUP($B22,'6.คีย์ปลายภาค'!$C$6:$EI$50,103,FALSE)="","",VLOOKUP($B22,'6.คีย์ปลายภาค'!$C$6:$EI$50,103,FALSE))</f>
        <v/>
      </c>
      <c r="BG22" s="230" t="str">
        <f>VLOOKUP($B22,'6.คีย์ปลายภาค'!$C$6:$EI$50,104,FALSE)</f>
        <v/>
      </c>
      <c r="BH22" s="230" t="str">
        <f>IF(VLOOKUP($B22,'6.คีย์ปลายภาค'!$C$6:$EI$50,108,FALSE)="","",VLOOKUP($B22,'6.คีย์ปลายภาค'!$C$6:$EI$50,108,FALSE))</f>
        <v/>
      </c>
      <c r="BI22" s="230" t="str">
        <f>VLOOKUP($B22,'6.คีย์ปลายภาค'!$C$6:$EI$50,109,FALSE)</f>
        <v/>
      </c>
      <c r="BJ22" s="230" t="str">
        <f>IF(VLOOKUP($B22,'6.คีย์ปลายภาค'!$C$6:$EI$50,113,FALSE)="","",VLOOKUP($B22,'6.คีย์ปลายภาค'!$C$6:$EI$50,113,FALSE))</f>
        <v/>
      </c>
      <c r="BK22" s="230" t="str">
        <f>VLOOKUP($B22,'6.คีย์ปลายภาค'!$C$6:$EI$50,114,FALSE)</f>
        <v/>
      </c>
      <c r="BL22" s="230" t="str">
        <f>IF(VLOOKUP($B22,'6.คีย์ปลายภาค'!$C$6:$EI$50,118,FALSE)="","",VLOOKUP($B22,'6.คีย์ปลายภาค'!$C$6:$EI$50,118,FALSE))</f>
        <v/>
      </c>
      <c r="BM22" s="230" t="str">
        <f>VLOOKUP($B22,'6.คีย์ปลายภาค'!$C$6:$EI$50,119,FALSE)</f>
        <v/>
      </c>
      <c r="BN22" s="230" t="str">
        <f>IF(VLOOKUP($B22,'6.คีย์ปลายภาค'!$C$6:$EI$50,123,FALSE)="","",VLOOKUP($B22,'6.คีย์ปลายภาค'!$C$6:$EI$50,123,FALSE))</f>
        <v/>
      </c>
      <c r="BO22" s="230" t="str">
        <f>VLOOKUP($B22,'6.คีย์ปลายภาค'!$C$6:$EI$50,124,FALSE)</f>
        <v/>
      </c>
      <c r="BP22" s="230" t="str">
        <f>IF(VLOOKUP($B22,'6.คีย์ปลายภาค'!$C$6:$EI$50,128,FALSE)="","",VLOOKUP($B22,'6.คีย์ปลายภาค'!$C$6:$EI$50,128,FALSE))</f>
        <v/>
      </c>
      <c r="BQ22" s="232" t="str">
        <f>VLOOKUP($B22,'6.คีย์ปลายภาค'!$C$6:$EI$50,129,FALSE)</f>
        <v/>
      </c>
      <c r="BR22" s="550" t="str">
        <f>IF(L22="","",IF('2.ชื่อนักเรียน'!R24="มส","",IF('2.ชื่อนักเรียน'!R24="ย้าย","",IF('2.ชื่อนักเรียน'!R24="ร","",SUM(BT22:CR22)/13.5))))</f>
        <v/>
      </c>
      <c r="BS22" s="520" t="str">
        <f>IF('2.ชื่อนักเรียน'!R24="มส","มส",IF('2.ชื่อนักเรียน'!R24="ย้าย","ย้าย",IF('2.ชื่อนักเรียน'!R24="ร","ร",IF(BR22="","",RANK(BR22,$BR$9:$BR$53,0)))))</f>
        <v/>
      </c>
      <c r="BT22" s="118" t="str">
        <f t="shared" si="0"/>
        <v/>
      </c>
      <c r="BU22" s="119" t="str">
        <f t="shared" si="1"/>
        <v/>
      </c>
      <c r="BV22" s="119" t="str">
        <f t="shared" si="2"/>
        <v/>
      </c>
      <c r="BW22" s="110" t="str">
        <f t="shared" si="3"/>
        <v/>
      </c>
      <c r="BX22" s="119" t="str">
        <f t="shared" si="4"/>
        <v/>
      </c>
      <c r="BY22" s="119" t="str">
        <f t="shared" si="5"/>
        <v/>
      </c>
      <c r="BZ22" s="119" t="str">
        <f t="shared" si="6"/>
        <v/>
      </c>
      <c r="CA22" s="119" t="str">
        <f t="shared" si="7"/>
        <v/>
      </c>
      <c r="CB22" s="110" t="str">
        <f t="shared" si="8"/>
        <v/>
      </c>
      <c r="CC22" s="151" t="str">
        <f t="shared" si="9"/>
        <v/>
      </c>
      <c r="CD22" s="151" t="str">
        <f t="shared" si="10"/>
        <v/>
      </c>
      <c r="CE22" s="111" t="str">
        <f t="shared" si="11"/>
        <v/>
      </c>
      <c r="CF22" s="118" t="str">
        <f t="shared" si="12"/>
        <v/>
      </c>
      <c r="CG22" s="119" t="str">
        <f t="shared" si="13"/>
        <v/>
      </c>
      <c r="CH22" s="119" t="str">
        <f t="shared" si="14"/>
        <v/>
      </c>
      <c r="CI22" s="119" t="str">
        <f t="shared" si="15"/>
        <v/>
      </c>
      <c r="CJ22" s="110" t="str">
        <f t="shared" si="16"/>
        <v/>
      </c>
      <c r="CK22" s="110" t="str">
        <f t="shared" si="17"/>
        <v/>
      </c>
      <c r="CL22" s="119" t="str">
        <f t="shared" si="18"/>
        <v/>
      </c>
      <c r="CM22" s="119" t="str">
        <f t="shared" si="19"/>
        <v/>
      </c>
      <c r="CN22" s="120" t="str">
        <f t="shared" si="20"/>
        <v/>
      </c>
      <c r="CO22" s="119" t="str">
        <f t="shared" si="21"/>
        <v/>
      </c>
      <c r="CP22" s="120" t="str">
        <f t="shared" si="22"/>
        <v/>
      </c>
      <c r="CQ22" s="111" t="str">
        <f t="shared" si="23"/>
        <v/>
      </c>
      <c r="CR22" s="494" t="str">
        <f t="shared" si="24"/>
        <v/>
      </c>
      <c r="CS22" s="148">
        <f t="shared" si="25"/>
        <v>0</v>
      </c>
      <c r="CT22" s="21">
        <f>IF('2.ชื่อนักเรียน'!AP24="มส","มส",IF('2.ชื่อนักเรียน'!AP24="ย้าย","ย้าย",IF('2.ชื่อนักเรียน'!AP24="ร","ร",IF(CS22="","",RANK(CS22,$CS$9:$CS$53,0)))))</f>
        <v>1</v>
      </c>
    </row>
    <row r="23" spans="1:98" s="29" customFormat="1" ht="18.75" customHeight="1" x14ac:dyDescent="0.25">
      <c r="A23" s="234">
        <v>15</v>
      </c>
      <c r="B23" s="512" t="str">
        <f>IF(IDstu15="","",IDstu15)</f>
        <v/>
      </c>
      <c r="C23" s="770" t="str">
        <f>IF(Name15="","",Name15)</f>
        <v/>
      </c>
      <c r="D23" s="707"/>
      <c r="E23" s="707"/>
      <c r="F23" s="707"/>
      <c r="G23" s="767" t="str">
        <f>IF(Surname15="","",Surname15)</f>
        <v/>
      </c>
      <c r="H23" s="767"/>
      <c r="I23" s="767"/>
      <c r="J23" s="767"/>
      <c r="K23" s="234" t="str">
        <f>IF(VLOOKUP($B23,'6.คีย์ปลายภาค'!$C$6:$EI$50,8,FALSE)="","",VLOOKUP($B23,'6.คีย์ปลายภาค'!$C$6:$EI$50,8,FALSE))</f>
        <v/>
      </c>
      <c r="L23" s="229" t="str">
        <f>VLOOKUP($B23,'6.คีย์ปลายภาค'!$C$6:$EI$50,9,FALSE)</f>
        <v/>
      </c>
      <c r="M23" s="229" t="str">
        <f>IF(VLOOKUP($B23,'6.คีย์ปลายภาค'!$C$6:$EI$50,13,FALSE)="","",VLOOKUP($B23,'6.คีย์ปลายภาค'!$C$6:$EI$50,13,FALSE))</f>
        <v/>
      </c>
      <c r="N23" s="230" t="str">
        <f>VLOOKUP($B23,'6.คีย์ปลายภาค'!$C$6:$EI$50,14,FALSE)</f>
        <v/>
      </c>
      <c r="O23" s="230" t="str">
        <f>IF(VLOOKUP($B23,'6.คีย์ปลายภาค'!$C$6:$EI$50,18,FALSE)="","",VLOOKUP($B23,'6.คีย์ปลายภาค'!$C$6:$EI$50,18,FALSE))</f>
        <v/>
      </c>
      <c r="P23" s="230" t="str">
        <f>VLOOKUP($B23,'6.คีย์ปลายภาค'!$C$6:$EI$50,19,FALSE)</f>
        <v/>
      </c>
      <c r="Q23" s="230" t="str">
        <f>IF(VLOOKUP($B23,'6.คีย์ปลายภาค'!$C$6:$EI$50,23,FALSE)="","",VLOOKUP($B23,'6.คีย์ปลายภาค'!$C$6:$EI$50,23,FALSE))</f>
        <v/>
      </c>
      <c r="R23" s="230" t="str">
        <f>VLOOKUP($B23,'6.คีย์ปลายภาค'!$C$6:$EI$50,24,FALSE)</f>
        <v/>
      </c>
      <c r="S23" s="230" t="str">
        <f>IF(VLOOKUP($B23,'6.คีย์ปลายภาค'!$C$6:$EI$50,28,FALSE)="","",VLOOKUP($B23,'6.คีย์ปลายภาค'!$C$6:$EI$50,28,FALSE))</f>
        <v/>
      </c>
      <c r="T23" s="230" t="str">
        <f>VLOOKUP($B23,'6.คีย์ปลายภาค'!$C$6:$EI$50,29,FALSE)</f>
        <v/>
      </c>
      <c r="U23" s="230" t="str">
        <f>IF(VLOOKUP($B23,'6.คีย์ปลายภาค'!$C$6:$EI$50,33,FALSE)="","",VLOOKUP($B23,'6.คีย์ปลายภาค'!$C$6:$EI$50,33,FALSE))</f>
        <v/>
      </c>
      <c r="V23" s="230" t="str">
        <f>VLOOKUP($B23,'6.คีย์ปลายภาค'!$C$6:$EI$50,34,FALSE)</f>
        <v/>
      </c>
      <c r="W23" s="230" t="str">
        <f>IF(VLOOKUP($B23,'6.คีย์ปลายภาค'!$C$6:$EI$50,38,FALSE)="","",VLOOKUP($B23,'6.คีย์ปลายภาค'!$C$6:$EI$50,38,FALSE))</f>
        <v/>
      </c>
      <c r="X23" s="230" t="str">
        <f>VLOOKUP($B23,'6.คีย์ปลายภาค'!$C$6:$EI$50,39,FALSE)</f>
        <v/>
      </c>
      <c r="Y23" s="230" t="str">
        <f>IF(VLOOKUP($B23,'6.คีย์ปลายภาค'!$C$6:$EI$50,43,FALSE)="","",VLOOKUP($B23,'6.คีย์ปลายภาค'!$C$6:$EI$50,43,FALSE))</f>
        <v/>
      </c>
      <c r="Z23" s="230" t="str">
        <f>VLOOKUP($B23,'6.คีย์ปลายภาค'!$C$6:$EI$50,44,FALSE)</f>
        <v/>
      </c>
      <c r="AA23" s="230" t="str">
        <f>IF(VLOOKUP($B23,'6.คีย์ปลายภาค'!$C$6:$EI$50,48,FALSE)="","",VLOOKUP($B23,'6.คีย์ปลายภาค'!$C$6:$EI$50,48,FALSE))</f>
        <v/>
      </c>
      <c r="AB23" s="230" t="str">
        <f>VLOOKUP($B23,'6.คีย์ปลายภาค'!$C$6:$EI$50,49,FALSE)</f>
        <v/>
      </c>
      <c r="AC23" s="231" t="str">
        <f>IF(VLOOKUP($B23,'6.คีย์ปลายภาค'!$C$6:$EI$50,53,FALSE)="","",VLOOKUP($B23,'6.คีย์ปลายภาค'!$C$6:$EI$50,53,FALSE))</f>
        <v/>
      </c>
      <c r="AD23" s="231" t="str">
        <f>VLOOKUP($B23,'6.คีย์ปลายภาค'!$C$6:$EI$50,54,FALSE)</f>
        <v/>
      </c>
      <c r="AE23" s="231" t="str">
        <f>IF(VLOOKUP($B23,'6.คีย์ปลายภาค'!$C$6:$EI$50,58,FALSE)="","",VLOOKUP($B23,'6.คีย์ปลายภาค'!$C$6:$EI$50,58,FALSE))</f>
        <v/>
      </c>
      <c r="AF23" s="231" t="str">
        <f>VLOOKUP($B23,'6.คีย์ปลายภาค'!$C$6:$EI$50,59,FALSE)</f>
        <v/>
      </c>
      <c r="AG23" s="231" t="str">
        <f>IF(VLOOKUP($B23,'6.คีย์ปลายภาค'!$C$6:$EI$50,63,FALSE)="","",VLOOKUP($B23,'6.คีย์ปลายภาค'!$C$6:$EI$50,63,FALSE))</f>
        <v/>
      </c>
      <c r="AH23" s="232" t="str">
        <f>VLOOKUP($B23,'6.คีย์ปลายภาค'!$C$6:$EI$50,64,FALSE)</f>
        <v/>
      </c>
      <c r="AI23" s="31">
        <v>15</v>
      </c>
      <c r="AJ23" s="770" t="str">
        <f>IF(Name15="","",Name15)</f>
        <v/>
      </c>
      <c r="AK23" s="707"/>
      <c r="AL23" s="707"/>
      <c r="AM23" s="707"/>
      <c r="AN23" s="767" t="str">
        <f>IF(Surname15="","",Surname15)</f>
        <v/>
      </c>
      <c r="AO23" s="767"/>
      <c r="AP23" s="767"/>
      <c r="AQ23" s="767"/>
      <c r="AR23" s="234" t="str">
        <f>IF(VLOOKUP($B23,'6.คีย์ปลายภาค'!$C$6:$EI$50,68,FALSE)="","",VLOOKUP($B23,'6.คีย์ปลายภาค'!$C$6:$EI$50,68,FALSE))</f>
        <v/>
      </c>
      <c r="AS23" s="230" t="str">
        <f>VLOOKUP($B23,'6.คีย์ปลายภาค'!$C$6:$EI$50,69,FALSE)</f>
        <v/>
      </c>
      <c r="AT23" s="230" t="str">
        <f>IF(VLOOKUP($B23,'6.คีย์ปลายภาค'!$C$6:$EI$50,73,FALSE)="","",VLOOKUP($B23,'6.คีย์ปลายภาค'!$C$6:$EI$50,73,FALSE))</f>
        <v/>
      </c>
      <c r="AU23" s="230" t="str">
        <f>VLOOKUP($B23,'6.คีย์ปลายภาค'!$C$6:$EI$50,74,FALSE)</f>
        <v/>
      </c>
      <c r="AV23" s="230" t="str">
        <f>IF(VLOOKUP($B23,'6.คีย์ปลายภาค'!$C$6:$EI$50,78,FALSE)="","",VLOOKUP($B23,'6.คีย์ปลายภาค'!$C$6:$EI$50,78,FALSE))</f>
        <v/>
      </c>
      <c r="AW23" s="230" t="str">
        <f>VLOOKUP($B23,'6.คีย์ปลายภาค'!$C$6:$EI$50,79,FALSE)</f>
        <v/>
      </c>
      <c r="AX23" s="230" t="str">
        <f>IF(VLOOKUP($B23,'6.คีย์ปลายภาค'!$C$6:$EI$50,83,FALSE)="","",VLOOKUP($B23,'6.คีย์ปลายภาค'!$C$6:$EI$50,83,FALSE))</f>
        <v/>
      </c>
      <c r="AY23" s="230" t="str">
        <f>VLOOKUP($B23,'6.คีย์ปลายภาค'!$C$6:$EI$50,84,FALSE)</f>
        <v/>
      </c>
      <c r="AZ23" s="230" t="str">
        <f>IF(VLOOKUP($B23,'6.คีย์ปลายภาค'!$C$6:$EI$50,88,FALSE)="","",VLOOKUP($B23,'6.คีย์ปลายภาค'!$C$6:$EI$50,88,FALSE))</f>
        <v/>
      </c>
      <c r="BA23" s="230" t="str">
        <f>VLOOKUP($B23,'6.คีย์ปลายภาค'!$C$6:$EI$50,89,FALSE)</f>
        <v/>
      </c>
      <c r="BB23" s="230" t="str">
        <f>IF(VLOOKUP($B23,'6.คีย์ปลายภาค'!$C$6:$EI$50,93,FALSE)="","",VLOOKUP($B23,'6.คีย์ปลายภาค'!$C$6:$EI$50,93,FALSE))</f>
        <v/>
      </c>
      <c r="BC23" s="230" t="str">
        <f>VLOOKUP($B23,'6.คีย์ปลายภาค'!$C$6:$EI$50,94,FALSE)</f>
        <v/>
      </c>
      <c r="BD23" s="230" t="str">
        <f>IF(VLOOKUP($B23,'6.คีย์ปลายภาค'!$C$6:$EI$50,98,FALSE)="","",VLOOKUP($B23,'6.คีย์ปลายภาค'!$C$6:$EI$50,98,FALSE))</f>
        <v/>
      </c>
      <c r="BE23" s="230" t="str">
        <f>VLOOKUP($B23,'6.คีย์ปลายภาค'!$C$6:$EI$50,99,FALSE)</f>
        <v/>
      </c>
      <c r="BF23" s="230" t="str">
        <f>IF(VLOOKUP($B23,'6.คีย์ปลายภาค'!$C$6:$EI$50,103,FALSE)="","",VLOOKUP($B23,'6.คีย์ปลายภาค'!$C$6:$EI$50,103,FALSE))</f>
        <v/>
      </c>
      <c r="BG23" s="230" t="str">
        <f>VLOOKUP($B23,'6.คีย์ปลายภาค'!$C$6:$EI$50,104,FALSE)</f>
        <v/>
      </c>
      <c r="BH23" s="230" t="str">
        <f>IF(VLOOKUP($B23,'6.คีย์ปลายภาค'!$C$6:$EI$50,108,FALSE)="","",VLOOKUP($B23,'6.คีย์ปลายภาค'!$C$6:$EI$50,108,FALSE))</f>
        <v/>
      </c>
      <c r="BI23" s="230" t="str">
        <f>VLOOKUP($B23,'6.คีย์ปลายภาค'!$C$6:$EI$50,109,FALSE)</f>
        <v/>
      </c>
      <c r="BJ23" s="230" t="str">
        <f>IF(VLOOKUP($B23,'6.คีย์ปลายภาค'!$C$6:$EI$50,113,FALSE)="","",VLOOKUP($B23,'6.คีย์ปลายภาค'!$C$6:$EI$50,113,FALSE))</f>
        <v/>
      </c>
      <c r="BK23" s="230" t="str">
        <f>VLOOKUP($B23,'6.คีย์ปลายภาค'!$C$6:$EI$50,114,FALSE)</f>
        <v/>
      </c>
      <c r="BL23" s="230" t="str">
        <f>IF(VLOOKUP($B23,'6.คีย์ปลายภาค'!$C$6:$EI$50,118,FALSE)="","",VLOOKUP($B23,'6.คีย์ปลายภาค'!$C$6:$EI$50,118,FALSE))</f>
        <v/>
      </c>
      <c r="BM23" s="230" t="str">
        <f>VLOOKUP($B23,'6.คีย์ปลายภาค'!$C$6:$EI$50,119,FALSE)</f>
        <v/>
      </c>
      <c r="BN23" s="230" t="str">
        <f>IF(VLOOKUP($B23,'6.คีย์ปลายภาค'!$C$6:$EI$50,123,FALSE)="","",VLOOKUP($B23,'6.คีย์ปลายภาค'!$C$6:$EI$50,123,FALSE))</f>
        <v/>
      </c>
      <c r="BO23" s="230" t="str">
        <f>VLOOKUP($B23,'6.คีย์ปลายภาค'!$C$6:$EI$50,124,FALSE)</f>
        <v/>
      </c>
      <c r="BP23" s="230" t="str">
        <f>IF(VLOOKUP($B23,'6.คีย์ปลายภาค'!$C$6:$EI$50,128,FALSE)="","",VLOOKUP($B23,'6.คีย์ปลายภาค'!$C$6:$EI$50,128,FALSE))</f>
        <v/>
      </c>
      <c r="BQ23" s="232" t="str">
        <f>VLOOKUP($B23,'6.คีย์ปลายภาค'!$C$6:$EI$50,129,FALSE)</f>
        <v/>
      </c>
      <c r="BR23" s="550" t="str">
        <f>IF(L23="","",IF('2.ชื่อนักเรียน'!R25="มส","",IF('2.ชื่อนักเรียน'!R25="ย้าย","",IF('2.ชื่อนักเรียน'!R25="ร","",SUM(BT23:CR23)/13.5))))</f>
        <v/>
      </c>
      <c r="BS23" s="520" t="str">
        <f>IF('2.ชื่อนักเรียน'!R25="มส","มส",IF('2.ชื่อนักเรียน'!R25="ย้าย","ย้าย",IF('2.ชื่อนักเรียน'!R25="ร","ร",IF(BR23="","",RANK(BR23,$BR$9:$BR$53,0)))))</f>
        <v/>
      </c>
      <c r="BT23" s="118" t="str">
        <f t="shared" si="0"/>
        <v/>
      </c>
      <c r="BU23" s="119" t="str">
        <f t="shared" si="1"/>
        <v/>
      </c>
      <c r="BV23" s="119" t="str">
        <f t="shared" si="2"/>
        <v/>
      </c>
      <c r="BW23" s="110" t="str">
        <f t="shared" si="3"/>
        <v/>
      </c>
      <c r="BX23" s="119" t="str">
        <f t="shared" si="4"/>
        <v/>
      </c>
      <c r="BY23" s="119" t="str">
        <f t="shared" si="5"/>
        <v/>
      </c>
      <c r="BZ23" s="119" t="str">
        <f t="shared" si="6"/>
        <v/>
      </c>
      <c r="CA23" s="119" t="str">
        <f t="shared" si="7"/>
        <v/>
      </c>
      <c r="CB23" s="110" t="str">
        <f t="shared" si="8"/>
        <v/>
      </c>
      <c r="CC23" s="151" t="str">
        <f t="shared" si="9"/>
        <v/>
      </c>
      <c r="CD23" s="151" t="str">
        <f t="shared" si="10"/>
        <v/>
      </c>
      <c r="CE23" s="111" t="str">
        <f t="shared" si="11"/>
        <v/>
      </c>
      <c r="CF23" s="118" t="str">
        <f t="shared" si="12"/>
        <v/>
      </c>
      <c r="CG23" s="119" t="str">
        <f t="shared" si="13"/>
        <v/>
      </c>
      <c r="CH23" s="119" t="str">
        <f t="shared" si="14"/>
        <v/>
      </c>
      <c r="CI23" s="119" t="str">
        <f t="shared" si="15"/>
        <v/>
      </c>
      <c r="CJ23" s="110" t="str">
        <f t="shared" si="16"/>
        <v/>
      </c>
      <c r="CK23" s="110" t="str">
        <f t="shared" si="17"/>
        <v/>
      </c>
      <c r="CL23" s="119" t="str">
        <f t="shared" si="18"/>
        <v/>
      </c>
      <c r="CM23" s="119" t="str">
        <f t="shared" si="19"/>
        <v/>
      </c>
      <c r="CN23" s="120" t="str">
        <f t="shared" si="20"/>
        <v/>
      </c>
      <c r="CO23" s="119" t="str">
        <f t="shared" si="21"/>
        <v/>
      </c>
      <c r="CP23" s="120" t="str">
        <f t="shared" si="22"/>
        <v/>
      </c>
      <c r="CQ23" s="111" t="str">
        <f t="shared" si="23"/>
        <v/>
      </c>
      <c r="CR23" s="494" t="str">
        <f t="shared" si="24"/>
        <v/>
      </c>
      <c r="CS23" s="148">
        <f t="shared" si="25"/>
        <v>0</v>
      </c>
      <c r="CT23" s="21">
        <f>IF('2.ชื่อนักเรียน'!AP25="มส","มส",IF('2.ชื่อนักเรียน'!AP25="ย้าย","ย้าย",IF('2.ชื่อนักเรียน'!AP25="ร","ร",IF(CS23="","",RANK(CS23,$CS$9:$CS$53,0)))))</f>
        <v>1</v>
      </c>
    </row>
    <row r="24" spans="1:98" s="29" customFormat="1" ht="18.75" customHeight="1" x14ac:dyDescent="0.25">
      <c r="A24" s="234">
        <v>16</v>
      </c>
      <c r="B24" s="512" t="str">
        <f>IF(IDstu16="","",IDstu16)</f>
        <v/>
      </c>
      <c r="C24" s="770" t="str">
        <f>IF(Name16="","",Name16)</f>
        <v/>
      </c>
      <c r="D24" s="707"/>
      <c r="E24" s="707"/>
      <c r="F24" s="707"/>
      <c r="G24" s="767" t="str">
        <f>IF(Surname16="","",Surname16)</f>
        <v/>
      </c>
      <c r="H24" s="767"/>
      <c r="I24" s="767"/>
      <c r="J24" s="767"/>
      <c r="K24" s="234" t="str">
        <f>IF(VLOOKUP($B24,'6.คีย์ปลายภาค'!$C$6:$EI$50,8,FALSE)="","",VLOOKUP($B24,'6.คีย์ปลายภาค'!$C$6:$EI$50,8,FALSE))</f>
        <v/>
      </c>
      <c r="L24" s="229" t="str">
        <f>VLOOKUP($B24,'6.คีย์ปลายภาค'!$C$6:$EI$50,9,FALSE)</f>
        <v/>
      </c>
      <c r="M24" s="229" t="str">
        <f>IF(VLOOKUP($B24,'6.คีย์ปลายภาค'!$C$6:$EI$50,13,FALSE)="","",VLOOKUP($B24,'6.คีย์ปลายภาค'!$C$6:$EI$50,13,FALSE))</f>
        <v/>
      </c>
      <c r="N24" s="230" t="str">
        <f>VLOOKUP($B24,'6.คีย์ปลายภาค'!$C$6:$EI$50,14,FALSE)</f>
        <v/>
      </c>
      <c r="O24" s="230" t="str">
        <f>IF(VLOOKUP($B24,'6.คีย์ปลายภาค'!$C$6:$EI$50,18,FALSE)="","",VLOOKUP($B24,'6.คีย์ปลายภาค'!$C$6:$EI$50,18,FALSE))</f>
        <v/>
      </c>
      <c r="P24" s="230" t="str">
        <f>VLOOKUP($B24,'6.คีย์ปลายภาค'!$C$6:$EI$50,19,FALSE)</f>
        <v/>
      </c>
      <c r="Q24" s="230" t="str">
        <f>IF(VLOOKUP($B24,'6.คีย์ปลายภาค'!$C$6:$EI$50,23,FALSE)="","",VLOOKUP($B24,'6.คีย์ปลายภาค'!$C$6:$EI$50,23,FALSE))</f>
        <v/>
      </c>
      <c r="R24" s="230" t="str">
        <f>VLOOKUP($B24,'6.คีย์ปลายภาค'!$C$6:$EI$50,24,FALSE)</f>
        <v/>
      </c>
      <c r="S24" s="230" t="str">
        <f>IF(VLOOKUP($B24,'6.คีย์ปลายภาค'!$C$6:$EI$50,28,FALSE)="","",VLOOKUP($B24,'6.คีย์ปลายภาค'!$C$6:$EI$50,28,FALSE))</f>
        <v/>
      </c>
      <c r="T24" s="230" t="str">
        <f>VLOOKUP($B24,'6.คีย์ปลายภาค'!$C$6:$EI$50,29,FALSE)</f>
        <v/>
      </c>
      <c r="U24" s="230" t="str">
        <f>IF(VLOOKUP($B24,'6.คีย์ปลายภาค'!$C$6:$EI$50,33,FALSE)="","",VLOOKUP($B24,'6.คีย์ปลายภาค'!$C$6:$EI$50,33,FALSE))</f>
        <v/>
      </c>
      <c r="V24" s="230" t="str">
        <f>VLOOKUP($B24,'6.คีย์ปลายภาค'!$C$6:$EI$50,34,FALSE)</f>
        <v/>
      </c>
      <c r="W24" s="230" t="str">
        <f>IF(VLOOKUP($B24,'6.คีย์ปลายภาค'!$C$6:$EI$50,38,FALSE)="","",VLOOKUP($B24,'6.คีย์ปลายภาค'!$C$6:$EI$50,38,FALSE))</f>
        <v/>
      </c>
      <c r="X24" s="230" t="str">
        <f>VLOOKUP($B24,'6.คีย์ปลายภาค'!$C$6:$EI$50,39,FALSE)</f>
        <v/>
      </c>
      <c r="Y24" s="230" t="str">
        <f>IF(VLOOKUP($B24,'6.คีย์ปลายภาค'!$C$6:$EI$50,43,FALSE)="","",VLOOKUP($B24,'6.คีย์ปลายภาค'!$C$6:$EI$50,43,FALSE))</f>
        <v/>
      </c>
      <c r="Z24" s="230" t="str">
        <f>VLOOKUP($B24,'6.คีย์ปลายภาค'!$C$6:$EI$50,44,FALSE)</f>
        <v/>
      </c>
      <c r="AA24" s="230" t="str">
        <f>IF(VLOOKUP($B24,'6.คีย์ปลายภาค'!$C$6:$EI$50,48,FALSE)="","",VLOOKUP($B24,'6.คีย์ปลายภาค'!$C$6:$EI$50,48,FALSE))</f>
        <v/>
      </c>
      <c r="AB24" s="230" t="str">
        <f>VLOOKUP($B24,'6.คีย์ปลายภาค'!$C$6:$EI$50,49,FALSE)</f>
        <v/>
      </c>
      <c r="AC24" s="231" t="str">
        <f>IF(VLOOKUP($B24,'6.คีย์ปลายภาค'!$C$6:$EI$50,53,FALSE)="","",VLOOKUP($B24,'6.คีย์ปลายภาค'!$C$6:$EI$50,53,FALSE))</f>
        <v/>
      </c>
      <c r="AD24" s="231" t="str">
        <f>VLOOKUP($B24,'6.คีย์ปลายภาค'!$C$6:$EI$50,54,FALSE)</f>
        <v/>
      </c>
      <c r="AE24" s="231" t="str">
        <f>IF(VLOOKUP($B24,'6.คีย์ปลายภาค'!$C$6:$EI$50,58,FALSE)="","",VLOOKUP($B24,'6.คีย์ปลายภาค'!$C$6:$EI$50,58,FALSE))</f>
        <v/>
      </c>
      <c r="AF24" s="231" t="str">
        <f>VLOOKUP($B24,'6.คีย์ปลายภาค'!$C$6:$EI$50,59,FALSE)</f>
        <v/>
      </c>
      <c r="AG24" s="231" t="str">
        <f>IF(VLOOKUP($B24,'6.คีย์ปลายภาค'!$C$6:$EI$50,63,FALSE)="","",VLOOKUP($B24,'6.คีย์ปลายภาค'!$C$6:$EI$50,63,FALSE))</f>
        <v/>
      </c>
      <c r="AH24" s="232" t="str">
        <f>VLOOKUP($B24,'6.คีย์ปลายภาค'!$C$6:$EI$50,64,FALSE)</f>
        <v/>
      </c>
      <c r="AI24" s="31">
        <v>16</v>
      </c>
      <c r="AJ24" s="770" t="str">
        <f>IF(Name16="","",Name16)</f>
        <v/>
      </c>
      <c r="AK24" s="707"/>
      <c r="AL24" s="707"/>
      <c r="AM24" s="707"/>
      <c r="AN24" s="767" t="str">
        <f>IF(Surname16="","",Surname16)</f>
        <v/>
      </c>
      <c r="AO24" s="767"/>
      <c r="AP24" s="767"/>
      <c r="AQ24" s="767"/>
      <c r="AR24" s="234" t="str">
        <f>IF(VLOOKUP($B24,'6.คีย์ปลายภาค'!$C$6:$EI$50,68,FALSE)="","",VLOOKUP($B24,'6.คีย์ปลายภาค'!$C$6:$EI$50,68,FALSE))</f>
        <v/>
      </c>
      <c r="AS24" s="230" t="str">
        <f>VLOOKUP($B24,'6.คีย์ปลายภาค'!$C$6:$EI$50,69,FALSE)</f>
        <v/>
      </c>
      <c r="AT24" s="230" t="str">
        <f>IF(VLOOKUP($B24,'6.คีย์ปลายภาค'!$C$6:$EI$50,73,FALSE)="","",VLOOKUP($B24,'6.คีย์ปลายภาค'!$C$6:$EI$50,73,FALSE))</f>
        <v/>
      </c>
      <c r="AU24" s="230" t="str">
        <f>VLOOKUP($B24,'6.คีย์ปลายภาค'!$C$6:$EI$50,74,FALSE)</f>
        <v/>
      </c>
      <c r="AV24" s="230" t="str">
        <f>IF(VLOOKUP($B24,'6.คีย์ปลายภาค'!$C$6:$EI$50,78,FALSE)="","",VLOOKUP($B24,'6.คีย์ปลายภาค'!$C$6:$EI$50,78,FALSE))</f>
        <v/>
      </c>
      <c r="AW24" s="230" t="str">
        <f>VLOOKUP($B24,'6.คีย์ปลายภาค'!$C$6:$EI$50,79,FALSE)</f>
        <v/>
      </c>
      <c r="AX24" s="230" t="str">
        <f>IF(VLOOKUP($B24,'6.คีย์ปลายภาค'!$C$6:$EI$50,83,FALSE)="","",VLOOKUP($B24,'6.คีย์ปลายภาค'!$C$6:$EI$50,83,FALSE))</f>
        <v/>
      </c>
      <c r="AY24" s="230" t="str">
        <f>VLOOKUP($B24,'6.คีย์ปลายภาค'!$C$6:$EI$50,84,FALSE)</f>
        <v/>
      </c>
      <c r="AZ24" s="230" t="str">
        <f>IF(VLOOKUP($B24,'6.คีย์ปลายภาค'!$C$6:$EI$50,88,FALSE)="","",VLOOKUP($B24,'6.คีย์ปลายภาค'!$C$6:$EI$50,88,FALSE))</f>
        <v/>
      </c>
      <c r="BA24" s="230" t="str">
        <f>VLOOKUP($B24,'6.คีย์ปลายภาค'!$C$6:$EI$50,89,FALSE)</f>
        <v/>
      </c>
      <c r="BB24" s="230" t="str">
        <f>IF(VLOOKUP($B24,'6.คีย์ปลายภาค'!$C$6:$EI$50,93,FALSE)="","",VLOOKUP($B24,'6.คีย์ปลายภาค'!$C$6:$EI$50,93,FALSE))</f>
        <v/>
      </c>
      <c r="BC24" s="230" t="str">
        <f>VLOOKUP($B24,'6.คีย์ปลายภาค'!$C$6:$EI$50,94,FALSE)</f>
        <v/>
      </c>
      <c r="BD24" s="230" t="str">
        <f>IF(VLOOKUP($B24,'6.คีย์ปลายภาค'!$C$6:$EI$50,98,FALSE)="","",VLOOKUP($B24,'6.คีย์ปลายภาค'!$C$6:$EI$50,98,FALSE))</f>
        <v/>
      </c>
      <c r="BE24" s="230" t="str">
        <f>VLOOKUP($B24,'6.คีย์ปลายภาค'!$C$6:$EI$50,99,FALSE)</f>
        <v/>
      </c>
      <c r="BF24" s="230" t="str">
        <f>IF(VLOOKUP($B24,'6.คีย์ปลายภาค'!$C$6:$EI$50,103,FALSE)="","",VLOOKUP($B24,'6.คีย์ปลายภาค'!$C$6:$EI$50,103,FALSE))</f>
        <v/>
      </c>
      <c r="BG24" s="230" t="str">
        <f>VLOOKUP($B24,'6.คีย์ปลายภาค'!$C$6:$EI$50,104,FALSE)</f>
        <v/>
      </c>
      <c r="BH24" s="230" t="str">
        <f>IF(VLOOKUP($B24,'6.คีย์ปลายภาค'!$C$6:$EI$50,108,FALSE)="","",VLOOKUP($B24,'6.คีย์ปลายภาค'!$C$6:$EI$50,108,FALSE))</f>
        <v/>
      </c>
      <c r="BI24" s="230" t="str">
        <f>VLOOKUP($B24,'6.คีย์ปลายภาค'!$C$6:$EI$50,109,FALSE)</f>
        <v/>
      </c>
      <c r="BJ24" s="230" t="str">
        <f>IF(VLOOKUP($B24,'6.คีย์ปลายภาค'!$C$6:$EI$50,113,FALSE)="","",VLOOKUP($B24,'6.คีย์ปลายภาค'!$C$6:$EI$50,113,FALSE))</f>
        <v/>
      </c>
      <c r="BK24" s="230" t="str">
        <f>VLOOKUP($B24,'6.คีย์ปลายภาค'!$C$6:$EI$50,114,FALSE)</f>
        <v/>
      </c>
      <c r="BL24" s="230" t="str">
        <f>IF(VLOOKUP($B24,'6.คีย์ปลายภาค'!$C$6:$EI$50,118,FALSE)="","",VLOOKUP($B24,'6.คีย์ปลายภาค'!$C$6:$EI$50,118,FALSE))</f>
        <v/>
      </c>
      <c r="BM24" s="230" t="str">
        <f>VLOOKUP($B24,'6.คีย์ปลายภาค'!$C$6:$EI$50,119,FALSE)</f>
        <v/>
      </c>
      <c r="BN24" s="230" t="str">
        <f>IF(VLOOKUP($B24,'6.คีย์ปลายภาค'!$C$6:$EI$50,123,FALSE)="","",VLOOKUP($B24,'6.คีย์ปลายภาค'!$C$6:$EI$50,123,FALSE))</f>
        <v/>
      </c>
      <c r="BO24" s="230" t="str">
        <f>VLOOKUP($B24,'6.คีย์ปลายภาค'!$C$6:$EI$50,124,FALSE)</f>
        <v/>
      </c>
      <c r="BP24" s="230" t="str">
        <f>IF(VLOOKUP($B24,'6.คีย์ปลายภาค'!$C$6:$EI$50,128,FALSE)="","",VLOOKUP($B24,'6.คีย์ปลายภาค'!$C$6:$EI$50,128,FALSE))</f>
        <v/>
      </c>
      <c r="BQ24" s="232" t="str">
        <f>VLOOKUP($B24,'6.คีย์ปลายภาค'!$C$6:$EI$50,129,FALSE)</f>
        <v/>
      </c>
      <c r="BR24" s="550" t="str">
        <f>IF(L24="","",IF('2.ชื่อนักเรียน'!R26="มส","",IF('2.ชื่อนักเรียน'!R26="ย้าย","",IF('2.ชื่อนักเรียน'!R26="ร","",SUM(BT24:CR24)/13.5))))</f>
        <v/>
      </c>
      <c r="BS24" s="520" t="str">
        <f>IF('2.ชื่อนักเรียน'!R26="มส","มส",IF('2.ชื่อนักเรียน'!R26="ย้าย","ย้าย",IF('2.ชื่อนักเรียน'!R26="ร","ร",IF(BR24="","",RANK(BR24,$BR$9:$BR$53,0)))))</f>
        <v/>
      </c>
      <c r="BT24" s="118" t="str">
        <f t="shared" si="0"/>
        <v/>
      </c>
      <c r="BU24" s="119" t="str">
        <f t="shared" si="1"/>
        <v/>
      </c>
      <c r="BV24" s="119" t="str">
        <f t="shared" si="2"/>
        <v/>
      </c>
      <c r="BW24" s="110" t="str">
        <f t="shared" si="3"/>
        <v/>
      </c>
      <c r="BX24" s="119" t="str">
        <f t="shared" si="4"/>
        <v/>
      </c>
      <c r="BY24" s="119" t="str">
        <f t="shared" si="5"/>
        <v/>
      </c>
      <c r="BZ24" s="119" t="str">
        <f t="shared" si="6"/>
        <v/>
      </c>
      <c r="CA24" s="119" t="str">
        <f t="shared" si="7"/>
        <v/>
      </c>
      <c r="CB24" s="110" t="str">
        <f t="shared" si="8"/>
        <v/>
      </c>
      <c r="CC24" s="151" t="str">
        <f t="shared" si="9"/>
        <v/>
      </c>
      <c r="CD24" s="151" t="str">
        <f t="shared" si="10"/>
        <v/>
      </c>
      <c r="CE24" s="111" t="str">
        <f t="shared" si="11"/>
        <v/>
      </c>
      <c r="CF24" s="118" t="str">
        <f t="shared" si="12"/>
        <v/>
      </c>
      <c r="CG24" s="119" t="str">
        <f t="shared" si="13"/>
        <v/>
      </c>
      <c r="CH24" s="119" t="str">
        <f t="shared" si="14"/>
        <v/>
      </c>
      <c r="CI24" s="119" t="str">
        <f t="shared" si="15"/>
        <v/>
      </c>
      <c r="CJ24" s="110" t="str">
        <f t="shared" si="16"/>
        <v/>
      </c>
      <c r="CK24" s="110" t="str">
        <f t="shared" si="17"/>
        <v/>
      </c>
      <c r="CL24" s="119" t="str">
        <f t="shared" si="18"/>
        <v/>
      </c>
      <c r="CM24" s="119" t="str">
        <f t="shared" si="19"/>
        <v/>
      </c>
      <c r="CN24" s="120" t="str">
        <f t="shared" si="20"/>
        <v/>
      </c>
      <c r="CO24" s="119" t="str">
        <f t="shared" si="21"/>
        <v/>
      </c>
      <c r="CP24" s="120" t="str">
        <f t="shared" si="22"/>
        <v/>
      </c>
      <c r="CQ24" s="111" t="str">
        <f t="shared" si="23"/>
        <v/>
      </c>
      <c r="CR24" s="494" t="str">
        <f t="shared" si="24"/>
        <v/>
      </c>
      <c r="CS24" s="148">
        <f t="shared" si="25"/>
        <v>0</v>
      </c>
      <c r="CT24" s="21">
        <f>IF('2.ชื่อนักเรียน'!AP26="มส","มส",IF('2.ชื่อนักเรียน'!AP26="ย้าย","ย้าย",IF('2.ชื่อนักเรียน'!AP26="ร","ร",IF(CS24="","",RANK(CS24,$CS$9:$CS$53,0)))))</f>
        <v>1</v>
      </c>
    </row>
    <row r="25" spans="1:98" s="29" customFormat="1" ht="18.75" customHeight="1" x14ac:dyDescent="0.25">
      <c r="A25" s="234">
        <v>17</v>
      </c>
      <c r="B25" s="512" t="str">
        <f>IF(IDstu17="","",IDstu17)</f>
        <v/>
      </c>
      <c r="C25" s="770" t="str">
        <f>IF(Name17="","",Name17)</f>
        <v/>
      </c>
      <c r="D25" s="707"/>
      <c r="E25" s="707"/>
      <c r="F25" s="707"/>
      <c r="G25" s="767" t="str">
        <f>IF(Surname17="","",Surname17)</f>
        <v/>
      </c>
      <c r="H25" s="767"/>
      <c r="I25" s="767"/>
      <c r="J25" s="767"/>
      <c r="K25" s="234" t="str">
        <f>IF(VLOOKUP($B25,'6.คีย์ปลายภาค'!$C$6:$EI$50,8,FALSE)="","",VLOOKUP($B25,'6.คีย์ปลายภาค'!$C$6:$EI$50,8,FALSE))</f>
        <v/>
      </c>
      <c r="L25" s="229" t="str">
        <f>VLOOKUP($B25,'6.คีย์ปลายภาค'!$C$6:$EI$50,9,FALSE)</f>
        <v/>
      </c>
      <c r="M25" s="229" t="str">
        <f>IF(VLOOKUP($B25,'6.คีย์ปลายภาค'!$C$6:$EI$50,13,FALSE)="","",VLOOKUP($B25,'6.คีย์ปลายภาค'!$C$6:$EI$50,13,FALSE))</f>
        <v/>
      </c>
      <c r="N25" s="230" t="str">
        <f>VLOOKUP($B25,'6.คีย์ปลายภาค'!$C$6:$EI$50,14,FALSE)</f>
        <v/>
      </c>
      <c r="O25" s="230" t="str">
        <f>IF(VLOOKUP($B25,'6.คีย์ปลายภาค'!$C$6:$EI$50,18,FALSE)="","",VLOOKUP($B25,'6.คีย์ปลายภาค'!$C$6:$EI$50,18,FALSE))</f>
        <v/>
      </c>
      <c r="P25" s="230" t="str">
        <f>VLOOKUP($B25,'6.คีย์ปลายภาค'!$C$6:$EI$50,19,FALSE)</f>
        <v/>
      </c>
      <c r="Q25" s="230" t="str">
        <f>IF(VLOOKUP($B25,'6.คีย์ปลายภาค'!$C$6:$EI$50,23,FALSE)="","",VLOOKUP($B25,'6.คีย์ปลายภาค'!$C$6:$EI$50,23,FALSE))</f>
        <v/>
      </c>
      <c r="R25" s="230" t="str">
        <f>VLOOKUP($B25,'6.คีย์ปลายภาค'!$C$6:$EI$50,24,FALSE)</f>
        <v/>
      </c>
      <c r="S25" s="230" t="str">
        <f>IF(VLOOKUP($B25,'6.คีย์ปลายภาค'!$C$6:$EI$50,28,FALSE)="","",VLOOKUP($B25,'6.คีย์ปลายภาค'!$C$6:$EI$50,28,FALSE))</f>
        <v/>
      </c>
      <c r="T25" s="230" t="str">
        <f>VLOOKUP($B25,'6.คีย์ปลายภาค'!$C$6:$EI$50,29,FALSE)</f>
        <v/>
      </c>
      <c r="U25" s="230" t="str">
        <f>IF(VLOOKUP($B25,'6.คีย์ปลายภาค'!$C$6:$EI$50,33,FALSE)="","",VLOOKUP($B25,'6.คีย์ปลายภาค'!$C$6:$EI$50,33,FALSE))</f>
        <v/>
      </c>
      <c r="V25" s="230" t="str">
        <f>VLOOKUP($B25,'6.คีย์ปลายภาค'!$C$6:$EI$50,34,FALSE)</f>
        <v/>
      </c>
      <c r="W25" s="230" t="str">
        <f>IF(VLOOKUP($B25,'6.คีย์ปลายภาค'!$C$6:$EI$50,38,FALSE)="","",VLOOKUP($B25,'6.คีย์ปลายภาค'!$C$6:$EI$50,38,FALSE))</f>
        <v/>
      </c>
      <c r="X25" s="230" t="str">
        <f>VLOOKUP($B25,'6.คีย์ปลายภาค'!$C$6:$EI$50,39,FALSE)</f>
        <v/>
      </c>
      <c r="Y25" s="230" t="str">
        <f>IF(VLOOKUP($B25,'6.คีย์ปลายภาค'!$C$6:$EI$50,43,FALSE)="","",VLOOKUP($B25,'6.คีย์ปลายภาค'!$C$6:$EI$50,43,FALSE))</f>
        <v/>
      </c>
      <c r="Z25" s="230" t="str">
        <f>VLOOKUP($B25,'6.คีย์ปลายภาค'!$C$6:$EI$50,44,FALSE)</f>
        <v/>
      </c>
      <c r="AA25" s="230" t="str">
        <f>IF(VLOOKUP($B25,'6.คีย์ปลายภาค'!$C$6:$EI$50,48,FALSE)="","",VLOOKUP($B25,'6.คีย์ปลายภาค'!$C$6:$EI$50,48,FALSE))</f>
        <v/>
      </c>
      <c r="AB25" s="230" t="str">
        <f>VLOOKUP($B25,'6.คีย์ปลายภาค'!$C$6:$EI$50,49,FALSE)</f>
        <v/>
      </c>
      <c r="AC25" s="231" t="str">
        <f>IF(VLOOKUP($B25,'6.คีย์ปลายภาค'!$C$6:$EI$50,53,FALSE)="","",VLOOKUP($B25,'6.คีย์ปลายภาค'!$C$6:$EI$50,53,FALSE))</f>
        <v/>
      </c>
      <c r="AD25" s="231" t="str">
        <f>VLOOKUP($B25,'6.คีย์ปลายภาค'!$C$6:$EI$50,54,FALSE)</f>
        <v/>
      </c>
      <c r="AE25" s="231" t="str">
        <f>IF(VLOOKUP($B25,'6.คีย์ปลายภาค'!$C$6:$EI$50,58,FALSE)="","",VLOOKUP($B25,'6.คีย์ปลายภาค'!$C$6:$EI$50,58,FALSE))</f>
        <v/>
      </c>
      <c r="AF25" s="231" t="str">
        <f>VLOOKUP($B25,'6.คีย์ปลายภาค'!$C$6:$EI$50,59,FALSE)</f>
        <v/>
      </c>
      <c r="AG25" s="231" t="str">
        <f>IF(VLOOKUP($B25,'6.คีย์ปลายภาค'!$C$6:$EI$50,63,FALSE)="","",VLOOKUP($B25,'6.คีย์ปลายภาค'!$C$6:$EI$50,63,FALSE))</f>
        <v/>
      </c>
      <c r="AH25" s="232" t="str">
        <f>VLOOKUP($B25,'6.คีย์ปลายภาค'!$C$6:$EI$50,64,FALSE)</f>
        <v/>
      </c>
      <c r="AI25" s="31">
        <v>17</v>
      </c>
      <c r="AJ25" s="770" t="str">
        <f>IF(Name17="","",Name17)</f>
        <v/>
      </c>
      <c r="AK25" s="707"/>
      <c r="AL25" s="707"/>
      <c r="AM25" s="707"/>
      <c r="AN25" s="767" t="str">
        <f>IF(Surname17="","",Surname17)</f>
        <v/>
      </c>
      <c r="AO25" s="767"/>
      <c r="AP25" s="767"/>
      <c r="AQ25" s="767"/>
      <c r="AR25" s="234" t="str">
        <f>IF(VLOOKUP($B25,'6.คีย์ปลายภาค'!$C$6:$EI$50,68,FALSE)="","",VLOOKUP($B25,'6.คีย์ปลายภาค'!$C$6:$EI$50,68,FALSE))</f>
        <v/>
      </c>
      <c r="AS25" s="230" t="str">
        <f>VLOOKUP($B25,'6.คีย์ปลายภาค'!$C$6:$EI$50,69,FALSE)</f>
        <v/>
      </c>
      <c r="AT25" s="230" t="str">
        <f>IF(VLOOKUP($B25,'6.คีย์ปลายภาค'!$C$6:$EI$50,73,FALSE)="","",VLOOKUP($B25,'6.คีย์ปลายภาค'!$C$6:$EI$50,73,FALSE))</f>
        <v/>
      </c>
      <c r="AU25" s="230" t="str">
        <f>VLOOKUP($B25,'6.คีย์ปลายภาค'!$C$6:$EI$50,74,FALSE)</f>
        <v/>
      </c>
      <c r="AV25" s="230" t="str">
        <f>IF(VLOOKUP($B25,'6.คีย์ปลายภาค'!$C$6:$EI$50,78,FALSE)="","",VLOOKUP($B25,'6.คีย์ปลายภาค'!$C$6:$EI$50,78,FALSE))</f>
        <v/>
      </c>
      <c r="AW25" s="230" t="str">
        <f>VLOOKUP($B25,'6.คีย์ปลายภาค'!$C$6:$EI$50,79,FALSE)</f>
        <v/>
      </c>
      <c r="AX25" s="230" t="str">
        <f>IF(VLOOKUP($B25,'6.คีย์ปลายภาค'!$C$6:$EI$50,83,FALSE)="","",VLOOKUP($B25,'6.คีย์ปลายภาค'!$C$6:$EI$50,83,FALSE))</f>
        <v/>
      </c>
      <c r="AY25" s="230" t="str">
        <f>VLOOKUP($B25,'6.คีย์ปลายภาค'!$C$6:$EI$50,84,FALSE)</f>
        <v/>
      </c>
      <c r="AZ25" s="230" t="str">
        <f>IF(VLOOKUP($B25,'6.คีย์ปลายภาค'!$C$6:$EI$50,88,FALSE)="","",VLOOKUP($B25,'6.คีย์ปลายภาค'!$C$6:$EI$50,88,FALSE))</f>
        <v/>
      </c>
      <c r="BA25" s="230" t="str">
        <f>VLOOKUP($B25,'6.คีย์ปลายภาค'!$C$6:$EI$50,89,FALSE)</f>
        <v/>
      </c>
      <c r="BB25" s="230" t="str">
        <f>IF(VLOOKUP($B25,'6.คีย์ปลายภาค'!$C$6:$EI$50,93,FALSE)="","",VLOOKUP($B25,'6.คีย์ปลายภาค'!$C$6:$EI$50,93,FALSE))</f>
        <v/>
      </c>
      <c r="BC25" s="230" t="str">
        <f>VLOOKUP($B25,'6.คีย์ปลายภาค'!$C$6:$EI$50,94,FALSE)</f>
        <v/>
      </c>
      <c r="BD25" s="230" t="str">
        <f>IF(VLOOKUP($B25,'6.คีย์ปลายภาค'!$C$6:$EI$50,98,FALSE)="","",VLOOKUP($B25,'6.คีย์ปลายภาค'!$C$6:$EI$50,98,FALSE))</f>
        <v/>
      </c>
      <c r="BE25" s="230" t="str">
        <f>VLOOKUP($B25,'6.คีย์ปลายภาค'!$C$6:$EI$50,99,FALSE)</f>
        <v/>
      </c>
      <c r="BF25" s="230" t="str">
        <f>IF(VLOOKUP($B25,'6.คีย์ปลายภาค'!$C$6:$EI$50,103,FALSE)="","",VLOOKUP($B25,'6.คีย์ปลายภาค'!$C$6:$EI$50,103,FALSE))</f>
        <v/>
      </c>
      <c r="BG25" s="230" t="str">
        <f>VLOOKUP($B25,'6.คีย์ปลายภาค'!$C$6:$EI$50,104,FALSE)</f>
        <v/>
      </c>
      <c r="BH25" s="230" t="str">
        <f>IF(VLOOKUP($B25,'6.คีย์ปลายภาค'!$C$6:$EI$50,108,FALSE)="","",VLOOKUP($B25,'6.คีย์ปลายภาค'!$C$6:$EI$50,108,FALSE))</f>
        <v/>
      </c>
      <c r="BI25" s="230" t="str">
        <f>VLOOKUP($B25,'6.คีย์ปลายภาค'!$C$6:$EI$50,109,FALSE)</f>
        <v/>
      </c>
      <c r="BJ25" s="230" t="str">
        <f>IF(VLOOKUP($B25,'6.คีย์ปลายภาค'!$C$6:$EI$50,113,FALSE)="","",VLOOKUP($B25,'6.คีย์ปลายภาค'!$C$6:$EI$50,113,FALSE))</f>
        <v/>
      </c>
      <c r="BK25" s="230" t="str">
        <f>VLOOKUP($B25,'6.คีย์ปลายภาค'!$C$6:$EI$50,114,FALSE)</f>
        <v/>
      </c>
      <c r="BL25" s="230" t="str">
        <f>IF(VLOOKUP($B25,'6.คีย์ปลายภาค'!$C$6:$EI$50,118,FALSE)="","",VLOOKUP($B25,'6.คีย์ปลายภาค'!$C$6:$EI$50,118,FALSE))</f>
        <v/>
      </c>
      <c r="BM25" s="230" t="str">
        <f>VLOOKUP($B25,'6.คีย์ปลายภาค'!$C$6:$EI$50,119,FALSE)</f>
        <v/>
      </c>
      <c r="BN25" s="230" t="str">
        <f>IF(VLOOKUP($B25,'6.คีย์ปลายภาค'!$C$6:$EI$50,123,FALSE)="","",VLOOKUP($B25,'6.คีย์ปลายภาค'!$C$6:$EI$50,123,FALSE))</f>
        <v/>
      </c>
      <c r="BO25" s="230" t="str">
        <f>VLOOKUP($B25,'6.คีย์ปลายภาค'!$C$6:$EI$50,124,FALSE)</f>
        <v/>
      </c>
      <c r="BP25" s="230" t="str">
        <f>IF(VLOOKUP($B25,'6.คีย์ปลายภาค'!$C$6:$EI$50,128,FALSE)="","",VLOOKUP($B25,'6.คีย์ปลายภาค'!$C$6:$EI$50,128,FALSE))</f>
        <v/>
      </c>
      <c r="BQ25" s="232" t="str">
        <f>VLOOKUP($B25,'6.คีย์ปลายภาค'!$C$6:$EI$50,129,FALSE)</f>
        <v/>
      </c>
      <c r="BR25" s="550" t="str">
        <f>IF(L25="","",IF('2.ชื่อนักเรียน'!R27="มส","",IF('2.ชื่อนักเรียน'!R27="ย้าย","",IF('2.ชื่อนักเรียน'!R27="ร","",SUM(BT25:CR25)/13.5))))</f>
        <v/>
      </c>
      <c r="BS25" s="520" t="str">
        <f>IF('2.ชื่อนักเรียน'!R27="มส","มส",IF('2.ชื่อนักเรียน'!R27="ย้าย","ย้าย",IF('2.ชื่อนักเรียน'!R27="ร","ร",IF(BR25="","",RANK(BR25,$BR$9:$BR$53,0)))))</f>
        <v/>
      </c>
      <c r="BT25" s="118" t="str">
        <f t="shared" si="0"/>
        <v/>
      </c>
      <c r="BU25" s="119" t="str">
        <f t="shared" si="1"/>
        <v/>
      </c>
      <c r="BV25" s="119" t="str">
        <f t="shared" si="2"/>
        <v/>
      </c>
      <c r="BW25" s="110" t="str">
        <f t="shared" si="3"/>
        <v/>
      </c>
      <c r="BX25" s="119" t="str">
        <f t="shared" si="4"/>
        <v/>
      </c>
      <c r="BY25" s="119" t="str">
        <f t="shared" si="5"/>
        <v/>
      </c>
      <c r="BZ25" s="119" t="str">
        <f t="shared" si="6"/>
        <v/>
      </c>
      <c r="CA25" s="119" t="str">
        <f t="shared" si="7"/>
        <v/>
      </c>
      <c r="CB25" s="110" t="str">
        <f t="shared" si="8"/>
        <v/>
      </c>
      <c r="CC25" s="151" t="str">
        <f t="shared" si="9"/>
        <v/>
      </c>
      <c r="CD25" s="151" t="str">
        <f t="shared" si="10"/>
        <v/>
      </c>
      <c r="CE25" s="111" t="str">
        <f t="shared" si="11"/>
        <v/>
      </c>
      <c r="CF25" s="118" t="str">
        <f t="shared" si="12"/>
        <v/>
      </c>
      <c r="CG25" s="119" t="str">
        <f t="shared" si="13"/>
        <v/>
      </c>
      <c r="CH25" s="119" t="str">
        <f t="shared" si="14"/>
        <v/>
      </c>
      <c r="CI25" s="119" t="str">
        <f t="shared" si="15"/>
        <v/>
      </c>
      <c r="CJ25" s="110" t="str">
        <f t="shared" si="16"/>
        <v/>
      </c>
      <c r="CK25" s="110" t="str">
        <f t="shared" si="17"/>
        <v/>
      </c>
      <c r="CL25" s="119" t="str">
        <f t="shared" si="18"/>
        <v/>
      </c>
      <c r="CM25" s="119" t="str">
        <f t="shared" si="19"/>
        <v/>
      </c>
      <c r="CN25" s="120" t="str">
        <f t="shared" si="20"/>
        <v/>
      </c>
      <c r="CO25" s="119" t="str">
        <f t="shared" si="21"/>
        <v/>
      </c>
      <c r="CP25" s="120" t="str">
        <f t="shared" si="22"/>
        <v/>
      </c>
      <c r="CQ25" s="111" t="str">
        <f t="shared" si="23"/>
        <v/>
      </c>
      <c r="CR25" s="494" t="str">
        <f t="shared" si="24"/>
        <v/>
      </c>
      <c r="CS25" s="148">
        <f t="shared" si="25"/>
        <v>0</v>
      </c>
      <c r="CT25" s="21">
        <f>IF('2.ชื่อนักเรียน'!AP27="มส","มส",IF('2.ชื่อนักเรียน'!AP27="ย้าย","ย้าย",IF('2.ชื่อนักเรียน'!AP27="ร","ร",IF(CS25="","",RANK(CS25,$CS$9:$CS$53,0)))))</f>
        <v>1</v>
      </c>
    </row>
    <row r="26" spans="1:98" s="29" customFormat="1" ht="18.75" customHeight="1" x14ac:dyDescent="0.25">
      <c r="A26" s="234">
        <v>18</v>
      </c>
      <c r="B26" s="512" t="str">
        <f>IF(IDstu18="","",IDstu18)</f>
        <v/>
      </c>
      <c r="C26" s="770" t="str">
        <f>IF(Name18="","",Name18)</f>
        <v/>
      </c>
      <c r="D26" s="707"/>
      <c r="E26" s="707"/>
      <c r="F26" s="707"/>
      <c r="G26" s="767" t="str">
        <f>IF(Surname18="","",Surname18)</f>
        <v/>
      </c>
      <c r="H26" s="767"/>
      <c r="I26" s="767"/>
      <c r="J26" s="767"/>
      <c r="K26" s="234" t="str">
        <f>IF(VLOOKUP($B26,'6.คีย์ปลายภาค'!$C$6:$EI$50,8,FALSE)="","",VLOOKUP($B26,'6.คีย์ปลายภาค'!$C$6:$EI$50,8,FALSE))</f>
        <v/>
      </c>
      <c r="L26" s="229" t="str">
        <f>VLOOKUP($B26,'6.คีย์ปลายภาค'!$C$6:$EI$50,9,FALSE)</f>
        <v/>
      </c>
      <c r="M26" s="229" t="str">
        <f>IF(VLOOKUP($B26,'6.คีย์ปลายภาค'!$C$6:$EI$50,13,FALSE)="","",VLOOKUP($B26,'6.คีย์ปลายภาค'!$C$6:$EI$50,13,FALSE))</f>
        <v/>
      </c>
      <c r="N26" s="230" t="str">
        <f>VLOOKUP($B26,'6.คีย์ปลายภาค'!$C$6:$EI$50,14,FALSE)</f>
        <v/>
      </c>
      <c r="O26" s="230" t="str">
        <f>IF(VLOOKUP($B26,'6.คีย์ปลายภาค'!$C$6:$EI$50,18,FALSE)="","",VLOOKUP($B26,'6.คีย์ปลายภาค'!$C$6:$EI$50,18,FALSE))</f>
        <v/>
      </c>
      <c r="P26" s="230" t="str">
        <f>VLOOKUP($B26,'6.คีย์ปลายภาค'!$C$6:$EI$50,19,FALSE)</f>
        <v/>
      </c>
      <c r="Q26" s="230" t="str">
        <f>IF(VLOOKUP($B26,'6.คีย์ปลายภาค'!$C$6:$EI$50,23,FALSE)="","",VLOOKUP($B26,'6.คีย์ปลายภาค'!$C$6:$EI$50,23,FALSE))</f>
        <v/>
      </c>
      <c r="R26" s="230" t="str">
        <f>VLOOKUP($B26,'6.คีย์ปลายภาค'!$C$6:$EI$50,24,FALSE)</f>
        <v/>
      </c>
      <c r="S26" s="230" t="str">
        <f>IF(VLOOKUP($B26,'6.คีย์ปลายภาค'!$C$6:$EI$50,28,FALSE)="","",VLOOKUP($B26,'6.คีย์ปลายภาค'!$C$6:$EI$50,28,FALSE))</f>
        <v/>
      </c>
      <c r="T26" s="230" t="str">
        <f>VLOOKUP($B26,'6.คีย์ปลายภาค'!$C$6:$EI$50,29,FALSE)</f>
        <v/>
      </c>
      <c r="U26" s="230" t="str">
        <f>IF(VLOOKUP($B26,'6.คีย์ปลายภาค'!$C$6:$EI$50,33,FALSE)="","",VLOOKUP($B26,'6.คีย์ปลายภาค'!$C$6:$EI$50,33,FALSE))</f>
        <v/>
      </c>
      <c r="V26" s="230" t="str">
        <f>VLOOKUP($B26,'6.คีย์ปลายภาค'!$C$6:$EI$50,34,FALSE)</f>
        <v/>
      </c>
      <c r="W26" s="230" t="str">
        <f>IF(VLOOKUP($B26,'6.คีย์ปลายภาค'!$C$6:$EI$50,38,FALSE)="","",VLOOKUP($B26,'6.คีย์ปลายภาค'!$C$6:$EI$50,38,FALSE))</f>
        <v/>
      </c>
      <c r="X26" s="230" t="str">
        <f>VLOOKUP($B26,'6.คีย์ปลายภาค'!$C$6:$EI$50,39,FALSE)</f>
        <v/>
      </c>
      <c r="Y26" s="230" t="str">
        <f>IF(VLOOKUP($B26,'6.คีย์ปลายภาค'!$C$6:$EI$50,43,FALSE)="","",VLOOKUP($B26,'6.คีย์ปลายภาค'!$C$6:$EI$50,43,FALSE))</f>
        <v/>
      </c>
      <c r="Z26" s="230" t="str">
        <f>VLOOKUP($B26,'6.คีย์ปลายภาค'!$C$6:$EI$50,44,FALSE)</f>
        <v/>
      </c>
      <c r="AA26" s="230" t="str">
        <f>IF(VLOOKUP($B26,'6.คีย์ปลายภาค'!$C$6:$EI$50,48,FALSE)="","",VLOOKUP($B26,'6.คีย์ปลายภาค'!$C$6:$EI$50,48,FALSE))</f>
        <v/>
      </c>
      <c r="AB26" s="230" t="str">
        <f>VLOOKUP($B26,'6.คีย์ปลายภาค'!$C$6:$EI$50,49,FALSE)</f>
        <v/>
      </c>
      <c r="AC26" s="231" t="str">
        <f>IF(VLOOKUP($B26,'6.คีย์ปลายภาค'!$C$6:$EI$50,53,FALSE)="","",VLOOKUP($B26,'6.คีย์ปลายภาค'!$C$6:$EI$50,53,FALSE))</f>
        <v/>
      </c>
      <c r="AD26" s="231" t="str">
        <f>VLOOKUP($B26,'6.คีย์ปลายภาค'!$C$6:$EI$50,54,FALSE)</f>
        <v/>
      </c>
      <c r="AE26" s="231" t="str">
        <f>IF(VLOOKUP($B26,'6.คีย์ปลายภาค'!$C$6:$EI$50,58,FALSE)="","",VLOOKUP($B26,'6.คีย์ปลายภาค'!$C$6:$EI$50,58,FALSE))</f>
        <v/>
      </c>
      <c r="AF26" s="231" t="str">
        <f>VLOOKUP($B26,'6.คีย์ปลายภาค'!$C$6:$EI$50,59,FALSE)</f>
        <v/>
      </c>
      <c r="AG26" s="231" t="str">
        <f>IF(VLOOKUP($B26,'6.คีย์ปลายภาค'!$C$6:$EI$50,63,FALSE)="","",VLOOKUP($B26,'6.คีย์ปลายภาค'!$C$6:$EI$50,63,FALSE))</f>
        <v/>
      </c>
      <c r="AH26" s="232" t="str">
        <f>VLOOKUP($B26,'6.คีย์ปลายภาค'!$C$6:$EI$50,64,FALSE)</f>
        <v/>
      </c>
      <c r="AI26" s="31">
        <v>18</v>
      </c>
      <c r="AJ26" s="770" t="str">
        <f>IF(Name18="","",Name18)</f>
        <v/>
      </c>
      <c r="AK26" s="707"/>
      <c r="AL26" s="707"/>
      <c r="AM26" s="707"/>
      <c r="AN26" s="767" t="str">
        <f>IF(Surname18="","",Surname18)</f>
        <v/>
      </c>
      <c r="AO26" s="767"/>
      <c r="AP26" s="767"/>
      <c r="AQ26" s="767"/>
      <c r="AR26" s="234" t="str">
        <f>IF(VLOOKUP($B26,'6.คีย์ปลายภาค'!$C$6:$EI$50,68,FALSE)="","",VLOOKUP($B26,'6.คีย์ปลายภาค'!$C$6:$EI$50,68,FALSE))</f>
        <v/>
      </c>
      <c r="AS26" s="230" t="str">
        <f>VLOOKUP($B26,'6.คีย์ปลายภาค'!$C$6:$EI$50,69,FALSE)</f>
        <v/>
      </c>
      <c r="AT26" s="230" t="str">
        <f>IF(VLOOKUP($B26,'6.คีย์ปลายภาค'!$C$6:$EI$50,73,FALSE)="","",VLOOKUP($B26,'6.คีย์ปลายภาค'!$C$6:$EI$50,73,FALSE))</f>
        <v/>
      </c>
      <c r="AU26" s="230" t="str">
        <f>VLOOKUP($B26,'6.คีย์ปลายภาค'!$C$6:$EI$50,74,FALSE)</f>
        <v/>
      </c>
      <c r="AV26" s="230" t="str">
        <f>IF(VLOOKUP($B26,'6.คีย์ปลายภาค'!$C$6:$EI$50,78,FALSE)="","",VLOOKUP($B26,'6.คีย์ปลายภาค'!$C$6:$EI$50,78,FALSE))</f>
        <v/>
      </c>
      <c r="AW26" s="230" t="str">
        <f>VLOOKUP($B26,'6.คีย์ปลายภาค'!$C$6:$EI$50,79,FALSE)</f>
        <v/>
      </c>
      <c r="AX26" s="230" t="str">
        <f>IF(VLOOKUP($B26,'6.คีย์ปลายภาค'!$C$6:$EI$50,83,FALSE)="","",VLOOKUP($B26,'6.คีย์ปลายภาค'!$C$6:$EI$50,83,FALSE))</f>
        <v/>
      </c>
      <c r="AY26" s="230" t="str">
        <f>VLOOKUP($B26,'6.คีย์ปลายภาค'!$C$6:$EI$50,84,FALSE)</f>
        <v/>
      </c>
      <c r="AZ26" s="230" t="str">
        <f>IF(VLOOKUP($B26,'6.คีย์ปลายภาค'!$C$6:$EI$50,88,FALSE)="","",VLOOKUP($B26,'6.คีย์ปลายภาค'!$C$6:$EI$50,88,FALSE))</f>
        <v/>
      </c>
      <c r="BA26" s="230" t="str">
        <f>VLOOKUP($B26,'6.คีย์ปลายภาค'!$C$6:$EI$50,89,FALSE)</f>
        <v/>
      </c>
      <c r="BB26" s="230" t="str">
        <f>IF(VLOOKUP($B26,'6.คีย์ปลายภาค'!$C$6:$EI$50,93,FALSE)="","",VLOOKUP($B26,'6.คีย์ปลายภาค'!$C$6:$EI$50,93,FALSE))</f>
        <v/>
      </c>
      <c r="BC26" s="230" t="str">
        <f>VLOOKUP($B26,'6.คีย์ปลายภาค'!$C$6:$EI$50,94,FALSE)</f>
        <v/>
      </c>
      <c r="BD26" s="230" t="str">
        <f>IF(VLOOKUP($B26,'6.คีย์ปลายภาค'!$C$6:$EI$50,98,FALSE)="","",VLOOKUP($B26,'6.คีย์ปลายภาค'!$C$6:$EI$50,98,FALSE))</f>
        <v/>
      </c>
      <c r="BE26" s="230" t="str">
        <f>VLOOKUP($B26,'6.คีย์ปลายภาค'!$C$6:$EI$50,99,FALSE)</f>
        <v/>
      </c>
      <c r="BF26" s="230" t="str">
        <f>IF(VLOOKUP($B26,'6.คีย์ปลายภาค'!$C$6:$EI$50,103,FALSE)="","",VLOOKUP($B26,'6.คีย์ปลายภาค'!$C$6:$EI$50,103,FALSE))</f>
        <v/>
      </c>
      <c r="BG26" s="230" t="str">
        <f>VLOOKUP($B26,'6.คีย์ปลายภาค'!$C$6:$EI$50,104,FALSE)</f>
        <v/>
      </c>
      <c r="BH26" s="230" t="str">
        <f>IF(VLOOKUP($B26,'6.คีย์ปลายภาค'!$C$6:$EI$50,108,FALSE)="","",VLOOKUP($B26,'6.คีย์ปลายภาค'!$C$6:$EI$50,108,FALSE))</f>
        <v/>
      </c>
      <c r="BI26" s="230" t="str">
        <f>VLOOKUP($B26,'6.คีย์ปลายภาค'!$C$6:$EI$50,109,FALSE)</f>
        <v/>
      </c>
      <c r="BJ26" s="230" t="str">
        <f>IF(VLOOKUP($B26,'6.คีย์ปลายภาค'!$C$6:$EI$50,113,FALSE)="","",VLOOKUP($B26,'6.คีย์ปลายภาค'!$C$6:$EI$50,113,FALSE))</f>
        <v/>
      </c>
      <c r="BK26" s="230" t="str">
        <f>VLOOKUP($B26,'6.คีย์ปลายภาค'!$C$6:$EI$50,114,FALSE)</f>
        <v/>
      </c>
      <c r="BL26" s="230" t="str">
        <f>IF(VLOOKUP($B26,'6.คีย์ปลายภาค'!$C$6:$EI$50,118,FALSE)="","",VLOOKUP($B26,'6.คีย์ปลายภาค'!$C$6:$EI$50,118,FALSE))</f>
        <v/>
      </c>
      <c r="BM26" s="230" t="str">
        <f>VLOOKUP($B26,'6.คีย์ปลายภาค'!$C$6:$EI$50,119,FALSE)</f>
        <v/>
      </c>
      <c r="BN26" s="230" t="str">
        <f>IF(VLOOKUP($B26,'6.คีย์ปลายภาค'!$C$6:$EI$50,123,FALSE)="","",VLOOKUP($B26,'6.คีย์ปลายภาค'!$C$6:$EI$50,123,FALSE))</f>
        <v/>
      </c>
      <c r="BO26" s="230" t="str">
        <f>VLOOKUP($B26,'6.คีย์ปลายภาค'!$C$6:$EI$50,124,FALSE)</f>
        <v/>
      </c>
      <c r="BP26" s="230" t="str">
        <f>IF(VLOOKUP($B26,'6.คีย์ปลายภาค'!$C$6:$EI$50,128,FALSE)="","",VLOOKUP($B26,'6.คีย์ปลายภาค'!$C$6:$EI$50,128,FALSE))</f>
        <v/>
      </c>
      <c r="BQ26" s="232" t="str">
        <f>VLOOKUP($B26,'6.คีย์ปลายภาค'!$C$6:$EI$50,129,FALSE)</f>
        <v/>
      </c>
      <c r="BR26" s="550" t="str">
        <f>IF(L26="","",IF('2.ชื่อนักเรียน'!R28="มส","",IF('2.ชื่อนักเรียน'!R28="ย้าย","",IF('2.ชื่อนักเรียน'!R28="ร","",SUM(BT26:CR26)/13.5))))</f>
        <v/>
      </c>
      <c r="BS26" s="520" t="str">
        <f>IF('2.ชื่อนักเรียน'!R28="มส","มส",IF('2.ชื่อนักเรียน'!R28="ย้าย","ย้าย",IF('2.ชื่อนักเรียน'!R28="ร","ร",IF(BR26="","",RANK(BR26,$BR$9:$BR$53,0)))))</f>
        <v/>
      </c>
      <c r="BT26" s="118" t="str">
        <f t="shared" si="0"/>
        <v/>
      </c>
      <c r="BU26" s="119" t="str">
        <f t="shared" si="1"/>
        <v/>
      </c>
      <c r="BV26" s="119" t="str">
        <f t="shared" si="2"/>
        <v/>
      </c>
      <c r="BW26" s="110" t="str">
        <f t="shared" si="3"/>
        <v/>
      </c>
      <c r="BX26" s="119" t="str">
        <f t="shared" si="4"/>
        <v/>
      </c>
      <c r="BY26" s="119" t="str">
        <f t="shared" si="5"/>
        <v/>
      </c>
      <c r="BZ26" s="119" t="str">
        <f t="shared" si="6"/>
        <v/>
      </c>
      <c r="CA26" s="119" t="str">
        <f t="shared" si="7"/>
        <v/>
      </c>
      <c r="CB26" s="110" t="str">
        <f t="shared" si="8"/>
        <v/>
      </c>
      <c r="CC26" s="151" t="str">
        <f t="shared" si="9"/>
        <v/>
      </c>
      <c r="CD26" s="151" t="str">
        <f t="shared" si="10"/>
        <v/>
      </c>
      <c r="CE26" s="111" t="str">
        <f t="shared" si="11"/>
        <v/>
      </c>
      <c r="CF26" s="118" t="str">
        <f t="shared" si="12"/>
        <v/>
      </c>
      <c r="CG26" s="119" t="str">
        <f t="shared" si="13"/>
        <v/>
      </c>
      <c r="CH26" s="119" t="str">
        <f t="shared" si="14"/>
        <v/>
      </c>
      <c r="CI26" s="119" t="str">
        <f t="shared" si="15"/>
        <v/>
      </c>
      <c r="CJ26" s="110" t="str">
        <f t="shared" si="16"/>
        <v/>
      </c>
      <c r="CK26" s="110" t="str">
        <f t="shared" si="17"/>
        <v/>
      </c>
      <c r="CL26" s="119" t="str">
        <f t="shared" si="18"/>
        <v/>
      </c>
      <c r="CM26" s="119" t="str">
        <f t="shared" si="19"/>
        <v/>
      </c>
      <c r="CN26" s="120" t="str">
        <f t="shared" si="20"/>
        <v/>
      </c>
      <c r="CO26" s="119" t="str">
        <f t="shared" si="21"/>
        <v/>
      </c>
      <c r="CP26" s="120" t="str">
        <f t="shared" si="22"/>
        <v/>
      </c>
      <c r="CQ26" s="111" t="str">
        <f t="shared" si="23"/>
        <v/>
      </c>
      <c r="CR26" s="494" t="str">
        <f t="shared" si="24"/>
        <v/>
      </c>
      <c r="CS26" s="148">
        <f t="shared" si="25"/>
        <v>0</v>
      </c>
      <c r="CT26" s="21">
        <f>IF('2.ชื่อนักเรียน'!AP28="มส","มส",IF('2.ชื่อนักเรียน'!AP28="ย้าย","ย้าย",IF('2.ชื่อนักเรียน'!AP28="ร","ร",IF(CS26="","",RANK(CS26,$CS$9:$CS$53,0)))))</f>
        <v>1</v>
      </c>
    </row>
    <row r="27" spans="1:98" s="29" customFormat="1" ht="18.75" customHeight="1" x14ac:dyDescent="0.25">
      <c r="A27" s="234">
        <v>19</v>
      </c>
      <c r="B27" s="512" t="str">
        <f>IF(IDstu19="","",IDstu19)</f>
        <v/>
      </c>
      <c r="C27" s="770" t="str">
        <f>IF(Name19="","",Name19)</f>
        <v/>
      </c>
      <c r="D27" s="707"/>
      <c r="E27" s="707"/>
      <c r="F27" s="707"/>
      <c r="G27" s="767" t="str">
        <f>IF(Surname19="","",Surname19)</f>
        <v/>
      </c>
      <c r="H27" s="767"/>
      <c r="I27" s="767"/>
      <c r="J27" s="767"/>
      <c r="K27" s="234" t="str">
        <f>IF(VLOOKUP($B27,'6.คีย์ปลายภาค'!$C$6:$EI$50,8,FALSE)="","",VLOOKUP($B27,'6.คีย์ปลายภาค'!$C$6:$EI$50,8,FALSE))</f>
        <v/>
      </c>
      <c r="L27" s="229" t="str">
        <f>VLOOKUP($B27,'6.คีย์ปลายภาค'!$C$6:$EI$50,9,FALSE)</f>
        <v/>
      </c>
      <c r="M27" s="229" t="str">
        <f>IF(VLOOKUP($B27,'6.คีย์ปลายภาค'!$C$6:$EI$50,13,FALSE)="","",VLOOKUP($B27,'6.คีย์ปลายภาค'!$C$6:$EI$50,13,FALSE))</f>
        <v/>
      </c>
      <c r="N27" s="230" t="str">
        <f>VLOOKUP($B27,'6.คีย์ปลายภาค'!$C$6:$EI$50,14,FALSE)</f>
        <v/>
      </c>
      <c r="O27" s="230" t="str">
        <f>IF(VLOOKUP($B27,'6.คีย์ปลายภาค'!$C$6:$EI$50,18,FALSE)="","",VLOOKUP($B27,'6.คีย์ปลายภาค'!$C$6:$EI$50,18,FALSE))</f>
        <v/>
      </c>
      <c r="P27" s="230" t="str">
        <f>VLOOKUP($B27,'6.คีย์ปลายภาค'!$C$6:$EI$50,19,FALSE)</f>
        <v/>
      </c>
      <c r="Q27" s="230" t="str">
        <f>IF(VLOOKUP($B27,'6.คีย์ปลายภาค'!$C$6:$EI$50,23,FALSE)="","",VLOOKUP($B27,'6.คีย์ปลายภาค'!$C$6:$EI$50,23,FALSE))</f>
        <v/>
      </c>
      <c r="R27" s="230" t="str">
        <f>VLOOKUP($B27,'6.คีย์ปลายภาค'!$C$6:$EI$50,24,FALSE)</f>
        <v/>
      </c>
      <c r="S27" s="230" t="str">
        <f>IF(VLOOKUP($B27,'6.คีย์ปลายภาค'!$C$6:$EI$50,28,FALSE)="","",VLOOKUP($B27,'6.คีย์ปลายภาค'!$C$6:$EI$50,28,FALSE))</f>
        <v/>
      </c>
      <c r="T27" s="230" t="str">
        <f>VLOOKUP($B27,'6.คีย์ปลายภาค'!$C$6:$EI$50,29,FALSE)</f>
        <v/>
      </c>
      <c r="U27" s="230" t="str">
        <f>IF(VLOOKUP($B27,'6.คีย์ปลายภาค'!$C$6:$EI$50,33,FALSE)="","",VLOOKUP($B27,'6.คีย์ปลายภาค'!$C$6:$EI$50,33,FALSE))</f>
        <v/>
      </c>
      <c r="V27" s="230" t="str">
        <f>VLOOKUP($B27,'6.คีย์ปลายภาค'!$C$6:$EI$50,34,FALSE)</f>
        <v/>
      </c>
      <c r="W27" s="230" t="str">
        <f>IF(VLOOKUP($B27,'6.คีย์ปลายภาค'!$C$6:$EI$50,38,FALSE)="","",VLOOKUP($B27,'6.คีย์ปลายภาค'!$C$6:$EI$50,38,FALSE))</f>
        <v/>
      </c>
      <c r="X27" s="230" t="str">
        <f>VLOOKUP($B27,'6.คีย์ปลายภาค'!$C$6:$EI$50,39,FALSE)</f>
        <v/>
      </c>
      <c r="Y27" s="230" t="str">
        <f>IF(VLOOKUP($B27,'6.คีย์ปลายภาค'!$C$6:$EI$50,43,FALSE)="","",VLOOKUP($B27,'6.คีย์ปลายภาค'!$C$6:$EI$50,43,FALSE))</f>
        <v/>
      </c>
      <c r="Z27" s="230" t="str">
        <f>VLOOKUP($B27,'6.คีย์ปลายภาค'!$C$6:$EI$50,44,FALSE)</f>
        <v/>
      </c>
      <c r="AA27" s="230" t="str">
        <f>IF(VLOOKUP($B27,'6.คีย์ปลายภาค'!$C$6:$EI$50,48,FALSE)="","",VLOOKUP($B27,'6.คีย์ปลายภาค'!$C$6:$EI$50,48,FALSE))</f>
        <v/>
      </c>
      <c r="AB27" s="230" t="str">
        <f>VLOOKUP($B27,'6.คีย์ปลายภาค'!$C$6:$EI$50,49,FALSE)</f>
        <v/>
      </c>
      <c r="AC27" s="231" t="str">
        <f>IF(VLOOKUP($B27,'6.คีย์ปลายภาค'!$C$6:$EI$50,53,FALSE)="","",VLOOKUP($B27,'6.คีย์ปลายภาค'!$C$6:$EI$50,53,FALSE))</f>
        <v/>
      </c>
      <c r="AD27" s="231" t="str">
        <f>VLOOKUP($B27,'6.คีย์ปลายภาค'!$C$6:$EI$50,54,FALSE)</f>
        <v/>
      </c>
      <c r="AE27" s="231" t="str">
        <f>IF(VLOOKUP($B27,'6.คีย์ปลายภาค'!$C$6:$EI$50,58,FALSE)="","",VLOOKUP($B27,'6.คีย์ปลายภาค'!$C$6:$EI$50,58,FALSE))</f>
        <v/>
      </c>
      <c r="AF27" s="231" t="str">
        <f>VLOOKUP($B27,'6.คีย์ปลายภาค'!$C$6:$EI$50,59,FALSE)</f>
        <v/>
      </c>
      <c r="AG27" s="231" t="str">
        <f>IF(VLOOKUP($B27,'6.คีย์ปลายภาค'!$C$6:$EI$50,63,FALSE)="","",VLOOKUP($B27,'6.คีย์ปลายภาค'!$C$6:$EI$50,63,FALSE))</f>
        <v/>
      </c>
      <c r="AH27" s="232" t="str">
        <f>VLOOKUP($B27,'6.คีย์ปลายภาค'!$C$6:$EI$50,64,FALSE)</f>
        <v/>
      </c>
      <c r="AI27" s="31">
        <v>19</v>
      </c>
      <c r="AJ27" s="770" t="str">
        <f>IF(Name19="","",Name19)</f>
        <v/>
      </c>
      <c r="AK27" s="707"/>
      <c r="AL27" s="707"/>
      <c r="AM27" s="707"/>
      <c r="AN27" s="767" t="str">
        <f>IF(Surname19="","",Surname19)</f>
        <v/>
      </c>
      <c r="AO27" s="767"/>
      <c r="AP27" s="767"/>
      <c r="AQ27" s="767"/>
      <c r="AR27" s="234" t="str">
        <f>IF(VLOOKUP($B27,'6.คีย์ปลายภาค'!$C$6:$EI$50,68,FALSE)="","",VLOOKUP($B27,'6.คีย์ปลายภาค'!$C$6:$EI$50,68,FALSE))</f>
        <v/>
      </c>
      <c r="AS27" s="230" t="str">
        <f>VLOOKUP($B27,'6.คีย์ปลายภาค'!$C$6:$EI$50,69,FALSE)</f>
        <v/>
      </c>
      <c r="AT27" s="230" t="str">
        <f>IF(VLOOKUP($B27,'6.คีย์ปลายภาค'!$C$6:$EI$50,73,FALSE)="","",VLOOKUP($B27,'6.คีย์ปลายภาค'!$C$6:$EI$50,73,FALSE))</f>
        <v/>
      </c>
      <c r="AU27" s="230" t="str">
        <f>VLOOKUP($B27,'6.คีย์ปลายภาค'!$C$6:$EI$50,74,FALSE)</f>
        <v/>
      </c>
      <c r="AV27" s="230" t="str">
        <f>IF(VLOOKUP($B27,'6.คีย์ปลายภาค'!$C$6:$EI$50,78,FALSE)="","",VLOOKUP($B27,'6.คีย์ปลายภาค'!$C$6:$EI$50,78,FALSE))</f>
        <v/>
      </c>
      <c r="AW27" s="230" t="str">
        <f>VLOOKUP($B27,'6.คีย์ปลายภาค'!$C$6:$EI$50,79,FALSE)</f>
        <v/>
      </c>
      <c r="AX27" s="230" t="str">
        <f>IF(VLOOKUP($B27,'6.คีย์ปลายภาค'!$C$6:$EI$50,83,FALSE)="","",VLOOKUP($B27,'6.คีย์ปลายภาค'!$C$6:$EI$50,83,FALSE))</f>
        <v/>
      </c>
      <c r="AY27" s="230" t="str">
        <f>VLOOKUP($B27,'6.คีย์ปลายภาค'!$C$6:$EI$50,84,FALSE)</f>
        <v/>
      </c>
      <c r="AZ27" s="230" t="str">
        <f>IF(VLOOKUP($B27,'6.คีย์ปลายภาค'!$C$6:$EI$50,88,FALSE)="","",VLOOKUP($B27,'6.คีย์ปลายภาค'!$C$6:$EI$50,88,FALSE))</f>
        <v/>
      </c>
      <c r="BA27" s="230" t="str">
        <f>VLOOKUP($B27,'6.คีย์ปลายภาค'!$C$6:$EI$50,89,FALSE)</f>
        <v/>
      </c>
      <c r="BB27" s="230" t="str">
        <f>IF(VLOOKUP($B27,'6.คีย์ปลายภาค'!$C$6:$EI$50,93,FALSE)="","",VLOOKUP($B27,'6.คีย์ปลายภาค'!$C$6:$EI$50,93,FALSE))</f>
        <v/>
      </c>
      <c r="BC27" s="230" t="str">
        <f>VLOOKUP($B27,'6.คีย์ปลายภาค'!$C$6:$EI$50,94,FALSE)</f>
        <v/>
      </c>
      <c r="BD27" s="230" t="str">
        <f>IF(VLOOKUP($B27,'6.คีย์ปลายภาค'!$C$6:$EI$50,98,FALSE)="","",VLOOKUP($B27,'6.คีย์ปลายภาค'!$C$6:$EI$50,98,FALSE))</f>
        <v/>
      </c>
      <c r="BE27" s="230" t="str">
        <f>VLOOKUP($B27,'6.คีย์ปลายภาค'!$C$6:$EI$50,99,FALSE)</f>
        <v/>
      </c>
      <c r="BF27" s="230" t="str">
        <f>IF(VLOOKUP($B27,'6.คีย์ปลายภาค'!$C$6:$EI$50,103,FALSE)="","",VLOOKUP($B27,'6.คีย์ปลายภาค'!$C$6:$EI$50,103,FALSE))</f>
        <v/>
      </c>
      <c r="BG27" s="230" t="str">
        <f>VLOOKUP($B27,'6.คีย์ปลายภาค'!$C$6:$EI$50,104,FALSE)</f>
        <v/>
      </c>
      <c r="BH27" s="230" t="str">
        <f>IF(VLOOKUP($B27,'6.คีย์ปลายภาค'!$C$6:$EI$50,108,FALSE)="","",VLOOKUP($B27,'6.คีย์ปลายภาค'!$C$6:$EI$50,108,FALSE))</f>
        <v/>
      </c>
      <c r="BI27" s="230" t="str">
        <f>VLOOKUP($B27,'6.คีย์ปลายภาค'!$C$6:$EI$50,109,FALSE)</f>
        <v/>
      </c>
      <c r="BJ27" s="230" t="str">
        <f>IF(VLOOKUP($B27,'6.คีย์ปลายภาค'!$C$6:$EI$50,113,FALSE)="","",VLOOKUP($B27,'6.คีย์ปลายภาค'!$C$6:$EI$50,113,FALSE))</f>
        <v/>
      </c>
      <c r="BK27" s="230" t="str">
        <f>VLOOKUP($B27,'6.คีย์ปลายภาค'!$C$6:$EI$50,114,FALSE)</f>
        <v/>
      </c>
      <c r="BL27" s="230" t="str">
        <f>IF(VLOOKUP($B27,'6.คีย์ปลายภาค'!$C$6:$EI$50,118,FALSE)="","",VLOOKUP($B27,'6.คีย์ปลายภาค'!$C$6:$EI$50,118,FALSE))</f>
        <v/>
      </c>
      <c r="BM27" s="230" t="str">
        <f>VLOOKUP($B27,'6.คีย์ปลายภาค'!$C$6:$EI$50,119,FALSE)</f>
        <v/>
      </c>
      <c r="BN27" s="230" t="str">
        <f>IF(VLOOKUP($B27,'6.คีย์ปลายภาค'!$C$6:$EI$50,123,FALSE)="","",VLOOKUP($B27,'6.คีย์ปลายภาค'!$C$6:$EI$50,123,FALSE))</f>
        <v/>
      </c>
      <c r="BO27" s="230" t="str">
        <f>VLOOKUP($B27,'6.คีย์ปลายภาค'!$C$6:$EI$50,124,FALSE)</f>
        <v/>
      </c>
      <c r="BP27" s="230" t="str">
        <f>IF(VLOOKUP($B27,'6.คีย์ปลายภาค'!$C$6:$EI$50,128,FALSE)="","",VLOOKUP($B27,'6.คีย์ปลายภาค'!$C$6:$EI$50,128,FALSE))</f>
        <v/>
      </c>
      <c r="BQ27" s="232" t="str">
        <f>VLOOKUP($B27,'6.คีย์ปลายภาค'!$C$6:$EI$50,129,FALSE)</f>
        <v/>
      </c>
      <c r="BR27" s="550" t="str">
        <f>IF(L27="","",IF('2.ชื่อนักเรียน'!R29="มส","",IF('2.ชื่อนักเรียน'!R29="ย้าย","",IF('2.ชื่อนักเรียน'!R29="ร","",SUM(BT27:CR27)/13.5))))</f>
        <v/>
      </c>
      <c r="BS27" s="520" t="str">
        <f>IF('2.ชื่อนักเรียน'!R29="มส","มส",IF('2.ชื่อนักเรียน'!R29="ย้าย","ย้าย",IF('2.ชื่อนักเรียน'!R29="ร","ร",IF(BR27="","",RANK(BR27,$BR$9:$BR$53,0)))))</f>
        <v/>
      </c>
      <c r="BT27" s="118" t="str">
        <f t="shared" si="0"/>
        <v/>
      </c>
      <c r="BU27" s="119" t="str">
        <f t="shared" si="1"/>
        <v/>
      </c>
      <c r="BV27" s="119" t="str">
        <f t="shared" si="2"/>
        <v/>
      </c>
      <c r="BW27" s="110" t="str">
        <f t="shared" si="3"/>
        <v/>
      </c>
      <c r="BX27" s="119" t="str">
        <f t="shared" si="4"/>
        <v/>
      </c>
      <c r="BY27" s="119" t="str">
        <f t="shared" si="5"/>
        <v/>
      </c>
      <c r="BZ27" s="119" t="str">
        <f t="shared" si="6"/>
        <v/>
      </c>
      <c r="CA27" s="119" t="str">
        <f t="shared" si="7"/>
        <v/>
      </c>
      <c r="CB27" s="110" t="str">
        <f t="shared" si="8"/>
        <v/>
      </c>
      <c r="CC27" s="151" t="str">
        <f t="shared" si="9"/>
        <v/>
      </c>
      <c r="CD27" s="151" t="str">
        <f t="shared" si="10"/>
        <v/>
      </c>
      <c r="CE27" s="111" t="str">
        <f t="shared" si="11"/>
        <v/>
      </c>
      <c r="CF27" s="118" t="str">
        <f t="shared" si="12"/>
        <v/>
      </c>
      <c r="CG27" s="119" t="str">
        <f t="shared" si="13"/>
        <v/>
      </c>
      <c r="CH27" s="119" t="str">
        <f t="shared" si="14"/>
        <v/>
      </c>
      <c r="CI27" s="119" t="str">
        <f t="shared" si="15"/>
        <v/>
      </c>
      <c r="CJ27" s="110" t="str">
        <f t="shared" si="16"/>
        <v/>
      </c>
      <c r="CK27" s="110" t="str">
        <f t="shared" si="17"/>
        <v/>
      </c>
      <c r="CL27" s="119" t="str">
        <f t="shared" si="18"/>
        <v/>
      </c>
      <c r="CM27" s="119" t="str">
        <f t="shared" si="19"/>
        <v/>
      </c>
      <c r="CN27" s="120" t="str">
        <f t="shared" si="20"/>
        <v/>
      </c>
      <c r="CO27" s="119" t="str">
        <f t="shared" si="21"/>
        <v/>
      </c>
      <c r="CP27" s="120" t="str">
        <f t="shared" si="22"/>
        <v/>
      </c>
      <c r="CQ27" s="111" t="str">
        <f t="shared" si="23"/>
        <v/>
      </c>
      <c r="CR27" s="494" t="str">
        <f t="shared" si="24"/>
        <v/>
      </c>
      <c r="CS27" s="148">
        <f t="shared" si="25"/>
        <v>0</v>
      </c>
      <c r="CT27" s="21">
        <f>IF('2.ชื่อนักเรียน'!AP29="มส","มส",IF('2.ชื่อนักเรียน'!AP29="ย้าย","ย้าย",IF('2.ชื่อนักเรียน'!AP29="ร","ร",IF(CS27="","",RANK(CS27,$CS$9:$CS$53,0)))))</f>
        <v>1</v>
      </c>
    </row>
    <row r="28" spans="1:98" s="29" customFormat="1" ht="18.75" customHeight="1" x14ac:dyDescent="0.25">
      <c r="A28" s="234">
        <v>20</v>
      </c>
      <c r="B28" s="512" t="str">
        <f>IF(IDstu20="","",IDstu20)</f>
        <v/>
      </c>
      <c r="C28" s="770" t="str">
        <f>IF(Name20="","",Name20)</f>
        <v/>
      </c>
      <c r="D28" s="707"/>
      <c r="E28" s="707"/>
      <c r="F28" s="707"/>
      <c r="G28" s="767" t="str">
        <f>IF(Surname20="","",Surname20)</f>
        <v/>
      </c>
      <c r="H28" s="767"/>
      <c r="I28" s="767"/>
      <c r="J28" s="767"/>
      <c r="K28" s="234" t="str">
        <f>IF(VLOOKUP($B28,'6.คีย์ปลายภาค'!$C$6:$EI$50,8,FALSE)="","",VLOOKUP($B28,'6.คีย์ปลายภาค'!$C$6:$EI$50,8,FALSE))</f>
        <v/>
      </c>
      <c r="L28" s="229" t="str">
        <f>VLOOKUP($B28,'6.คีย์ปลายภาค'!$C$6:$EI$50,9,FALSE)</f>
        <v/>
      </c>
      <c r="M28" s="229" t="str">
        <f>IF(VLOOKUP($B28,'6.คีย์ปลายภาค'!$C$6:$EI$50,13,FALSE)="","",VLOOKUP($B28,'6.คีย์ปลายภาค'!$C$6:$EI$50,13,FALSE))</f>
        <v/>
      </c>
      <c r="N28" s="230" t="str">
        <f>VLOOKUP($B28,'6.คีย์ปลายภาค'!$C$6:$EI$50,14,FALSE)</f>
        <v/>
      </c>
      <c r="O28" s="230" t="str">
        <f>IF(VLOOKUP($B28,'6.คีย์ปลายภาค'!$C$6:$EI$50,18,FALSE)="","",VLOOKUP($B28,'6.คีย์ปลายภาค'!$C$6:$EI$50,18,FALSE))</f>
        <v/>
      </c>
      <c r="P28" s="230" t="str">
        <f>VLOOKUP($B28,'6.คีย์ปลายภาค'!$C$6:$EI$50,19,FALSE)</f>
        <v/>
      </c>
      <c r="Q28" s="230" t="str">
        <f>IF(VLOOKUP($B28,'6.คีย์ปลายภาค'!$C$6:$EI$50,23,FALSE)="","",VLOOKUP($B28,'6.คีย์ปลายภาค'!$C$6:$EI$50,23,FALSE))</f>
        <v/>
      </c>
      <c r="R28" s="230" t="str">
        <f>VLOOKUP($B28,'6.คีย์ปลายภาค'!$C$6:$EI$50,24,FALSE)</f>
        <v/>
      </c>
      <c r="S28" s="230" t="str">
        <f>IF(VLOOKUP($B28,'6.คีย์ปลายภาค'!$C$6:$EI$50,28,FALSE)="","",VLOOKUP($B28,'6.คีย์ปลายภาค'!$C$6:$EI$50,28,FALSE))</f>
        <v/>
      </c>
      <c r="T28" s="230" t="str">
        <f>VLOOKUP($B28,'6.คีย์ปลายภาค'!$C$6:$EI$50,29,FALSE)</f>
        <v/>
      </c>
      <c r="U28" s="230" t="str">
        <f>IF(VLOOKUP($B28,'6.คีย์ปลายภาค'!$C$6:$EI$50,33,FALSE)="","",VLOOKUP($B28,'6.คีย์ปลายภาค'!$C$6:$EI$50,33,FALSE))</f>
        <v/>
      </c>
      <c r="V28" s="230" t="str">
        <f>VLOOKUP($B28,'6.คีย์ปลายภาค'!$C$6:$EI$50,34,FALSE)</f>
        <v/>
      </c>
      <c r="W28" s="230" t="str">
        <f>IF(VLOOKUP($B28,'6.คีย์ปลายภาค'!$C$6:$EI$50,38,FALSE)="","",VLOOKUP($B28,'6.คีย์ปลายภาค'!$C$6:$EI$50,38,FALSE))</f>
        <v/>
      </c>
      <c r="X28" s="230" t="str">
        <f>VLOOKUP($B28,'6.คีย์ปลายภาค'!$C$6:$EI$50,39,FALSE)</f>
        <v/>
      </c>
      <c r="Y28" s="230" t="str">
        <f>IF(VLOOKUP($B28,'6.คีย์ปลายภาค'!$C$6:$EI$50,43,FALSE)="","",VLOOKUP($B28,'6.คีย์ปลายภาค'!$C$6:$EI$50,43,FALSE))</f>
        <v/>
      </c>
      <c r="Z28" s="230" t="str">
        <f>VLOOKUP($B28,'6.คีย์ปลายภาค'!$C$6:$EI$50,44,FALSE)</f>
        <v/>
      </c>
      <c r="AA28" s="230" t="str">
        <f>IF(VLOOKUP($B28,'6.คีย์ปลายภาค'!$C$6:$EI$50,48,FALSE)="","",VLOOKUP($B28,'6.คีย์ปลายภาค'!$C$6:$EI$50,48,FALSE))</f>
        <v/>
      </c>
      <c r="AB28" s="230" t="str">
        <f>VLOOKUP($B28,'6.คีย์ปลายภาค'!$C$6:$EI$50,49,FALSE)</f>
        <v/>
      </c>
      <c r="AC28" s="231" t="str">
        <f>IF(VLOOKUP($B28,'6.คีย์ปลายภาค'!$C$6:$EI$50,53,FALSE)="","",VLOOKUP($B28,'6.คีย์ปลายภาค'!$C$6:$EI$50,53,FALSE))</f>
        <v/>
      </c>
      <c r="AD28" s="231" t="str">
        <f>VLOOKUP($B28,'6.คีย์ปลายภาค'!$C$6:$EI$50,54,FALSE)</f>
        <v/>
      </c>
      <c r="AE28" s="231" t="str">
        <f>IF(VLOOKUP($B28,'6.คีย์ปลายภาค'!$C$6:$EI$50,58,FALSE)="","",VLOOKUP($B28,'6.คีย์ปลายภาค'!$C$6:$EI$50,58,FALSE))</f>
        <v/>
      </c>
      <c r="AF28" s="231" t="str">
        <f>VLOOKUP($B28,'6.คีย์ปลายภาค'!$C$6:$EI$50,59,FALSE)</f>
        <v/>
      </c>
      <c r="AG28" s="231" t="str">
        <f>IF(VLOOKUP($B28,'6.คีย์ปลายภาค'!$C$6:$EI$50,63,FALSE)="","",VLOOKUP($B28,'6.คีย์ปลายภาค'!$C$6:$EI$50,63,FALSE))</f>
        <v/>
      </c>
      <c r="AH28" s="232" t="str">
        <f>VLOOKUP($B28,'6.คีย์ปลายภาค'!$C$6:$EI$50,64,FALSE)</f>
        <v/>
      </c>
      <c r="AI28" s="31">
        <v>20</v>
      </c>
      <c r="AJ28" s="770" t="str">
        <f>IF(Name20="","",Name20)</f>
        <v/>
      </c>
      <c r="AK28" s="707"/>
      <c r="AL28" s="707"/>
      <c r="AM28" s="707"/>
      <c r="AN28" s="767" t="str">
        <f>IF(Surname20="","",Surname20)</f>
        <v/>
      </c>
      <c r="AO28" s="767"/>
      <c r="AP28" s="767"/>
      <c r="AQ28" s="767"/>
      <c r="AR28" s="234" t="str">
        <f>IF(VLOOKUP($B28,'6.คีย์ปลายภาค'!$C$6:$EI$50,68,FALSE)="","",VLOOKUP($B28,'6.คีย์ปลายภาค'!$C$6:$EI$50,68,FALSE))</f>
        <v/>
      </c>
      <c r="AS28" s="230" t="str">
        <f>VLOOKUP($B28,'6.คีย์ปลายภาค'!$C$6:$EI$50,69,FALSE)</f>
        <v/>
      </c>
      <c r="AT28" s="230" t="str">
        <f>IF(VLOOKUP($B28,'6.คีย์ปลายภาค'!$C$6:$EI$50,73,FALSE)="","",VLOOKUP($B28,'6.คีย์ปลายภาค'!$C$6:$EI$50,73,FALSE))</f>
        <v/>
      </c>
      <c r="AU28" s="230" t="str">
        <f>VLOOKUP($B28,'6.คีย์ปลายภาค'!$C$6:$EI$50,74,FALSE)</f>
        <v/>
      </c>
      <c r="AV28" s="230" t="str">
        <f>IF(VLOOKUP($B28,'6.คีย์ปลายภาค'!$C$6:$EI$50,78,FALSE)="","",VLOOKUP($B28,'6.คีย์ปลายภาค'!$C$6:$EI$50,78,FALSE))</f>
        <v/>
      </c>
      <c r="AW28" s="230" t="str">
        <f>VLOOKUP($B28,'6.คีย์ปลายภาค'!$C$6:$EI$50,79,FALSE)</f>
        <v/>
      </c>
      <c r="AX28" s="230" t="str">
        <f>IF(VLOOKUP($B28,'6.คีย์ปลายภาค'!$C$6:$EI$50,83,FALSE)="","",VLOOKUP($B28,'6.คีย์ปลายภาค'!$C$6:$EI$50,83,FALSE))</f>
        <v/>
      </c>
      <c r="AY28" s="230" t="str">
        <f>VLOOKUP($B28,'6.คีย์ปลายภาค'!$C$6:$EI$50,84,FALSE)</f>
        <v/>
      </c>
      <c r="AZ28" s="230" t="str">
        <f>IF(VLOOKUP($B28,'6.คีย์ปลายภาค'!$C$6:$EI$50,88,FALSE)="","",VLOOKUP($B28,'6.คีย์ปลายภาค'!$C$6:$EI$50,88,FALSE))</f>
        <v/>
      </c>
      <c r="BA28" s="230" t="str">
        <f>VLOOKUP($B28,'6.คีย์ปลายภาค'!$C$6:$EI$50,89,FALSE)</f>
        <v/>
      </c>
      <c r="BB28" s="230" t="str">
        <f>IF(VLOOKUP($B28,'6.คีย์ปลายภาค'!$C$6:$EI$50,93,FALSE)="","",VLOOKUP($B28,'6.คีย์ปลายภาค'!$C$6:$EI$50,93,FALSE))</f>
        <v/>
      </c>
      <c r="BC28" s="230" t="str">
        <f>VLOOKUP($B28,'6.คีย์ปลายภาค'!$C$6:$EI$50,94,FALSE)</f>
        <v/>
      </c>
      <c r="BD28" s="230" t="str">
        <f>IF(VLOOKUP($B28,'6.คีย์ปลายภาค'!$C$6:$EI$50,98,FALSE)="","",VLOOKUP($B28,'6.คีย์ปลายภาค'!$C$6:$EI$50,98,FALSE))</f>
        <v/>
      </c>
      <c r="BE28" s="230" t="str">
        <f>VLOOKUP($B28,'6.คีย์ปลายภาค'!$C$6:$EI$50,99,FALSE)</f>
        <v/>
      </c>
      <c r="BF28" s="230" t="str">
        <f>IF(VLOOKUP($B28,'6.คีย์ปลายภาค'!$C$6:$EI$50,103,FALSE)="","",VLOOKUP($B28,'6.คีย์ปลายภาค'!$C$6:$EI$50,103,FALSE))</f>
        <v/>
      </c>
      <c r="BG28" s="230" t="str">
        <f>VLOOKUP($B28,'6.คีย์ปลายภาค'!$C$6:$EI$50,104,FALSE)</f>
        <v/>
      </c>
      <c r="BH28" s="230" t="str">
        <f>IF(VLOOKUP($B28,'6.คีย์ปลายภาค'!$C$6:$EI$50,108,FALSE)="","",VLOOKUP($B28,'6.คีย์ปลายภาค'!$C$6:$EI$50,108,FALSE))</f>
        <v/>
      </c>
      <c r="BI28" s="230" t="str">
        <f>VLOOKUP($B28,'6.คีย์ปลายภาค'!$C$6:$EI$50,109,FALSE)</f>
        <v/>
      </c>
      <c r="BJ28" s="230" t="str">
        <f>IF(VLOOKUP($B28,'6.คีย์ปลายภาค'!$C$6:$EI$50,113,FALSE)="","",VLOOKUP($B28,'6.คีย์ปลายภาค'!$C$6:$EI$50,113,FALSE))</f>
        <v/>
      </c>
      <c r="BK28" s="230" t="str">
        <f>VLOOKUP($B28,'6.คีย์ปลายภาค'!$C$6:$EI$50,114,FALSE)</f>
        <v/>
      </c>
      <c r="BL28" s="230" t="str">
        <f>IF(VLOOKUP($B28,'6.คีย์ปลายภาค'!$C$6:$EI$50,118,FALSE)="","",VLOOKUP($B28,'6.คีย์ปลายภาค'!$C$6:$EI$50,118,FALSE))</f>
        <v/>
      </c>
      <c r="BM28" s="230" t="str">
        <f>VLOOKUP($B28,'6.คีย์ปลายภาค'!$C$6:$EI$50,119,FALSE)</f>
        <v/>
      </c>
      <c r="BN28" s="230" t="str">
        <f>IF(VLOOKUP($B28,'6.คีย์ปลายภาค'!$C$6:$EI$50,123,FALSE)="","",VLOOKUP($B28,'6.คีย์ปลายภาค'!$C$6:$EI$50,123,FALSE))</f>
        <v/>
      </c>
      <c r="BO28" s="230" t="str">
        <f>VLOOKUP($B28,'6.คีย์ปลายภาค'!$C$6:$EI$50,124,FALSE)</f>
        <v/>
      </c>
      <c r="BP28" s="230" t="str">
        <f>IF(VLOOKUP($B28,'6.คีย์ปลายภาค'!$C$6:$EI$50,128,FALSE)="","",VLOOKUP($B28,'6.คีย์ปลายภาค'!$C$6:$EI$50,128,FALSE))</f>
        <v/>
      </c>
      <c r="BQ28" s="232" t="str">
        <f>VLOOKUP($B28,'6.คีย์ปลายภาค'!$C$6:$EI$50,129,FALSE)</f>
        <v/>
      </c>
      <c r="BR28" s="550" t="str">
        <f>IF(L28="","",IF('2.ชื่อนักเรียน'!R30="มส","",IF('2.ชื่อนักเรียน'!R30="ย้าย","",IF('2.ชื่อนักเรียน'!R30="ร","",SUM(BT28:CR28)/13.5))))</f>
        <v/>
      </c>
      <c r="BS28" s="520" t="str">
        <f>IF('2.ชื่อนักเรียน'!R30="มส","มส",IF('2.ชื่อนักเรียน'!R30="ย้าย","ย้าย",IF('2.ชื่อนักเรียน'!R30="ร","ร",IF(BR28="","",RANK(BR28,$BR$9:$BR$53,0)))))</f>
        <v/>
      </c>
      <c r="BT28" s="118" t="str">
        <f t="shared" si="0"/>
        <v/>
      </c>
      <c r="BU28" s="119" t="str">
        <f t="shared" si="1"/>
        <v/>
      </c>
      <c r="BV28" s="119" t="str">
        <f t="shared" si="2"/>
        <v/>
      </c>
      <c r="BW28" s="110" t="str">
        <f t="shared" si="3"/>
        <v/>
      </c>
      <c r="BX28" s="119" t="str">
        <f t="shared" si="4"/>
        <v/>
      </c>
      <c r="BY28" s="119" t="str">
        <f t="shared" si="5"/>
        <v/>
      </c>
      <c r="BZ28" s="119" t="str">
        <f t="shared" si="6"/>
        <v/>
      </c>
      <c r="CA28" s="119" t="str">
        <f t="shared" si="7"/>
        <v/>
      </c>
      <c r="CB28" s="110" t="str">
        <f t="shared" si="8"/>
        <v/>
      </c>
      <c r="CC28" s="151" t="str">
        <f t="shared" si="9"/>
        <v/>
      </c>
      <c r="CD28" s="151" t="str">
        <f t="shared" si="10"/>
        <v/>
      </c>
      <c r="CE28" s="111" t="str">
        <f t="shared" si="11"/>
        <v/>
      </c>
      <c r="CF28" s="118" t="str">
        <f t="shared" si="12"/>
        <v/>
      </c>
      <c r="CG28" s="119" t="str">
        <f t="shared" si="13"/>
        <v/>
      </c>
      <c r="CH28" s="119" t="str">
        <f t="shared" si="14"/>
        <v/>
      </c>
      <c r="CI28" s="119" t="str">
        <f t="shared" si="15"/>
        <v/>
      </c>
      <c r="CJ28" s="110" t="str">
        <f t="shared" si="16"/>
        <v/>
      </c>
      <c r="CK28" s="110" t="str">
        <f t="shared" si="17"/>
        <v/>
      </c>
      <c r="CL28" s="119" t="str">
        <f t="shared" si="18"/>
        <v/>
      </c>
      <c r="CM28" s="119" t="str">
        <f t="shared" si="19"/>
        <v/>
      </c>
      <c r="CN28" s="120" t="str">
        <f t="shared" si="20"/>
        <v/>
      </c>
      <c r="CO28" s="119" t="str">
        <f t="shared" si="21"/>
        <v/>
      </c>
      <c r="CP28" s="120" t="str">
        <f t="shared" si="22"/>
        <v/>
      </c>
      <c r="CQ28" s="111" t="str">
        <f t="shared" si="23"/>
        <v/>
      </c>
      <c r="CR28" s="494" t="str">
        <f t="shared" si="24"/>
        <v/>
      </c>
      <c r="CS28" s="148">
        <f t="shared" si="25"/>
        <v>0</v>
      </c>
      <c r="CT28" s="21">
        <f>IF('2.ชื่อนักเรียน'!AP30="มส","มส",IF('2.ชื่อนักเรียน'!AP30="ย้าย","ย้าย",IF('2.ชื่อนักเรียน'!AP30="ร","ร",IF(CS28="","",RANK(CS28,$CS$9:$CS$53,0)))))</f>
        <v>1</v>
      </c>
    </row>
    <row r="29" spans="1:98" s="29" customFormat="1" ht="18.75" customHeight="1" x14ac:dyDescent="0.25">
      <c r="A29" s="234">
        <v>21</v>
      </c>
      <c r="B29" s="512" t="str">
        <f>IF(IDstu21="","",IDstu21)</f>
        <v/>
      </c>
      <c r="C29" s="770" t="str">
        <f>IF(Name21="","",Name21)</f>
        <v/>
      </c>
      <c r="D29" s="707"/>
      <c r="E29" s="707"/>
      <c r="F29" s="707"/>
      <c r="G29" s="767" t="str">
        <f>IF(Surname21="","",Surname21)</f>
        <v/>
      </c>
      <c r="H29" s="767"/>
      <c r="I29" s="767"/>
      <c r="J29" s="767"/>
      <c r="K29" s="234" t="str">
        <f>IF(VLOOKUP($B29,'6.คีย์ปลายภาค'!$C$6:$EI$50,8,FALSE)="","",VLOOKUP($B29,'6.คีย์ปลายภาค'!$C$6:$EI$50,8,FALSE))</f>
        <v/>
      </c>
      <c r="L29" s="229" t="str">
        <f>VLOOKUP($B29,'6.คีย์ปลายภาค'!$C$6:$EI$50,9,FALSE)</f>
        <v/>
      </c>
      <c r="M29" s="229" t="str">
        <f>IF(VLOOKUP($B29,'6.คีย์ปลายภาค'!$C$6:$EI$50,13,FALSE)="","",VLOOKUP($B29,'6.คีย์ปลายภาค'!$C$6:$EI$50,13,FALSE))</f>
        <v/>
      </c>
      <c r="N29" s="230" t="str">
        <f>VLOOKUP($B29,'6.คีย์ปลายภาค'!$C$6:$EI$50,14,FALSE)</f>
        <v/>
      </c>
      <c r="O29" s="230" t="str">
        <f>IF(VLOOKUP($B29,'6.คีย์ปลายภาค'!$C$6:$EI$50,18,FALSE)="","",VLOOKUP($B29,'6.คีย์ปลายภาค'!$C$6:$EI$50,18,FALSE))</f>
        <v/>
      </c>
      <c r="P29" s="230" t="str">
        <f>VLOOKUP($B29,'6.คีย์ปลายภาค'!$C$6:$EI$50,19,FALSE)</f>
        <v/>
      </c>
      <c r="Q29" s="230" t="str">
        <f>IF(VLOOKUP($B29,'6.คีย์ปลายภาค'!$C$6:$EI$50,23,FALSE)="","",VLOOKUP($B29,'6.คีย์ปลายภาค'!$C$6:$EI$50,23,FALSE))</f>
        <v/>
      </c>
      <c r="R29" s="230" t="str">
        <f>VLOOKUP($B29,'6.คีย์ปลายภาค'!$C$6:$EI$50,24,FALSE)</f>
        <v/>
      </c>
      <c r="S29" s="230" t="str">
        <f>IF(VLOOKUP($B29,'6.คีย์ปลายภาค'!$C$6:$EI$50,28,FALSE)="","",VLOOKUP($B29,'6.คีย์ปลายภาค'!$C$6:$EI$50,28,FALSE))</f>
        <v/>
      </c>
      <c r="T29" s="230" t="str">
        <f>VLOOKUP($B29,'6.คีย์ปลายภาค'!$C$6:$EI$50,29,FALSE)</f>
        <v/>
      </c>
      <c r="U29" s="230" t="str">
        <f>IF(VLOOKUP($B29,'6.คีย์ปลายภาค'!$C$6:$EI$50,33,FALSE)="","",VLOOKUP($B29,'6.คีย์ปลายภาค'!$C$6:$EI$50,33,FALSE))</f>
        <v/>
      </c>
      <c r="V29" s="230" t="str">
        <f>VLOOKUP($B29,'6.คีย์ปลายภาค'!$C$6:$EI$50,34,FALSE)</f>
        <v/>
      </c>
      <c r="W29" s="230" t="str">
        <f>IF(VLOOKUP($B29,'6.คีย์ปลายภาค'!$C$6:$EI$50,38,FALSE)="","",VLOOKUP($B29,'6.คีย์ปลายภาค'!$C$6:$EI$50,38,FALSE))</f>
        <v/>
      </c>
      <c r="X29" s="230" t="str">
        <f>VLOOKUP($B29,'6.คีย์ปลายภาค'!$C$6:$EI$50,39,FALSE)</f>
        <v/>
      </c>
      <c r="Y29" s="230" t="str">
        <f>IF(VLOOKUP($B29,'6.คีย์ปลายภาค'!$C$6:$EI$50,43,FALSE)="","",VLOOKUP($B29,'6.คีย์ปลายภาค'!$C$6:$EI$50,43,FALSE))</f>
        <v/>
      </c>
      <c r="Z29" s="230" t="str">
        <f>VLOOKUP($B29,'6.คีย์ปลายภาค'!$C$6:$EI$50,44,FALSE)</f>
        <v/>
      </c>
      <c r="AA29" s="230" t="str">
        <f>IF(VLOOKUP($B29,'6.คีย์ปลายภาค'!$C$6:$EI$50,48,FALSE)="","",VLOOKUP($B29,'6.คีย์ปลายภาค'!$C$6:$EI$50,48,FALSE))</f>
        <v/>
      </c>
      <c r="AB29" s="230" t="str">
        <f>VLOOKUP($B29,'6.คีย์ปลายภาค'!$C$6:$EI$50,49,FALSE)</f>
        <v/>
      </c>
      <c r="AC29" s="231" t="str">
        <f>IF(VLOOKUP($B29,'6.คีย์ปลายภาค'!$C$6:$EI$50,53,FALSE)="","",VLOOKUP($B29,'6.คีย์ปลายภาค'!$C$6:$EI$50,53,FALSE))</f>
        <v/>
      </c>
      <c r="AD29" s="231" t="str">
        <f>VLOOKUP($B29,'6.คีย์ปลายภาค'!$C$6:$EI$50,54,FALSE)</f>
        <v/>
      </c>
      <c r="AE29" s="231" t="str">
        <f>IF(VLOOKUP($B29,'6.คีย์ปลายภาค'!$C$6:$EI$50,58,FALSE)="","",VLOOKUP($B29,'6.คีย์ปลายภาค'!$C$6:$EI$50,58,FALSE))</f>
        <v/>
      </c>
      <c r="AF29" s="231" t="str">
        <f>VLOOKUP($B29,'6.คีย์ปลายภาค'!$C$6:$EI$50,59,FALSE)</f>
        <v/>
      </c>
      <c r="AG29" s="231" t="str">
        <f>IF(VLOOKUP($B29,'6.คีย์ปลายภาค'!$C$6:$EI$50,63,FALSE)="","",VLOOKUP($B29,'6.คีย์ปลายภาค'!$C$6:$EI$50,63,FALSE))</f>
        <v/>
      </c>
      <c r="AH29" s="232" t="str">
        <f>VLOOKUP($B29,'6.คีย์ปลายภาค'!$C$6:$EI$50,64,FALSE)</f>
        <v/>
      </c>
      <c r="AI29" s="31">
        <v>21</v>
      </c>
      <c r="AJ29" s="770" t="str">
        <f>IF(Name21="","",Name21)</f>
        <v/>
      </c>
      <c r="AK29" s="707"/>
      <c r="AL29" s="707"/>
      <c r="AM29" s="707"/>
      <c r="AN29" s="767" t="str">
        <f>IF(Surname21="","",Surname21)</f>
        <v/>
      </c>
      <c r="AO29" s="767"/>
      <c r="AP29" s="767"/>
      <c r="AQ29" s="767"/>
      <c r="AR29" s="234" t="str">
        <f>IF(VLOOKUP($B29,'6.คีย์ปลายภาค'!$C$6:$EI$50,68,FALSE)="","",VLOOKUP($B29,'6.คีย์ปลายภาค'!$C$6:$EI$50,68,FALSE))</f>
        <v/>
      </c>
      <c r="AS29" s="230" t="str">
        <f>VLOOKUP($B29,'6.คีย์ปลายภาค'!$C$6:$EI$50,69,FALSE)</f>
        <v/>
      </c>
      <c r="AT29" s="230" t="str">
        <f>IF(VLOOKUP($B29,'6.คีย์ปลายภาค'!$C$6:$EI$50,73,FALSE)="","",VLOOKUP($B29,'6.คีย์ปลายภาค'!$C$6:$EI$50,73,FALSE))</f>
        <v/>
      </c>
      <c r="AU29" s="230" t="str">
        <f>VLOOKUP($B29,'6.คีย์ปลายภาค'!$C$6:$EI$50,74,FALSE)</f>
        <v/>
      </c>
      <c r="AV29" s="230" t="str">
        <f>IF(VLOOKUP($B29,'6.คีย์ปลายภาค'!$C$6:$EI$50,78,FALSE)="","",VLOOKUP($B29,'6.คีย์ปลายภาค'!$C$6:$EI$50,78,FALSE))</f>
        <v/>
      </c>
      <c r="AW29" s="230" t="str">
        <f>VLOOKUP($B29,'6.คีย์ปลายภาค'!$C$6:$EI$50,79,FALSE)</f>
        <v/>
      </c>
      <c r="AX29" s="230" t="str">
        <f>IF(VLOOKUP($B29,'6.คีย์ปลายภาค'!$C$6:$EI$50,83,FALSE)="","",VLOOKUP($B29,'6.คีย์ปลายภาค'!$C$6:$EI$50,83,FALSE))</f>
        <v/>
      </c>
      <c r="AY29" s="230" t="str">
        <f>VLOOKUP($B29,'6.คีย์ปลายภาค'!$C$6:$EI$50,84,FALSE)</f>
        <v/>
      </c>
      <c r="AZ29" s="230" t="str">
        <f>IF(VLOOKUP($B29,'6.คีย์ปลายภาค'!$C$6:$EI$50,88,FALSE)="","",VLOOKUP($B29,'6.คีย์ปลายภาค'!$C$6:$EI$50,88,FALSE))</f>
        <v/>
      </c>
      <c r="BA29" s="230" t="str">
        <f>VLOOKUP($B29,'6.คีย์ปลายภาค'!$C$6:$EI$50,89,FALSE)</f>
        <v/>
      </c>
      <c r="BB29" s="230" t="str">
        <f>IF(VLOOKUP($B29,'6.คีย์ปลายภาค'!$C$6:$EI$50,93,FALSE)="","",VLOOKUP($B29,'6.คีย์ปลายภาค'!$C$6:$EI$50,93,FALSE))</f>
        <v/>
      </c>
      <c r="BC29" s="230" t="str">
        <f>VLOOKUP($B29,'6.คีย์ปลายภาค'!$C$6:$EI$50,94,FALSE)</f>
        <v/>
      </c>
      <c r="BD29" s="230" t="str">
        <f>IF(VLOOKUP($B29,'6.คีย์ปลายภาค'!$C$6:$EI$50,98,FALSE)="","",VLOOKUP($B29,'6.คีย์ปลายภาค'!$C$6:$EI$50,98,FALSE))</f>
        <v/>
      </c>
      <c r="BE29" s="230" t="str">
        <f>VLOOKUP($B29,'6.คีย์ปลายภาค'!$C$6:$EI$50,99,FALSE)</f>
        <v/>
      </c>
      <c r="BF29" s="230" t="str">
        <f>IF(VLOOKUP($B29,'6.คีย์ปลายภาค'!$C$6:$EI$50,103,FALSE)="","",VLOOKUP($B29,'6.คีย์ปลายภาค'!$C$6:$EI$50,103,FALSE))</f>
        <v/>
      </c>
      <c r="BG29" s="230" t="str">
        <f>VLOOKUP($B29,'6.คีย์ปลายภาค'!$C$6:$EI$50,104,FALSE)</f>
        <v/>
      </c>
      <c r="BH29" s="230" t="str">
        <f>IF(VLOOKUP($B29,'6.คีย์ปลายภาค'!$C$6:$EI$50,108,FALSE)="","",VLOOKUP($B29,'6.คีย์ปลายภาค'!$C$6:$EI$50,108,FALSE))</f>
        <v/>
      </c>
      <c r="BI29" s="230" t="str">
        <f>VLOOKUP($B29,'6.คีย์ปลายภาค'!$C$6:$EI$50,109,FALSE)</f>
        <v/>
      </c>
      <c r="BJ29" s="230" t="str">
        <f>IF(VLOOKUP($B29,'6.คีย์ปลายภาค'!$C$6:$EI$50,113,FALSE)="","",VLOOKUP($B29,'6.คีย์ปลายภาค'!$C$6:$EI$50,113,FALSE))</f>
        <v/>
      </c>
      <c r="BK29" s="230" t="str">
        <f>VLOOKUP($B29,'6.คีย์ปลายภาค'!$C$6:$EI$50,114,FALSE)</f>
        <v/>
      </c>
      <c r="BL29" s="230" t="str">
        <f>IF(VLOOKUP($B29,'6.คีย์ปลายภาค'!$C$6:$EI$50,118,FALSE)="","",VLOOKUP($B29,'6.คีย์ปลายภาค'!$C$6:$EI$50,118,FALSE))</f>
        <v/>
      </c>
      <c r="BM29" s="230" t="str">
        <f>VLOOKUP($B29,'6.คีย์ปลายภาค'!$C$6:$EI$50,119,FALSE)</f>
        <v/>
      </c>
      <c r="BN29" s="230" t="str">
        <f>IF(VLOOKUP($B29,'6.คีย์ปลายภาค'!$C$6:$EI$50,123,FALSE)="","",VLOOKUP($B29,'6.คีย์ปลายภาค'!$C$6:$EI$50,123,FALSE))</f>
        <v/>
      </c>
      <c r="BO29" s="230" t="str">
        <f>VLOOKUP($B29,'6.คีย์ปลายภาค'!$C$6:$EI$50,124,FALSE)</f>
        <v/>
      </c>
      <c r="BP29" s="230" t="str">
        <f>IF(VLOOKUP($B29,'6.คีย์ปลายภาค'!$C$6:$EI$50,128,FALSE)="","",VLOOKUP($B29,'6.คีย์ปลายภาค'!$C$6:$EI$50,128,FALSE))</f>
        <v/>
      </c>
      <c r="BQ29" s="232" t="str">
        <f>VLOOKUP($B29,'6.คีย์ปลายภาค'!$C$6:$EI$50,129,FALSE)</f>
        <v/>
      </c>
      <c r="BR29" s="550" t="str">
        <f>IF(L29="","",IF('2.ชื่อนักเรียน'!R31="มส","",IF('2.ชื่อนักเรียน'!R31="ย้าย","",IF('2.ชื่อนักเรียน'!R31="ร","",SUM(BT29:CR29)/13.5))))</f>
        <v/>
      </c>
      <c r="BS29" s="520" t="str">
        <f>IF('2.ชื่อนักเรียน'!R31="มส","มส",IF('2.ชื่อนักเรียน'!R31="ย้าย","ย้าย",IF('2.ชื่อนักเรียน'!R31="ร","ร",IF(BR29="","",RANK(BR29,$BR$9:$BR$53,0)))))</f>
        <v/>
      </c>
      <c r="BT29" s="118" t="str">
        <f t="shared" si="0"/>
        <v/>
      </c>
      <c r="BU29" s="119" t="str">
        <f t="shared" si="1"/>
        <v/>
      </c>
      <c r="BV29" s="119" t="str">
        <f t="shared" si="2"/>
        <v/>
      </c>
      <c r="BW29" s="110" t="str">
        <f t="shared" si="3"/>
        <v/>
      </c>
      <c r="BX29" s="119" t="str">
        <f t="shared" si="4"/>
        <v/>
      </c>
      <c r="BY29" s="119" t="str">
        <f t="shared" si="5"/>
        <v/>
      </c>
      <c r="BZ29" s="119" t="str">
        <f t="shared" si="6"/>
        <v/>
      </c>
      <c r="CA29" s="119" t="str">
        <f t="shared" si="7"/>
        <v/>
      </c>
      <c r="CB29" s="110" t="str">
        <f t="shared" si="8"/>
        <v/>
      </c>
      <c r="CC29" s="151" t="str">
        <f t="shared" si="9"/>
        <v/>
      </c>
      <c r="CD29" s="151" t="str">
        <f t="shared" si="10"/>
        <v/>
      </c>
      <c r="CE29" s="111" t="str">
        <f t="shared" si="11"/>
        <v/>
      </c>
      <c r="CF29" s="118" t="str">
        <f t="shared" si="12"/>
        <v/>
      </c>
      <c r="CG29" s="119" t="str">
        <f t="shared" si="13"/>
        <v/>
      </c>
      <c r="CH29" s="119" t="str">
        <f t="shared" si="14"/>
        <v/>
      </c>
      <c r="CI29" s="119" t="str">
        <f t="shared" si="15"/>
        <v/>
      </c>
      <c r="CJ29" s="110" t="str">
        <f t="shared" si="16"/>
        <v/>
      </c>
      <c r="CK29" s="110" t="str">
        <f t="shared" si="17"/>
        <v/>
      </c>
      <c r="CL29" s="119" t="str">
        <f t="shared" si="18"/>
        <v/>
      </c>
      <c r="CM29" s="119" t="str">
        <f t="shared" si="19"/>
        <v/>
      </c>
      <c r="CN29" s="120" t="str">
        <f t="shared" si="20"/>
        <v/>
      </c>
      <c r="CO29" s="119" t="str">
        <f t="shared" si="21"/>
        <v/>
      </c>
      <c r="CP29" s="120" t="str">
        <f t="shared" si="22"/>
        <v/>
      </c>
      <c r="CQ29" s="111" t="str">
        <f t="shared" si="23"/>
        <v/>
      </c>
      <c r="CR29" s="494" t="str">
        <f t="shared" si="24"/>
        <v/>
      </c>
      <c r="CS29" s="148">
        <f t="shared" si="25"/>
        <v>0</v>
      </c>
      <c r="CT29" s="21">
        <f>IF('2.ชื่อนักเรียน'!AP31="มส","มส",IF('2.ชื่อนักเรียน'!AP31="ย้าย","ย้าย",IF('2.ชื่อนักเรียน'!AP31="ร","ร",IF(CS29="","",RANK(CS29,$CS$9:$CS$53,0)))))</f>
        <v>1</v>
      </c>
    </row>
    <row r="30" spans="1:98" s="29" customFormat="1" ht="18.75" customHeight="1" x14ac:dyDescent="0.25">
      <c r="A30" s="234">
        <v>22</v>
      </c>
      <c r="B30" s="512" t="str">
        <f>IF(IDstu22="","",IDstu22)</f>
        <v/>
      </c>
      <c r="C30" s="770" t="str">
        <f>IF(Name22="","",Name22)</f>
        <v/>
      </c>
      <c r="D30" s="707"/>
      <c r="E30" s="707"/>
      <c r="F30" s="707"/>
      <c r="G30" s="767" t="str">
        <f>IF(Surname22="","",Surname22)</f>
        <v/>
      </c>
      <c r="H30" s="767"/>
      <c r="I30" s="767"/>
      <c r="J30" s="767"/>
      <c r="K30" s="234" t="str">
        <f>IF(VLOOKUP($B30,'6.คีย์ปลายภาค'!$C$6:$EI$50,8,FALSE)="","",VLOOKUP($B30,'6.คีย์ปลายภาค'!$C$6:$EI$50,8,FALSE))</f>
        <v/>
      </c>
      <c r="L30" s="229" t="str">
        <f>VLOOKUP($B30,'6.คีย์ปลายภาค'!$C$6:$EI$50,9,FALSE)</f>
        <v/>
      </c>
      <c r="M30" s="229" t="str">
        <f>IF(VLOOKUP($B30,'6.คีย์ปลายภาค'!$C$6:$EI$50,13,FALSE)="","",VLOOKUP($B30,'6.คีย์ปลายภาค'!$C$6:$EI$50,13,FALSE))</f>
        <v/>
      </c>
      <c r="N30" s="230" t="str">
        <f>VLOOKUP($B30,'6.คีย์ปลายภาค'!$C$6:$EI$50,14,FALSE)</f>
        <v/>
      </c>
      <c r="O30" s="230" t="str">
        <f>IF(VLOOKUP($B30,'6.คีย์ปลายภาค'!$C$6:$EI$50,18,FALSE)="","",VLOOKUP($B30,'6.คีย์ปลายภาค'!$C$6:$EI$50,18,FALSE))</f>
        <v/>
      </c>
      <c r="P30" s="230" t="str">
        <f>VLOOKUP($B30,'6.คีย์ปลายภาค'!$C$6:$EI$50,19,FALSE)</f>
        <v/>
      </c>
      <c r="Q30" s="230" t="str">
        <f>IF(VLOOKUP($B30,'6.คีย์ปลายภาค'!$C$6:$EI$50,23,FALSE)="","",VLOOKUP($B30,'6.คีย์ปลายภาค'!$C$6:$EI$50,23,FALSE))</f>
        <v/>
      </c>
      <c r="R30" s="230" t="str">
        <f>VLOOKUP($B30,'6.คีย์ปลายภาค'!$C$6:$EI$50,24,FALSE)</f>
        <v/>
      </c>
      <c r="S30" s="230" t="str">
        <f>IF(VLOOKUP($B30,'6.คีย์ปลายภาค'!$C$6:$EI$50,28,FALSE)="","",VLOOKUP($B30,'6.คีย์ปลายภาค'!$C$6:$EI$50,28,FALSE))</f>
        <v/>
      </c>
      <c r="T30" s="230" t="str">
        <f>VLOOKUP($B30,'6.คีย์ปลายภาค'!$C$6:$EI$50,29,FALSE)</f>
        <v/>
      </c>
      <c r="U30" s="230" t="str">
        <f>IF(VLOOKUP($B30,'6.คีย์ปลายภาค'!$C$6:$EI$50,33,FALSE)="","",VLOOKUP($B30,'6.คีย์ปลายภาค'!$C$6:$EI$50,33,FALSE))</f>
        <v/>
      </c>
      <c r="V30" s="230" t="str">
        <f>VLOOKUP($B30,'6.คีย์ปลายภาค'!$C$6:$EI$50,34,FALSE)</f>
        <v/>
      </c>
      <c r="W30" s="230" t="str">
        <f>IF(VLOOKUP($B30,'6.คีย์ปลายภาค'!$C$6:$EI$50,38,FALSE)="","",VLOOKUP($B30,'6.คีย์ปลายภาค'!$C$6:$EI$50,38,FALSE))</f>
        <v/>
      </c>
      <c r="X30" s="230" t="str">
        <f>VLOOKUP($B30,'6.คีย์ปลายภาค'!$C$6:$EI$50,39,FALSE)</f>
        <v/>
      </c>
      <c r="Y30" s="230" t="str">
        <f>IF(VLOOKUP($B30,'6.คีย์ปลายภาค'!$C$6:$EI$50,43,FALSE)="","",VLOOKUP($B30,'6.คีย์ปลายภาค'!$C$6:$EI$50,43,FALSE))</f>
        <v/>
      </c>
      <c r="Z30" s="230" t="str">
        <f>VLOOKUP($B30,'6.คีย์ปลายภาค'!$C$6:$EI$50,44,FALSE)</f>
        <v/>
      </c>
      <c r="AA30" s="230" t="str">
        <f>IF(VLOOKUP($B30,'6.คีย์ปลายภาค'!$C$6:$EI$50,48,FALSE)="","",VLOOKUP($B30,'6.คีย์ปลายภาค'!$C$6:$EI$50,48,FALSE))</f>
        <v/>
      </c>
      <c r="AB30" s="230" t="str">
        <f>VLOOKUP($B30,'6.คีย์ปลายภาค'!$C$6:$EI$50,49,FALSE)</f>
        <v/>
      </c>
      <c r="AC30" s="231" t="str">
        <f>IF(VLOOKUP($B30,'6.คีย์ปลายภาค'!$C$6:$EI$50,53,FALSE)="","",VLOOKUP($B30,'6.คีย์ปลายภาค'!$C$6:$EI$50,53,FALSE))</f>
        <v/>
      </c>
      <c r="AD30" s="231" t="str">
        <f>VLOOKUP($B30,'6.คีย์ปลายภาค'!$C$6:$EI$50,54,FALSE)</f>
        <v/>
      </c>
      <c r="AE30" s="231" t="str">
        <f>IF(VLOOKUP($B30,'6.คีย์ปลายภาค'!$C$6:$EI$50,58,FALSE)="","",VLOOKUP($B30,'6.คีย์ปลายภาค'!$C$6:$EI$50,58,FALSE))</f>
        <v/>
      </c>
      <c r="AF30" s="231" t="str">
        <f>VLOOKUP($B30,'6.คีย์ปลายภาค'!$C$6:$EI$50,59,FALSE)</f>
        <v/>
      </c>
      <c r="AG30" s="231" t="str">
        <f>IF(VLOOKUP($B30,'6.คีย์ปลายภาค'!$C$6:$EI$50,63,FALSE)="","",VLOOKUP($B30,'6.คีย์ปลายภาค'!$C$6:$EI$50,63,FALSE))</f>
        <v/>
      </c>
      <c r="AH30" s="232" t="str">
        <f>VLOOKUP($B30,'6.คีย์ปลายภาค'!$C$6:$EI$50,64,FALSE)</f>
        <v/>
      </c>
      <c r="AI30" s="31">
        <v>22</v>
      </c>
      <c r="AJ30" s="770" t="str">
        <f>IF(Name22="","",Name22)</f>
        <v/>
      </c>
      <c r="AK30" s="707"/>
      <c r="AL30" s="707"/>
      <c r="AM30" s="707"/>
      <c r="AN30" s="767" t="str">
        <f>IF(Surname22="","",Surname22)</f>
        <v/>
      </c>
      <c r="AO30" s="767"/>
      <c r="AP30" s="767"/>
      <c r="AQ30" s="767"/>
      <c r="AR30" s="234" t="str">
        <f>IF(VLOOKUP($B30,'6.คีย์ปลายภาค'!$C$6:$EI$50,68,FALSE)="","",VLOOKUP($B30,'6.คีย์ปลายภาค'!$C$6:$EI$50,68,FALSE))</f>
        <v/>
      </c>
      <c r="AS30" s="230" t="str">
        <f>VLOOKUP($B30,'6.คีย์ปลายภาค'!$C$6:$EI$50,69,FALSE)</f>
        <v/>
      </c>
      <c r="AT30" s="230" t="str">
        <f>IF(VLOOKUP($B30,'6.คีย์ปลายภาค'!$C$6:$EI$50,73,FALSE)="","",VLOOKUP($B30,'6.คีย์ปลายภาค'!$C$6:$EI$50,73,FALSE))</f>
        <v/>
      </c>
      <c r="AU30" s="230" t="str">
        <f>VLOOKUP($B30,'6.คีย์ปลายภาค'!$C$6:$EI$50,74,FALSE)</f>
        <v/>
      </c>
      <c r="AV30" s="230" t="str">
        <f>IF(VLOOKUP($B30,'6.คีย์ปลายภาค'!$C$6:$EI$50,78,FALSE)="","",VLOOKUP($B30,'6.คีย์ปลายภาค'!$C$6:$EI$50,78,FALSE))</f>
        <v/>
      </c>
      <c r="AW30" s="230" t="str">
        <f>VLOOKUP($B30,'6.คีย์ปลายภาค'!$C$6:$EI$50,79,FALSE)</f>
        <v/>
      </c>
      <c r="AX30" s="230" t="str">
        <f>IF(VLOOKUP($B30,'6.คีย์ปลายภาค'!$C$6:$EI$50,83,FALSE)="","",VLOOKUP($B30,'6.คีย์ปลายภาค'!$C$6:$EI$50,83,FALSE))</f>
        <v/>
      </c>
      <c r="AY30" s="230" t="str">
        <f>VLOOKUP($B30,'6.คีย์ปลายภาค'!$C$6:$EI$50,84,FALSE)</f>
        <v/>
      </c>
      <c r="AZ30" s="230" t="str">
        <f>IF(VLOOKUP($B30,'6.คีย์ปลายภาค'!$C$6:$EI$50,88,FALSE)="","",VLOOKUP($B30,'6.คีย์ปลายภาค'!$C$6:$EI$50,88,FALSE))</f>
        <v/>
      </c>
      <c r="BA30" s="230" t="str">
        <f>VLOOKUP($B30,'6.คีย์ปลายภาค'!$C$6:$EI$50,89,FALSE)</f>
        <v/>
      </c>
      <c r="BB30" s="230" t="str">
        <f>IF(VLOOKUP($B30,'6.คีย์ปลายภาค'!$C$6:$EI$50,93,FALSE)="","",VLOOKUP($B30,'6.คีย์ปลายภาค'!$C$6:$EI$50,93,FALSE))</f>
        <v/>
      </c>
      <c r="BC30" s="230" t="str">
        <f>VLOOKUP($B30,'6.คีย์ปลายภาค'!$C$6:$EI$50,94,FALSE)</f>
        <v/>
      </c>
      <c r="BD30" s="230" t="str">
        <f>IF(VLOOKUP($B30,'6.คีย์ปลายภาค'!$C$6:$EI$50,98,FALSE)="","",VLOOKUP($B30,'6.คีย์ปลายภาค'!$C$6:$EI$50,98,FALSE))</f>
        <v/>
      </c>
      <c r="BE30" s="230" t="str">
        <f>VLOOKUP($B30,'6.คีย์ปลายภาค'!$C$6:$EI$50,99,FALSE)</f>
        <v/>
      </c>
      <c r="BF30" s="230" t="str">
        <f>IF(VLOOKUP($B30,'6.คีย์ปลายภาค'!$C$6:$EI$50,103,FALSE)="","",VLOOKUP($B30,'6.คีย์ปลายภาค'!$C$6:$EI$50,103,FALSE))</f>
        <v/>
      </c>
      <c r="BG30" s="230" t="str">
        <f>VLOOKUP($B30,'6.คีย์ปลายภาค'!$C$6:$EI$50,104,FALSE)</f>
        <v/>
      </c>
      <c r="BH30" s="230" t="str">
        <f>IF(VLOOKUP($B30,'6.คีย์ปลายภาค'!$C$6:$EI$50,108,FALSE)="","",VLOOKUP($B30,'6.คีย์ปลายภาค'!$C$6:$EI$50,108,FALSE))</f>
        <v/>
      </c>
      <c r="BI30" s="230" t="str">
        <f>VLOOKUP($B30,'6.คีย์ปลายภาค'!$C$6:$EI$50,109,FALSE)</f>
        <v/>
      </c>
      <c r="BJ30" s="230" t="str">
        <f>IF(VLOOKUP($B30,'6.คีย์ปลายภาค'!$C$6:$EI$50,113,FALSE)="","",VLOOKUP($B30,'6.คีย์ปลายภาค'!$C$6:$EI$50,113,FALSE))</f>
        <v/>
      </c>
      <c r="BK30" s="230" t="str">
        <f>VLOOKUP($B30,'6.คีย์ปลายภาค'!$C$6:$EI$50,114,FALSE)</f>
        <v/>
      </c>
      <c r="BL30" s="230" t="str">
        <f>IF(VLOOKUP($B30,'6.คีย์ปลายภาค'!$C$6:$EI$50,118,FALSE)="","",VLOOKUP($B30,'6.คีย์ปลายภาค'!$C$6:$EI$50,118,FALSE))</f>
        <v/>
      </c>
      <c r="BM30" s="230" t="str">
        <f>VLOOKUP($B30,'6.คีย์ปลายภาค'!$C$6:$EI$50,119,FALSE)</f>
        <v/>
      </c>
      <c r="BN30" s="230" t="str">
        <f>IF(VLOOKUP($B30,'6.คีย์ปลายภาค'!$C$6:$EI$50,123,FALSE)="","",VLOOKUP($B30,'6.คีย์ปลายภาค'!$C$6:$EI$50,123,FALSE))</f>
        <v/>
      </c>
      <c r="BO30" s="230" t="str">
        <f>VLOOKUP($B30,'6.คีย์ปลายภาค'!$C$6:$EI$50,124,FALSE)</f>
        <v/>
      </c>
      <c r="BP30" s="230" t="str">
        <f>IF(VLOOKUP($B30,'6.คีย์ปลายภาค'!$C$6:$EI$50,128,FALSE)="","",VLOOKUP($B30,'6.คีย์ปลายภาค'!$C$6:$EI$50,128,FALSE))</f>
        <v/>
      </c>
      <c r="BQ30" s="232" t="str">
        <f>VLOOKUP($B30,'6.คีย์ปลายภาค'!$C$6:$EI$50,129,FALSE)</f>
        <v/>
      </c>
      <c r="BR30" s="550" t="str">
        <f>IF(L30="","",IF('2.ชื่อนักเรียน'!R32="มส","",IF('2.ชื่อนักเรียน'!R32="ย้าย","",IF('2.ชื่อนักเรียน'!R32="ร","",SUM(BT30:CR30)/13.5))))</f>
        <v/>
      </c>
      <c r="BS30" s="520" t="str">
        <f>IF('2.ชื่อนักเรียน'!R32="มส","มส",IF('2.ชื่อนักเรียน'!R32="ย้าย","ย้าย",IF('2.ชื่อนักเรียน'!R32="ร","ร",IF(BR30="","",RANK(BR30,$BR$9:$BR$53,0)))))</f>
        <v/>
      </c>
      <c r="BT30" s="118" t="str">
        <f t="shared" si="0"/>
        <v/>
      </c>
      <c r="BU30" s="110" t="str">
        <f t="shared" si="1"/>
        <v/>
      </c>
      <c r="BV30" s="119" t="str">
        <f t="shared" si="2"/>
        <v/>
      </c>
      <c r="BW30" s="110" t="str">
        <f t="shared" si="3"/>
        <v/>
      </c>
      <c r="BX30" s="110" t="str">
        <f t="shared" si="4"/>
        <v/>
      </c>
      <c r="BY30" s="110" t="str">
        <f t="shared" si="5"/>
        <v/>
      </c>
      <c r="BZ30" s="119" t="str">
        <f t="shared" si="6"/>
        <v/>
      </c>
      <c r="CA30" s="119" t="str">
        <f t="shared" si="7"/>
        <v/>
      </c>
      <c r="CB30" s="110" t="str">
        <f t="shared" si="8"/>
        <v/>
      </c>
      <c r="CC30" s="151" t="str">
        <f t="shared" si="9"/>
        <v/>
      </c>
      <c r="CD30" s="151" t="str">
        <f t="shared" si="10"/>
        <v/>
      </c>
      <c r="CE30" s="111" t="str">
        <f t="shared" si="11"/>
        <v/>
      </c>
      <c r="CF30" s="118" t="str">
        <f t="shared" si="12"/>
        <v/>
      </c>
      <c r="CG30" s="110" t="str">
        <f t="shared" si="13"/>
        <v/>
      </c>
      <c r="CH30" s="119" t="str">
        <f t="shared" si="14"/>
        <v/>
      </c>
      <c r="CI30" s="119" t="str">
        <f t="shared" si="15"/>
        <v/>
      </c>
      <c r="CJ30" s="110" t="str">
        <f t="shared" si="16"/>
        <v/>
      </c>
      <c r="CK30" s="110" t="str">
        <f t="shared" si="17"/>
        <v/>
      </c>
      <c r="CL30" s="110" t="str">
        <f t="shared" si="18"/>
        <v/>
      </c>
      <c r="CM30" s="119" t="str">
        <f t="shared" si="19"/>
        <v/>
      </c>
      <c r="CN30" s="120" t="str">
        <f t="shared" si="20"/>
        <v/>
      </c>
      <c r="CO30" s="119" t="str">
        <f t="shared" si="21"/>
        <v/>
      </c>
      <c r="CP30" s="120" t="str">
        <f t="shared" si="22"/>
        <v/>
      </c>
      <c r="CQ30" s="111" t="str">
        <f t="shared" si="23"/>
        <v/>
      </c>
      <c r="CR30" s="494" t="str">
        <f t="shared" si="24"/>
        <v/>
      </c>
      <c r="CS30" s="148">
        <f t="shared" si="25"/>
        <v>0</v>
      </c>
      <c r="CT30" s="21">
        <f>IF('2.ชื่อนักเรียน'!AP32="มส","มส",IF('2.ชื่อนักเรียน'!AP32="ย้าย","ย้าย",IF('2.ชื่อนักเรียน'!AP32="ร","ร",IF(CS30="","",RANK(CS30,$CS$9:$CS$53,0)))))</f>
        <v>1</v>
      </c>
    </row>
    <row r="31" spans="1:98" s="29" customFormat="1" ht="18.75" customHeight="1" x14ac:dyDescent="0.25">
      <c r="A31" s="234">
        <v>23</v>
      </c>
      <c r="B31" s="512" t="str">
        <f>IF(IDstu23="","",IDstu23)</f>
        <v/>
      </c>
      <c r="C31" s="770" t="str">
        <f>IF(Name23="","",Name23)</f>
        <v/>
      </c>
      <c r="D31" s="707"/>
      <c r="E31" s="707"/>
      <c r="F31" s="707"/>
      <c r="G31" s="767" t="str">
        <f>IF(Surname23="","",Surname23)</f>
        <v/>
      </c>
      <c r="H31" s="767"/>
      <c r="I31" s="767"/>
      <c r="J31" s="767"/>
      <c r="K31" s="234" t="str">
        <f>IF(VLOOKUP($B31,'6.คีย์ปลายภาค'!$C$6:$EI$50,8,FALSE)="","",VLOOKUP($B31,'6.คีย์ปลายภาค'!$C$6:$EI$50,8,FALSE))</f>
        <v/>
      </c>
      <c r="L31" s="229" t="str">
        <f>VLOOKUP($B31,'6.คีย์ปลายภาค'!$C$6:$EI$50,9,FALSE)</f>
        <v/>
      </c>
      <c r="M31" s="229" t="str">
        <f>IF(VLOOKUP($B31,'6.คีย์ปลายภาค'!$C$6:$EI$50,13,FALSE)="","",VLOOKUP($B31,'6.คีย์ปลายภาค'!$C$6:$EI$50,13,FALSE))</f>
        <v/>
      </c>
      <c r="N31" s="230" t="str">
        <f>VLOOKUP($B31,'6.คีย์ปลายภาค'!$C$6:$EI$50,14,FALSE)</f>
        <v/>
      </c>
      <c r="O31" s="230" t="str">
        <f>IF(VLOOKUP($B31,'6.คีย์ปลายภาค'!$C$6:$EI$50,18,FALSE)="","",VLOOKUP($B31,'6.คีย์ปลายภาค'!$C$6:$EI$50,18,FALSE))</f>
        <v/>
      </c>
      <c r="P31" s="230" t="str">
        <f>VLOOKUP($B31,'6.คีย์ปลายภาค'!$C$6:$EI$50,19,FALSE)</f>
        <v/>
      </c>
      <c r="Q31" s="230" t="str">
        <f>IF(VLOOKUP($B31,'6.คีย์ปลายภาค'!$C$6:$EI$50,23,FALSE)="","",VLOOKUP($B31,'6.คีย์ปลายภาค'!$C$6:$EI$50,23,FALSE))</f>
        <v/>
      </c>
      <c r="R31" s="230" t="str">
        <f>VLOOKUP($B31,'6.คีย์ปลายภาค'!$C$6:$EI$50,24,FALSE)</f>
        <v/>
      </c>
      <c r="S31" s="230" t="str">
        <f>IF(VLOOKUP($B31,'6.คีย์ปลายภาค'!$C$6:$EI$50,28,FALSE)="","",VLOOKUP($B31,'6.คีย์ปลายภาค'!$C$6:$EI$50,28,FALSE))</f>
        <v/>
      </c>
      <c r="T31" s="230" t="str">
        <f>VLOOKUP($B31,'6.คีย์ปลายภาค'!$C$6:$EI$50,29,FALSE)</f>
        <v/>
      </c>
      <c r="U31" s="230" t="str">
        <f>IF(VLOOKUP($B31,'6.คีย์ปลายภาค'!$C$6:$EI$50,33,FALSE)="","",VLOOKUP($B31,'6.คีย์ปลายภาค'!$C$6:$EI$50,33,FALSE))</f>
        <v/>
      </c>
      <c r="V31" s="230" t="str">
        <f>VLOOKUP($B31,'6.คีย์ปลายภาค'!$C$6:$EI$50,34,FALSE)</f>
        <v/>
      </c>
      <c r="W31" s="230" t="str">
        <f>IF(VLOOKUP($B31,'6.คีย์ปลายภาค'!$C$6:$EI$50,38,FALSE)="","",VLOOKUP($B31,'6.คีย์ปลายภาค'!$C$6:$EI$50,38,FALSE))</f>
        <v/>
      </c>
      <c r="X31" s="230" t="str">
        <f>VLOOKUP($B31,'6.คีย์ปลายภาค'!$C$6:$EI$50,39,FALSE)</f>
        <v/>
      </c>
      <c r="Y31" s="230" t="str">
        <f>IF(VLOOKUP($B31,'6.คีย์ปลายภาค'!$C$6:$EI$50,43,FALSE)="","",VLOOKUP($B31,'6.คีย์ปลายภาค'!$C$6:$EI$50,43,FALSE))</f>
        <v/>
      </c>
      <c r="Z31" s="230" t="str">
        <f>VLOOKUP($B31,'6.คีย์ปลายภาค'!$C$6:$EI$50,44,FALSE)</f>
        <v/>
      </c>
      <c r="AA31" s="230" t="str">
        <f>IF(VLOOKUP($B31,'6.คีย์ปลายภาค'!$C$6:$EI$50,48,FALSE)="","",VLOOKUP($B31,'6.คีย์ปลายภาค'!$C$6:$EI$50,48,FALSE))</f>
        <v/>
      </c>
      <c r="AB31" s="230" t="str">
        <f>VLOOKUP($B31,'6.คีย์ปลายภาค'!$C$6:$EI$50,49,FALSE)</f>
        <v/>
      </c>
      <c r="AC31" s="231" t="str">
        <f>IF(VLOOKUP($B31,'6.คีย์ปลายภาค'!$C$6:$EI$50,53,FALSE)="","",VLOOKUP($B31,'6.คีย์ปลายภาค'!$C$6:$EI$50,53,FALSE))</f>
        <v/>
      </c>
      <c r="AD31" s="231" t="str">
        <f>VLOOKUP($B31,'6.คีย์ปลายภาค'!$C$6:$EI$50,54,FALSE)</f>
        <v/>
      </c>
      <c r="AE31" s="231" t="str">
        <f>IF(VLOOKUP($B31,'6.คีย์ปลายภาค'!$C$6:$EI$50,58,FALSE)="","",VLOOKUP($B31,'6.คีย์ปลายภาค'!$C$6:$EI$50,58,FALSE))</f>
        <v/>
      </c>
      <c r="AF31" s="231" t="str">
        <f>VLOOKUP($B31,'6.คีย์ปลายภาค'!$C$6:$EI$50,59,FALSE)</f>
        <v/>
      </c>
      <c r="AG31" s="231" t="str">
        <f>IF(VLOOKUP($B31,'6.คีย์ปลายภาค'!$C$6:$EI$50,63,FALSE)="","",VLOOKUP($B31,'6.คีย์ปลายภาค'!$C$6:$EI$50,63,FALSE))</f>
        <v/>
      </c>
      <c r="AH31" s="232" t="str">
        <f>VLOOKUP($B31,'6.คีย์ปลายภาค'!$C$6:$EI$50,64,FALSE)</f>
        <v/>
      </c>
      <c r="AI31" s="31">
        <v>23</v>
      </c>
      <c r="AJ31" s="770" t="str">
        <f>IF(Name23="","",Name23)</f>
        <v/>
      </c>
      <c r="AK31" s="707"/>
      <c r="AL31" s="707"/>
      <c r="AM31" s="707"/>
      <c r="AN31" s="767" t="str">
        <f>IF(Surname23="","",Surname23)</f>
        <v/>
      </c>
      <c r="AO31" s="767"/>
      <c r="AP31" s="767"/>
      <c r="AQ31" s="767"/>
      <c r="AR31" s="234" t="str">
        <f>IF(VLOOKUP($B31,'6.คีย์ปลายภาค'!$C$6:$EI$50,68,FALSE)="","",VLOOKUP($B31,'6.คีย์ปลายภาค'!$C$6:$EI$50,68,FALSE))</f>
        <v/>
      </c>
      <c r="AS31" s="230" t="str">
        <f>VLOOKUP($B31,'6.คีย์ปลายภาค'!$C$6:$EI$50,69,FALSE)</f>
        <v/>
      </c>
      <c r="AT31" s="230" t="str">
        <f>IF(VLOOKUP($B31,'6.คีย์ปลายภาค'!$C$6:$EI$50,73,FALSE)="","",VLOOKUP($B31,'6.คีย์ปลายภาค'!$C$6:$EI$50,73,FALSE))</f>
        <v/>
      </c>
      <c r="AU31" s="230" t="str">
        <f>VLOOKUP($B31,'6.คีย์ปลายภาค'!$C$6:$EI$50,74,FALSE)</f>
        <v/>
      </c>
      <c r="AV31" s="230" t="str">
        <f>IF(VLOOKUP($B31,'6.คีย์ปลายภาค'!$C$6:$EI$50,78,FALSE)="","",VLOOKUP($B31,'6.คีย์ปลายภาค'!$C$6:$EI$50,78,FALSE))</f>
        <v/>
      </c>
      <c r="AW31" s="230" t="str">
        <f>VLOOKUP($B31,'6.คีย์ปลายภาค'!$C$6:$EI$50,79,FALSE)</f>
        <v/>
      </c>
      <c r="AX31" s="230" t="str">
        <f>IF(VLOOKUP($B31,'6.คีย์ปลายภาค'!$C$6:$EI$50,83,FALSE)="","",VLOOKUP($B31,'6.คีย์ปลายภาค'!$C$6:$EI$50,83,FALSE))</f>
        <v/>
      </c>
      <c r="AY31" s="230" t="str">
        <f>VLOOKUP($B31,'6.คีย์ปลายภาค'!$C$6:$EI$50,84,FALSE)</f>
        <v/>
      </c>
      <c r="AZ31" s="230" t="str">
        <f>IF(VLOOKUP($B31,'6.คีย์ปลายภาค'!$C$6:$EI$50,88,FALSE)="","",VLOOKUP($B31,'6.คีย์ปลายภาค'!$C$6:$EI$50,88,FALSE))</f>
        <v/>
      </c>
      <c r="BA31" s="230" t="str">
        <f>VLOOKUP($B31,'6.คีย์ปลายภาค'!$C$6:$EI$50,89,FALSE)</f>
        <v/>
      </c>
      <c r="BB31" s="230" t="str">
        <f>IF(VLOOKUP($B31,'6.คีย์ปลายภาค'!$C$6:$EI$50,93,FALSE)="","",VLOOKUP($B31,'6.คีย์ปลายภาค'!$C$6:$EI$50,93,FALSE))</f>
        <v/>
      </c>
      <c r="BC31" s="230" t="str">
        <f>VLOOKUP($B31,'6.คีย์ปลายภาค'!$C$6:$EI$50,94,FALSE)</f>
        <v/>
      </c>
      <c r="BD31" s="230" t="str">
        <f>IF(VLOOKUP($B31,'6.คีย์ปลายภาค'!$C$6:$EI$50,98,FALSE)="","",VLOOKUP($B31,'6.คีย์ปลายภาค'!$C$6:$EI$50,98,FALSE))</f>
        <v/>
      </c>
      <c r="BE31" s="230" t="str">
        <f>VLOOKUP($B31,'6.คีย์ปลายภาค'!$C$6:$EI$50,99,FALSE)</f>
        <v/>
      </c>
      <c r="BF31" s="230" t="str">
        <f>IF(VLOOKUP($B31,'6.คีย์ปลายภาค'!$C$6:$EI$50,103,FALSE)="","",VLOOKUP($B31,'6.คีย์ปลายภาค'!$C$6:$EI$50,103,FALSE))</f>
        <v/>
      </c>
      <c r="BG31" s="230" t="str">
        <f>VLOOKUP($B31,'6.คีย์ปลายภาค'!$C$6:$EI$50,104,FALSE)</f>
        <v/>
      </c>
      <c r="BH31" s="230" t="str">
        <f>IF(VLOOKUP($B31,'6.คีย์ปลายภาค'!$C$6:$EI$50,108,FALSE)="","",VLOOKUP($B31,'6.คีย์ปลายภาค'!$C$6:$EI$50,108,FALSE))</f>
        <v/>
      </c>
      <c r="BI31" s="230" t="str">
        <f>VLOOKUP($B31,'6.คีย์ปลายภาค'!$C$6:$EI$50,109,FALSE)</f>
        <v/>
      </c>
      <c r="BJ31" s="230" t="str">
        <f>IF(VLOOKUP($B31,'6.คีย์ปลายภาค'!$C$6:$EI$50,113,FALSE)="","",VLOOKUP($B31,'6.คีย์ปลายภาค'!$C$6:$EI$50,113,FALSE))</f>
        <v/>
      </c>
      <c r="BK31" s="230" t="str">
        <f>VLOOKUP($B31,'6.คีย์ปลายภาค'!$C$6:$EI$50,114,FALSE)</f>
        <v/>
      </c>
      <c r="BL31" s="230" t="str">
        <f>IF(VLOOKUP($B31,'6.คีย์ปลายภาค'!$C$6:$EI$50,118,FALSE)="","",VLOOKUP($B31,'6.คีย์ปลายภาค'!$C$6:$EI$50,118,FALSE))</f>
        <v/>
      </c>
      <c r="BM31" s="230" t="str">
        <f>VLOOKUP($B31,'6.คีย์ปลายภาค'!$C$6:$EI$50,119,FALSE)</f>
        <v/>
      </c>
      <c r="BN31" s="230" t="str">
        <f>IF(VLOOKUP($B31,'6.คีย์ปลายภาค'!$C$6:$EI$50,123,FALSE)="","",VLOOKUP($B31,'6.คีย์ปลายภาค'!$C$6:$EI$50,123,FALSE))</f>
        <v/>
      </c>
      <c r="BO31" s="230" t="str">
        <f>VLOOKUP($B31,'6.คีย์ปลายภาค'!$C$6:$EI$50,124,FALSE)</f>
        <v/>
      </c>
      <c r="BP31" s="230" t="str">
        <f>IF(VLOOKUP($B31,'6.คีย์ปลายภาค'!$C$6:$EI$50,128,FALSE)="","",VLOOKUP($B31,'6.คีย์ปลายภาค'!$C$6:$EI$50,128,FALSE))</f>
        <v/>
      </c>
      <c r="BQ31" s="232" t="str">
        <f>VLOOKUP($B31,'6.คีย์ปลายภาค'!$C$6:$EI$50,129,FALSE)</f>
        <v/>
      </c>
      <c r="BR31" s="550" t="str">
        <f>IF(L31="","",IF('2.ชื่อนักเรียน'!R33="มส","",IF('2.ชื่อนักเรียน'!R33="ย้าย","",IF('2.ชื่อนักเรียน'!R33="ร","",SUM(BT31:CR31)/13.5))))</f>
        <v/>
      </c>
      <c r="BS31" s="520" t="str">
        <f>IF('2.ชื่อนักเรียน'!R33="มส","มส",IF('2.ชื่อนักเรียน'!R33="ย้าย","ย้าย",IF('2.ชื่อนักเรียน'!R33="ร","ร",IF(BR31="","",RANK(BR31,$BR$9:$BR$53,0)))))</f>
        <v/>
      </c>
      <c r="BT31" s="118" t="str">
        <f t="shared" si="0"/>
        <v/>
      </c>
      <c r="BU31" s="119" t="str">
        <f t="shared" si="1"/>
        <v/>
      </c>
      <c r="BV31" s="119" t="str">
        <f t="shared" si="2"/>
        <v/>
      </c>
      <c r="BW31" s="110" t="str">
        <f t="shared" si="3"/>
        <v/>
      </c>
      <c r="BX31" s="110" t="str">
        <f t="shared" si="4"/>
        <v/>
      </c>
      <c r="BY31" s="110" t="str">
        <f t="shared" si="5"/>
        <v/>
      </c>
      <c r="BZ31" s="119" t="str">
        <f t="shared" si="6"/>
        <v/>
      </c>
      <c r="CA31" s="119" t="str">
        <f t="shared" si="7"/>
        <v/>
      </c>
      <c r="CB31" s="110" t="str">
        <f t="shared" si="8"/>
        <v/>
      </c>
      <c r="CC31" s="151" t="str">
        <f t="shared" si="9"/>
        <v/>
      </c>
      <c r="CD31" s="151" t="str">
        <f t="shared" si="10"/>
        <v/>
      </c>
      <c r="CE31" s="111" t="str">
        <f t="shared" si="11"/>
        <v/>
      </c>
      <c r="CF31" s="118" t="str">
        <f t="shared" si="12"/>
        <v/>
      </c>
      <c r="CG31" s="119" t="str">
        <f t="shared" si="13"/>
        <v/>
      </c>
      <c r="CH31" s="119" t="str">
        <f t="shared" si="14"/>
        <v/>
      </c>
      <c r="CI31" s="119" t="str">
        <f t="shared" si="15"/>
        <v/>
      </c>
      <c r="CJ31" s="110" t="str">
        <f t="shared" si="16"/>
        <v/>
      </c>
      <c r="CK31" s="110" t="str">
        <f t="shared" si="17"/>
        <v/>
      </c>
      <c r="CL31" s="119" t="str">
        <f t="shared" si="18"/>
        <v/>
      </c>
      <c r="CM31" s="119" t="str">
        <f t="shared" si="19"/>
        <v/>
      </c>
      <c r="CN31" s="120" t="str">
        <f t="shared" si="20"/>
        <v/>
      </c>
      <c r="CO31" s="119" t="str">
        <f t="shared" si="21"/>
        <v/>
      </c>
      <c r="CP31" s="120" t="str">
        <f t="shared" si="22"/>
        <v/>
      </c>
      <c r="CQ31" s="111" t="str">
        <f t="shared" si="23"/>
        <v/>
      </c>
      <c r="CR31" s="494" t="str">
        <f t="shared" si="24"/>
        <v/>
      </c>
      <c r="CS31" s="148">
        <f t="shared" si="25"/>
        <v>0</v>
      </c>
      <c r="CT31" s="21">
        <f>IF('2.ชื่อนักเรียน'!AP33="มส","มส",IF('2.ชื่อนักเรียน'!AP33="ย้าย","ย้าย",IF('2.ชื่อนักเรียน'!AP33="ร","ร",IF(CS31="","",RANK(CS31,$CS$9:$CS$53,0)))))</f>
        <v>1</v>
      </c>
    </row>
    <row r="32" spans="1:98" s="29" customFormat="1" ht="18.75" customHeight="1" x14ac:dyDescent="0.25">
      <c r="A32" s="234">
        <v>24</v>
      </c>
      <c r="B32" s="512" t="str">
        <f>IF(IDstu24="","",IDstu24)</f>
        <v/>
      </c>
      <c r="C32" s="770" t="str">
        <f>IF(Name24="","",Name24)</f>
        <v/>
      </c>
      <c r="D32" s="707"/>
      <c r="E32" s="707"/>
      <c r="F32" s="707"/>
      <c r="G32" s="767" t="str">
        <f>IF(Surname24="","",Surname24)</f>
        <v/>
      </c>
      <c r="H32" s="767"/>
      <c r="I32" s="767"/>
      <c r="J32" s="767"/>
      <c r="K32" s="234" t="str">
        <f>IF(VLOOKUP($B32,'6.คีย์ปลายภาค'!$C$6:$EI$50,8,FALSE)="","",VLOOKUP($B32,'6.คีย์ปลายภาค'!$C$6:$EI$50,8,FALSE))</f>
        <v/>
      </c>
      <c r="L32" s="229" t="str">
        <f>VLOOKUP($B32,'6.คีย์ปลายภาค'!$C$6:$EI$50,9,FALSE)</f>
        <v/>
      </c>
      <c r="M32" s="229" t="str">
        <f>IF(VLOOKUP($B32,'6.คีย์ปลายภาค'!$C$6:$EI$50,13,FALSE)="","",VLOOKUP($B32,'6.คีย์ปลายภาค'!$C$6:$EI$50,13,FALSE))</f>
        <v/>
      </c>
      <c r="N32" s="230" t="str">
        <f>VLOOKUP($B32,'6.คีย์ปลายภาค'!$C$6:$EI$50,14,FALSE)</f>
        <v/>
      </c>
      <c r="O32" s="230" t="str">
        <f>IF(VLOOKUP($B32,'6.คีย์ปลายภาค'!$C$6:$EI$50,18,FALSE)="","",VLOOKUP($B32,'6.คีย์ปลายภาค'!$C$6:$EI$50,18,FALSE))</f>
        <v/>
      </c>
      <c r="P32" s="230" t="str">
        <f>VLOOKUP($B32,'6.คีย์ปลายภาค'!$C$6:$EI$50,19,FALSE)</f>
        <v/>
      </c>
      <c r="Q32" s="230" t="str">
        <f>IF(VLOOKUP($B32,'6.คีย์ปลายภาค'!$C$6:$EI$50,23,FALSE)="","",VLOOKUP($B32,'6.คีย์ปลายภาค'!$C$6:$EI$50,23,FALSE))</f>
        <v/>
      </c>
      <c r="R32" s="230" t="str">
        <f>VLOOKUP($B32,'6.คีย์ปลายภาค'!$C$6:$EI$50,24,FALSE)</f>
        <v/>
      </c>
      <c r="S32" s="230" t="str">
        <f>IF(VLOOKUP($B32,'6.คีย์ปลายภาค'!$C$6:$EI$50,28,FALSE)="","",VLOOKUP($B32,'6.คีย์ปลายภาค'!$C$6:$EI$50,28,FALSE))</f>
        <v/>
      </c>
      <c r="T32" s="230" t="str">
        <f>VLOOKUP($B32,'6.คีย์ปลายภาค'!$C$6:$EI$50,29,FALSE)</f>
        <v/>
      </c>
      <c r="U32" s="230" t="str">
        <f>IF(VLOOKUP($B32,'6.คีย์ปลายภาค'!$C$6:$EI$50,33,FALSE)="","",VLOOKUP($B32,'6.คีย์ปลายภาค'!$C$6:$EI$50,33,FALSE))</f>
        <v/>
      </c>
      <c r="V32" s="230" t="str">
        <f>VLOOKUP($B32,'6.คีย์ปลายภาค'!$C$6:$EI$50,34,FALSE)</f>
        <v/>
      </c>
      <c r="W32" s="230" t="str">
        <f>IF(VLOOKUP($B32,'6.คีย์ปลายภาค'!$C$6:$EI$50,38,FALSE)="","",VLOOKUP($B32,'6.คีย์ปลายภาค'!$C$6:$EI$50,38,FALSE))</f>
        <v/>
      </c>
      <c r="X32" s="230" t="str">
        <f>VLOOKUP($B32,'6.คีย์ปลายภาค'!$C$6:$EI$50,39,FALSE)</f>
        <v/>
      </c>
      <c r="Y32" s="230" t="str">
        <f>IF(VLOOKUP($B32,'6.คีย์ปลายภาค'!$C$6:$EI$50,43,FALSE)="","",VLOOKUP($B32,'6.คีย์ปลายภาค'!$C$6:$EI$50,43,FALSE))</f>
        <v/>
      </c>
      <c r="Z32" s="230" t="str">
        <f>VLOOKUP($B32,'6.คีย์ปลายภาค'!$C$6:$EI$50,44,FALSE)</f>
        <v/>
      </c>
      <c r="AA32" s="230" t="str">
        <f>IF(VLOOKUP($B32,'6.คีย์ปลายภาค'!$C$6:$EI$50,48,FALSE)="","",VLOOKUP($B32,'6.คีย์ปลายภาค'!$C$6:$EI$50,48,FALSE))</f>
        <v/>
      </c>
      <c r="AB32" s="230" t="str">
        <f>VLOOKUP($B32,'6.คีย์ปลายภาค'!$C$6:$EI$50,49,FALSE)</f>
        <v/>
      </c>
      <c r="AC32" s="231" t="str">
        <f>IF(VLOOKUP($B32,'6.คีย์ปลายภาค'!$C$6:$EI$50,53,FALSE)="","",VLOOKUP($B32,'6.คีย์ปลายภาค'!$C$6:$EI$50,53,FALSE))</f>
        <v/>
      </c>
      <c r="AD32" s="231" t="str">
        <f>VLOOKUP($B32,'6.คีย์ปลายภาค'!$C$6:$EI$50,54,FALSE)</f>
        <v/>
      </c>
      <c r="AE32" s="231" t="str">
        <f>IF(VLOOKUP($B32,'6.คีย์ปลายภาค'!$C$6:$EI$50,58,FALSE)="","",VLOOKUP($B32,'6.คีย์ปลายภาค'!$C$6:$EI$50,58,FALSE))</f>
        <v/>
      </c>
      <c r="AF32" s="231" t="str">
        <f>VLOOKUP($B32,'6.คีย์ปลายภาค'!$C$6:$EI$50,59,FALSE)</f>
        <v/>
      </c>
      <c r="AG32" s="231" t="str">
        <f>IF(VLOOKUP($B32,'6.คีย์ปลายภาค'!$C$6:$EI$50,63,FALSE)="","",VLOOKUP($B32,'6.คีย์ปลายภาค'!$C$6:$EI$50,63,FALSE))</f>
        <v/>
      </c>
      <c r="AH32" s="232" t="str">
        <f>VLOOKUP($B32,'6.คีย์ปลายภาค'!$C$6:$EI$50,64,FALSE)</f>
        <v/>
      </c>
      <c r="AI32" s="31">
        <v>24</v>
      </c>
      <c r="AJ32" s="770" t="str">
        <f>IF(Name24="","",Name24)</f>
        <v/>
      </c>
      <c r="AK32" s="707"/>
      <c r="AL32" s="707"/>
      <c r="AM32" s="707"/>
      <c r="AN32" s="767" t="str">
        <f>IF(Surname24="","",Surname24)</f>
        <v/>
      </c>
      <c r="AO32" s="767"/>
      <c r="AP32" s="767"/>
      <c r="AQ32" s="767"/>
      <c r="AR32" s="234" t="str">
        <f>IF(VLOOKUP($B32,'6.คีย์ปลายภาค'!$C$6:$EI$50,68,FALSE)="","",VLOOKUP($B32,'6.คีย์ปลายภาค'!$C$6:$EI$50,68,FALSE))</f>
        <v/>
      </c>
      <c r="AS32" s="230" t="str">
        <f>VLOOKUP($B32,'6.คีย์ปลายภาค'!$C$6:$EI$50,69,FALSE)</f>
        <v/>
      </c>
      <c r="AT32" s="230" t="str">
        <f>IF(VLOOKUP($B32,'6.คีย์ปลายภาค'!$C$6:$EI$50,73,FALSE)="","",VLOOKUP($B32,'6.คีย์ปลายภาค'!$C$6:$EI$50,73,FALSE))</f>
        <v/>
      </c>
      <c r="AU32" s="230" t="str">
        <f>VLOOKUP($B32,'6.คีย์ปลายภาค'!$C$6:$EI$50,74,FALSE)</f>
        <v/>
      </c>
      <c r="AV32" s="230" t="str">
        <f>IF(VLOOKUP($B32,'6.คีย์ปลายภาค'!$C$6:$EI$50,78,FALSE)="","",VLOOKUP($B32,'6.คีย์ปลายภาค'!$C$6:$EI$50,78,FALSE))</f>
        <v/>
      </c>
      <c r="AW32" s="230" t="str">
        <f>VLOOKUP($B32,'6.คีย์ปลายภาค'!$C$6:$EI$50,79,FALSE)</f>
        <v/>
      </c>
      <c r="AX32" s="230" t="str">
        <f>IF(VLOOKUP($B32,'6.คีย์ปลายภาค'!$C$6:$EI$50,83,FALSE)="","",VLOOKUP($B32,'6.คีย์ปลายภาค'!$C$6:$EI$50,83,FALSE))</f>
        <v/>
      </c>
      <c r="AY32" s="230" t="str">
        <f>VLOOKUP($B32,'6.คีย์ปลายภาค'!$C$6:$EI$50,84,FALSE)</f>
        <v/>
      </c>
      <c r="AZ32" s="230" t="str">
        <f>IF(VLOOKUP($B32,'6.คีย์ปลายภาค'!$C$6:$EI$50,88,FALSE)="","",VLOOKUP($B32,'6.คีย์ปลายภาค'!$C$6:$EI$50,88,FALSE))</f>
        <v/>
      </c>
      <c r="BA32" s="230" t="str">
        <f>VLOOKUP($B32,'6.คีย์ปลายภาค'!$C$6:$EI$50,89,FALSE)</f>
        <v/>
      </c>
      <c r="BB32" s="230" t="str">
        <f>IF(VLOOKUP($B32,'6.คีย์ปลายภาค'!$C$6:$EI$50,93,FALSE)="","",VLOOKUP($B32,'6.คีย์ปลายภาค'!$C$6:$EI$50,93,FALSE))</f>
        <v/>
      </c>
      <c r="BC32" s="230" t="str">
        <f>VLOOKUP($B32,'6.คีย์ปลายภาค'!$C$6:$EI$50,94,FALSE)</f>
        <v/>
      </c>
      <c r="BD32" s="230" t="str">
        <f>IF(VLOOKUP($B32,'6.คีย์ปลายภาค'!$C$6:$EI$50,98,FALSE)="","",VLOOKUP($B32,'6.คีย์ปลายภาค'!$C$6:$EI$50,98,FALSE))</f>
        <v/>
      </c>
      <c r="BE32" s="230" t="str">
        <f>VLOOKUP($B32,'6.คีย์ปลายภาค'!$C$6:$EI$50,99,FALSE)</f>
        <v/>
      </c>
      <c r="BF32" s="230" t="str">
        <f>IF(VLOOKUP($B32,'6.คีย์ปลายภาค'!$C$6:$EI$50,103,FALSE)="","",VLOOKUP($B32,'6.คีย์ปลายภาค'!$C$6:$EI$50,103,FALSE))</f>
        <v/>
      </c>
      <c r="BG32" s="230" t="str">
        <f>VLOOKUP($B32,'6.คีย์ปลายภาค'!$C$6:$EI$50,104,FALSE)</f>
        <v/>
      </c>
      <c r="BH32" s="230" t="str">
        <f>IF(VLOOKUP($B32,'6.คีย์ปลายภาค'!$C$6:$EI$50,108,FALSE)="","",VLOOKUP($B32,'6.คีย์ปลายภาค'!$C$6:$EI$50,108,FALSE))</f>
        <v/>
      </c>
      <c r="BI32" s="230" t="str">
        <f>VLOOKUP($B32,'6.คีย์ปลายภาค'!$C$6:$EI$50,109,FALSE)</f>
        <v/>
      </c>
      <c r="BJ32" s="230" t="str">
        <f>IF(VLOOKUP($B32,'6.คีย์ปลายภาค'!$C$6:$EI$50,113,FALSE)="","",VLOOKUP($B32,'6.คีย์ปลายภาค'!$C$6:$EI$50,113,FALSE))</f>
        <v/>
      </c>
      <c r="BK32" s="230" t="str">
        <f>VLOOKUP($B32,'6.คีย์ปลายภาค'!$C$6:$EI$50,114,FALSE)</f>
        <v/>
      </c>
      <c r="BL32" s="230" t="str">
        <f>IF(VLOOKUP($B32,'6.คีย์ปลายภาค'!$C$6:$EI$50,118,FALSE)="","",VLOOKUP($B32,'6.คีย์ปลายภาค'!$C$6:$EI$50,118,FALSE))</f>
        <v/>
      </c>
      <c r="BM32" s="230" t="str">
        <f>VLOOKUP($B32,'6.คีย์ปลายภาค'!$C$6:$EI$50,119,FALSE)</f>
        <v/>
      </c>
      <c r="BN32" s="230" t="str">
        <f>IF(VLOOKUP($B32,'6.คีย์ปลายภาค'!$C$6:$EI$50,123,FALSE)="","",VLOOKUP($B32,'6.คีย์ปลายภาค'!$C$6:$EI$50,123,FALSE))</f>
        <v/>
      </c>
      <c r="BO32" s="230" t="str">
        <f>VLOOKUP($B32,'6.คีย์ปลายภาค'!$C$6:$EI$50,124,FALSE)</f>
        <v/>
      </c>
      <c r="BP32" s="230" t="str">
        <f>IF(VLOOKUP($B32,'6.คีย์ปลายภาค'!$C$6:$EI$50,128,FALSE)="","",VLOOKUP($B32,'6.คีย์ปลายภาค'!$C$6:$EI$50,128,FALSE))</f>
        <v/>
      </c>
      <c r="BQ32" s="232" t="str">
        <f>VLOOKUP($B32,'6.คีย์ปลายภาค'!$C$6:$EI$50,129,FALSE)</f>
        <v/>
      </c>
      <c r="BR32" s="550" t="str">
        <f>IF(L32="","",IF('2.ชื่อนักเรียน'!R34="มส","",IF('2.ชื่อนักเรียน'!R34="ย้าย","",IF('2.ชื่อนักเรียน'!R34="ร","",SUM(BT32:CR32)/13.5))))</f>
        <v/>
      </c>
      <c r="BS32" s="520" t="str">
        <f>IF('2.ชื่อนักเรียน'!R34="มส","มส",IF('2.ชื่อนักเรียน'!R34="ย้าย","ย้าย",IF('2.ชื่อนักเรียน'!R34="ร","ร",IF(BR32="","",RANK(BR32,$BR$9:$BR$53,0)))))</f>
        <v/>
      </c>
      <c r="BT32" s="118" t="str">
        <f t="shared" si="0"/>
        <v/>
      </c>
      <c r="BU32" s="119" t="str">
        <f t="shared" si="1"/>
        <v/>
      </c>
      <c r="BV32" s="119" t="str">
        <f t="shared" si="2"/>
        <v/>
      </c>
      <c r="BW32" s="110" t="str">
        <f t="shared" si="3"/>
        <v/>
      </c>
      <c r="BX32" s="119" t="str">
        <f t="shared" si="4"/>
        <v/>
      </c>
      <c r="BY32" s="119" t="str">
        <f t="shared" si="5"/>
        <v/>
      </c>
      <c r="BZ32" s="119" t="str">
        <f t="shared" si="6"/>
        <v/>
      </c>
      <c r="CA32" s="119" t="str">
        <f t="shared" si="7"/>
        <v/>
      </c>
      <c r="CB32" s="110" t="str">
        <f t="shared" si="8"/>
        <v/>
      </c>
      <c r="CC32" s="151" t="str">
        <f t="shared" si="9"/>
        <v/>
      </c>
      <c r="CD32" s="151" t="str">
        <f t="shared" si="10"/>
        <v/>
      </c>
      <c r="CE32" s="111" t="str">
        <f t="shared" si="11"/>
        <v/>
      </c>
      <c r="CF32" s="118" t="str">
        <f t="shared" si="12"/>
        <v/>
      </c>
      <c r="CG32" s="119" t="str">
        <f t="shared" si="13"/>
        <v/>
      </c>
      <c r="CH32" s="119" t="str">
        <f t="shared" si="14"/>
        <v/>
      </c>
      <c r="CI32" s="119" t="str">
        <f t="shared" si="15"/>
        <v/>
      </c>
      <c r="CJ32" s="110" t="str">
        <f t="shared" si="16"/>
        <v/>
      </c>
      <c r="CK32" s="110" t="str">
        <f t="shared" si="17"/>
        <v/>
      </c>
      <c r="CL32" s="119" t="str">
        <f t="shared" si="18"/>
        <v/>
      </c>
      <c r="CM32" s="119" t="str">
        <f t="shared" si="19"/>
        <v/>
      </c>
      <c r="CN32" s="120" t="str">
        <f t="shared" si="20"/>
        <v/>
      </c>
      <c r="CO32" s="119" t="str">
        <f t="shared" si="21"/>
        <v/>
      </c>
      <c r="CP32" s="120" t="str">
        <f t="shared" si="22"/>
        <v/>
      </c>
      <c r="CQ32" s="111" t="str">
        <f t="shared" ref="CQ32:CQ53" si="26">IF(BO32="","",IF(BO32="ร","0",IF(BO32="มส","0",BO32*BO$8)))</f>
        <v/>
      </c>
      <c r="CR32" s="494" t="str">
        <f t="shared" si="24"/>
        <v/>
      </c>
      <c r="CS32" s="148">
        <f t="shared" si="25"/>
        <v>0</v>
      </c>
      <c r="CT32" s="21">
        <f>IF('2.ชื่อนักเรียน'!AP34="มส","มส",IF('2.ชื่อนักเรียน'!AP34="ย้าย","ย้าย",IF('2.ชื่อนักเรียน'!AP34="ร","ร",IF(CS32="","",RANK(CS32,$CS$9:$CS$53,0)))))</f>
        <v>1</v>
      </c>
    </row>
    <row r="33" spans="1:98" s="29" customFormat="1" ht="18.75" customHeight="1" x14ac:dyDescent="0.25">
      <c r="A33" s="234">
        <v>25</v>
      </c>
      <c r="B33" s="512" t="str">
        <f>IF(IDstu25="","",IDstu25)</f>
        <v/>
      </c>
      <c r="C33" s="770" t="str">
        <f>IF(Name25="","",Name25)</f>
        <v/>
      </c>
      <c r="D33" s="707"/>
      <c r="E33" s="707"/>
      <c r="F33" s="707"/>
      <c r="G33" s="767" t="str">
        <f>IF(Surname25="","",Surname25)</f>
        <v/>
      </c>
      <c r="H33" s="767"/>
      <c r="I33" s="767"/>
      <c r="J33" s="767"/>
      <c r="K33" s="234" t="str">
        <f>IF(VLOOKUP($B33,'6.คีย์ปลายภาค'!$C$6:$EI$50,8,FALSE)="","",VLOOKUP($B33,'6.คีย์ปลายภาค'!$C$6:$EI$50,8,FALSE))</f>
        <v/>
      </c>
      <c r="L33" s="229" t="str">
        <f>VLOOKUP($B33,'6.คีย์ปลายภาค'!$C$6:$EI$50,9,FALSE)</f>
        <v/>
      </c>
      <c r="M33" s="229" t="str">
        <f>IF(VLOOKUP($B33,'6.คีย์ปลายภาค'!$C$6:$EI$50,13,FALSE)="","",VLOOKUP($B33,'6.คีย์ปลายภาค'!$C$6:$EI$50,13,FALSE))</f>
        <v/>
      </c>
      <c r="N33" s="230" t="str">
        <f>VLOOKUP($B33,'6.คีย์ปลายภาค'!$C$6:$EI$50,14,FALSE)</f>
        <v/>
      </c>
      <c r="O33" s="230" t="str">
        <f>IF(VLOOKUP($B33,'6.คีย์ปลายภาค'!$C$6:$EI$50,18,FALSE)="","",VLOOKUP($B33,'6.คีย์ปลายภาค'!$C$6:$EI$50,18,FALSE))</f>
        <v/>
      </c>
      <c r="P33" s="230" t="str">
        <f>VLOOKUP($B33,'6.คีย์ปลายภาค'!$C$6:$EI$50,19,FALSE)</f>
        <v/>
      </c>
      <c r="Q33" s="230" t="str">
        <f>IF(VLOOKUP($B33,'6.คีย์ปลายภาค'!$C$6:$EI$50,23,FALSE)="","",VLOOKUP($B33,'6.คีย์ปลายภาค'!$C$6:$EI$50,23,FALSE))</f>
        <v/>
      </c>
      <c r="R33" s="230" t="str">
        <f>VLOOKUP($B33,'6.คีย์ปลายภาค'!$C$6:$EI$50,24,FALSE)</f>
        <v/>
      </c>
      <c r="S33" s="230" t="str">
        <f>IF(VLOOKUP($B33,'6.คีย์ปลายภาค'!$C$6:$EI$50,28,FALSE)="","",VLOOKUP($B33,'6.คีย์ปลายภาค'!$C$6:$EI$50,28,FALSE))</f>
        <v/>
      </c>
      <c r="T33" s="230" t="str">
        <f>VLOOKUP($B33,'6.คีย์ปลายภาค'!$C$6:$EI$50,29,FALSE)</f>
        <v/>
      </c>
      <c r="U33" s="230" t="str">
        <f>IF(VLOOKUP($B33,'6.คีย์ปลายภาค'!$C$6:$EI$50,33,FALSE)="","",VLOOKUP($B33,'6.คีย์ปลายภาค'!$C$6:$EI$50,33,FALSE))</f>
        <v/>
      </c>
      <c r="V33" s="230" t="str">
        <f>VLOOKUP($B33,'6.คีย์ปลายภาค'!$C$6:$EI$50,34,FALSE)</f>
        <v/>
      </c>
      <c r="W33" s="230" t="str">
        <f>IF(VLOOKUP($B33,'6.คีย์ปลายภาค'!$C$6:$EI$50,38,FALSE)="","",VLOOKUP($B33,'6.คีย์ปลายภาค'!$C$6:$EI$50,38,FALSE))</f>
        <v/>
      </c>
      <c r="X33" s="230" t="str">
        <f>VLOOKUP($B33,'6.คีย์ปลายภาค'!$C$6:$EI$50,39,FALSE)</f>
        <v/>
      </c>
      <c r="Y33" s="230" t="str">
        <f>IF(VLOOKUP($B33,'6.คีย์ปลายภาค'!$C$6:$EI$50,43,FALSE)="","",VLOOKUP($B33,'6.คีย์ปลายภาค'!$C$6:$EI$50,43,FALSE))</f>
        <v/>
      </c>
      <c r="Z33" s="230" t="str">
        <f>VLOOKUP($B33,'6.คีย์ปลายภาค'!$C$6:$EI$50,44,FALSE)</f>
        <v/>
      </c>
      <c r="AA33" s="230" t="str">
        <f>IF(VLOOKUP($B33,'6.คีย์ปลายภาค'!$C$6:$EI$50,48,FALSE)="","",VLOOKUP($B33,'6.คีย์ปลายภาค'!$C$6:$EI$50,48,FALSE))</f>
        <v/>
      </c>
      <c r="AB33" s="230" t="str">
        <f>VLOOKUP($B33,'6.คีย์ปลายภาค'!$C$6:$EI$50,49,FALSE)</f>
        <v/>
      </c>
      <c r="AC33" s="231" t="str">
        <f>IF(VLOOKUP($B33,'6.คีย์ปลายภาค'!$C$6:$EI$50,53,FALSE)="","",VLOOKUP($B33,'6.คีย์ปลายภาค'!$C$6:$EI$50,53,FALSE))</f>
        <v/>
      </c>
      <c r="AD33" s="231" t="str">
        <f>VLOOKUP($B33,'6.คีย์ปลายภาค'!$C$6:$EI$50,54,FALSE)</f>
        <v/>
      </c>
      <c r="AE33" s="231" t="str">
        <f>IF(VLOOKUP($B33,'6.คีย์ปลายภาค'!$C$6:$EI$50,58,FALSE)="","",VLOOKUP($B33,'6.คีย์ปลายภาค'!$C$6:$EI$50,58,FALSE))</f>
        <v/>
      </c>
      <c r="AF33" s="231" t="str">
        <f>VLOOKUP($B33,'6.คีย์ปลายภาค'!$C$6:$EI$50,59,FALSE)</f>
        <v/>
      </c>
      <c r="AG33" s="231" t="str">
        <f>IF(VLOOKUP($B33,'6.คีย์ปลายภาค'!$C$6:$EI$50,63,FALSE)="","",VLOOKUP($B33,'6.คีย์ปลายภาค'!$C$6:$EI$50,63,FALSE))</f>
        <v/>
      </c>
      <c r="AH33" s="232" t="str">
        <f>VLOOKUP($B33,'6.คีย์ปลายภาค'!$C$6:$EI$50,64,FALSE)</f>
        <v/>
      </c>
      <c r="AI33" s="31">
        <v>25</v>
      </c>
      <c r="AJ33" s="770" t="str">
        <f>IF(Name25="","",Name25)</f>
        <v/>
      </c>
      <c r="AK33" s="707"/>
      <c r="AL33" s="707"/>
      <c r="AM33" s="707"/>
      <c r="AN33" s="767" t="str">
        <f>IF(Surname25="","",Surname25)</f>
        <v/>
      </c>
      <c r="AO33" s="767"/>
      <c r="AP33" s="767"/>
      <c r="AQ33" s="767"/>
      <c r="AR33" s="234" t="str">
        <f>IF(VLOOKUP($B33,'6.คีย์ปลายภาค'!$C$6:$EI$50,68,FALSE)="","",VLOOKUP($B33,'6.คีย์ปลายภาค'!$C$6:$EI$50,68,FALSE))</f>
        <v/>
      </c>
      <c r="AS33" s="230" t="str">
        <f>VLOOKUP($B33,'6.คีย์ปลายภาค'!$C$6:$EI$50,69,FALSE)</f>
        <v/>
      </c>
      <c r="AT33" s="230" t="str">
        <f>IF(VLOOKUP($B33,'6.คีย์ปลายภาค'!$C$6:$EI$50,73,FALSE)="","",VLOOKUP($B33,'6.คีย์ปลายภาค'!$C$6:$EI$50,73,FALSE))</f>
        <v/>
      </c>
      <c r="AU33" s="230" t="str">
        <f>VLOOKUP($B33,'6.คีย์ปลายภาค'!$C$6:$EI$50,74,FALSE)</f>
        <v/>
      </c>
      <c r="AV33" s="230" t="str">
        <f>IF(VLOOKUP($B33,'6.คีย์ปลายภาค'!$C$6:$EI$50,78,FALSE)="","",VLOOKUP($B33,'6.คีย์ปลายภาค'!$C$6:$EI$50,78,FALSE))</f>
        <v/>
      </c>
      <c r="AW33" s="230" t="str">
        <f>VLOOKUP($B33,'6.คีย์ปลายภาค'!$C$6:$EI$50,79,FALSE)</f>
        <v/>
      </c>
      <c r="AX33" s="230" t="str">
        <f>IF(VLOOKUP($B33,'6.คีย์ปลายภาค'!$C$6:$EI$50,83,FALSE)="","",VLOOKUP($B33,'6.คีย์ปลายภาค'!$C$6:$EI$50,83,FALSE))</f>
        <v/>
      </c>
      <c r="AY33" s="230" t="str">
        <f>VLOOKUP($B33,'6.คีย์ปลายภาค'!$C$6:$EI$50,84,FALSE)</f>
        <v/>
      </c>
      <c r="AZ33" s="230" t="str">
        <f>IF(VLOOKUP($B33,'6.คีย์ปลายภาค'!$C$6:$EI$50,88,FALSE)="","",VLOOKUP($B33,'6.คีย์ปลายภาค'!$C$6:$EI$50,88,FALSE))</f>
        <v/>
      </c>
      <c r="BA33" s="230" t="str">
        <f>VLOOKUP($B33,'6.คีย์ปลายภาค'!$C$6:$EI$50,89,FALSE)</f>
        <v/>
      </c>
      <c r="BB33" s="230" t="str">
        <f>IF(VLOOKUP($B33,'6.คีย์ปลายภาค'!$C$6:$EI$50,93,FALSE)="","",VLOOKUP($B33,'6.คีย์ปลายภาค'!$C$6:$EI$50,93,FALSE))</f>
        <v/>
      </c>
      <c r="BC33" s="230" t="str">
        <f>VLOOKUP($B33,'6.คีย์ปลายภาค'!$C$6:$EI$50,94,FALSE)</f>
        <v/>
      </c>
      <c r="BD33" s="230" t="str">
        <f>IF(VLOOKUP($B33,'6.คีย์ปลายภาค'!$C$6:$EI$50,98,FALSE)="","",VLOOKUP($B33,'6.คีย์ปลายภาค'!$C$6:$EI$50,98,FALSE))</f>
        <v/>
      </c>
      <c r="BE33" s="230" t="str">
        <f>VLOOKUP($B33,'6.คีย์ปลายภาค'!$C$6:$EI$50,99,FALSE)</f>
        <v/>
      </c>
      <c r="BF33" s="230" t="str">
        <f>IF(VLOOKUP($B33,'6.คีย์ปลายภาค'!$C$6:$EI$50,103,FALSE)="","",VLOOKUP($B33,'6.คีย์ปลายภาค'!$C$6:$EI$50,103,FALSE))</f>
        <v/>
      </c>
      <c r="BG33" s="230" t="str">
        <f>VLOOKUP($B33,'6.คีย์ปลายภาค'!$C$6:$EI$50,104,FALSE)</f>
        <v/>
      </c>
      <c r="BH33" s="230" t="str">
        <f>IF(VLOOKUP($B33,'6.คีย์ปลายภาค'!$C$6:$EI$50,108,FALSE)="","",VLOOKUP($B33,'6.คีย์ปลายภาค'!$C$6:$EI$50,108,FALSE))</f>
        <v/>
      </c>
      <c r="BI33" s="230" t="str">
        <f>VLOOKUP($B33,'6.คีย์ปลายภาค'!$C$6:$EI$50,109,FALSE)</f>
        <v/>
      </c>
      <c r="BJ33" s="230" t="str">
        <f>IF(VLOOKUP($B33,'6.คีย์ปลายภาค'!$C$6:$EI$50,113,FALSE)="","",VLOOKUP($B33,'6.คีย์ปลายภาค'!$C$6:$EI$50,113,FALSE))</f>
        <v/>
      </c>
      <c r="BK33" s="230" t="str">
        <f>VLOOKUP($B33,'6.คีย์ปลายภาค'!$C$6:$EI$50,114,FALSE)</f>
        <v/>
      </c>
      <c r="BL33" s="230" t="str">
        <f>IF(VLOOKUP($B33,'6.คีย์ปลายภาค'!$C$6:$EI$50,118,FALSE)="","",VLOOKUP($B33,'6.คีย์ปลายภาค'!$C$6:$EI$50,118,FALSE))</f>
        <v/>
      </c>
      <c r="BM33" s="230" t="str">
        <f>VLOOKUP($B33,'6.คีย์ปลายภาค'!$C$6:$EI$50,119,FALSE)</f>
        <v/>
      </c>
      <c r="BN33" s="230" t="str">
        <f>IF(VLOOKUP($B33,'6.คีย์ปลายภาค'!$C$6:$EI$50,123,FALSE)="","",VLOOKUP($B33,'6.คีย์ปลายภาค'!$C$6:$EI$50,123,FALSE))</f>
        <v/>
      </c>
      <c r="BO33" s="230" t="str">
        <f>VLOOKUP($B33,'6.คีย์ปลายภาค'!$C$6:$EI$50,124,FALSE)</f>
        <v/>
      </c>
      <c r="BP33" s="230" t="str">
        <f>IF(VLOOKUP($B33,'6.คีย์ปลายภาค'!$C$6:$EI$50,128,FALSE)="","",VLOOKUP($B33,'6.คีย์ปลายภาค'!$C$6:$EI$50,128,FALSE))</f>
        <v/>
      </c>
      <c r="BQ33" s="232" t="str">
        <f>VLOOKUP($B33,'6.คีย์ปลายภาค'!$C$6:$EI$50,129,FALSE)</f>
        <v/>
      </c>
      <c r="BR33" s="550" t="str">
        <f>IF(L33="","",IF('2.ชื่อนักเรียน'!R35="มส","",IF('2.ชื่อนักเรียน'!R35="ย้าย","",IF('2.ชื่อนักเรียน'!R35="ร","",SUM(BT33:CR33)/13.5))))</f>
        <v/>
      </c>
      <c r="BS33" s="520" t="str">
        <f>IF('2.ชื่อนักเรียน'!R35="มส","มส",IF('2.ชื่อนักเรียน'!R35="ย้าย","ย้าย",IF('2.ชื่อนักเรียน'!R35="ร","ร",IF(BR33="","",RANK(BR33,$BR$9:$BR$53,0)))))</f>
        <v/>
      </c>
      <c r="BT33" s="118" t="str">
        <f t="shared" si="0"/>
        <v/>
      </c>
      <c r="BU33" s="119" t="str">
        <f t="shared" si="1"/>
        <v/>
      </c>
      <c r="BV33" s="119" t="str">
        <f t="shared" si="2"/>
        <v/>
      </c>
      <c r="BW33" s="110" t="str">
        <f t="shared" si="3"/>
        <v/>
      </c>
      <c r="BX33" s="119" t="str">
        <f t="shared" si="4"/>
        <v/>
      </c>
      <c r="BY33" s="119" t="str">
        <f t="shared" si="5"/>
        <v/>
      </c>
      <c r="BZ33" s="119" t="str">
        <f t="shared" si="6"/>
        <v/>
      </c>
      <c r="CA33" s="119" t="str">
        <f t="shared" si="7"/>
        <v/>
      </c>
      <c r="CB33" s="110" t="str">
        <f t="shared" si="8"/>
        <v/>
      </c>
      <c r="CC33" s="151" t="str">
        <f t="shared" si="9"/>
        <v/>
      </c>
      <c r="CD33" s="151" t="str">
        <f t="shared" si="10"/>
        <v/>
      </c>
      <c r="CE33" s="111" t="str">
        <f t="shared" si="11"/>
        <v/>
      </c>
      <c r="CF33" s="118" t="str">
        <f t="shared" si="12"/>
        <v/>
      </c>
      <c r="CG33" s="119" t="str">
        <f t="shared" si="13"/>
        <v/>
      </c>
      <c r="CH33" s="119" t="str">
        <f t="shared" si="14"/>
        <v/>
      </c>
      <c r="CI33" s="119" t="str">
        <f t="shared" si="15"/>
        <v/>
      </c>
      <c r="CJ33" s="110" t="str">
        <f t="shared" si="16"/>
        <v/>
      </c>
      <c r="CK33" s="110" t="str">
        <f t="shared" si="17"/>
        <v/>
      </c>
      <c r="CL33" s="119" t="str">
        <f t="shared" si="18"/>
        <v/>
      </c>
      <c r="CM33" s="119" t="str">
        <f t="shared" si="19"/>
        <v/>
      </c>
      <c r="CN33" s="120" t="str">
        <f t="shared" si="20"/>
        <v/>
      </c>
      <c r="CO33" s="119" t="str">
        <f t="shared" si="21"/>
        <v/>
      </c>
      <c r="CP33" s="120" t="str">
        <f t="shared" si="22"/>
        <v/>
      </c>
      <c r="CQ33" s="111" t="str">
        <f t="shared" si="26"/>
        <v/>
      </c>
      <c r="CR33" s="494" t="str">
        <f t="shared" si="24"/>
        <v/>
      </c>
      <c r="CS33" s="148">
        <f t="shared" si="25"/>
        <v>0</v>
      </c>
      <c r="CT33" s="21">
        <f>IF('2.ชื่อนักเรียน'!AP35="มส","มส",IF('2.ชื่อนักเรียน'!AP35="ย้าย","ย้าย",IF('2.ชื่อนักเรียน'!AP35="ร","ร",IF(CS33="","",RANK(CS33,$CS$9:$CS$53,0)))))</f>
        <v>1</v>
      </c>
    </row>
    <row r="34" spans="1:98" s="29" customFormat="1" ht="18.75" customHeight="1" x14ac:dyDescent="0.25">
      <c r="A34" s="234">
        <v>26</v>
      </c>
      <c r="B34" s="512" t="str">
        <f>IF(IDstu26="","",IDstu26)</f>
        <v/>
      </c>
      <c r="C34" s="770" t="str">
        <f>IF(Name26="","",Name26)</f>
        <v/>
      </c>
      <c r="D34" s="707"/>
      <c r="E34" s="707"/>
      <c r="F34" s="707"/>
      <c r="G34" s="767" t="str">
        <f>IF(Surname26="","",Surname26)</f>
        <v/>
      </c>
      <c r="H34" s="767"/>
      <c r="I34" s="767"/>
      <c r="J34" s="767"/>
      <c r="K34" s="234" t="str">
        <f>IF(VLOOKUP($B34,'6.คีย์ปลายภาค'!$C$6:$EI$50,8,FALSE)="","",VLOOKUP($B34,'6.คีย์ปลายภาค'!$C$6:$EI$50,8,FALSE))</f>
        <v/>
      </c>
      <c r="L34" s="229" t="str">
        <f>VLOOKUP($B34,'6.คีย์ปลายภาค'!$C$6:$EI$50,9,FALSE)</f>
        <v/>
      </c>
      <c r="M34" s="229" t="str">
        <f>IF(VLOOKUP($B34,'6.คีย์ปลายภาค'!$C$6:$EI$50,13,FALSE)="","",VLOOKUP($B34,'6.คีย์ปลายภาค'!$C$6:$EI$50,13,FALSE))</f>
        <v/>
      </c>
      <c r="N34" s="230" t="str">
        <f>VLOOKUP($B34,'6.คีย์ปลายภาค'!$C$6:$EI$50,14,FALSE)</f>
        <v/>
      </c>
      <c r="O34" s="230" t="str">
        <f>IF(VLOOKUP($B34,'6.คีย์ปลายภาค'!$C$6:$EI$50,18,FALSE)="","",VLOOKUP($B34,'6.คีย์ปลายภาค'!$C$6:$EI$50,18,FALSE))</f>
        <v/>
      </c>
      <c r="P34" s="230" t="str">
        <f>VLOOKUP($B34,'6.คีย์ปลายภาค'!$C$6:$EI$50,19,FALSE)</f>
        <v/>
      </c>
      <c r="Q34" s="230" t="str">
        <f>IF(VLOOKUP($B34,'6.คีย์ปลายภาค'!$C$6:$EI$50,23,FALSE)="","",VLOOKUP($B34,'6.คีย์ปลายภาค'!$C$6:$EI$50,23,FALSE))</f>
        <v/>
      </c>
      <c r="R34" s="230" t="str">
        <f>VLOOKUP($B34,'6.คีย์ปลายภาค'!$C$6:$EI$50,24,FALSE)</f>
        <v/>
      </c>
      <c r="S34" s="230" t="str">
        <f>IF(VLOOKUP($B34,'6.คีย์ปลายภาค'!$C$6:$EI$50,28,FALSE)="","",VLOOKUP($B34,'6.คีย์ปลายภาค'!$C$6:$EI$50,28,FALSE))</f>
        <v/>
      </c>
      <c r="T34" s="230" t="str">
        <f>VLOOKUP($B34,'6.คีย์ปลายภาค'!$C$6:$EI$50,29,FALSE)</f>
        <v/>
      </c>
      <c r="U34" s="230" t="str">
        <f>IF(VLOOKUP($B34,'6.คีย์ปลายภาค'!$C$6:$EI$50,33,FALSE)="","",VLOOKUP($B34,'6.คีย์ปลายภาค'!$C$6:$EI$50,33,FALSE))</f>
        <v/>
      </c>
      <c r="V34" s="230" t="str">
        <f>VLOOKUP($B34,'6.คีย์ปลายภาค'!$C$6:$EI$50,34,FALSE)</f>
        <v/>
      </c>
      <c r="W34" s="230" t="str">
        <f>IF(VLOOKUP($B34,'6.คีย์ปลายภาค'!$C$6:$EI$50,38,FALSE)="","",VLOOKUP($B34,'6.คีย์ปลายภาค'!$C$6:$EI$50,38,FALSE))</f>
        <v/>
      </c>
      <c r="X34" s="230" t="str">
        <f>VLOOKUP($B34,'6.คีย์ปลายภาค'!$C$6:$EI$50,39,FALSE)</f>
        <v/>
      </c>
      <c r="Y34" s="230" t="str">
        <f>IF(VLOOKUP($B34,'6.คีย์ปลายภาค'!$C$6:$EI$50,43,FALSE)="","",VLOOKUP($B34,'6.คีย์ปลายภาค'!$C$6:$EI$50,43,FALSE))</f>
        <v/>
      </c>
      <c r="Z34" s="230" t="str">
        <f>VLOOKUP($B34,'6.คีย์ปลายภาค'!$C$6:$EI$50,44,FALSE)</f>
        <v/>
      </c>
      <c r="AA34" s="230" t="str">
        <f>IF(VLOOKUP($B34,'6.คีย์ปลายภาค'!$C$6:$EI$50,48,FALSE)="","",VLOOKUP($B34,'6.คีย์ปลายภาค'!$C$6:$EI$50,48,FALSE))</f>
        <v/>
      </c>
      <c r="AB34" s="230" t="str">
        <f>VLOOKUP($B34,'6.คีย์ปลายภาค'!$C$6:$EI$50,49,FALSE)</f>
        <v/>
      </c>
      <c r="AC34" s="231" t="str">
        <f>IF(VLOOKUP($B34,'6.คีย์ปลายภาค'!$C$6:$EI$50,53,FALSE)="","",VLOOKUP($B34,'6.คีย์ปลายภาค'!$C$6:$EI$50,53,FALSE))</f>
        <v/>
      </c>
      <c r="AD34" s="231" t="str">
        <f>VLOOKUP($B34,'6.คีย์ปลายภาค'!$C$6:$EI$50,54,FALSE)</f>
        <v/>
      </c>
      <c r="AE34" s="231" t="str">
        <f>IF(VLOOKUP($B34,'6.คีย์ปลายภาค'!$C$6:$EI$50,58,FALSE)="","",VLOOKUP($B34,'6.คีย์ปลายภาค'!$C$6:$EI$50,58,FALSE))</f>
        <v/>
      </c>
      <c r="AF34" s="231" t="str">
        <f>VLOOKUP($B34,'6.คีย์ปลายภาค'!$C$6:$EI$50,59,FALSE)</f>
        <v/>
      </c>
      <c r="AG34" s="231" t="str">
        <f>IF(VLOOKUP($B34,'6.คีย์ปลายภาค'!$C$6:$EI$50,63,FALSE)="","",VLOOKUP($B34,'6.คีย์ปลายภาค'!$C$6:$EI$50,63,FALSE))</f>
        <v/>
      </c>
      <c r="AH34" s="232" t="str">
        <f>VLOOKUP($B34,'6.คีย์ปลายภาค'!$C$6:$EI$50,64,FALSE)</f>
        <v/>
      </c>
      <c r="AI34" s="31">
        <v>26</v>
      </c>
      <c r="AJ34" s="770" t="str">
        <f>IF(Name26="","",Name26)</f>
        <v/>
      </c>
      <c r="AK34" s="707"/>
      <c r="AL34" s="707"/>
      <c r="AM34" s="707"/>
      <c r="AN34" s="767" t="str">
        <f>IF(Surname26="","",Surname26)</f>
        <v/>
      </c>
      <c r="AO34" s="767"/>
      <c r="AP34" s="767"/>
      <c r="AQ34" s="767"/>
      <c r="AR34" s="234" t="str">
        <f>IF(VLOOKUP($B34,'6.คีย์ปลายภาค'!$C$6:$EI$50,68,FALSE)="","",VLOOKUP($B34,'6.คีย์ปลายภาค'!$C$6:$EI$50,68,FALSE))</f>
        <v/>
      </c>
      <c r="AS34" s="230" t="str">
        <f>VLOOKUP($B34,'6.คีย์ปลายภาค'!$C$6:$EI$50,69,FALSE)</f>
        <v/>
      </c>
      <c r="AT34" s="230" t="str">
        <f>IF(VLOOKUP($B34,'6.คีย์ปลายภาค'!$C$6:$EI$50,73,FALSE)="","",VLOOKUP($B34,'6.คีย์ปลายภาค'!$C$6:$EI$50,73,FALSE))</f>
        <v/>
      </c>
      <c r="AU34" s="230" t="str">
        <f>VLOOKUP($B34,'6.คีย์ปลายภาค'!$C$6:$EI$50,74,FALSE)</f>
        <v/>
      </c>
      <c r="AV34" s="230" t="str">
        <f>IF(VLOOKUP($B34,'6.คีย์ปลายภาค'!$C$6:$EI$50,78,FALSE)="","",VLOOKUP($B34,'6.คีย์ปลายภาค'!$C$6:$EI$50,78,FALSE))</f>
        <v/>
      </c>
      <c r="AW34" s="230" t="str">
        <f>VLOOKUP($B34,'6.คีย์ปลายภาค'!$C$6:$EI$50,79,FALSE)</f>
        <v/>
      </c>
      <c r="AX34" s="230" t="str">
        <f>IF(VLOOKUP($B34,'6.คีย์ปลายภาค'!$C$6:$EI$50,83,FALSE)="","",VLOOKUP($B34,'6.คีย์ปลายภาค'!$C$6:$EI$50,83,FALSE))</f>
        <v/>
      </c>
      <c r="AY34" s="230" t="str">
        <f>VLOOKUP($B34,'6.คีย์ปลายภาค'!$C$6:$EI$50,84,FALSE)</f>
        <v/>
      </c>
      <c r="AZ34" s="230" t="str">
        <f>IF(VLOOKUP($B34,'6.คีย์ปลายภาค'!$C$6:$EI$50,88,FALSE)="","",VLOOKUP($B34,'6.คีย์ปลายภาค'!$C$6:$EI$50,88,FALSE))</f>
        <v/>
      </c>
      <c r="BA34" s="230" t="str">
        <f>VLOOKUP($B34,'6.คีย์ปลายภาค'!$C$6:$EI$50,89,FALSE)</f>
        <v/>
      </c>
      <c r="BB34" s="230" t="str">
        <f>IF(VLOOKUP($B34,'6.คีย์ปลายภาค'!$C$6:$EI$50,93,FALSE)="","",VLOOKUP($B34,'6.คีย์ปลายภาค'!$C$6:$EI$50,93,FALSE))</f>
        <v/>
      </c>
      <c r="BC34" s="230" t="str">
        <f>VLOOKUP($B34,'6.คีย์ปลายภาค'!$C$6:$EI$50,94,FALSE)</f>
        <v/>
      </c>
      <c r="BD34" s="230" t="str">
        <f>IF(VLOOKUP($B34,'6.คีย์ปลายภาค'!$C$6:$EI$50,98,FALSE)="","",VLOOKUP($B34,'6.คีย์ปลายภาค'!$C$6:$EI$50,98,FALSE))</f>
        <v/>
      </c>
      <c r="BE34" s="230" t="str">
        <f>VLOOKUP($B34,'6.คีย์ปลายภาค'!$C$6:$EI$50,99,FALSE)</f>
        <v/>
      </c>
      <c r="BF34" s="230" t="str">
        <f>IF(VLOOKUP($B34,'6.คีย์ปลายภาค'!$C$6:$EI$50,103,FALSE)="","",VLOOKUP($B34,'6.คีย์ปลายภาค'!$C$6:$EI$50,103,FALSE))</f>
        <v/>
      </c>
      <c r="BG34" s="230" t="str">
        <f>VLOOKUP($B34,'6.คีย์ปลายภาค'!$C$6:$EI$50,104,FALSE)</f>
        <v/>
      </c>
      <c r="BH34" s="230" t="str">
        <f>IF(VLOOKUP($B34,'6.คีย์ปลายภาค'!$C$6:$EI$50,108,FALSE)="","",VLOOKUP($B34,'6.คีย์ปลายภาค'!$C$6:$EI$50,108,FALSE))</f>
        <v/>
      </c>
      <c r="BI34" s="230" t="str">
        <f>VLOOKUP($B34,'6.คีย์ปลายภาค'!$C$6:$EI$50,109,FALSE)</f>
        <v/>
      </c>
      <c r="BJ34" s="230" t="str">
        <f>IF(VLOOKUP($B34,'6.คีย์ปลายภาค'!$C$6:$EI$50,113,FALSE)="","",VLOOKUP($B34,'6.คีย์ปลายภาค'!$C$6:$EI$50,113,FALSE))</f>
        <v/>
      </c>
      <c r="BK34" s="230" t="str">
        <f>VLOOKUP($B34,'6.คีย์ปลายภาค'!$C$6:$EI$50,114,FALSE)</f>
        <v/>
      </c>
      <c r="BL34" s="230" t="str">
        <f>IF(VLOOKUP($B34,'6.คีย์ปลายภาค'!$C$6:$EI$50,118,FALSE)="","",VLOOKUP($B34,'6.คีย์ปลายภาค'!$C$6:$EI$50,118,FALSE))</f>
        <v/>
      </c>
      <c r="BM34" s="230" t="str">
        <f>VLOOKUP($B34,'6.คีย์ปลายภาค'!$C$6:$EI$50,119,FALSE)</f>
        <v/>
      </c>
      <c r="BN34" s="230" t="str">
        <f>IF(VLOOKUP($B34,'6.คีย์ปลายภาค'!$C$6:$EI$50,123,FALSE)="","",VLOOKUP($B34,'6.คีย์ปลายภาค'!$C$6:$EI$50,123,FALSE))</f>
        <v/>
      </c>
      <c r="BO34" s="230" t="str">
        <f>VLOOKUP($B34,'6.คีย์ปลายภาค'!$C$6:$EI$50,124,FALSE)</f>
        <v/>
      </c>
      <c r="BP34" s="230" t="str">
        <f>IF(VLOOKUP($B34,'6.คีย์ปลายภาค'!$C$6:$EI$50,128,FALSE)="","",VLOOKUP($B34,'6.คีย์ปลายภาค'!$C$6:$EI$50,128,FALSE))</f>
        <v/>
      </c>
      <c r="BQ34" s="232" t="str">
        <f>VLOOKUP($B34,'6.คีย์ปลายภาค'!$C$6:$EI$50,129,FALSE)</f>
        <v/>
      </c>
      <c r="BR34" s="550" t="str">
        <f>IF(L34="","",IF('2.ชื่อนักเรียน'!R36="มส","",IF('2.ชื่อนักเรียน'!R36="ย้าย","",IF('2.ชื่อนักเรียน'!R36="ร","",SUM(BT34:CR34)/13.5))))</f>
        <v/>
      </c>
      <c r="BS34" s="520" t="str">
        <f>IF('2.ชื่อนักเรียน'!R36="มส","มส",IF('2.ชื่อนักเรียน'!R36="ย้าย","ย้าย",IF('2.ชื่อนักเรียน'!R36="ร","ร",IF(BR34="","",RANK(BR34,$BR$9:$BR$53,0)))))</f>
        <v/>
      </c>
      <c r="BT34" s="118" t="str">
        <f t="shared" si="0"/>
        <v/>
      </c>
      <c r="BU34" s="119" t="str">
        <f t="shared" si="1"/>
        <v/>
      </c>
      <c r="BV34" s="119" t="str">
        <f t="shared" si="2"/>
        <v/>
      </c>
      <c r="BW34" s="110" t="str">
        <f t="shared" si="3"/>
        <v/>
      </c>
      <c r="BX34" s="119" t="str">
        <f t="shared" si="4"/>
        <v/>
      </c>
      <c r="BY34" s="119" t="str">
        <f t="shared" si="5"/>
        <v/>
      </c>
      <c r="BZ34" s="119" t="str">
        <f t="shared" si="6"/>
        <v/>
      </c>
      <c r="CA34" s="119" t="str">
        <f t="shared" si="7"/>
        <v/>
      </c>
      <c r="CB34" s="110" t="str">
        <f t="shared" si="8"/>
        <v/>
      </c>
      <c r="CC34" s="151" t="str">
        <f t="shared" si="9"/>
        <v/>
      </c>
      <c r="CD34" s="151" t="str">
        <f t="shared" si="10"/>
        <v/>
      </c>
      <c r="CE34" s="111" t="str">
        <f t="shared" ref="CE34:CE53" si="27">IF(AH34="","",IF(AH34="ร","0",IF(AH34="มส","0",AH34*AH$8)))</f>
        <v/>
      </c>
      <c r="CF34" s="118" t="str">
        <f t="shared" si="12"/>
        <v/>
      </c>
      <c r="CG34" s="119" t="str">
        <f t="shared" si="13"/>
        <v/>
      </c>
      <c r="CH34" s="119" t="str">
        <f t="shared" si="14"/>
        <v/>
      </c>
      <c r="CI34" s="119" t="str">
        <f t="shared" si="15"/>
        <v/>
      </c>
      <c r="CJ34" s="110" t="str">
        <f t="shared" si="16"/>
        <v/>
      </c>
      <c r="CK34" s="110" t="str">
        <f t="shared" si="17"/>
        <v/>
      </c>
      <c r="CL34" s="119" t="str">
        <f t="shared" si="18"/>
        <v/>
      </c>
      <c r="CM34" s="119" t="str">
        <f t="shared" si="19"/>
        <v/>
      </c>
      <c r="CN34" s="120" t="str">
        <f t="shared" si="20"/>
        <v/>
      </c>
      <c r="CO34" s="119" t="str">
        <f t="shared" si="21"/>
        <v/>
      </c>
      <c r="CP34" s="120" t="str">
        <f t="shared" si="22"/>
        <v/>
      </c>
      <c r="CQ34" s="111" t="str">
        <f t="shared" si="26"/>
        <v/>
      </c>
      <c r="CR34" s="494" t="str">
        <f t="shared" si="24"/>
        <v/>
      </c>
      <c r="CS34" s="148">
        <f t="shared" si="25"/>
        <v>0</v>
      </c>
      <c r="CT34" s="21">
        <f>IF('2.ชื่อนักเรียน'!AP36="มส","มส",IF('2.ชื่อนักเรียน'!AP36="ย้าย","ย้าย",IF('2.ชื่อนักเรียน'!AP36="ร","ร",IF(CS34="","",RANK(CS34,$CS$9:$CS$53,0)))))</f>
        <v>1</v>
      </c>
    </row>
    <row r="35" spans="1:98" s="29" customFormat="1" ht="18.75" customHeight="1" x14ac:dyDescent="0.25">
      <c r="A35" s="234">
        <v>27</v>
      </c>
      <c r="B35" s="512" t="str">
        <f>IF(IDstu27="","",IDstu27)</f>
        <v/>
      </c>
      <c r="C35" s="770" t="str">
        <f>IF(Name27="","",Name27)</f>
        <v/>
      </c>
      <c r="D35" s="707"/>
      <c r="E35" s="707"/>
      <c r="F35" s="707"/>
      <c r="G35" s="767" t="str">
        <f>IF(Surname27="","",Surname27)</f>
        <v/>
      </c>
      <c r="H35" s="767"/>
      <c r="I35" s="767"/>
      <c r="J35" s="767"/>
      <c r="K35" s="234" t="str">
        <f>IF(VLOOKUP($B35,'6.คีย์ปลายภาค'!$C$6:$EI$50,8,FALSE)="","",VLOOKUP($B35,'6.คีย์ปลายภาค'!$C$6:$EI$50,8,FALSE))</f>
        <v/>
      </c>
      <c r="L35" s="229" t="str">
        <f>VLOOKUP($B35,'6.คีย์ปลายภาค'!$C$6:$EI$50,9,FALSE)</f>
        <v/>
      </c>
      <c r="M35" s="229" t="str">
        <f>IF(VLOOKUP($B35,'6.คีย์ปลายภาค'!$C$6:$EI$50,13,FALSE)="","",VLOOKUP($B35,'6.คีย์ปลายภาค'!$C$6:$EI$50,13,FALSE))</f>
        <v/>
      </c>
      <c r="N35" s="230" t="str">
        <f>VLOOKUP($B35,'6.คีย์ปลายภาค'!$C$6:$EI$50,14,FALSE)</f>
        <v/>
      </c>
      <c r="O35" s="230" t="str">
        <f>IF(VLOOKUP($B35,'6.คีย์ปลายภาค'!$C$6:$EI$50,18,FALSE)="","",VLOOKUP($B35,'6.คีย์ปลายภาค'!$C$6:$EI$50,18,FALSE))</f>
        <v/>
      </c>
      <c r="P35" s="230" t="str">
        <f>VLOOKUP($B35,'6.คีย์ปลายภาค'!$C$6:$EI$50,19,FALSE)</f>
        <v/>
      </c>
      <c r="Q35" s="230" t="str">
        <f>IF(VLOOKUP($B35,'6.คีย์ปลายภาค'!$C$6:$EI$50,23,FALSE)="","",VLOOKUP($B35,'6.คีย์ปลายภาค'!$C$6:$EI$50,23,FALSE))</f>
        <v/>
      </c>
      <c r="R35" s="230" t="str">
        <f>VLOOKUP($B35,'6.คีย์ปลายภาค'!$C$6:$EI$50,24,FALSE)</f>
        <v/>
      </c>
      <c r="S35" s="230" t="str">
        <f>IF(VLOOKUP($B35,'6.คีย์ปลายภาค'!$C$6:$EI$50,28,FALSE)="","",VLOOKUP($B35,'6.คีย์ปลายภาค'!$C$6:$EI$50,28,FALSE))</f>
        <v/>
      </c>
      <c r="T35" s="230" t="str">
        <f>VLOOKUP($B35,'6.คีย์ปลายภาค'!$C$6:$EI$50,29,FALSE)</f>
        <v/>
      </c>
      <c r="U35" s="230" t="str">
        <f>IF(VLOOKUP($B35,'6.คีย์ปลายภาค'!$C$6:$EI$50,33,FALSE)="","",VLOOKUP($B35,'6.คีย์ปลายภาค'!$C$6:$EI$50,33,FALSE))</f>
        <v/>
      </c>
      <c r="V35" s="230" t="str">
        <f>VLOOKUP($B35,'6.คีย์ปลายภาค'!$C$6:$EI$50,34,FALSE)</f>
        <v/>
      </c>
      <c r="W35" s="230" t="str">
        <f>IF(VLOOKUP($B35,'6.คีย์ปลายภาค'!$C$6:$EI$50,38,FALSE)="","",VLOOKUP($B35,'6.คีย์ปลายภาค'!$C$6:$EI$50,38,FALSE))</f>
        <v/>
      </c>
      <c r="X35" s="230" t="str">
        <f>VLOOKUP($B35,'6.คีย์ปลายภาค'!$C$6:$EI$50,39,FALSE)</f>
        <v/>
      </c>
      <c r="Y35" s="230" t="str">
        <f>IF(VLOOKUP($B35,'6.คีย์ปลายภาค'!$C$6:$EI$50,43,FALSE)="","",VLOOKUP($B35,'6.คีย์ปลายภาค'!$C$6:$EI$50,43,FALSE))</f>
        <v/>
      </c>
      <c r="Z35" s="230" t="str">
        <f>VLOOKUP($B35,'6.คีย์ปลายภาค'!$C$6:$EI$50,44,FALSE)</f>
        <v/>
      </c>
      <c r="AA35" s="230" t="str">
        <f>IF(VLOOKUP($B35,'6.คีย์ปลายภาค'!$C$6:$EI$50,48,FALSE)="","",VLOOKUP($B35,'6.คีย์ปลายภาค'!$C$6:$EI$50,48,FALSE))</f>
        <v/>
      </c>
      <c r="AB35" s="230" t="str">
        <f>VLOOKUP($B35,'6.คีย์ปลายภาค'!$C$6:$EI$50,49,FALSE)</f>
        <v/>
      </c>
      <c r="AC35" s="231" t="str">
        <f>IF(VLOOKUP($B35,'6.คีย์ปลายภาค'!$C$6:$EI$50,53,FALSE)="","",VLOOKUP($B35,'6.คีย์ปลายภาค'!$C$6:$EI$50,53,FALSE))</f>
        <v/>
      </c>
      <c r="AD35" s="231" t="str">
        <f>VLOOKUP($B35,'6.คีย์ปลายภาค'!$C$6:$EI$50,54,FALSE)</f>
        <v/>
      </c>
      <c r="AE35" s="231" t="str">
        <f>IF(VLOOKUP($B35,'6.คีย์ปลายภาค'!$C$6:$EI$50,58,FALSE)="","",VLOOKUP($B35,'6.คีย์ปลายภาค'!$C$6:$EI$50,58,FALSE))</f>
        <v/>
      </c>
      <c r="AF35" s="231" t="str">
        <f>VLOOKUP($B35,'6.คีย์ปลายภาค'!$C$6:$EI$50,59,FALSE)</f>
        <v/>
      </c>
      <c r="AG35" s="231" t="str">
        <f>IF(VLOOKUP($B35,'6.คีย์ปลายภาค'!$C$6:$EI$50,63,FALSE)="","",VLOOKUP($B35,'6.คีย์ปลายภาค'!$C$6:$EI$50,63,FALSE))</f>
        <v/>
      </c>
      <c r="AH35" s="232" t="str">
        <f>VLOOKUP($B35,'6.คีย์ปลายภาค'!$C$6:$EI$50,64,FALSE)</f>
        <v/>
      </c>
      <c r="AI35" s="31">
        <v>27</v>
      </c>
      <c r="AJ35" s="770" t="str">
        <f>IF(Name27="","",Name27)</f>
        <v/>
      </c>
      <c r="AK35" s="707"/>
      <c r="AL35" s="707"/>
      <c r="AM35" s="707"/>
      <c r="AN35" s="767" t="str">
        <f>IF(Surname27="","",Surname27)</f>
        <v/>
      </c>
      <c r="AO35" s="767"/>
      <c r="AP35" s="767"/>
      <c r="AQ35" s="767"/>
      <c r="AR35" s="234" t="str">
        <f>IF(VLOOKUP($B35,'6.คีย์ปลายภาค'!$C$6:$EI$50,68,FALSE)="","",VLOOKUP($B35,'6.คีย์ปลายภาค'!$C$6:$EI$50,68,FALSE))</f>
        <v/>
      </c>
      <c r="AS35" s="230" t="str">
        <f>VLOOKUP($B35,'6.คีย์ปลายภาค'!$C$6:$EI$50,69,FALSE)</f>
        <v/>
      </c>
      <c r="AT35" s="230" t="str">
        <f>IF(VLOOKUP($B35,'6.คีย์ปลายภาค'!$C$6:$EI$50,73,FALSE)="","",VLOOKUP($B35,'6.คีย์ปลายภาค'!$C$6:$EI$50,73,FALSE))</f>
        <v/>
      </c>
      <c r="AU35" s="230" t="str">
        <f>VLOOKUP($B35,'6.คีย์ปลายภาค'!$C$6:$EI$50,74,FALSE)</f>
        <v/>
      </c>
      <c r="AV35" s="230" t="str">
        <f>IF(VLOOKUP($B35,'6.คีย์ปลายภาค'!$C$6:$EI$50,78,FALSE)="","",VLOOKUP($B35,'6.คีย์ปลายภาค'!$C$6:$EI$50,78,FALSE))</f>
        <v/>
      </c>
      <c r="AW35" s="230" t="str">
        <f>VLOOKUP($B35,'6.คีย์ปลายภาค'!$C$6:$EI$50,79,FALSE)</f>
        <v/>
      </c>
      <c r="AX35" s="230" t="str">
        <f>IF(VLOOKUP($B35,'6.คีย์ปลายภาค'!$C$6:$EI$50,83,FALSE)="","",VLOOKUP($B35,'6.คีย์ปลายภาค'!$C$6:$EI$50,83,FALSE))</f>
        <v/>
      </c>
      <c r="AY35" s="230" t="str">
        <f>VLOOKUP($B35,'6.คีย์ปลายภาค'!$C$6:$EI$50,84,FALSE)</f>
        <v/>
      </c>
      <c r="AZ35" s="230" t="str">
        <f>IF(VLOOKUP($B35,'6.คีย์ปลายภาค'!$C$6:$EI$50,88,FALSE)="","",VLOOKUP($B35,'6.คีย์ปลายภาค'!$C$6:$EI$50,88,FALSE))</f>
        <v/>
      </c>
      <c r="BA35" s="230" t="str">
        <f>VLOOKUP($B35,'6.คีย์ปลายภาค'!$C$6:$EI$50,89,FALSE)</f>
        <v/>
      </c>
      <c r="BB35" s="230" t="str">
        <f>IF(VLOOKUP($B35,'6.คีย์ปลายภาค'!$C$6:$EI$50,93,FALSE)="","",VLOOKUP($B35,'6.คีย์ปลายภาค'!$C$6:$EI$50,93,FALSE))</f>
        <v/>
      </c>
      <c r="BC35" s="230" t="str">
        <f>VLOOKUP($B35,'6.คีย์ปลายภาค'!$C$6:$EI$50,94,FALSE)</f>
        <v/>
      </c>
      <c r="BD35" s="230" t="str">
        <f>IF(VLOOKUP($B35,'6.คีย์ปลายภาค'!$C$6:$EI$50,98,FALSE)="","",VLOOKUP($B35,'6.คีย์ปลายภาค'!$C$6:$EI$50,98,FALSE))</f>
        <v/>
      </c>
      <c r="BE35" s="230" t="str">
        <f>VLOOKUP($B35,'6.คีย์ปลายภาค'!$C$6:$EI$50,99,FALSE)</f>
        <v/>
      </c>
      <c r="BF35" s="230" t="str">
        <f>IF(VLOOKUP($B35,'6.คีย์ปลายภาค'!$C$6:$EI$50,103,FALSE)="","",VLOOKUP($B35,'6.คีย์ปลายภาค'!$C$6:$EI$50,103,FALSE))</f>
        <v/>
      </c>
      <c r="BG35" s="230" t="str">
        <f>VLOOKUP($B35,'6.คีย์ปลายภาค'!$C$6:$EI$50,104,FALSE)</f>
        <v/>
      </c>
      <c r="BH35" s="230" t="str">
        <f>IF(VLOOKUP($B35,'6.คีย์ปลายภาค'!$C$6:$EI$50,108,FALSE)="","",VLOOKUP($B35,'6.คีย์ปลายภาค'!$C$6:$EI$50,108,FALSE))</f>
        <v/>
      </c>
      <c r="BI35" s="230" t="str">
        <f>VLOOKUP($B35,'6.คีย์ปลายภาค'!$C$6:$EI$50,109,FALSE)</f>
        <v/>
      </c>
      <c r="BJ35" s="230" t="str">
        <f>IF(VLOOKUP($B35,'6.คีย์ปลายภาค'!$C$6:$EI$50,113,FALSE)="","",VLOOKUP($B35,'6.คีย์ปลายภาค'!$C$6:$EI$50,113,FALSE))</f>
        <v/>
      </c>
      <c r="BK35" s="230" t="str">
        <f>VLOOKUP($B35,'6.คีย์ปลายภาค'!$C$6:$EI$50,114,FALSE)</f>
        <v/>
      </c>
      <c r="BL35" s="230" t="str">
        <f>IF(VLOOKUP($B35,'6.คีย์ปลายภาค'!$C$6:$EI$50,118,FALSE)="","",VLOOKUP($B35,'6.คีย์ปลายภาค'!$C$6:$EI$50,118,FALSE))</f>
        <v/>
      </c>
      <c r="BM35" s="230" t="str">
        <f>VLOOKUP($B35,'6.คีย์ปลายภาค'!$C$6:$EI$50,119,FALSE)</f>
        <v/>
      </c>
      <c r="BN35" s="230" t="str">
        <f>IF(VLOOKUP($B35,'6.คีย์ปลายภาค'!$C$6:$EI$50,123,FALSE)="","",VLOOKUP($B35,'6.คีย์ปลายภาค'!$C$6:$EI$50,123,FALSE))</f>
        <v/>
      </c>
      <c r="BO35" s="230" t="str">
        <f>VLOOKUP($B35,'6.คีย์ปลายภาค'!$C$6:$EI$50,124,FALSE)</f>
        <v/>
      </c>
      <c r="BP35" s="230" t="str">
        <f>IF(VLOOKUP($B35,'6.คีย์ปลายภาค'!$C$6:$EI$50,128,FALSE)="","",VLOOKUP($B35,'6.คีย์ปลายภาค'!$C$6:$EI$50,128,FALSE))</f>
        <v/>
      </c>
      <c r="BQ35" s="232" t="str">
        <f>VLOOKUP($B35,'6.คีย์ปลายภาค'!$C$6:$EI$50,129,FALSE)</f>
        <v/>
      </c>
      <c r="BR35" s="550" t="str">
        <f>IF(L35="","",IF('2.ชื่อนักเรียน'!R37="มส","",IF('2.ชื่อนักเรียน'!R37="ย้าย","",IF('2.ชื่อนักเรียน'!R37="ร","",SUM(BT35:CR35)/13.5))))</f>
        <v/>
      </c>
      <c r="BS35" s="520" t="str">
        <f>IF('2.ชื่อนักเรียน'!R37="มส","มส",IF('2.ชื่อนักเรียน'!R37="ย้าย","ย้าย",IF('2.ชื่อนักเรียน'!R37="ร","ร",IF(BR35="","",RANK(BR35,$BR$9:$BR$53,0)))))</f>
        <v/>
      </c>
      <c r="BT35" s="118" t="str">
        <f t="shared" si="0"/>
        <v/>
      </c>
      <c r="BU35" s="119" t="str">
        <f t="shared" si="1"/>
        <v/>
      </c>
      <c r="BV35" s="119" t="str">
        <f t="shared" si="2"/>
        <v/>
      </c>
      <c r="BW35" s="110" t="str">
        <f t="shared" si="3"/>
        <v/>
      </c>
      <c r="BX35" s="110" t="str">
        <f t="shared" si="4"/>
        <v/>
      </c>
      <c r="BY35" s="110" t="str">
        <f t="shared" si="5"/>
        <v/>
      </c>
      <c r="BZ35" s="119" t="str">
        <f t="shared" si="6"/>
        <v/>
      </c>
      <c r="CA35" s="119" t="str">
        <f t="shared" si="7"/>
        <v/>
      </c>
      <c r="CB35" s="110" t="str">
        <f t="shared" si="8"/>
        <v/>
      </c>
      <c r="CC35" s="151" t="str">
        <f t="shared" si="9"/>
        <v/>
      </c>
      <c r="CD35" s="151" t="str">
        <f t="shared" si="10"/>
        <v/>
      </c>
      <c r="CE35" s="111" t="str">
        <f t="shared" si="27"/>
        <v/>
      </c>
      <c r="CF35" s="118" t="str">
        <f t="shared" si="12"/>
        <v/>
      </c>
      <c r="CG35" s="119" t="str">
        <f t="shared" si="13"/>
        <v/>
      </c>
      <c r="CH35" s="119" t="str">
        <f t="shared" si="14"/>
        <v/>
      </c>
      <c r="CI35" s="119" t="str">
        <f t="shared" si="15"/>
        <v/>
      </c>
      <c r="CJ35" s="110" t="str">
        <f t="shared" si="16"/>
        <v/>
      </c>
      <c r="CK35" s="110" t="str">
        <f t="shared" si="17"/>
        <v/>
      </c>
      <c r="CL35" s="119" t="str">
        <f t="shared" si="18"/>
        <v/>
      </c>
      <c r="CM35" s="119" t="str">
        <f t="shared" si="19"/>
        <v/>
      </c>
      <c r="CN35" s="120" t="str">
        <f t="shared" si="20"/>
        <v/>
      </c>
      <c r="CO35" s="119" t="str">
        <f t="shared" si="21"/>
        <v/>
      </c>
      <c r="CP35" s="120" t="str">
        <f t="shared" si="22"/>
        <v/>
      </c>
      <c r="CQ35" s="111" t="str">
        <f t="shared" si="26"/>
        <v/>
      </c>
      <c r="CR35" s="494" t="str">
        <f t="shared" si="24"/>
        <v/>
      </c>
      <c r="CS35" s="148">
        <f t="shared" si="25"/>
        <v>0</v>
      </c>
      <c r="CT35" s="21">
        <f>IF('2.ชื่อนักเรียน'!AP37="มส","มส",IF('2.ชื่อนักเรียน'!AP37="ย้าย","ย้าย",IF('2.ชื่อนักเรียน'!AP37="ร","ร",IF(CS35="","",RANK(CS35,$CS$9:$CS$53,0)))))</f>
        <v>1</v>
      </c>
    </row>
    <row r="36" spans="1:98" s="29" customFormat="1" ht="18.75" customHeight="1" x14ac:dyDescent="0.25">
      <c r="A36" s="234">
        <v>28</v>
      </c>
      <c r="B36" s="512" t="str">
        <f>IF(IDstu28="","",IDstu28)</f>
        <v/>
      </c>
      <c r="C36" s="770" t="str">
        <f>IF(Name28="","",Name28)</f>
        <v/>
      </c>
      <c r="D36" s="707"/>
      <c r="E36" s="707"/>
      <c r="F36" s="707"/>
      <c r="G36" s="767" t="str">
        <f>IF(Surname28="","",Surname28)</f>
        <v/>
      </c>
      <c r="H36" s="767"/>
      <c r="I36" s="767"/>
      <c r="J36" s="767"/>
      <c r="K36" s="234" t="str">
        <f>IF(VLOOKUP($B36,'6.คีย์ปลายภาค'!$C$6:$EI$50,8,FALSE)="","",VLOOKUP($B36,'6.คีย์ปลายภาค'!$C$6:$EI$50,8,FALSE))</f>
        <v/>
      </c>
      <c r="L36" s="229" t="str">
        <f>VLOOKUP($B36,'6.คีย์ปลายภาค'!$C$6:$EI$50,9,FALSE)</f>
        <v/>
      </c>
      <c r="M36" s="229" t="str">
        <f>IF(VLOOKUP($B36,'6.คีย์ปลายภาค'!$C$6:$EI$50,13,FALSE)="","",VLOOKUP($B36,'6.คีย์ปลายภาค'!$C$6:$EI$50,13,FALSE))</f>
        <v/>
      </c>
      <c r="N36" s="230" t="str">
        <f>VLOOKUP($B36,'6.คีย์ปลายภาค'!$C$6:$EI$50,14,FALSE)</f>
        <v/>
      </c>
      <c r="O36" s="230" t="str">
        <f>IF(VLOOKUP($B36,'6.คีย์ปลายภาค'!$C$6:$EI$50,18,FALSE)="","",VLOOKUP($B36,'6.คีย์ปลายภาค'!$C$6:$EI$50,18,FALSE))</f>
        <v/>
      </c>
      <c r="P36" s="230" t="str">
        <f>VLOOKUP($B36,'6.คีย์ปลายภาค'!$C$6:$EI$50,19,FALSE)</f>
        <v/>
      </c>
      <c r="Q36" s="230" t="str">
        <f>IF(VLOOKUP($B36,'6.คีย์ปลายภาค'!$C$6:$EI$50,23,FALSE)="","",VLOOKUP($B36,'6.คีย์ปลายภาค'!$C$6:$EI$50,23,FALSE))</f>
        <v/>
      </c>
      <c r="R36" s="230" t="str">
        <f>VLOOKUP($B36,'6.คีย์ปลายภาค'!$C$6:$EI$50,24,FALSE)</f>
        <v/>
      </c>
      <c r="S36" s="230" t="str">
        <f>IF(VLOOKUP($B36,'6.คีย์ปลายภาค'!$C$6:$EI$50,28,FALSE)="","",VLOOKUP($B36,'6.คีย์ปลายภาค'!$C$6:$EI$50,28,FALSE))</f>
        <v/>
      </c>
      <c r="T36" s="230" t="str">
        <f>VLOOKUP($B36,'6.คีย์ปลายภาค'!$C$6:$EI$50,29,FALSE)</f>
        <v/>
      </c>
      <c r="U36" s="230" t="str">
        <f>IF(VLOOKUP($B36,'6.คีย์ปลายภาค'!$C$6:$EI$50,33,FALSE)="","",VLOOKUP($B36,'6.คีย์ปลายภาค'!$C$6:$EI$50,33,FALSE))</f>
        <v/>
      </c>
      <c r="V36" s="230" t="str">
        <f>VLOOKUP($B36,'6.คีย์ปลายภาค'!$C$6:$EI$50,34,FALSE)</f>
        <v/>
      </c>
      <c r="W36" s="230" t="str">
        <f>IF(VLOOKUP($B36,'6.คีย์ปลายภาค'!$C$6:$EI$50,38,FALSE)="","",VLOOKUP($B36,'6.คีย์ปลายภาค'!$C$6:$EI$50,38,FALSE))</f>
        <v/>
      </c>
      <c r="X36" s="230" t="str">
        <f>VLOOKUP($B36,'6.คีย์ปลายภาค'!$C$6:$EI$50,39,FALSE)</f>
        <v/>
      </c>
      <c r="Y36" s="230" t="str">
        <f>IF(VLOOKUP($B36,'6.คีย์ปลายภาค'!$C$6:$EI$50,43,FALSE)="","",VLOOKUP($B36,'6.คีย์ปลายภาค'!$C$6:$EI$50,43,FALSE))</f>
        <v/>
      </c>
      <c r="Z36" s="230" t="str">
        <f>VLOOKUP($B36,'6.คีย์ปลายภาค'!$C$6:$EI$50,44,FALSE)</f>
        <v/>
      </c>
      <c r="AA36" s="230" t="str">
        <f>IF(VLOOKUP($B36,'6.คีย์ปลายภาค'!$C$6:$EI$50,48,FALSE)="","",VLOOKUP($B36,'6.คีย์ปลายภาค'!$C$6:$EI$50,48,FALSE))</f>
        <v/>
      </c>
      <c r="AB36" s="230" t="str">
        <f>VLOOKUP($B36,'6.คีย์ปลายภาค'!$C$6:$EI$50,49,FALSE)</f>
        <v/>
      </c>
      <c r="AC36" s="231" t="str">
        <f>IF(VLOOKUP($B36,'6.คีย์ปลายภาค'!$C$6:$EI$50,53,FALSE)="","",VLOOKUP($B36,'6.คีย์ปลายภาค'!$C$6:$EI$50,53,FALSE))</f>
        <v/>
      </c>
      <c r="AD36" s="231" t="str">
        <f>VLOOKUP($B36,'6.คีย์ปลายภาค'!$C$6:$EI$50,54,FALSE)</f>
        <v/>
      </c>
      <c r="AE36" s="231" t="str">
        <f>IF(VLOOKUP($B36,'6.คีย์ปลายภาค'!$C$6:$EI$50,58,FALSE)="","",VLOOKUP($B36,'6.คีย์ปลายภาค'!$C$6:$EI$50,58,FALSE))</f>
        <v/>
      </c>
      <c r="AF36" s="231" t="str">
        <f>VLOOKUP($B36,'6.คีย์ปลายภาค'!$C$6:$EI$50,59,FALSE)</f>
        <v/>
      </c>
      <c r="AG36" s="231" t="str">
        <f>IF(VLOOKUP($B36,'6.คีย์ปลายภาค'!$C$6:$EI$50,63,FALSE)="","",VLOOKUP($B36,'6.คีย์ปลายภาค'!$C$6:$EI$50,63,FALSE))</f>
        <v/>
      </c>
      <c r="AH36" s="232" t="str">
        <f>VLOOKUP($B36,'6.คีย์ปลายภาค'!$C$6:$EI$50,64,FALSE)</f>
        <v/>
      </c>
      <c r="AI36" s="31">
        <v>28</v>
      </c>
      <c r="AJ36" s="770" t="str">
        <f>IF(Name28="","",Name28)</f>
        <v/>
      </c>
      <c r="AK36" s="707"/>
      <c r="AL36" s="707"/>
      <c r="AM36" s="707"/>
      <c r="AN36" s="767" t="str">
        <f>IF(Surname28="","",Surname28)</f>
        <v/>
      </c>
      <c r="AO36" s="767"/>
      <c r="AP36" s="767"/>
      <c r="AQ36" s="767"/>
      <c r="AR36" s="234" t="str">
        <f>IF(VLOOKUP($B36,'6.คีย์ปลายภาค'!$C$6:$EI$50,68,FALSE)="","",VLOOKUP($B36,'6.คีย์ปลายภาค'!$C$6:$EI$50,68,FALSE))</f>
        <v/>
      </c>
      <c r="AS36" s="230" t="str">
        <f>VLOOKUP($B36,'6.คีย์ปลายภาค'!$C$6:$EI$50,69,FALSE)</f>
        <v/>
      </c>
      <c r="AT36" s="230" t="str">
        <f>IF(VLOOKUP($B36,'6.คีย์ปลายภาค'!$C$6:$EI$50,73,FALSE)="","",VLOOKUP($B36,'6.คีย์ปลายภาค'!$C$6:$EI$50,73,FALSE))</f>
        <v/>
      </c>
      <c r="AU36" s="230" t="str">
        <f>VLOOKUP($B36,'6.คีย์ปลายภาค'!$C$6:$EI$50,74,FALSE)</f>
        <v/>
      </c>
      <c r="AV36" s="230" t="str">
        <f>IF(VLOOKUP($B36,'6.คีย์ปลายภาค'!$C$6:$EI$50,78,FALSE)="","",VLOOKUP($B36,'6.คีย์ปลายภาค'!$C$6:$EI$50,78,FALSE))</f>
        <v/>
      </c>
      <c r="AW36" s="230" t="str">
        <f>VLOOKUP($B36,'6.คีย์ปลายภาค'!$C$6:$EI$50,79,FALSE)</f>
        <v/>
      </c>
      <c r="AX36" s="230" t="str">
        <f>IF(VLOOKUP($B36,'6.คีย์ปลายภาค'!$C$6:$EI$50,83,FALSE)="","",VLOOKUP($B36,'6.คีย์ปลายภาค'!$C$6:$EI$50,83,FALSE))</f>
        <v/>
      </c>
      <c r="AY36" s="230" t="str">
        <f>VLOOKUP($B36,'6.คีย์ปลายภาค'!$C$6:$EI$50,84,FALSE)</f>
        <v/>
      </c>
      <c r="AZ36" s="230" t="str">
        <f>IF(VLOOKUP($B36,'6.คีย์ปลายภาค'!$C$6:$EI$50,88,FALSE)="","",VLOOKUP($B36,'6.คีย์ปลายภาค'!$C$6:$EI$50,88,FALSE))</f>
        <v/>
      </c>
      <c r="BA36" s="230" t="str">
        <f>VLOOKUP($B36,'6.คีย์ปลายภาค'!$C$6:$EI$50,89,FALSE)</f>
        <v/>
      </c>
      <c r="BB36" s="230" t="str">
        <f>IF(VLOOKUP($B36,'6.คีย์ปลายภาค'!$C$6:$EI$50,93,FALSE)="","",VLOOKUP($B36,'6.คีย์ปลายภาค'!$C$6:$EI$50,93,FALSE))</f>
        <v/>
      </c>
      <c r="BC36" s="230" t="str">
        <f>VLOOKUP($B36,'6.คีย์ปลายภาค'!$C$6:$EI$50,94,FALSE)</f>
        <v/>
      </c>
      <c r="BD36" s="230" t="str">
        <f>IF(VLOOKUP($B36,'6.คีย์ปลายภาค'!$C$6:$EI$50,98,FALSE)="","",VLOOKUP($B36,'6.คีย์ปลายภาค'!$C$6:$EI$50,98,FALSE))</f>
        <v/>
      </c>
      <c r="BE36" s="230" t="str">
        <f>VLOOKUP($B36,'6.คีย์ปลายภาค'!$C$6:$EI$50,99,FALSE)</f>
        <v/>
      </c>
      <c r="BF36" s="230" t="str">
        <f>IF(VLOOKUP($B36,'6.คีย์ปลายภาค'!$C$6:$EI$50,103,FALSE)="","",VLOOKUP($B36,'6.คีย์ปลายภาค'!$C$6:$EI$50,103,FALSE))</f>
        <v/>
      </c>
      <c r="BG36" s="230" t="str">
        <f>VLOOKUP($B36,'6.คีย์ปลายภาค'!$C$6:$EI$50,104,FALSE)</f>
        <v/>
      </c>
      <c r="BH36" s="230" t="str">
        <f>IF(VLOOKUP($B36,'6.คีย์ปลายภาค'!$C$6:$EI$50,108,FALSE)="","",VLOOKUP($B36,'6.คีย์ปลายภาค'!$C$6:$EI$50,108,FALSE))</f>
        <v/>
      </c>
      <c r="BI36" s="230" t="str">
        <f>VLOOKUP($B36,'6.คีย์ปลายภาค'!$C$6:$EI$50,109,FALSE)</f>
        <v/>
      </c>
      <c r="BJ36" s="230" t="str">
        <f>IF(VLOOKUP($B36,'6.คีย์ปลายภาค'!$C$6:$EI$50,113,FALSE)="","",VLOOKUP($B36,'6.คีย์ปลายภาค'!$C$6:$EI$50,113,FALSE))</f>
        <v/>
      </c>
      <c r="BK36" s="230" t="str">
        <f>VLOOKUP($B36,'6.คีย์ปลายภาค'!$C$6:$EI$50,114,FALSE)</f>
        <v/>
      </c>
      <c r="BL36" s="230" t="str">
        <f>IF(VLOOKUP($B36,'6.คีย์ปลายภาค'!$C$6:$EI$50,118,FALSE)="","",VLOOKUP($B36,'6.คีย์ปลายภาค'!$C$6:$EI$50,118,FALSE))</f>
        <v/>
      </c>
      <c r="BM36" s="230" t="str">
        <f>VLOOKUP($B36,'6.คีย์ปลายภาค'!$C$6:$EI$50,119,FALSE)</f>
        <v/>
      </c>
      <c r="BN36" s="230" t="str">
        <f>IF(VLOOKUP($B36,'6.คีย์ปลายภาค'!$C$6:$EI$50,123,FALSE)="","",VLOOKUP($B36,'6.คีย์ปลายภาค'!$C$6:$EI$50,123,FALSE))</f>
        <v/>
      </c>
      <c r="BO36" s="230" t="str">
        <f>VLOOKUP($B36,'6.คีย์ปลายภาค'!$C$6:$EI$50,124,FALSE)</f>
        <v/>
      </c>
      <c r="BP36" s="230" t="str">
        <f>IF(VLOOKUP($B36,'6.คีย์ปลายภาค'!$C$6:$EI$50,128,FALSE)="","",VLOOKUP($B36,'6.คีย์ปลายภาค'!$C$6:$EI$50,128,FALSE))</f>
        <v/>
      </c>
      <c r="BQ36" s="232" t="str">
        <f>VLOOKUP($B36,'6.คีย์ปลายภาค'!$C$6:$EI$50,129,FALSE)</f>
        <v/>
      </c>
      <c r="BR36" s="550" t="str">
        <f>IF(L36="","",IF('2.ชื่อนักเรียน'!R38="มส","",IF('2.ชื่อนักเรียน'!R38="ย้าย","",IF('2.ชื่อนักเรียน'!R38="ร","",SUM(BT36:CR36)/13.5))))</f>
        <v/>
      </c>
      <c r="BS36" s="520" t="str">
        <f>IF('2.ชื่อนักเรียน'!R38="มส","มส",IF('2.ชื่อนักเรียน'!R38="ย้าย","ย้าย",IF('2.ชื่อนักเรียน'!R38="ร","ร",IF(BR36="","",RANK(BR36,$BR$9:$BR$53,0)))))</f>
        <v/>
      </c>
      <c r="BT36" s="118" t="str">
        <f t="shared" si="0"/>
        <v/>
      </c>
      <c r="BU36" s="119" t="str">
        <f t="shared" si="1"/>
        <v/>
      </c>
      <c r="BV36" s="119" t="str">
        <f t="shared" si="2"/>
        <v/>
      </c>
      <c r="BW36" s="110" t="str">
        <f t="shared" si="3"/>
        <v/>
      </c>
      <c r="BX36" s="110" t="str">
        <f t="shared" si="4"/>
        <v/>
      </c>
      <c r="BY36" s="110" t="str">
        <f t="shared" si="5"/>
        <v/>
      </c>
      <c r="BZ36" s="119" t="str">
        <f t="shared" si="6"/>
        <v/>
      </c>
      <c r="CA36" s="119" t="str">
        <f t="shared" si="7"/>
        <v/>
      </c>
      <c r="CB36" s="110" t="str">
        <f t="shared" si="8"/>
        <v/>
      </c>
      <c r="CC36" s="151" t="str">
        <f t="shared" si="9"/>
        <v/>
      </c>
      <c r="CD36" s="151" t="str">
        <f t="shared" si="10"/>
        <v/>
      </c>
      <c r="CE36" s="111" t="str">
        <f t="shared" si="27"/>
        <v/>
      </c>
      <c r="CF36" s="118" t="str">
        <f t="shared" si="12"/>
        <v/>
      </c>
      <c r="CG36" s="119" t="str">
        <f t="shared" si="13"/>
        <v/>
      </c>
      <c r="CH36" s="119" t="str">
        <f t="shared" si="14"/>
        <v/>
      </c>
      <c r="CI36" s="119" t="str">
        <f t="shared" si="15"/>
        <v/>
      </c>
      <c r="CJ36" s="110" t="str">
        <f t="shared" si="16"/>
        <v/>
      </c>
      <c r="CK36" s="110" t="str">
        <f t="shared" si="17"/>
        <v/>
      </c>
      <c r="CL36" s="119" t="str">
        <f t="shared" si="18"/>
        <v/>
      </c>
      <c r="CM36" s="119" t="str">
        <f t="shared" si="19"/>
        <v/>
      </c>
      <c r="CN36" s="120" t="str">
        <f t="shared" si="20"/>
        <v/>
      </c>
      <c r="CO36" s="119" t="str">
        <f t="shared" si="21"/>
        <v/>
      </c>
      <c r="CP36" s="120" t="str">
        <f t="shared" si="22"/>
        <v/>
      </c>
      <c r="CQ36" s="111" t="str">
        <f t="shared" si="26"/>
        <v/>
      </c>
      <c r="CR36" s="494" t="str">
        <f t="shared" si="24"/>
        <v/>
      </c>
      <c r="CS36" s="148">
        <f t="shared" si="25"/>
        <v>0</v>
      </c>
      <c r="CT36" s="21">
        <f>IF('2.ชื่อนักเรียน'!AP38="มส","มส",IF('2.ชื่อนักเรียน'!AP38="ย้าย","ย้าย",IF('2.ชื่อนักเรียน'!AP38="ร","ร",IF(CS36="","",RANK(CS36,$CS$9:$CS$53,0)))))</f>
        <v>1</v>
      </c>
    </row>
    <row r="37" spans="1:98" s="29" customFormat="1" ht="18.75" customHeight="1" x14ac:dyDescent="0.25">
      <c r="A37" s="234">
        <v>29</v>
      </c>
      <c r="B37" s="512" t="str">
        <f>IF(IDstu29="","",IDstu29)</f>
        <v/>
      </c>
      <c r="C37" s="770" t="str">
        <f>IF(Name29="","",Name29)</f>
        <v/>
      </c>
      <c r="D37" s="707"/>
      <c r="E37" s="707"/>
      <c r="F37" s="707"/>
      <c r="G37" s="767" t="str">
        <f>IF(Surname29="","",Surname29)</f>
        <v/>
      </c>
      <c r="H37" s="767"/>
      <c r="I37" s="767"/>
      <c r="J37" s="767"/>
      <c r="K37" s="234" t="str">
        <f>IF(VLOOKUP($B37,'6.คีย์ปลายภาค'!$C$6:$EI$50,8,FALSE)="","",VLOOKUP($B37,'6.คีย์ปลายภาค'!$C$6:$EI$50,8,FALSE))</f>
        <v/>
      </c>
      <c r="L37" s="229" t="str">
        <f>VLOOKUP($B37,'6.คีย์ปลายภาค'!$C$6:$EI$50,9,FALSE)</f>
        <v/>
      </c>
      <c r="M37" s="229" t="str">
        <f>IF(VLOOKUP($B37,'6.คีย์ปลายภาค'!$C$6:$EI$50,13,FALSE)="","",VLOOKUP($B37,'6.คีย์ปลายภาค'!$C$6:$EI$50,13,FALSE))</f>
        <v/>
      </c>
      <c r="N37" s="230" t="str">
        <f>VLOOKUP($B37,'6.คีย์ปลายภาค'!$C$6:$EI$50,14,FALSE)</f>
        <v/>
      </c>
      <c r="O37" s="230" t="str">
        <f>IF(VLOOKUP($B37,'6.คีย์ปลายภาค'!$C$6:$EI$50,18,FALSE)="","",VLOOKUP($B37,'6.คีย์ปลายภาค'!$C$6:$EI$50,18,FALSE))</f>
        <v/>
      </c>
      <c r="P37" s="230" t="str">
        <f>VLOOKUP($B37,'6.คีย์ปลายภาค'!$C$6:$EI$50,19,FALSE)</f>
        <v/>
      </c>
      <c r="Q37" s="230" t="str">
        <f>IF(VLOOKUP($B37,'6.คีย์ปลายภาค'!$C$6:$EI$50,23,FALSE)="","",VLOOKUP($B37,'6.คีย์ปลายภาค'!$C$6:$EI$50,23,FALSE))</f>
        <v/>
      </c>
      <c r="R37" s="230" t="str">
        <f>VLOOKUP($B37,'6.คีย์ปลายภาค'!$C$6:$EI$50,24,FALSE)</f>
        <v/>
      </c>
      <c r="S37" s="230" t="str">
        <f>IF(VLOOKUP($B37,'6.คีย์ปลายภาค'!$C$6:$EI$50,28,FALSE)="","",VLOOKUP($B37,'6.คีย์ปลายภาค'!$C$6:$EI$50,28,FALSE))</f>
        <v/>
      </c>
      <c r="T37" s="230" t="str">
        <f>VLOOKUP($B37,'6.คีย์ปลายภาค'!$C$6:$EI$50,29,FALSE)</f>
        <v/>
      </c>
      <c r="U37" s="230" t="str">
        <f>IF(VLOOKUP($B37,'6.คีย์ปลายภาค'!$C$6:$EI$50,33,FALSE)="","",VLOOKUP($B37,'6.คีย์ปลายภาค'!$C$6:$EI$50,33,FALSE))</f>
        <v/>
      </c>
      <c r="V37" s="230" t="str">
        <f>VLOOKUP($B37,'6.คีย์ปลายภาค'!$C$6:$EI$50,34,FALSE)</f>
        <v/>
      </c>
      <c r="W37" s="230" t="str">
        <f>IF(VLOOKUP($B37,'6.คีย์ปลายภาค'!$C$6:$EI$50,38,FALSE)="","",VLOOKUP($B37,'6.คีย์ปลายภาค'!$C$6:$EI$50,38,FALSE))</f>
        <v/>
      </c>
      <c r="X37" s="230" t="str">
        <f>VLOOKUP($B37,'6.คีย์ปลายภาค'!$C$6:$EI$50,39,FALSE)</f>
        <v/>
      </c>
      <c r="Y37" s="230" t="str">
        <f>IF(VLOOKUP($B37,'6.คีย์ปลายภาค'!$C$6:$EI$50,43,FALSE)="","",VLOOKUP($B37,'6.คีย์ปลายภาค'!$C$6:$EI$50,43,FALSE))</f>
        <v/>
      </c>
      <c r="Z37" s="230" t="str">
        <f>VLOOKUP($B37,'6.คีย์ปลายภาค'!$C$6:$EI$50,44,FALSE)</f>
        <v/>
      </c>
      <c r="AA37" s="230" t="str">
        <f>IF(VLOOKUP($B37,'6.คีย์ปลายภาค'!$C$6:$EI$50,48,FALSE)="","",VLOOKUP($B37,'6.คีย์ปลายภาค'!$C$6:$EI$50,48,FALSE))</f>
        <v/>
      </c>
      <c r="AB37" s="230" t="str">
        <f>VLOOKUP($B37,'6.คีย์ปลายภาค'!$C$6:$EI$50,49,FALSE)</f>
        <v/>
      </c>
      <c r="AC37" s="231" t="str">
        <f>IF(VLOOKUP($B37,'6.คีย์ปลายภาค'!$C$6:$EI$50,53,FALSE)="","",VLOOKUP($B37,'6.คีย์ปลายภาค'!$C$6:$EI$50,53,FALSE))</f>
        <v/>
      </c>
      <c r="AD37" s="231" t="str">
        <f>VLOOKUP($B37,'6.คีย์ปลายภาค'!$C$6:$EI$50,54,FALSE)</f>
        <v/>
      </c>
      <c r="AE37" s="231" t="str">
        <f>IF(VLOOKUP($B37,'6.คีย์ปลายภาค'!$C$6:$EI$50,58,FALSE)="","",VLOOKUP($B37,'6.คีย์ปลายภาค'!$C$6:$EI$50,58,FALSE))</f>
        <v/>
      </c>
      <c r="AF37" s="231" t="str">
        <f>VLOOKUP($B37,'6.คีย์ปลายภาค'!$C$6:$EI$50,59,FALSE)</f>
        <v/>
      </c>
      <c r="AG37" s="231" t="str">
        <f>IF(VLOOKUP($B37,'6.คีย์ปลายภาค'!$C$6:$EI$50,63,FALSE)="","",VLOOKUP($B37,'6.คีย์ปลายภาค'!$C$6:$EI$50,63,FALSE))</f>
        <v/>
      </c>
      <c r="AH37" s="232" t="str">
        <f>VLOOKUP($B37,'6.คีย์ปลายภาค'!$C$6:$EI$50,64,FALSE)</f>
        <v/>
      </c>
      <c r="AI37" s="31">
        <v>29</v>
      </c>
      <c r="AJ37" s="770" t="str">
        <f>IF(Name29="","",Name29)</f>
        <v/>
      </c>
      <c r="AK37" s="707"/>
      <c r="AL37" s="707"/>
      <c r="AM37" s="707"/>
      <c r="AN37" s="767" t="str">
        <f>IF(Surname29="","",Surname29)</f>
        <v/>
      </c>
      <c r="AO37" s="767"/>
      <c r="AP37" s="767"/>
      <c r="AQ37" s="767"/>
      <c r="AR37" s="234" t="str">
        <f>IF(VLOOKUP($B37,'6.คีย์ปลายภาค'!$C$6:$EI$50,68,FALSE)="","",VLOOKUP($B37,'6.คีย์ปลายภาค'!$C$6:$EI$50,68,FALSE))</f>
        <v/>
      </c>
      <c r="AS37" s="230" t="str">
        <f>VLOOKUP($B37,'6.คีย์ปลายภาค'!$C$6:$EI$50,69,FALSE)</f>
        <v/>
      </c>
      <c r="AT37" s="230" t="str">
        <f>IF(VLOOKUP($B37,'6.คีย์ปลายภาค'!$C$6:$EI$50,73,FALSE)="","",VLOOKUP($B37,'6.คีย์ปลายภาค'!$C$6:$EI$50,73,FALSE))</f>
        <v/>
      </c>
      <c r="AU37" s="230" t="str">
        <f>VLOOKUP($B37,'6.คีย์ปลายภาค'!$C$6:$EI$50,74,FALSE)</f>
        <v/>
      </c>
      <c r="AV37" s="230" t="str">
        <f>IF(VLOOKUP($B37,'6.คีย์ปลายภาค'!$C$6:$EI$50,78,FALSE)="","",VLOOKUP($B37,'6.คีย์ปลายภาค'!$C$6:$EI$50,78,FALSE))</f>
        <v/>
      </c>
      <c r="AW37" s="230" t="str">
        <f>VLOOKUP($B37,'6.คีย์ปลายภาค'!$C$6:$EI$50,79,FALSE)</f>
        <v/>
      </c>
      <c r="AX37" s="230" t="str">
        <f>IF(VLOOKUP($B37,'6.คีย์ปลายภาค'!$C$6:$EI$50,83,FALSE)="","",VLOOKUP($B37,'6.คีย์ปลายภาค'!$C$6:$EI$50,83,FALSE))</f>
        <v/>
      </c>
      <c r="AY37" s="230" t="str">
        <f>VLOOKUP($B37,'6.คีย์ปลายภาค'!$C$6:$EI$50,84,FALSE)</f>
        <v/>
      </c>
      <c r="AZ37" s="230" t="str">
        <f>IF(VLOOKUP($B37,'6.คีย์ปลายภาค'!$C$6:$EI$50,88,FALSE)="","",VLOOKUP($B37,'6.คีย์ปลายภาค'!$C$6:$EI$50,88,FALSE))</f>
        <v/>
      </c>
      <c r="BA37" s="230" t="str">
        <f>VLOOKUP($B37,'6.คีย์ปลายภาค'!$C$6:$EI$50,89,FALSE)</f>
        <v/>
      </c>
      <c r="BB37" s="230" t="str">
        <f>IF(VLOOKUP($B37,'6.คีย์ปลายภาค'!$C$6:$EI$50,93,FALSE)="","",VLOOKUP($B37,'6.คีย์ปลายภาค'!$C$6:$EI$50,93,FALSE))</f>
        <v/>
      </c>
      <c r="BC37" s="230" t="str">
        <f>VLOOKUP($B37,'6.คีย์ปลายภาค'!$C$6:$EI$50,94,FALSE)</f>
        <v/>
      </c>
      <c r="BD37" s="230" t="str">
        <f>IF(VLOOKUP($B37,'6.คีย์ปลายภาค'!$C$6:$EI$50,98,FALSE)="","",VLOOKUP($B37,'6.คีย์ปลายภาค'!$C$6:$EI$50,98,FALSE))</f>
        <v/>
      </c>
      <c r="BE37" s="230" t="str">
        <f>VLOOKUP($B37,'6.คีย์ปลายภาค'!$C$6:$EI$50,99,FALSE)</f>
        <v/>
      </c>
      <c r="BF37" s="230" t="str">
        <f>IF(VLOOKUP($B37,'6.คีย์ปลายภาค'!$C$6:$EI$50,103,FALSE)="","",VLOOKUP($B37,'6.คีย์ปลายภาค'!$C$6:$EI$50,103,FALSE))</f>
        <v/>
      </c>
      <c r="BG37" s="230" t="str">
        <f>VLOOKUP($B37,'6.คีย์ปลายภาค'!$C$6:$EI$50,104,FALSE)</f>
        <v/>
      </c>
      <c r="BH37" s="230" t="str">
        <f>IF(VLOOKUP($B37,'6.คีย์ปลายภาค'!$C$6:$EI$50,108,FALSE)="","",VLOOKUP($B37,'6.คีย์ปลายภาค'!$C$6:$EI$50,108,FALSE))</f>
        <v/>
      </c>
      <c r="BI37" s="230" t="str">
        <f>VLOOKUP($B37,'6.คีย์ปลายภาค'!$C$6:$EI$50,109,FALSE)</f>
        <v/>
      </c>
      <c r="BJ37" s="230" t="str">
        <f>IF(VLOOKUP($B37,'6.คีย์ปลายภาค'!$C$6:$EI$50,113,FALSE)="","",VLOOKUP($B37,'6.คีย์ปลายภาค'!$C$6:$EI$50,113,FALSE))</f>
        <v/>
      </c>
      <c r="BK37" s="230" t="str">
        <f>VLOOKUP($B37,'6.คีย์ปลายภาค'!$C$6:$EI$50,114,FALSE)</f>
        <v/>
      </c>
      <c r="BL37" s="230" t="str">
        <f>IF(VLOOKUP($B37,'6.คีย์ปลายภาค'!$C$6:$EI$50,118,FALSE)="","",VLOOKUP($B37,'6.คีย์ปลายภาค'!$C$6:$EI$50,118,FALSE))</f>
        <v/>
      </c>
      <c r="BM37" s="230" t="str">
        <f>VLOOKUP($B37,'6.คีย์ปลายภาค'!$C$6:$EI$50,119,FALSE)</f>
        <v/>
      </c>
      <c r="BN37" s="230" t="str">
        <f>IF(VLOOKUP($B37,'6.คีย์ปลายภาค'!$C$6:$EI$50,123,FALSE)="","",VLOOKUP($B37,'6.คีย์ปลายภาค'!$C$6:$EI$50,123,FALSE))</f>
        <v/>
      </c>
      <c r="BO37" s="230" t="str">
        <f>VLOOKUP($B37,'6.คีย์ปลายภาค'!$C$6:$EI$50,124,FALSE)</f>
        <v/>
      </c>
      <c r="BP37" s="230" t="str">
        <f>IF(VLOOKUP($B37,'6.คีย์ปลายภาค'!$C$6:$EI$50,128,FALSE)="","",VLOOKUP($B37,'6.คีย์ปลายภาค'!$C$6:$EI$50,128,FALSE))</f>
        <v/>
      </c>
      <c r="BQ37" s="232" t="str">
        <f>VLOOKUP($B37,'6.คีย์ปลายภาค'!$C$6:$EI$50,129,FALSE)</f>
        <v/>
      </c>
      <c r="BR37" s="550" t="str">
        <f>IF(L37="","",IF('2.ชื่อนักเรียน'!R39="มส","",IF('2.ชื่อนักเรียน'!R39="ย้าย","",IF('2.ชื่อนักเรียน'!R39="ร","",SUM(BT37:CR37)/13.5))))</f>
        <v/>
      </c>
      <c r="BS37" s="520" t="str">
        <f>IF('2.ชื่อนักเรียน'!R39="มส","มส",IF('2.ชื่อนักเรียน'!R39="ย้าย","ย้าย",IF('2.ชื่อนักเรียน'!R39="ร","ร",IF(BR37="","",RANK(BR37,$BR$9:$BR$53,0)))))</f>
        <v/>
      </c>
      <c r="BT37" s="118" t="str">
        <f t="shared" si="0"/>
        <v/>
      </c>
      <c r="BU37" s="119" t="str">
        <f t="shared" si="1"/>
        <v/>
      </c>
      <c r="BV37" s="119" t="str">
        <f t="shared" si="2"/>
        <v/>
      </c>
      <c r="BW37" s="110" t="str">
        <f t="shared" si="3"/>
        <v/>
      </c>
      <c r="BX37" s="119" t="str">
        <f t="shared" si="4"/>
        <v/>
      </c>
      <c r="BY37" s="119" t="str">
        <f t="shared" si="5"/>
        <v/>
      </c>
      <c r="BZ37" s="119" t="str">
        <f t="shared" si="6"/>
        <v/>
      </c>
      <c r="CA37" s="119" t="str">
        <f t="shared" si="7"/>
        <v/>
      </c>
      <c r="CB37" s="110" t="str">
        <f t="shared" si="8"/>
        <v/>
      </c>
      <c r="CC37" s="151" t="str">
        <f t="shared" si="9"/>
        <v/>
      </c>
      <c r="CD37" s="151" t="str">
        <f t="shared" si="10"/>
        <v/>
      </c>
      <c r="CE37" s="111" t="str">
        <f t="shared" si="27"/>
        <v/>
      </c>
      <c r="CF37" s="118" t="str">
        <f t="shared" si="12"/>
        <v/>
      </c>
      <c r="CG37" s="119" t="str">
        <f t="shared" si="13"/>
        <v/>
      </c>
      <c r="CH37" s="119" t="str">
        <f t="shared" si="14"/>
        <v/>
      </c>
      <c r="CI37" s="119" t="str">
        <f t="shared" si="15"/>
        <v/>
      </c>
      <c r="CJ37" s="110" t="str">
        <f t="shared" si="16"/>
        <v/>
      </c>
      <c r="CK37" s="110" t="str">
        <f t="shared" si="17"/>
        <v/>
      </c>
      <c r="CL37" s="119" t="str">
        <f t="shared" si="18"/>
        <v/>
      </c>
      <c r="CM37" s="119" t="str">
        <f t="shared" si="19"/>
        <v/>
      </c>
      <c r="CN37" s="120" t="str">
        <f t="shared" si="20"/>
        <v/>
      </c>
      <c r="CO37" s="119" t="str">
        <f t="shared" si="21"/>
        <v/>
      </c>
      <c r="CP37" s="120" t="str">
        <f t="shared" si="22"/>
        <v/>
      </c>
      <c r="CQ37" s="111" t="str">
        <f t="shared" si="26"/>
        <v/>
      </c>
      <c r="CR37" s="494" t="str">
        <f t="shared" si="24"/>
        <v/>
      </c>
      <c r="CS37" s="148">
        <f t="shared" si="25"/>
        <v>0</v>
      </c>
      <c r="CT37" s="21">
        <f>IF('2.ชื่อนักเรียน'!AP39="มส","มส",IF('2.ชื่อนักเรียน'!AP39="ย้าย","ย้าย",IF('2.ชื่อนักเรียน'!AP39="ร","ร",IF(CS37="","",RANK(CS37,$CS$9:$CS$53,0)))))</f>
        <v>1</v>
      </c>
    </row>
    <row r="38" spans="1:98" s="29" customFormat="1" ht="18.75" customHeight="1" x14ac:dyDescent="0.25">
      <c r="A38" s="234">
        <v>30</v>
      </c>
      <c r="B38" s="512" t="str">
        <f>IF(IDstu30="","",IDstu30)</f>
        <v/>
      </c>
      <c r="C38" s="770" t="str">
        <f>IF(Name30="","",Name30)</f>
        <v/>
      </c>
      <c r="D38" s="707"/>
      <c r="E38" s="707"/>
      <c r="F38" s="707"/>
      <c r="G38" s="767" t="str">
        <f>IF(Surname30="","",Surname30)</f>
        <v/>
      </c>
      <c r="H38" s="767"/>
      <c r="I38" s="767"/>
      <c r="J38" s="767"/>
      <c r="K38" s="234" t="str">
        <f>IF(VLOOKUP($B38,'6.คีย์ปลายภาค'!$C$6:$EI$50,8,FALSE)="","",VLOOKUP($B38,'6.คีย์ปลายภาค'!$C$6:$EI$50,8,FALSE))</f>
        <v/>
      </c>
      <c r="L38" s="229" t="str">
        <f>VLOOKUP($B38,'6.คีย์ปลายภาค'!$C$6:$EI$50,9,FALSE)</f>
        <v/>
      </c>
      <c r="M38" s="229" t="str">
        <f>IF(VLOOKUP($B38,'6.คีย์ปลายภาค'!$C$6:$EI$50,13,FALSE)="","",VLOOKUP($B38,'6.คีย์ปลายภาค'!$C$6:$EI$50,13,FALSE))</f>
        <v/>
      </c>
      <c r="N38" s="230" t="str">
        <f>VLOOKUP($B38,'6.คีย์ปลายภาค'!$C$6:$EI$50,14,FALSE)</f>
        <v/>
      </c>
      <c r="O38" s="230" t="str">
        <f>IF(VLOOKUP($B38,'6.คีย์ปลายภาค'!$C$6:$EI$50,18,FALSE)="","",VLOOKUP($B38,'6.คีย์ปลายภาค'!$C$6:$EI$50,18,FALSE))</f>
        <v/>
      </c>
      <c r="P38" s="230" t="str">
        <f>VLOOKUP($B38,'6.คีย์ปลายภาค'!$C$6:$EI$50,19,FALSE)</f>
        <v/>
      </c>
      <c r="Q38" s="230" t="str">
        <f>IF(VLOOKUP($B38,'6.คีย์ปลายภาค'!$C$6:$EI$50,23,FALSE)="","",VLOOKUP($B38,'6.คีย์ปลายภาค'!$C$6:$EI$50,23,FALSE))</f>
        <v/>
      </c>
      <c r="R38" s="230" t="str">
        <f>VLOOKUP($B38,'6.คีย์ปลายภาค'!$C$6:$EI$50,24,FALSE)</f>
        <v/>
      </c>
      <c r="S38" s="230" t="str">
        <f>IF(VLOOKUP($B38,'6.คีย์ปลายภาค'!$C$6:$EI$50,28,FALSE)="","",VLOOKUP($B38,'6.คีย์ปลายภาค'!$C$6:$EI$50,28,FALSE))</f>
        <v/>
      </c>
      <c r="T38" s="230" t="str">
        <f>VLOOKUP($B38,'6.คีย์ปลายภาค'!$C$6:$EI$50,29,FALSE)</f>
        <v/>
      </c>
      <c r="U38" s="230" t="str">
        <f>IF(VLOOKUP($B38,'6.คีย์ปลายภาค'!$C$6:$EI$50,33,FALSE)="","",VLOOKUP($B38,'6.คีย์ปลายภาค'!$C$6:$EI$50,33,FALSE))</f>
        <v/>
      </c>
      <c r="V38" s="230" t="str">
        <f>VLOOKUP($B38,'6.คีย์ปลายภาค'!$C$6:$EI$50,34,FALSE)</f>
        <v/>
      </c>
      <c r="W38" s="230" t="str">
        <f>IF(VLOOKUP($B38,'6.คีย์ปลายภาค'!$C$6:$EI$50,38,FALSE)="","",VLOOKUP($B38,'6.คีย์ปลายภาค'!$C$6:$EI$50,38,FALSE))</f>
        <v/>
      </c>
      <c r="X38" s="230" t="str">
        <f>VLOOKUP($B38,'6.คีย์ปลายภาค'!$C$6:$EI$50,39,FALSE)</f>
        <v/>
      </c>
      <c r="Y38" s="230" t="str">
        <f>IF(VLOOKUP($B38,'6.คีย์ปลายภาค'!$C$6:$EI$50,43,FALSE)="","",VLOOKUP($B38,'6.คีย์ปลายภาค'!$C$6:$EI$50,43,FALSE))</f>
        <v/>
      </c>
      <c r="Z38" s="230" t="str">
        <f>VLOOKUP($B38,'6.คีย์ปลายภาค'!$C$6:$EI$50,44,FALSE)</f>
        <v/>
      </c>
      <c r="AA38" s="230" t="str">
        <f>IF(VLOOKUP($B38,'6.คีย์ปลายภาค'!$C$6:$EI$50,48,FALSE)="","",VLOOKUP($B38,'6.คีย์ปลายภาค'!$C$6:$EI$50,48,FALSE))</f>
        <v/>
      </c>
      <c r="AB38" s="230" t="str">
        <f>VLOOKUP($B38,'6.คีย์ปลายภาค'!$C$6:$EI$50,49,FALSE)</f>
        <v/>
      </c>
      <c r="AC38" s="231" t="str">
        <f>IF(VLOOKUP($B38,'6.คีย์ปลายภาค'!$C$6:$EI$50,53,FALSE)="","",VLOOKUP($B38,'6.คีย์ปลายภาค'!$C$6:$EI$50,53,FALSE))</f>
        <v/>
      </c>
      <c r="AD38" s="231" t="str">
        <f>VLOOKUP($B38,'6.คีย์ปลายภาค'!$C$6:$EI$50,54,FALSE)</f>
        <v/>
      </c>
      <c r="AE38" s="231" t="str">
        <f>IF(VLOOKUP($B38,'6.คีย์ปลายภาค'!$C$6:$EI$50,58,FALSE)="","",VLOOKUP($B38,'6.คีย์ปลายภาค'!$C$6:$EI$50,58,FALSE))</f>
        <v/>
      </c>
      <c r="AF38" s="231" t="str">
        <f>VLOOKUP($B38,'6.คีย์ปลายภาค'!$C$6:$EI$50,59,FALSE)</f>
        <v/>
      </c>
      <c r="AG38" s="231" t="str">
        <f>IF(VLOOKUP($B38,'6.คีย์ปลายภาค'!$C$6:$EI$50,63,FALSE)="","",VLOOKUP($B38,'6.คีย์ปลายภาค'!$C$6:$EI$50,63,FALSE))</f>
        <v/>
      </c>
      <c r="AH38" s="232" t="str">
        <f>VLOOKUP($B38,'6.คีย์ปลายภาค'!$C$6:$EI$50,64,FALSE)</f>
        <v/>
      </c>
      <c r="AI38" s="31">
        <v>30</v>
      </c>
      <c r="AJ38" s="770" t="str">
        <f>IF(Name30="","",Name30)</f>
        <v/>
      </c>
      <c r="AK38" s="707"/>
      <c r="AL38" s="707"/>
      <c r="AM38" s="707"/>
      <c r="AN38" s="767" t="str">
        <f>IF(Surname30="","",Surname30)</f>
        <v/>
      </c>
      <c r="AO38" s="767"/>
      <c r="AP38" s="767"/>
      <c r="AQ38" s="767"/>
      <c r="AR38" s="234" t="str">
        <f>IF(VLOOKUP($B38,'6.คีย์ปลายภาค'!$C$6:$EI$50,68,FALSE)="","",VLOOKUP($B38,'6.คีย์ปลายภาค'!$C$6:$EI$50,68,FALSE))</f>
        <v/>
      </c>
      <c r="AS38" s="230" t="str">
        <f>VLOOKUP($B38,'6.คีย์ปลายภาค'!$C$6:$EI$50,69,FALSE)</f>
        <v/>
      </c>
      <c r="AT38" s="230" t="str">
        <f>IF(VLOOKUP($B38,'6.คีย์ปลายภาค'!$C$6:$EI$50,73,FALSE)="","",VLOOKUP($B38,'6.คีย์ปลายภาค'!$C$6:$EI$50,73,FALSE))</f>
        <v/>
      </c>
      <c r="AU38" s="230" t="str">
        <f>VLOOKUP($B38,'6.คีย์ปลายภาค'!$C$6:$EI$50,74,FALSE)</f>
        <v/>
      </c>
      <c r="AV38" s="230" t="str">
        <f>IF(VLOOKUP($B38,'6.คีย์ปลายภาค'!$C$6:$EI$50,78,FALSE)="","",VLOOKUP($B38,'6.คีย์ปลายภาค'!$C$6:$EI$50,78,FALSE))</f>
        <v/>
      </c>
      <c r="AW38" s="230" t="str">
        <f>VLOOKUP($B38,'6.คีย์ปลายภาค'!$C$6:$EI$50,79,FALSE)</f>
        <v/>
      </c>
      <c r="AX38" s="230" t="str">
        <f>IF(VLOOKUP($B38,'6.คีย์ปลายภาค'!$C$6:$EI$50,83,FALSE)="","",VLOOKUP($B38,'6.คีย์ปลายภาค'!$C$6:$EI$50,83,FALSE))</f>
        <v/>
      </c>
      <c r="AY38" s="230" t="str">
        <f>VLOOKUP($B38,'6.คีย์ปลายภาค'!$C$6:$EI$50,84,FALSE)</f>
        <v/>
      </c>
      <c r="AZ38" s="230" t="str">
        <f>IF(VLOOKUP($B38,'6.คีย์ปลายภาค'!$C$6:$EI$50,88,FALSE)="","",VLOOKUP($B38,'6.คีย์ปลายภาค'!$C$6:$EI$50,88,FALSE))</f>
        <v/>
      </c>
      <c r="BA38" s="230" t="str">
        <f>VLOOKUP($B38,'6.คีย์ปลายภาค'!$C$6:$EI$50,89,FALSE)</f>
        <v/>
      </c>
      <c r="BB38" s="230" t="str">
        <f>IF(VLOOKUP($B38,'6.คีย์ปลายภาค'!$C$6:$EI$50,93,FALSE)="","",VLOOKUP($B38,'6.คีย์ปลายภาค'!$C$6:$EI$50,93,FALSE))</f>
        <v/>
      </c>
      <c r="BC38" s="230" t="str">
        <f>VLOOKUP($B38,'6.คีย์ปลายภาค'!$C$6:$EI$50,94,FALSE)</f>
        <v/>
      </c>
      <c r="BD38" s="230" t="str">
        <f>IF(VLOOKUP($B38,'6.คีย์ปลายภาค'!$C$6:$EI$50,98,FALSE)="","",VLOOKUP($B38,'6.คีย์ปลายภาค'!$C$6:$EI$50,98,FALSE))</f>
        <v/>
      </c>
      <c r="BE38" s="230" t="str">
        <f>VLOOKUP($B38,'6.คีย์ปลายภาค'!$C$6:$EI$50,99,FALSE)</f>
        <v/>
      </c>
      <c r="BF38" s="230" t="str">
        <f>IF(VLOOKUP($B38,'6.คีย์ปลายภาค'!$C$6:$EI$50,103,FALSE)="","",VLOOKUP($B38,'6.คีย์ปลายภาค'!$C$6:$EI$50,103,FALSE))</f>
        <v/>
      </c>
      <c r="BG38" s="230" t="str">
        <f>VLOOKUP($B38,'6.คีย์ปลายภาค'!$C$6:$EI$50,104,FALSE)</f>
        <v/>
      </c>
      <c r="BH38" s="230" t="str">
        <f>IF(VLOOKUP($B38,'6.คีย์ปลายภาค'!$C$6:$EI$50,108,FALSE)="","",VLOOKUP($B38,'6.คีย์ปลายภาค'!$C$6:$EI$50,108,FALSE))</f>
        <v/>
      </c>
      <c r="BI38" s="230" t="str">
        <f>VLOOKUP($B38,'6.คีย์ปลายภาค'!$C$6:$EI$50,109,FALSE)</f>
        <v/>
      </c>
      <c r="BJ38" s="230" t="str">
        <f>IF(VLOOKUP($B38,'6.คีย์ปลายภาค'!$C$6:$EI$50,113,FALSE)="","",VLOOKUP($B38,'6.คีย์ปลายภาค'!$C$6:$EI$50,113,FALSE))</f>
        <v/>
      </c>
      <c r="BK38" s="230" t="str">
        <f>VLOOKUP($B38,'6.คีย์ปลายภาค'!$C$6:$EI$50,114,FALSE)</f>
        <v/>
      </c>
      <c r="BL38" s="230" t="str">
        <f>IF(VLOOKUP($B38,'6.คีย์ปลายภาค'!$C$6:$EI$50,118,FALSE)="","",VLOOKUP($B38,'6.คีย์ปลายภาค'!$C$6:$EI$50,118,FALSE))</f>
        <v/>
      </c>
      <c r="BM38" s="230" t="str">
        <f>VLOOKUP($B38,'6.คีย์ปลายภาค'!$C$6:$EI$50,119,FALSE)</f>
        <v/>
      </c>
      <c r="BN38" s="230" t="str">
        <f>IF(VLOOKUP($B38,'6.คีย์ปลายภาค'!$C$6:$EI$50,123,FALSE)="","",VLOOKUP($B38,'6.คีย์ปลายภาค'!$C$6:$EI$50,123,FALSE))</f>
        <v/>
      </c>
      <c r="BO38" s="230" t="str">
        <f>VLOOKUP($B38,'6.คีย์ปลายภาค'!$C$6:$EI$50,124,FALSE)</f>
        <v/>
      </c>
      <c r="BP38" s="230" t="str">
        <f>IF(VLOOKUP($B38,'6.คีย์ปลายภาค'!$C$6:$EI$50,128,FALSE)="","",VLOOKUP($B38,'6.คีย์ปลายภาค'!$C$6:$EI$50,128,FALSE))</f>
        <v/>
      </c>
      <c r="BQ38" s="232" t="str">
        <f>VLOOKUP($B38,'6.คีย์ปลายภาค'!$C$6:$EI$50,129,FALSE)</f>
        <v/>
      </c>
      <c r="BR38" s="550" t="str">
        <f>IF(L38="","",IF('2.ชื่อนักเรียน'!R40="มส","",IF('2.ชื่อนักเรียน'!R40="ย้าย","",IF('2.ชื่อนักเรียน'!R40="ร","",SUM(BT38:CR38)/13.5))))</f>
        <v/>
      </c>
      <c r="BS38" s="520" t="str">
        <f>IF('2.ชื่อนักเรียน'!R40="มส","มส",IF('2.ชื่อนักเรียน'!R40="ย้าย","ย้าย",IF('2.ชื่อนักเรียน'!R40="ร","ร",IF(BR38="","",RANK(BR38,$BR$9:$BR$53,0)))))</f>
        <v/>
      </c>
      <c r="BT38" s="118" t="str">
        <f t="shared" si="0"/>
        <v/>
      </c>
      <c r="BU38" s="119" t="str">
        <f t="shared" si="1"/>
        <v/>
      </c>
      <c r="BV38" s="119" t="str">
        <f t="shared" si="2"/>
        <v/>
      </c>
      <c r="BW38" s="110" t="str">
        <f t="shared" si="3"/>
        <v/>
      </c>
      <c r="BX38" s="119" t="str">
        <f t="shared" si="4"/>
        <v/>
      </c>
      <c r="BY38" s="119" t="str">
        <f t="shared" si="5"/>
        <v/>
      </c>
      <c r="BZ38" s="119" t="str">
        <f t="shared" si="6"/>
        <v/>
      </c>
      <c r="CA38" s="119" t="str">
        <f t="shared" si="7"/>
        <v/>
      </c>
      <c r="CB38" s="110" t="str">
        <f t="shared" si="8"/>
        <v/>
      </c>
      <c r="CC38" s="151" t="str">
        <f t="shared" si="9"/>
        <v/>
      </c>
      <c r="CD38" s="151" t="str">
        <f t="shared" si="10"/>
        <v/>
      </c>
      <c r="CE38" s="111" t="str">
        <f t="shared" si="27"/>
        <v/>
      </c>
      <c r="CF38" s="118" t="str">
        <f t="shared" si="12"/>
        <v/>
      </c>
      <c r="CG38" s="119" t="str">
        <f t="shared" si="13"/>
        <v/>
      </c>
      <c r="CH38" s="119" t="str">
        <f t="shared" si="14"/>
        <v/>
      </c>
      <c r="CI38" s="119" t="str">
        <f t="shared" si="15"/>
        <v/>
      </c>
      <c r="CJ38" s="110" t="str">
        <f t="shared" si="16"/>
        <v/>
      </c>
      <c r="CK38" s="110" t="str">
        <f t="shared" si="17"/>
        <v/>
      </c>
      <c r="CL38" s="119" t="str">
        <f t="shared" si="18"/>
        <v/>
      </c>
      <c r="CM38" s="119" t="str">
        <f t="shared" si="19"/>
        <v/>
      </c>
      <c r="CN38" s="120" t="str">
        <f t="shared" si="20"/>
        <v/>
      </c>
      <c r="CO38" s="119" t="str">
        <f t="shared" si="21"/>
        <v/>
      </c>
      <c r="CP38" s="120" t="str">
        <f t="shared" si="22"/>
        <v/>
      </c>
      <c r="CQ38" s="111" t="str">
        <f t="shared" si="26"/>
        <v/>
      </c>
      <c r="CR38" s="494" t="str">
        <f t="shared" si="24"/>
        <v/>
      </c>
      <c r="CS38" s="148">
        <f t="shared" si="25"/>
        <v>0</v>
      </c>
      <c r="CT38" s="21">
        <f>IF('2.ชื่อนักเรียน'!AP40="มส","มส",IF('2.ชื่อนักเรียน'!AP40="ย้าย","ย้าย",IF('2.ชื่อนักเรียน'!AP40="ร","ร",IF(CS38="","",RANK(CS38,$CS$9:$CS$53,0)))))</f>
        <v>1</v>
      </c>
    </row>
    <row r="39" spans="1:98" s="29" customFormat="1" ht="18.75" customHeight="1" x14ac:dyDescent="0.25">
      <c r="A39" s="234">
        <v>31</v>
      </c>
      <c r="B39" s="512" t="str">
        <f>IF(IDstu31="","",IDstu31)</f>
        <v/>
      </c>
      <c r="C39" s="770" t="str">
        <f>IF(Name31="","",Name31)</f>
        <v/>
      </c>
      <c r="D39" s="707"/>
      <c r="E39" s="707"/>
      <c r="F39" s="707"/>
      <c r="G39" s="767" t="str">
        <f>IF(Surname31="","",Surname31)</f>
        <v/>
      </c>
      <c r="H39" s="767"/>
      <c r="I39" s="767"/>
      <c r="J39" s="767"/>
      <c r="K39" s="234" t="str">
        <f>IF(VLOOKUP($B39,'6.คีย์ปลายภาค'!$C$6:$EI$50,8,FALSE)="","",VLOOKUP($B39,'6.คีย์ปลายภาค'!$C$6:$EI$50,8,FALSE))</f>
        <v/>
      </c>
      <c r="L39" s="229" t="str">
        <f>VLOOKUP($B39,'6.คีย์ปลายภาค'!$C$6:$EI$50,9,FALSE)</f>
        <v/>
      </c>
      <c r="M39" s="229" t="str">
        <f>IF(VLOOKUP($B39,'6.คีย์ปลายภาค'!$C$6:$EI$50,13,FALSE)="","",VLOOKUP($B39,'6.คีย์ปลายภาค'!$C$6:$EI$50,13,FALSE))</f>
        <v/>
      </c>
      <c r="N39" s="230" t="str">
        <f>VLOOKUP($B39,'6.คีย์ปลายภาค'!$C$6:$EI$50,14,FALSE)</f>
        <v/>
      </c>
      <c r="O39" s="230" t="str">
        <f>IF(VLOOKUP($B39,'6.คีย์ปลายภาค'!$C$6:$EI$50,18,FALSE)="","",VLOOKUP($B39,'6.คีย์ปลายภาค'!$C$6:$EI$50,18,FALSE))</f>
        <v/>
      </c>
      <c r="P39" s="230" t="str">
        <f>VLOOKUP($B39,'6.คีย์ปลายภาค'!$C$6:$EI$50,19,FALSE)</f>
        <v/>
      </c>
      <c r="Q39" s="230" t="str">
        <f>IF(VLOOKUP($B39,'6.คีย์ปลายภาค'!$C$6:$EI$50,23,FALSE)="","",VLOOKUP($B39,'6.คีย์ปลายภาค'!$C$6:$EI$50,23,FALSE))</f>
        <v/>
      </c>
      <c r="R39" s="230" t="str">
        <f>VLOOKUP($B39,'6.คีย์ปลายภาค'!$C$6:$EI$50,24,FALSE)</f>
        <v/>
      </c>
      <c r="S39" s="230" t="str">
        <f>IF(VLOOKUP($B39,'6.คีย์ปลายภาค'!$C$6:$EI$50,28,FALSE)="","",VLOOKUP($B39,'6.คีย์ปลายภาค'!$C$6:$EI$50,28,FALSE))</f>
        <v/>
      </c>
      <c r="T39" s="230" t="str">
        <f>VLOOKUP($B39,'6.คีย์ปลายภาค'!$C$6:$EI$50,29,FALSE)</f>
        <v/>
      </c>
      <c r="U39" s="230" t="str">
        <f>IF(VLOOKUP($B39,'6.คีย์ปลายภาค'!$C$6:$EI$50,33,FALSE)="","",VLOOKUP($B39,'6.คีย์ปลายภาค'!$C$6:$EI$50,33,FALSE))</f>
        <v/>
      </c>
      <c r="V39" s="230" t="str">
        <f>VLOOKUP($B39,'6.คีย์ปลายภาค'!$C$6:$EI$50,34,FALSE)</f>
        <v/>
      </c>
      <c r="W39" s="230" t="str">
        <f>IF(VLOOKUP($B39,'6.คีย์ปลายภาค'!$C$6:$EI$50,38,FALSE)="","",VLOOKUP($B39,'6.คีย์ปลายภาค'!$C$6:$EI$50,38,FALSE))</f>
        <v/>
      </c>
      <c r="X39" s="230" t="str">
        <f>VLOOKUP($B39,'6.คีย์ปลายภาค'!$C$6:$EI$50,39,FALSE)</f>
        <v/>
      </c>
      <c r="Y39" s="230" t="str">
        <f>IF(VLOOKUP($B39,'6.คีย์ปลายภาค'!$C$6:$EI$50,43,FALSE)="","",VLOOKUP($B39,'6.คีย์ปลายภาค'!$C$6:$EI$50,43,FALSE))</f>
        <v/>
      </c>
      <c r="Z39" s="230" t="str">
        <f>VLOOKUP($B39,'6.คีย์ปลายภาค'!$C$6:$EI$50,44,FALSE)</f>
        <v/>
      </c>
      <c r="AA39" s="230" t="str">
        <f>IF(VLOOKUP($B39,'6.คีย์ปลายภาค'!$C$6:$EI$50,48,FALSE)="","",VLOOKUP($B39,'6.คีย์ปลายภาค'!$C$6:$EI$50,48,FALSE))</f>
        <v/>
      </c>
      <c r="AB39" s="230" t="str">
        <f>VLOOKUP($B39,'6.คีย์ปลายภาค'!$C$6:$EI$50,49,FALSE)</f>
        <v/>
      </c>
      <c r="AC39" s="231" t="str">
        <f>IF(VLOOKUP($B39,'6.คีย์ปลายภาค'!$C$6:$EI$50,53,FALSE)="","",VLOOKUP($B39,'6.คีย์ปลายภาค'!$C$6:$EI$50,53,FALSE))</f>
        <v/>
      </c>
      <c r="AD39" s="231" t="str">
        <f>VLOOKUP($B39,'6.คีย์ปลายภาค'!$C$6:$EI$50,54,FALSE)</f>
        <v/>
      </c>
      <c r="AE39" s="231" t="str">
        <f>IF(VLOOKUP($B39,'6.คีย์ปลายภาค'!$C$6:$EI$50,58,FALSE)="","",VLOOKUP($B39,'6.คีย์ปลายภาค'!$C$6:$EI$50,58,FALSE))</f>
        <v/>
      </c>
      <c r="AF39" s="231" t="str">
        <f>VLOOKUP($B39,'6.คีย์ปลายภาค'!$C$6:$EI$50,59,FALSE)</f>
        <v/>
      </c>
      <c r="AG39" s="231" t="str">
        <f>IF(VLOOKUP($B39,'6.คีย์ปลายภาค'!$C$6:$EI$50,63,FALSE)="","",VLOOKUP($B39,'6.คีย์ปลายภาค'!$C$6:$EI$50,63,FALSE))</f>
        <v/>
      </c>
      <c r="AH39" s="232" t="str">
        <f>VLOOKUP($B39,'6.คีย์ปลายภาค'!$C$6:$EI$50,64,FALSE)</f>
        <v/>
      </c>
      <c r="AI39" s="31">
        <v>31</v>
      </c>
      <c r="AJ39" s="770" t="str">
        <f>IF(Name31="","",Name31)</f>
        <v/>
      </c>
      <c r="AK39" s="707"/>
      <c r="AL39" s="707"/>
      <c r="AM39" s="707"/>
      <c r="AN39" s="767" t="str">
        <f>IF(Surname31="","",Surname31)</f>
        <v/>
      </c>
      <c r="AO39" s="767"/>
      <c r="AP39" s="767"/>
      <c r="AQ39" s="767"/>
      <c r="AR39" s="234" t="str">
        <f>IF(VLOOKUP($B39,'6.คีย์ปลายภาค'!$C$6:$EI$50,68,FALSE)="","",VLOOKUP($B39,'6.คีย์ปลายภาค'!$C$6:$EI$50,68,FALSE))</f>
        <v/>
      </c>
      <c r="AS39" s="230" t="str">
        <f>VLOOKUP($B39,'6.คีย์ปลายภาค'!$C$6:$EI$50,69,FALSE)</f>
        <v/>
      </c>
      <c r="AT39" s="230" t="str">
        <f>IF(VLOOKUP($B39,'6.คีย์ปลายภาค'!$C$6:$EI$50,73,FALSE)="","",VLOOKUP($B39,'6.คีย์ปลายภาค'!$C$6:$EI$50,73,FALSE))</f>
        <v/>
      </c>
      <c r="AU39" s="230" t="str">
        <f>VLOOKUP($B39,'6.คีย์ปลายภาค'!$C$6:$EI$50,74,FALSE)</f>
        <v/>
      </c>
      <c r="AV39" s="230" t="str">
        <f>IF(VLOOKUP($B39,'6.คีย์ปลายภาค'!$C$6:$EI$50,78,FALSE)="","",VLOOKUP($B39,'6.คีย์ปลายภาค'!$C$6:$EI$50,78,FALSE))</f>
        <v/>
      </c>
      <c r="AW39" s="230" t="str">
        <f>VLOOKUP($B39,'6.คีย์ปลายภาค'!$C$6:$EI$50,79,FALSE)</f>
        <v/>
      </c>
      <c r="AX39" s="230" t="str">
        <f>IF(VLOOKUP($B39,'6.คีย์ปลายภาค'!$C$6:$EI$50,83,FALSE)="","",VLOOKUP($B39,'6.คีย์ปลายภาค'!$C$6:$EI$50,83,FALSE))</f>
        <v/>
      </c>
      <c r="AY39" s="230" t="str">
        <f>VLOOKUP($B39,'6.คีย์ปลายภาค'!$C$6:$EI$50,84,FALSE)</f>
        <v/>
      </c>
      <c r="AZ39" s="230" t="str">
        <f>IF(VLOOKUP($B39,'6.คีย์ปลายภาค'!$C$6:$EI$50,88,FALSE)="","",VLOOKUP($B39,'6.คีย์ปลายภาค'!$C$6:$EI$50,88,FALSE))</f>
        <v/>
      </c>
      <c r="BA39" s="230" t="str">
        <f>VLOOKUP($B39,'6.คีย์ปลายภาค'!$C$6:$EI$50,89,FALSE)</f>
        <v/>
      </c>
      <c r="BB39" s="230" t="str">
        <f>IF(VLOOKUP($B39,'6.คีย์ปลายภาค'!$C$6:$EI$50,93,FALSE)="","",VLOOKUP($B39,'6.คีย์ปลายภาค'!$C$6:$EI$50,93,FALSE))</f>
        <v/>
      </c>
      <c r="BC39" s="230" t="str">
        <f>VLOOKUP($B39,'6.คีย์ปลายภาค'!$C$6:$EI$50,94,FALSE)</f>
        <v/>
      </c>
      <c r="BD39" s="230" t="str">
        <f>IF(VLOOKUP($B39,'6.คีย์ปลายภาค'!$C$6:$EI$50,98,FALSE)="","",VLOOKUP($B39,'6.คีย์ปลายภาค'!$C$6:$EI$50,98,FALSE))</f>
        <v/>
      </c>
      <c r="BE39" s="230" t="str">
        <f>VLOOKUP($B39,'6.คีย์ปลายภาค'!$C$6:$EI$50,99,FALSE)</f>
        <v/>
      </c>
      <c r="BF39" s="230" t="str">
        <f>IF(VLOOKUP($B39,'6.คีย์ปลายภาค'!$C$6:$EI$50,103,FALSE)="","",VLOOKUP($B39,'6.คีย์ปลายภาค'!$C$6:$EI$50,103,FALSE))</f>
        <v/>
      </c>
      <c r="BG39" s="230" t="str">
        <f>VLOOKUP($B39,'6.คีย์ปลายภาค'!$C$6:$EI$50,104,FALSE)</f>
        <v/>
      </c>
      <c r="BH39" s="230" t="str">
        <f>IF(VLOOKUP($B39,'6.คีย์ปลายภาค'!$C$6:$EI$50,108,FALSE)="","",VLOOKUP($B39,'6.คีย์ปลายภาค'!$C$6:$EI$50,108,FALSE))</f>
        <v/>
      </c>
      <c r="BI39" s="230" t="str">
        <f>VLOOKUP($B39,'6.คีย์ปลายภาค'!$C$6:$EI$50,109,FALSE)</f>
        <v/>
      </c>
      <c r="BJ39" s="230" t="str">
        <f>IF(VLOOKUP($B39,'6.คีย์ปลายภาค'!$C$6:$EI$50,113,FALSE)="","",VLOOKUP($B39,'6.คีย์ปลายภาค'!$C$6:$EI$50,113,FALSE))</f>
        <v/>
      </c>
      <c r="BK39" s="230" t="str">
        <f>VLOOKUP($B39,'6.คีย์ปลายภาค'!$C$6:$EI$50,114,FALSE)</f>
        <v/>
      </c>
      <c r="BL39" s="230" t="str">
        <f>IF(VLOOKUP($B39,'6.คีย์ปลายภาค'!$C$6:$EI$50,118,FALSE)="","",VLOOKUP($B39,'6.คีย์ปลายภาค'!$C$6:$EI$50,118,FALSE))</f>
        <v/>
      </c>
      <c r="BM39" s="230" t="str">
        <f>VLOOKUP($B39,'6.คีย์ปลายภาค'!$C$6:$EI$50,119,FALSE)</f>
        <v/>
      </c>
      <c r="BN39" s="230" t="str">
        <f>IF(VLOOKUP($B39,'6.คีย์ปลายภาค'!$C$6:$EI$50,123,FALSE)="","",VLOOKUP($B39,'6.คีย์ปลายภาค'!$C$6:$EI$50,123,FALSE))</f>
        <v/>
      </c>
      <c r="BO39" s="230" t="str">
        <f>VLOOKUP($B39,'6.คีย์ปลายภาค'!$C$6:$EI$50,124,FALSE)</f>
        <v/>
      </c>
      <c r="BP39" s="230" t="str">
        <f>IF(VLOOKUP($B39,'6.คีย์ปลายภาค'!$C$6:$EI$50,128,FALSE)="","",VLOOKUP($B39,'6.คีย์ปลายภาค'!$C$6:$EI$50,128,FALSE))</f>
        <v/>
      </c>
      <c r="BQ39" s="232" t="str">
        <f>VLOOKUP($B39,'6.คีย์ปลายภาค'!$C$6:$EI$50,129,FALSE)</f>
        <v/>
      </c>
      <c r="BR39" s="550" t="str">
        <f>IF(L39="","",IF('2.ชื่อนักเรียน'!R41="มส","",IF('2.ชื่อนักเรียน'!R41="ย้าย","",IF('2.ชื่อนักเรียน'!R41="ร","",SUM(BT39:CR39)/13.5))))</f>
        <v/>
      </c>
      <c r="BS39" s="520" t="str">
        <f>IF('2.ชื่อนักเรียน'!R41="มส","มส",IF('2.ชื่อนักเรียน'!R41="ย้าย","ย้าย",IF('2.ชื่อนักเรียน'!R41="ร","ร",IF(BR39="","",RANK(BR39,$BR$9:$BR$53,0)))))</f>
        <v/>
      </c>
      <c r="BT39" s="118" t="str">
        <f t="shared" si="0"/>
        <v/>
      </c>
      <c r="BU39" s="119" t="str">
        <f t="shared" si="1"/>
        <v/>
      </c>
      <c r="BV39" s="119" t="str">
        <f t="shared" si="2"/>
        <v/>
      </c>
      <c r="BW39" s="110" t="str">
        <f t="shared" si="3"/>
        <v/>
      </c>
      <c r="BX39" s="119" t="str">
        <f t="shared" si="4"/>
        <v/>
      </c>
      <c r="BY39" s="119" t="str">
        <f t="shared" si="5"/>
        <v/>
      </c>
      <c r="BZ39" s="119" t="str">
        <f t="shared" si="6"/>
        <v/>
      </c>
      <c r="CA39" s="119" t="str">
        <f t="shared" si="7"/>
        <v/>
      </c>
      <c r="CB39" s="110" t="str">
        <f t="shared" si="8"/>
        <v/>
      </c>
      <c r="CC39" s="151" t="str">
        <f t="shared" si="9"/>
        <v/>
      </c>
      <c r="CD39" s="151" t="str">
        <f t="shared" si="10"/>
        <v/>
      </c>
      <c r="CE39" s="111" t="str">
        <f t="shared" si="27"/>
        <v/>
      </c>
      <c r="CF39" s="118" t="str">
        <f t="shared" si="12"/>
        <v/>
      </c>
      <c r="CG39" s="119" t="str">
        <f t="shared" si="13"/>
        <v/>
      </c>
      <c r="CH39" s="119" t="str">
        <f t="shared" si="14"/>
        <v/>
      </c>
      <c r="CI39" s="119" t="str">
        <f t="shared" si="15"/>
        <v/>
      </c>
      <c r="CJ39" s="110" t="str">
        <f t="shared" si="16"/>
        <v/>
      </c>
      <c r="CK39" s="110" t="str">
        <f t="shared" si="17"/>
        <v/>
      </c>
      <c r="CL39" s="119" t="str">
        <f t="shared" si="18"/>
        <v/>
      </c>
      <c r="CM39" s="119" t="str">
        <f t="shared" si="19"/>
        <v/>
      </c>
      <c r="CN39" s="120" t="str">
        <f t="shared" si="20"/>
        <v/>
      </c>
      <c r="CO39" s="119" t="str">
        <f t="shared" si="21"/>
        <v/>
      </c>
      <c r="CP39" s="120" t="str">
        <f t="shared" si="22"/>
        <v/>
      </c>
      <c r="CQ39" s="111" t="str">
        <f t="shared" si="26"/>
        <v/>
      </c>
      <c r="CR39" s="494" t="str">
        <f t="shared" si="24"/>
        <v/>
      </c>
      <c r="CS39" s="148">
        <f t="shared" si="25"/>
        <v>0</v>
      </c>
      <c r="CT39" s="21">
        <f>IF('2.ชื่อนักเรียน'!AP41="มส","มส",IF('2.ชื่อนักเรียน'!AP41="ย้าย","ย้าย",IF('2.ชื่อนักเรียน'!AP41="ร","ร",IF(CS39="","",RANK(CS39,$CS$9:$CS$53,0)))))</f>
        <v>1</v>
      </c>
    </row>
    <row r="40" spans="1:98" s="29" customFormat="1" ht="18.75" customHeight="1" x14ac:dyDescent="0.25">
      <c r="A40" s="234">
        <v>32</v>
      </c>
      <c r="B40" s="512" t="str">
        <f>IF(IDstu32="","",IDstu32)</f>
        <v/>
      </c>
      <c r="C40" s="770" t="str">
        <f>IF(Name32="","",Name32)</f>
        <v/>
      </c>
      <c r="D40" s="707"/>
      <c r="E40" s="707"/>
      <c r="F40" s="707"/>
      <c r="G40" s="707" t="str">
        <f>IF(Surname32="","",Surname32)</f>
        <v/>
      </c>
      <c r="H40" s="707"/>
      <c r="I40" s="707"/>
      <c r="J40" s="707"/>
      <c r="K40" s="234" t="str">
        <f>IF(VLOOKUP($B40,'6.คีย์ปลายภาค'!$C$6:$EI$50,8,FALSE)="","",VLOOKUP($B40,'6.คีย์ปลายภาค'!$C$6:$EI$50,8,FALSE))</f>
        <v/>
      </c>
      <c r="L40" s="229" t="str">
        <f>VLOOKUP($B40,'6.คีย์ปลายภาค'!$C$6:$EI$50,9,FALSE)</f>
        <v/>
      </c>
      <c r="M40" s="229" t="str">
        <f>IF(VLOOKUP($B40,'6.คีย์ปลายภาค'!$C$6:$EI$50,13,FALSE)="","",VLOOKUP($B40,'6.คีย์ปลายภาค'!$C$6:$EI$50,13,FALSE))</f>
        <v/>
      </c>
      <c r="N40" s="230" t="str">
        <f>VLOOKUP($B40,'6.คีย์ปลายภาค'!$C$6:$EI$50,14,FALSE)</f>
        <v/>
      </c>
      <c r="O40" s="230" t="str">
        <f>IF(VLOOKUP($B40,'6.คีย์ปลายภาค'!$C$6:$EI$50,18,FALSE)="","",VLOOKUP($B40,'6.คีย์ปลายภาค'!$C$6:$EI$50,18,FALSE))</f>
        <v/>
      </c>
      <c r="P40" s="230" t="str">
        <f>VLOOKUP($B40,'6.คีย์ปลายภาค'!$C$6:$EI$50,19,FALSE)</f>
        <v/>
      </c>
      <c r="Q40" s="230" t="str">
        <f>IF(VLOOKUP($B40,'6.คีย์ปลายภาค'!$C$6:$EI$50,23,FALSE)="","",VLOOKUP($B40,'6.คีย์ปลายภาค'!$C$6:$EI$50,23,FALSE))</f>
        <v/>
      </c>
      <c r="R40" s="230" t="str">
        <f>VLOOKUP($B40,'6.คีย์ปลายภาค'!$C$6:$EI$50,24,FALSE)</f>
        <v/>
      </c>
      <c r="S40" s="230" t="str">
        <f>IF(VLOOKUP($B40,'6.คีย์ปลายภาค'!$C$6:$EI$50,28,FALSE)="","",VLOOKUP($B40,'6.คีย์ปลายภาค'!$C$6:$EI$50,28,FALSE))</f>
        <v/>
      </c>
      <c r="T40" s="230" t="str">
        <f>VLOOKUP($B40,'6.คีย์ปลายภาค'!$C$6:$EI$50,29,FALSE)</f>
        <v/>
      </c>
      <c r="U40" s="230" t="str">
        <f>IF(VLOOKUP($B40,'6.คีย์ปลายภาค'!$C$6:$EI$50,33,FALSE)="","",VLOOKUP($B40,'6.คีย์ปลายภาค'!$C$6:$EI$50,33,FALSE))</f>
        <v/>
      </c>
      <c r="V40" s="230" t="str">
        <f>VLOOKUP($B40,'6.คีย์ปลายภาค'!$C$6:$EI$50,34,FALSE)</f>
        <v/>
      </c>
      <c r="W40" s="230" t="str">
        <f>IF(VLOOKUP($B40,'6.คีย์ปลายภาค'!$C$6:$EI$50,38,FALSE)="","",VLOOKUP($B40,'6.คีย์ปลายภาค'!$C$6:$EI$50,38,FALSE))</f>
        <v/>
      </c>
      <c r="X40" s="230" t="str">
        <f>VLOOKUP($B40,'6.คีย์ปลายภาค'!$C$6:$EI$50,39,FALSE)</f>
        <v/>
      </c>
      <c r="Y40" s="230" t="str">
        <f>IF(VLOOKUP($B40,'6.คีย์ปลายภาค'!$C$6:$EI$50,43,FALSE)="","",VLOOKUP($B40,'6.คีย์ปลายภาค'!$C$6:$EI$50,43,FALSE))</f>
        <v/>
      </c>
      <c r="Z40" s="230" t="str">
        <f>VLOOKUP($B40,'6.คีย์ปลายภาค'!$C$6:$EI$50,44,FALSE)</f>
        <v/>
      </c>
      <c r="AA40" s="230" t="str">
        <f>IF(VLOOKUP($B40,'6.คีย์ปลายภาค'!$C$6:$EI$50,48,FALSE)="","",VLOOKUP($B40,'6.คีย์ปลายภาค'!$C$6:$EI$50,48,FALSE))</f>
        <v/>
      </c>
      <c r="AB40" s="230" t="str">
        <f>VLOOKUP($B40,'6.คีย์ปลายภาค'!$C$6:$EI$50,49,FALSE)</f>
        <v/>
      </c>
      <c r="AC40" s="231" t="str">
        <f>IF(VLOOKUP($B40,'6.คีย์ปลายภาค'!$C$6:$EI$50,53,FALSE)="","",VLOOKUP($B40,'6.คีย์ปลายภาค'!$C$6:$EI$50,53,FALSE))</f>
        <v/>
      </c>
      <c r="AD40" s="231" t="str">
        <f>VLOOKUP($B40,'6.คีย์ปลายภาค'!$C$6:$EI$50,54,FALSE)</f>
        <v/>
      </c>
      <c r="AE40" s="231" t="str">
        <f>IF(VLOOKUP($B40,'6.คีย์ปลายภาค'!$C$6:$EI$50,58,FALSE)="","",VLOOKUP($B40,'6.คีย์ปลายภาค'!$C$6:$EI$50,58,FALSE))</f>
        <v/>
      </c>
      <c r="AF40" s="231" t="str">
        <f>VLOOKUP($B40,'6.คีย์ปลายภาค'!$C$6:$EI$50,59,FALSE)</f>
        <v/>
      </c>
      <c r="AG40" s="231" t="str">
        <f>IF(VLOOKUP($B40,'6.คีย์ปลายภาค'!$C$6:$EI$50,63,FALSE)="","",VLOOKUP($B40,'6.คีย์ปลายภาค'!$C$6:$EI$50,63,FALSE))</f>
        <v/>
      </c>
      <c r="AH40" s="232" t="str">
        <f>VLOOKUP($B40,'6.คีย์ปลายภาค'!$C$6:$EI$50,64,FALSE)</f>
        <v/>
      </c>
      <c r="AI40" s="31">
        <v>32</v>
      </c>
      <c r="AJ40" s="770" t="str">
        <f>IF(Name32="","",Name32)</f>
        <v/>
      </c>
      <c r="AK40" s="707"/>
      <c r="AL40" s="707"/>
      <c r="AM40" s="707"/>
      <c r="AN40" s="707" t="str">
        <f>IF(Surname32="","",Surname32)</f>
        <v/>
      </c>
      <c r="AO40" s="707"/>
      <c r="AP40" s="707"/>
      <c r="AQ40" s="707"/>
      <c r="AR40" s="234" t="str">
        <f>IF(VLOOKUP($B40,'6.คีย์ปลายภาค'!$C$6:$EI$50,68,FALSE)="","",VLOOKUP($B40,'6.คีย์ปลายภาค'!$C$6:$EI$50,68,FALSE))</f>
        <v/>
      </c>
      <c r="AS40" s="230" t="str">
        <f>VLOOKUP($B40,'6.คีย์ปลายภาค'!$C$6:$EI$50,69,FALSE)</f>
        <v/>
      </c>
      <c r="AT40" s="230" t="str">
        <f>IF(VLOOKUP($B40,'6.คีย์ปลายภาค'!$C$6:$EI$50,73,FALSE)="","",VLOOKUP($B40,'6.คีย์ปลายภาค'!$C$6:$EI$50,73,FALSE))</f>
        <v/>
      </c>
      <c r="AU40" s="230" t="str">
        <f>VLOOKUP($B40,'6.คีย์ปลายภาค'!$C$6:$EI$50,74,FALSE)</f>
        <v/>
      </c>
      <c r="AV40" s="230" t="str">
        <f>IF(VLOOKUP($B40,'6.คีย์ปลายภาค'!$C$6:$EI$50,78,FALSE)="","",VLOOKUP($B40,'6.คีย์ปลายภาค'!$C$6:$EI$50,78,FALSE))</f>
        <v/>
      </c>
      <c r="AW40" s="230" t="str">
        <f>VLOOKUP($B40,'6.คีย์ปลายภาค'!$C$6:$EI$50,79,FALSE)</f>
        <v/>
      </c>
      <c r="AX40" s="230" t="str">
        <f>IF(VLOOKUP($B40,'6.คีย์ปลายภาค'!$C$6:$EI$50,83,FALSE)="","",VLOOKUP($B40,'6.คีย์ปลายภาค'!$C$6:$EI$50,83,FALSE))</f>
        <v/>
      </c>
      <c r="AY40" s="230" t="str">
        <f>VLOOKUP($B40,'6.คีย์ปลายภาค'!$C$6:$EI$50,84,FALSE)</f>
        <v/>
      </c>
      <c r="AZ40" s="230" t="str">
        <f>IF(VLOOKUP($B40,'6.คีย์ปลายภาค'!$C$6:$EI$50,88,FALSE)="","",VLOOKUP($B40,'6.คีย์ปลายภาค'!$C$6:$EI$50,88,FALSE))</f>
        <v/>
      </c>
      <c r="BA40" s="230" t="str">
        <f>VLOOKUP($B40,'6.คีย์ปลายภาค'!$C$6:$EI$50,89,FALSE)</f>
        <v/>
      </c>
      <c r="BB40" s="230" t="str">
        <f>IF(VLOOKUP($B40,'6.คีย์ปลายภาค'!$C$6:$EI$50,93,FALSE)="","",VLOOKUP($B40,'6.คีย์ปลายภาค'!$C$6:$EI$50,93,FALSE))</f>
        <v/>
      </c>
      <c r="BC40" s="230" t="str">
        <f>VLOOKUP($B40,'6.คีย์ปลายภาค'!$C$6:$EI$50,94,FALSE)</f>
        <v/>
      </c>
      <c r="BD40" s="230" t="str">
        <f>IF(VLOOKUP($B40,'6.คีย์ปลายภาค'!$C$6:$EI$50,98,FALSE)="","",VLOOKUP($B40,'6.คีย์ปลายภาค'!$C$6:$EI$50,98,FALSE))</f>
        <v/>
      </c>
      <c r="BE40" s="230" t="str">
        <f>VLOOKUP($B40,'6.คีย์ปลายภาค'!$C$6:$EI$50,99,FALSE)</f>
        <v/>
      </c>
      <c r="BF40" s="230" t="str">
        <f>IF(VLOOKUP($B40,'6.คีย์ปลายภาค'!$C$6:$EI$50,103,FALSE)="","",VLOOKUP($B40,'6.คีย์ปลายภาค'!$C$6:$EI$50,103,FALSE))</f>
        <v/>
      </c>
      <c r="BG40" s="230" t="str">
        <f>VLOOKUP($B40,'6.คีย์ปลายภาค'!$C$6:$EI$50,104,FALSE)</f>
        <v/>
      </c>
      <c r="BH40" s="230" t="str">
        <f>IF(VLOOKUP($B40,'6.คีย์ปลายภาค'!$C$6:$EI$50,108,FALSE)="","",VLOOKUP($B40,'6.คีย์ปลายภาค'!$C$6:$EI$50,108,FALSE))</f>
        <v/>
      </c>
      <c r="BI40" s="230" t="str">
        <f>VLOOKUP($B40,'6.คีย์ปลายภาค'!$C$6:$EI$50,109,FALSE)</f>
        <v/>
      </c>
      <c r="BJ40" s="230" t="str">
        <f>IF(VLOOKUP($B40,'6.คีย์ปลายภาค'!$C$6:$EI$50,113,FALSE)="","",VLOOKUP($B40,'6.คีย์ปลายภาค'!$C$6:$EI$50,113,FALSE))</f>
        <v/>
      </c>
      <c r="BK40" s="230" t="str">
        <f>VLOOKUP($B40,'6.คีย์ปลายภาค'!$C$6:$EI$50,114,FALSE)</f>
        <v/>
      </c>
      <c r="BL40" s="230" t="str">
        <f>IF(VLOOKUP($B40,'6.คีย์ปลายภาค'!$C$6:$EI$50,118,FALSE)="","",VLOOKUP($B40,'6.คีย์ปลายภาค'!$C$6:$EI$50,118,FALSE))</f>
        <v/>
      </c>
      <c r="BM40" s="230" t="str">
        <f>VLOOKUP($B40,'6.คีย์ปลายภาค'!$C$6:$EI$50,119,FALSE)</f>
        <v/>
      </c>
      <c r="BN40" s="230" t="str">
        <f>IF(VLOOKUP($B40,'6.คีย์ปลายภาค'!$C$6:$EI$50,123,FALSE)="","",VLOOKUP($B40,'6.คีย์ปลายภาค'!$C$6:$EI$50,123,FALSE))</f>
        <v/>
      </c>
      <c r="BO40" s="230" t="str">
        <f>VLOOKUP($B40,'6.คีย์ปลายภาค'!$C$6:$EI$50,124,FALSE)</f>
        <v/>
      </c>
      <c r="BP40" s="230" t="str">
        <f>IF(VLOOKUP($B40,'6.คีย์ปลายภาค'!$C$6:$EI$50,128,FALSE)="","",VLOOKUP($B40,'6.คีย์ปลายภาค'!$C$6:$EI$50,128,FALSE))</f>
        <v/>
      </c>
      <c r="BQ40" s="232" t="str">
        <f>VLOOKUP($B40,'6.คีย์ปลายภาค'!$C$6:$EI$50,129,FALSE)</f>
        <v/>
      </c>
      <c r="BR40" s="550" t="str">
        <f>IF(L40="","",IF('2.ชื่อนักเรียน'!R42="มส","",IF('2.ชื่อนักเรียน'!R42="ย้าย","",IF('2.ชื่อนักเรียน'!R42="ร","",SUM(BT40:CR40)/13.5))))</f>
        <v/>
      </c>
      <c r="BS40" s="520" t="str">
        <f>IF('2.ชื่อนักเรียน'!R42="มส","มส",IF('2.ชื่อนักเรียน'!R42="ย้าย","ย้าย",IF('2.ชื่อนักเรียน'!R42="ร","ร",IF(BR40="","",RANK(BR40,$BR$9:$BR$53,0)))))</f>
        <v/>
      </c>
      <c r="BT40" s="118" t="str">
        <f t="shared" si="0"/>
        <v/>
      </c>
      <c r="BU40" s="110" t="str">
        <f t="shared" si="1"/>
        <v/>
      </c>
      <c r="BV40" s="119" t="str">
        <f t="shared" si="2"/>
        <v/>
      </c>
      <c r="BW40" s="110" t="str">
        <f t="shared" si="3"/>
        <v/>
      </c>
      <c r="BX40" s="110" t="str">
        <f t="shared" si="4"/>
        <v/>
      </c>
      <c r="BY40" s="110" t="str">
        <f t="shared" si="5"/>
        <v/>
      </c>
      <c r="BZ40" s="119" t="str">
        <f t="shared" si="6"/>
        <v/>
      </c>
      <c r="CA40" s="119" t="str">
        <f t="shared" si="7"/>
        <v/>
      </c>
      <c r="CB40" s="110" t="str">
        <f t="shared" si="8"/>
        <v/>
      </c>
      <c r="CC40" s="151" t="str">
        <f t="shared" si="9"/>
        <v/>
      </c>
      <c r="CD40" s="151" t="str">
        <f t="shared" si="10"/>
        <v/>
      </c>
      <c r="CE40" s="111" t="str">
        <f t="shared" si="27"/>
        <v/>
      </c>
      <c r="CF40" s="118" t="str">
        <f t="shared" si="12"/>
        <v/>
      </c>
      <c r="CG40" s="110" t="str">
        <f t="shared" si="13"/>
        <v/>
      </c>
      <c r="CH40" s="119" t="str">
        <f t="shared" si="14"/>
        <v/>
      </c>
      <c r="CI40" s="119" t="str">
        <f t="shared" si="15"/>
        <v/>
      </c>
      <c r="CJ40" s="110" t="str">
        <f t="shared" si="16"/>
        <v/>
      </c>
      <c r="CK40" s="110" t="str">
        <f t="shared" si="17"/>
        <v/>
      </c>
      <c r="CL40" s="110" t="str">
        <f t="shared" si="18"/>
        <v/>
      </c>
      <c r="CM40" s="119" t="str">
        <f t="shared" si="19"/>
        <v/>
      </c>
      <c r="CN40" s="120" t="str">
        <f t="shared" si="20"/>
        <v/>
      </c>
      <c r="CO40" s="119" t="str">
        <f t="shared" si="21"/>
        <v/>
      </c>
      <c r="CP40" s="120" t="str">
        <f t="shared" si="22"/>
        <v/>
      </c>
      <c r="CQ40" s="111" t="str">
        <f t="shared" si="26"/>
        <v/>
      </c>
      <c r="CR40" s="494" t="str">
        <f t="shared" si="24"/>
        <v/>
      </c>
      <c r="CS40" s="148">
        <f t="shared" si="25"/>
        <v>0</v>
      </c>
      <c r="CT40" s="21">
        <f>IF('2.ชื่อนักเรียน'!AP42="มส","มส",IF('2.ชื่อนักเรียน'!AP42="ย้าย","ย้าย",IF('2.ชื่อนักเรียน'!AP42="ร","ร",IF(CS40="","",RANK(CS40,$CS$9:$CS$53,0)))))</f>
        <v>1</v>
      </c>
    </row>
    <row r="41" spans="1:98" s="29" customFormat="1" ht="18.75" customHeight="1" x14ac:dyDescent="0.25">
      <c r="A41" s="234">
        <v>33</v>
      </c>
      <c r="B41" s="512" t="str">
        <f>IF(IDstu33="","",IDstu33)</f>
        <v/>
      </c>
      <c r="C41" s="770" t="str">
        <f>IF(Name33="","",Name33)</f>
        <v/>
      </c>
      <c r="D41" s="707"/>
      <c r="E41" s="707"/>
      <c r="F41" s="707"/>
      <c r="G41" s="707" t="str">
        <f>IF(Surname33="","",Surname33)</f>
        <v/>
      </c>
      <c r="H41" s="707"/>
      <c r="I41" s="707"/>
      <c r="J41" s="707"/>
      <c r="K41" s="234" t="str">
        <f>IF(VLOOKUP($B41,'6.คีย์ปลายภาค'!$C$6:$EI$50,8,FALSE)="","",VLOOKUP($B41,'6.คีย์ปลายภาค'!$C$6:$EI$50,8,FALSE))</f>
        <v/>
      </c>
      <c r="L41" s="229" t="str">
        <f>VLOOKUP($B41,'6.คีย์ปลายภาค'!$C$6:$EI$50,9,FALSE)</f>
        <v/>
      </c>
      <c r="M41" s="229" t="str">
        <f>IF(VLOOKUP($B41,'6.คีย์ปลายภาค'!$C$6:$EI$50,13,FALSE)="","",VLOOKUP($B41,'6.คีย์ปลายภาค'!$C$6:$EI$50,13,FALSE))</f>
        <v/>
      </c>
      <c r="N41" s="230" t="str">
        <f>VLOOKUP($B41,'6.คีย์ปลายภาค'!$C$6:$EI$50,14,FALSE)</f>
        <v/>
      </c>
      <c r="O41" s="230" t="str">
        <f>IF(VLOOKUP($B41,'6.คีย์ปลายภาค'!$C$6:$EI$50,18,FALSE)="","",VLOOKUP($B41,'6.คีย์ปลายภาค'!$C$6:$EI$50,18,FALSE))</f>
        <v/>
      </c>
      <c r="P41" s="230" t="str">
        <f>VLOOKUP($B41,'6.คีย์ปลายภาค'!$C$6:$EI$50,19,FALSE)</f>
        <v/>
      </c>
      <c r="Q41" s="230" t="str">
        <f>IF(VLOOKUP($B41,'6.คีย์ปลายภาค'!$C$6:$EI$50,23,FALSE)="","",VLOOKUP($B41,'6.คีย์ปลายภาค'!$C$6:$EI$50,23,FALSE))</f>
        <v/>
      </c>
      <c r="R41" s="230" t="str">
        <f>VLOOKUP($B41,'6.คีย์ปลายภาค'!$C$6:$EI$50,24,FALSE)</f>
        <v/>
      </c>
      <c r="S41" s="230" t="str">
        <f>IF(VLOOKUP($B41,'6.คีย์ปลายภาค'!$C$6:$EI$50,28,FALSE)="","",VLOOKUP($B41,'6.คีย์ปลายภาค'!$C$6:$EI$50,28,FALSE))</f>
        <v/>
      </c>
      <c r="T41" s="230" t="str">
        <f>VLOOKUP($B41,'6.คีย์ปลายภาค'!$C$6:$EI$50,29,FALSE)</f>
        <v/>
      </c>
      <c r="U41" s="230" t="str">
        <f>IF(VLOOKUP($B41,'6.คีย์ปลายภาค'!$C$6:$EI$50,33,FALSE)="","",VLOOKUP($B41,'6.คีย์ปลายภาค'!$C$6:$EI$50,33,FALSE))</f>
        <v/>
      </c>
      <c r="V41" s="230" t="str">
        <f>VLOOKUP($B41,'6.คีย์ปลายภาค'!$C$6:$EI$50,34,FALSE)</f>
        <v/>
      </c>
      <c r="W41" s="230" t="str">
        <f>IF(VLOOKUP($B41,'6.คีย์ปลายภาค'!$C$6:$EI$50,38,FALSE)="","",VLOOKUP($B41,'6.คีย์ปลายภาค'!$C$6:$EI$50,38,FALSE))</f>
        <v/>
      </c>
      <c r="X41" s="230" t="str">
        <f>VLOOKUP($B41,'6.คีย์ปลายภาค'!$C$6:$EI$50,39,FALSE)</f>
        <v/>
      </c>
      <c r="Y41" s="230" t="str">
        <f>IF(VLOOKUP($B41,'6.คีย์ปลายภาค'!$C$6:$EI$50,43,FALSE)="","",VLOOKUP($B41,'6.คีย์ปลายภาค'!$C$6:$EI$50,43,FALSE))</f>
        <v/>
      </c>
      <c r="Z41" s="230" t="str">
        <f>VLOOKUP($B41,'6.คีย์ปลายภาค'!$C$6:$EI$50,44,FALSE)</f>
        <v/>
      </c>
      <c r="AA41" s="230" t="str">
        <f>IF(VLOOKUP($B41,'6.คีย์ปลายภาค'!$C$6:$EI$50,48,FALSE)="","",VLOOKUP($B41,'6.คีย์ปลายภาค'!$C$6:$EI$50,48,FALSE))</f>
        <v/>
      </c>
      <c r="AB41" s="230" t="str">
        <f>VLOOKUP($B41,'6.คีย์ปลายภาค'!$C$6:$EI$50,49,FALSE)</f>
        <v/>
      </c>
      <c r="AC41" s="231" t="str">
        <f>IF(VLOOKUP($B41,'6.คีย์ปลายภาค'!$C$6:$EI$50,53,FALSE)="","",VLOOKUP($B41,'6.คีย์ปลายภาค'!$C$6:$EI$50,53,FALSE))</f>
        <v/>
      </c>
      <c r="AD41" s="231" t="str">
        <f>VLOOKUP($B41,'6.คีย์ปลายภาค'!$C$6:$EI$50,54,FALSE)</f>
        <v/>
      </c>
      <c r="AE41" s="231" t="str">
        <f>IF(VLOOKUP($B41,'6.คีย์ปลายภาค'!$C$6:$EI$50,58,FALSE)="","",VLOOKUP($B41,'6.คีย์ปลายภาค'!$C$6:$EI$50,58,FALSE))</f>
        <v/>
      </c>
      <c r="AF41" s="231" t="str">
        <f>VLOOKUP($B41,'6.คีย์ปลายภาค'!$C$6:$EI$50,59,FALSE)</f>
        <v/>
      </c>
      <c r="AG41" s="231" t="str">
        <f>IF(VLOOKUP($B41,'6.คีย์ปลายภาค'!$C$6:$EI$50,63,FALSE)="","",VLOOKUP($B41,'6.คีย์ปลายภาค'!$C$6:$EI$50,63,FALSE))</f>
        <v/>
      </c>
      <c r="AH41" s="232" t="str">
        <f>VLOOKUP($B41,'6.คีย์ปลายภาค'!$C$6:$EI$50,64,FALSE)</f>
        <v/>
      </c>
      <c r="AI41" s="31">
        <v>33</v>
      </c>
      <c r="AJ41" s="770" t="str">
        <f>IF(Name33="","",Name33)</f>
        <v/>
      </c>
      <c r="AK41" s="707"/>
      <c r="AL41" s="707"/>
      <c r="AM41" s="707"/>
      <c r="AN41" s="707" t="str">
        <f>IF(Surname33="","",Surname33)</f>
        <v/>
      </c>
      <c r="AO41" s="707"/>
      <c r="AP41" s="707"/>
      <c r="AQ41" s="707"/>
      <c r="AR41" s="234" t="str">
        <f>IF(VLOOKUP($B41,'6.คีย์ปลายภาค'!$C$6:$EI$50,68,FALSE)="","",VLOOKUP($B41,'6.คีย์ปลายภาค'!$C$6:$EI$50,68,FALSE))</f>
        <v/>
      </c>
      <c r="AS41" s="230" t="str">
        <f>VLOOKUP($B41,'6.คีย์ปลายภาค'!$C$6:$EI$50,69,FALSE)</f>
        <v/>
      </c>
      <c r="AT41" s="230" t="str">
        <f>IF(VLOOKUP($B41,'6.คีย์ปลายภาค'!$C$6:$EI$50,73,FALSE)="","",VLOOKUP($B41,'6.คีย์ปลายภาค'!$C$6:$EI$50,73,FALSE))</f>
        <v/>
      </c>
      <c r="AU41" s="230" t="str">
        <f>VLOOKUP($B41,'6.คีย์ปลายภาค'!$C$6:$EI$50,74,FALSE)</f>
        <v/>
      </c>
      <c r="AV41" s="230" t="str">
        <f>IF(VLOOKUP($B41,'6.คีย์ปลายภาค'!$C$6:$EI$50,78,FALSE)="","",VLOOKUP($B41,'6.คีย์ปลายภาค'!$C$6:$EI$50,78,FALSE))</f>
        <v/>
      </c>
      <c r="AW41" s="230" t="str">
        <f>VLOOKUP($B41,'6.คีย์ปลายภาค'!$C$6:$EI$50,79,FALSE)</f>
        <v/>
      </c>
      <c r="AX41" s="230" t="str">
        <f>IF(VLOOKUP($B41,'6.คีย์ปลายภาค'!$C$6:$EI$50,83,FALSE)="","",VLOOKUP($B41,'6.คีย์ปลายภาค'!$C$6:$EI$50,83,FALSE))</f>
        <v/>
      </c>
      <c r="AY41" s="230" t="str">
        <f>VLOOKUP($B41,'6.คีย์ปลายภาค'!$C$6:$EI$50,84,FALSE)</f>
        <v/>
      </c>
      <c r="AZ41" s="230" t="str">
        <f>IF(VLOOKUP($B41,'6.คีย์ปลายภาค'!$C$6:$EI$50,88,FALSE)="","",VLOOKUP($B41,'6.คีย์ปลายภาค'!$C$6:$EI$50,88,FALSE))</f>
        <v/>
      </c>
      <c r="BA41" s="230" t="str">
        <f>VLOOKUP($B41,'6.คีย์ปลายภาค'!$C$6:$EI$50,89,FALSE)</f>
        <v/>
      </c>
      <c r="BB41" s="230" t="str">
        <f>IF(VLOOKUP($B41,'6.คีย์ปลายภาค'!$C$6:$EI$50,93,FALSE)="","",VLOOKUP($B41,'6.คีย์ปลายภาค'!$C$6:$EI$50,93,FALSE))</f>
        <v/>
      </c>
      <c r="BC41" s="230" t="str">
        <f>VLOOKUP($B41,'6.คีย์ปลายภาค'!$C$6:$EI$50,94,FALSE)</f>
        <v/>
      </c>
      <c r="BD41" s="230" t="str">
        <f>IF(VLOOKUP($B41,'6.คีย์ปลายภาค'!$C$6:$EI$50,98,FALSE)="","",VLOOKUP($B41,'6.คีย์ปลายภาค'!$C$6:$EI$50,98,FALSE))</f>
        <v/>
      </c>
      <c r="BE41" s="230" t="str">
        <f>VLOOKUP($B41,'6.คีย์ปลายภาค'!$C$6:$EI$50,99,FALSE)</f>
        <v/>
      </c>
      <c r="BF41" s="230" t="str">
        <f>IF(VLOOKUP($B41,'6.คีย์ปลายภาค'!$C$6:$EI$50,103,FALSE)="","",VLOOKUP($B41,'6.คีย์ปลายภาค'!$C$6:$EI$50,103,FALSE))</f>
        <v/>
      </c>
      <c r="BG41" s="230" t="str">
        <f>VLOOKUP($B41,'6.คีย์ปลายภาค'!$C$6:$EI$50,104,FALSE)</f>
        <v/>
      </c>
      <c r="BH41" s="230" t="str">
        <f>IF(VLOOKUP($B41,'6.คีย์ปลายภาค'!$C$6:$EI$50,108,FALSE)="","",VLOOKUP($B41,'6.คีย์ปลายภาค'!$C$6:$EI$50,108,FALSE))</f>
        <v/>
      </c>
      <c r="BI41" s="230" t="str">
        <f>VLOOKUP($B41,'6.คีย์ปลายภาค'!$C$6:$EI$50,109,FALSE)</f>
        <v/>
      </c>
      <c r="BJ41" s="230" t="str">
        <f>IF(VLOOKUP($B41,'6.คีย์ปลายภาค'!$C$6:$EI$50,113,FALSE)="","",VLOOKUP($B41,'6.คีย์ปลายภาค'!$C$6:$EI$50,113,FALSE))</f>
        <v/>
      </c>
      <c r="BK41" s="230" t="str">
        <f>VLOOKUP($B41,'6.คีย์ปลายภาค'!$C$6:$EI$50,114,FALSE)</f>
        <v/>
      </c>
      <c r="BL41" s="230" t="str">
        <f>IF(VLOOKUP($B41,'6.คีย์ปลายภาค'!$C$6:$EI$50,118,FALSE)="","",VLOOKUP($B41,'6.คีย์ปลายภาค'!$C$6:$EI$50,118,FALSE))</f>
        <v/>
      </c>
      <c r="BM41" s="230" t="str">
        <f>VLOOKUP($B41,'6.คีย์ปลายภาค'!$C$6:$EI$50,119,FALSE)</f>
        <v/>
      </c>
      <c r="BN41" s="230" t="str">
        <f>IF(VLOOKUP($B41,'6.คีย์ปลายภาค'!$C$6:$EI$50,123,FALSE)="","",VLOOKUP($B41,'6.คีย์ปลายภาค'!$C$6:$EI$50,123,FALSE))</f>
        <v/>
      </c>
      <c r="BO41" s="230" t="str">
        <f>VLOOKUP($B41,'6.คีย์ปลายภาค'!$C$6:$EI$50,124,FALSE)</f>
        <v/>
      </c>
      <c r="BP41" s="230" t="str">
        <f>IF(VLOOKUP($B41,'6.คีย์ปลายภาค'!$C$6:$EI$50,128,FALSE)="","",VLOOKUP($B41,'6.คีย์ปลายภาค'!$C$6:$EI$50,128,FALSE))</f>
        <v/>
      </c>
      <c r="BQ41" s="232" t="str">
        <f>VLOOKUP($B41,'6.คีย์ปลายภาค'!$C$6:$EI$50,129,FALSE)</f>
        <v/>
      </c>
      <c r="BR41" s="550" t="str">
        <f>IF(L41="","",IF('2.ชื่อนักเรียน'!R43="มส","",IF('2.ชื่อนักเรียน'!R43="ย้าย","",IF('2.ชื่อนักเรียน'!R43="ร","",SUM(BT41:CR41)/13.5))))</f>
        <v/>
      </c>
      <c r="BS41" s="520" t="str">
        <f>IF('2.ชื่อนักเรียน'!R43="มส","มส",IF('2.ชื่อนักเรียน'!R43="ย้าย","ย้าย",IF('2.ชื่อนักเรียน'!R43="ร","ร",IF(BR41="","",RANK(BR41,$BR$9:$BR$53,0)))))</f>
        <v/>
      </c>
      <c r="BT41" s="118" t="str">
        <f t="shared" si="0"/>
        <v/>
      </c>
      <c r="BU41" s="119" t="str">
        <f t="shared" si="1"/>
        <v/>
      </c>
      <c r="BV41" s="119" t="str">
        <f t="shared" si="2"/>
        <v/>
      </c>
      <c r="BW41" s="110" t="str">
        <f t="shared" si="3"/>
        <v/>
      </c>
      <c r="BX41" s="110" t="str">
        <f t="shared" si="4"/>
        <v/>
      </c>
      <c r="BY41" s="110" t="str">
        <f t="shared" si="5"/>
        <v/>
      </c>
      <c r="BZ41" s="119" t="str">
        <f t="shared" si="6"/>
        <v/>
      </c>
      <c r="CA41" s="119" t="str">
        <f t="shared" si="7"/>
        <v/>
      </c>
      <c r="CB41" s="110" t="str">
        <f t="shared" si="8"/>
        <v/>
      </c>
      <c r="CC41" s="151" t="str">
        <f t="shared" si="9"/>
        <v/>
      </c>
      <c r="CD41" s="151" t="str">
        <f t="shared" si="10"/>
        <v/>
      </c>
      <c r="CE41" s="111" t="str">
        <f t="shared" si="27"/>
        <v/>
      </c>
      <c r="CF41" s="118" t="str">
        <f t="shared" si="12"/>
        <v/>
      </c>
      <c r="CG41" s="119" t="str">
        <f t="shared" si="13"/>
        <v/>
      </c>
      <c r="CH41" s="119" t="str">
        <f t="shared" si="14"/>
        <v/>
      </c>
      <c r="CI41" s="119" t="str">
        <f t="shared" si="15"/>
        <v/>
      </c>
      <c r="CJ41" s="110" t="str">
        <f t="shared" si="16"/>
        <v/>
      </c>
      <c r="CK41" s="110" t="str">
        <f t="shared" si="17"/>
        <v/>
      </c>
      <c r="CL41" s="119" t="str">
        <f t="shared" si="18"/>
        <v/>
      </c>
      <c r="CM41" s="119" t="str">
        <f t="shared" si="19"/>
        <v/>
      </c>
      <c r="CN41" s="120" t="str">
        <f t="shared" si="20"/>
        <v/>
      </c>
      <c r="CO41" s="119" t="str">
        <f t="shared" si="21"/>
        <v/>
      </c>
      <c r="CP41" s="120" t="str">
        <f t="shared" si="22"/>
        <v/>
      </c>
      <c r="CQ41" s="111" t="str">
        <f t="shared" si="26"/>
        <v/>
      </c>
      <c r="CR41" s="494" t="str">
        <f t="shared" si="24"/>
        <v/>
      </c>
      <c r="CS41" s="148">
        <f t="shared" si="25"/>
        <v>0</v>
      </c>
      <c r="CT41" s="21">
        <f>IF('2.ชื่อนักเรียน'!AP43="มส","มส",IF('2.ชื่อนักเรียน'!AP43="ย้าย","ย้าย",IF('2.ชื่อนักเรียน'!AP43="ร","ร",IF(CS41="","",RANK(CS41,$CS$9:$CS$53,0)))))</f>
        <v>1</v>
      </c>
    </row>
    <row r="42" spans="1:98" s="29" customFormat="1" ht="18.75" customHeight="1" x14ac:dyDescent="0.25">
      <c r="A42" s="234">
        <v>34</v>
      </c>
      <c r="B42" s="512" t="str">
        <f>IF(IDstu34="","",IDstu34)</f>
        <v/>
      </c>
      <c r="C42" s="770" t="str">
        <f>IF(Name34="","",Name34)</f>
        <v/>
      </c>
      <c r="D42" s="707"/>
      <c r="E42" s="707"/>
      <c r="F42" s="707"/>
      <c r="G42" s="707" t="str">
        <f>IF(Surname34="","",Surname34)</f>
        <v/>
      </c>
      <c r="H42" s="707"/>
      <c r="I42" s="707"/>
      <c r="J42" s="707"/>
      <c r="K42" s="234" t="str">
        <f>IF(VLOOKUP($B42,'6.คีย์ปลายภาค'!$C$6:$EI$50,8,FALSE)="","",VLOOKUP($B42,'6.คีย์ปลายภาค'!$C$6:$EI$50,8,FALSE))</f>
        <v/>
      </c>
      <c r="L42" s="229" t="str">
        <f>VLOOKUP($B42,'6.คีย์ปลายภาค'!$C$6:$EI$50,9,FALSE)</f>
        <v/>
      </c>
      <c r="M42" s="229" t="str">
        <f>IF(VLOOKUP($B42,'6.คีย์ปลายภาค'!$C$6:$EI$50,13,FALSE)="","",VLOOKUP($B42,'6.คีย์ปลายภาค'!$C$6:$EI$50,13,FALSE))</f>
        <v/>
      </c>
      <c r="N42" s="230" t="str">
        <f>VLOOKUP($B42,'6.คีย์ปลายภาค'!$C$6:$EI$50,14,FALSE)</f>
        <v/>
      </c>
      <c r="O42" s="230" t="str">
        <f>IF(VLOOKUP($B42,'6.คีย์ปลายภาค'!$C$6:$EI$50,18,FALSE)="","",VLOOKUP($B42,'6.คีย์ปลายภาค'!$C$6:$EI$50,18,FALSE))</f>
        <v/>
      </c>
      <c r="P42" s="230" t="str">
        <f>VLOOKUP($B42,'6.คีย์ปลายภาค'!$C$6:$EI$50,19,FALSE)</f>
        <v/>
      </c>
      <c r="Q42" s="230" t="str">
        <f>IF(VLOOKUP($B42,'6.คีย์ปลายภาค'!$C$6:$EI$50,23,FALSE)="","",VLOOKUP($B42,'6.คีย์ปลายภาค'!$C$6:$EI$50,23,FALSE))</f>
        <v/>
      </c>
      <c r="R42" s="230" t="str">
        <f>VLOOKUP($B42,'6.คีย์ปลายภาค'!$C$6:$EI$50,24,FALSE)</f>
        <v/>
      </c>
      <c r="S42" s="230" t="str">
        <f>IF(VLOOKUP($B42,'6.คีย์ปลายภาค'!$C$6:$EI$50,28,FALSE)="","",VLOOKUP($B42,'6.คีย์ปลายภาค'!$C$6:$EI$50,28,FALSE))</f>
        <v/>
      </c>
      <c r="T42" s="230" t="str">
        <f>VLOOKUP($B42,'6.คีย์ปลายภาค'!$C$6:$EI$50,29,FALSE)</f>
        <v/>
      </c>
      <c r="U42" s="230" t="str">
        <f>IF(VLOOKUP($B42,'6.คีย์ปลายภาค'!$C$6:$EI$50,33,FALSE)="","",VLOOKUP($B42,'6.คีย์ปลายภาค'!$C$6:$EI$50,33,FALSE))</f>
        <v/>
      </c>
      <c r="V42" s="230" t="str">
        <f>VLOOKUP($B42,'6.คีย์ปลายภาค'!$C$6:$EI$50,34,FALSE)</f>
        <v/>
      </c>
      <c r="W42" s="230" t="str">
        <f>IF(VLOOKUP($B42,'6.คีย์ปลายภาค'!$C$6:$EI$50,38,FALSE)="","",VLOOKUP($B42,'6.คีย์ปลายภาค'!$C$6:$EI$50,38,FALSE))</f>
        <v/>
      </c>
      <c r="X42" s="230" t="str">
        <f>VLOOKUP($B42,'6.คีย์ปลายภาค'!$C$6:$EI$50,39,FALSE)</f>
        <v/>
      </c>
      <c r="Y42" s="230" t="str">
        <f>IF(VLOOKUP($B42,'6.คีย์ปลายภาค'!$C$6:$EI$50,43,FALSE)="","",VLOOKUP($B42,'6.คีย์ปลายภาค'!$C$6:$EI$50,43,FALSE))</f>
        <v/>
      </c>
      <c r="Z42" s="230" t="str">
        <f>VLOOKUP($B42,'6.คีย์ปลายภาค'!$C$6:$EI$50,44,FALSE)</f>
        <v/>
      </c>
      <c r="AA42" s="230" t="str">
        <f>IF(VLOOKUP($B42,'6.คีย์ปลายภาค'!$C$6:$EI$50,48,FALSE)="","",VLOOKUP($B42,'6.คีย์ปลายภาค'!$C$6:$EI$50,48,FALSE))</f>
        <v/>
      </c>
      <c r="AB42" s="230" t="str">
        <f>VLOOKUP($B42,'6.คีย์ปลายภาค'!$C$6:$EI$50,49,FALSE)</f>
        <v/>
      </c>
      <c r="AC42" s="231" t="str">
        <f>IF(VLOOKUP($B42,'6.คีย์ปลายภาค'!$C$6:$EI$50,53,FALSE)="","",VLOOKUP($B42,'6.คีย์ปลายภาค'!$C$6:$EI$50,53,FALSE))</f>
        <v/>
      </c>
      <c r="AD42" s="231" t="str">
        <f>VLOOKUP($B42,'6.คีย์ปลายภาค'!$C$6:$EI$50,54,FALSE)</f>
        <v/>
      </c>
      <c r="AE42" s="231" t="str">
        <f>IF(VLOOKUP($B42,'6.คีย์ปลายภาค'!$C$6:$EI$50,58,FALSE)="","",VLOOKUP($B42,'6.คีย์ปลายภาค'!$C$6:$EI$50,58,FALSE))</f>
        <v/>
      </c>
      <c r="AF42" s="231" t="str">
        <f>VLOOKUP($B42,'6.คีย์ปลายภาค'!$C$6:$EI$50,59,FALSE)</f>
        <v/>
      </c>
      <c r="AG42" s="231" t="str">
        <f>IF(VLOOKUP($B42,'6.คีย์ปลายภาค'!$C$6:$EI$50,63,FALSE)="","",VLOOKUP($B42,'6.คีย์ปลายภาค'!$C$6:$EI$50,63,FALSE))</f>
        <v/>
      </c>
      <c r="AH42" s="232" t="str">
        <f>VLOOKUP($B42,'6.คีย์ปลายภาค'!$C$6:$EI$50,64,FALSE)</f>
        <v/>
      </c>
      <c r="AI42" s="31">
        <v>34</v>
      </c>
      <c r="AJ42" s="770" t="str">
        <f>IF(Name34="","",Name34)</f>
        <v/>
      </c>
      <c r="AK42" s="707"/>
      <c r="AL42" s="707"/>
      <c r="AM42" s="707"/>
      <c r="AN42" s="707" t="str">
        <f>IF(Surname34="","",Surname34)</f>
        <v/>
      </c>
      <c r="AO42" s="707"/>
      <c r="AP42" s="707"/>
      <c r="AQ42" s="707"/>
      <c r="AR42" s="234" t="str">
        <f>IF(VLOOKUP($B42,'6.คีย์ปลายภาค'!$C$6:$EI$50,68,FALSE)="","",VLOOKUP($B42,'6.คีย์ปลายภาค'!$C$6:$EI$50,68,FALSE))</f>
        <v/>
      </c>
      <c r="AS42" s="230" t="str">
        <f>VLOOKUP($B42,'6.คีย์ปลายภาค'!$C$6:$EI$50,69,FALSE)</f>
        <v/>
      </c>
      <c r="AT42" s="230" t="str">
        <f>IF(VLOOKUP($B42,'6.คีย์ปลายภาค'!$C$6:$EI$50,73,FALSE)="","",VLOOKUP($B42,'6.คีย์ปลายภาค'!$C$6:$EI$50,73,FALSE))</f>
        <v/>
      </c>
      <c r="AU42" s="230" t="str">
        <f>VLOOKUP($B42,'6.คีย์ปลายภาค'!$C$6:$EI$50,74,FALSE)</f>
        <v/>
      </c>
      <c r="AV42" s="230" t="str">
        <f>IF(VLOOKUP($B42,'6.คีย์ปลายภาค'!$C$6:$EI$50,78,FALSE)="","",VLOOKUP($B42,'6.คีย์ปลายภาค'!$C$6:$EI$50,78,FALSE))</f>
        <v/>
      </c>
      <c r="AW42" s="230" t="str">
        <f>VLOOKUP($B42,'6.คีย์ปลายภาค'!$C$6:$EI$50,79,FALSE)</f>
        <v/>
      </c>
      <c r="AX42" s="230" t="str">
        <f>IF(VLOOKUP($B42,'6.คีย์ปลายภาค'!$C$6:$EI$50,83,FALSE)="","",VLOOKUP($B42,'6.คีย์ปลายภาค'!$C$6:$EI$50,83,FALSE))</f>
        <v/>
      </c>
      <c r="AY42" s="230" t="str">
        <f>VLOOKUP($B42,'6.คีย์ปลายภาค'!$C$6:$EI$50,84,FALSE)</f>
        <v/>
      </c>
      <c r="AZ42" s="230" t="str">
        <f>IF(VLOOKUP($B42,'6.คีย์ปลายภาค'!$C$6:$EI$50,88,FALSE)="","",VLOOKUP($B42,'6.คีย์ปลายภาค'!$C$6:$EI$50,88,FALSE))</f>
        <v/>
      </c>
      <c r="BA42" s="230" t="str">
        <f>VLOOKUP($B42,'6.คีย์ปลายภาค'!$C$6:$EI$50,89,FALSE)</f>
        <v/>
      </c>
      <c r="BB42" s="230" t="str">
        <f>IF(VLOOKUP($B42,'6.คีย์ปลายภาค'!$C$6:$EI$50,93,FALSE)="","",VLOOKUP($B42,'6.คีย์ปลายภาค'!$C$6:$EI$50,93,FALSE))</f>
        <v/>
      </c>
      <c r="BC42" s="230" t="str">
        <f>VLOOKUP($B42,'6.คีย์ปลายภาค'!$C$6:$EI$50,94,FALSE)</f>
        <v/>
      </c>
      <c r="BD42" s="230" t="str">
        <f>IF(VLOOKUP($B42,'6.คีย์ปลายภาค'!$C$6:$EI$50,98,FALSE)="","",VLOOKUP($B42,'6.คีย์ปลายภาค'!$C$6:$EI$50,98,FALSE))</f>
        <v/>
      </c>
      <c r="BE42" s="230" t="str">
        <f>VLOOKUP($B42,'6.คีย์ปลายภาค'!$C$6:$EI$50,99,FALSE)</f>
        <v/>
      </c>
      <c r="BF42" s="230" t="str">
        <f>IF(VLOOKUP($B42,'6.คีย์ปลายภาค'!$C$6:$EI$50,103,FALSE)="","",VLOOKUP($B42,'6.คีย์ปลายภาค'!$C$6:$EI$50,103,FALSE))</f>
        <v/>
      </c>
      <c r="BG42" s="230" t="str">
        <f>VLOOKUP($B42,'6.คีย์ปลายภาค'!$C$6:$EI$50,104,FALSE)</f>
        <v/>
      </c>
      <c r="BH42" s="230" t="str">
        <f>IF(VLOOKUP($B42,'6.คีย์ปลายภาค'!$C$6:$EI$50,108,FALSE)="","",VLOOKUP($B42,'6.คีย์ปลายภาค'!$C$6:$EI$50,108,FALSE))</f>
        <v/>
      </c>
      <c r="BI42" s="230" t="str">
        <f>VLOOKUP($B42,'6.คีย์ปลายภาค'!$C$6:$EI$50,109,FALSE)</f>
        <v/>
      </c>
      <c r="BJ42" s="230" t="str">
        <f>IF(VLOOKUP($B42,'6.คีย์ปลายภาค'!$C$6:$EI$50,113,FALSE)="","",VLOOKUP($B42,'6.คีย์ปลายภาค'!$C$6:$EI$50,113,FALSE))</f>
        <v/>
      </c>
      <c r="BK42" s="230" t="str">
        <f>VLOOKUP($B42,'6.คีย์ปลายภาค'!$C$6:$EI$50,114,FALSE)</f>
        <v/>
      </c>
      <c r="BL42" s="230" t="str">
        <f>IF(VLOOKUP($B42,'6.คีย์ปลายภาค'!$C$6:$EI$50,118,FALSE)="","",VLOOKUP($B42,'6.คีย์ปลายภาค'!$C$6:$EI$50,118,FALSE))</f>
        <v/>
      </c>
      <c r="BM42" s="230" t="str">
        <f>VLOOKUP($B42,'6.คีย์ปลายภาค'!$C$6:$EI$50,119,FALSE)</f>
        <v/>
      </c>
      <c r="BN42" s="230" t="str">
        <f>IF(VLOOKUP($B42,'6.คีย์ปลายภาค'!$C$6:$EI$50,123,FALSE)="","",VLOOKUP($B42,'6.คีย์ปลายภาค'!$C$6:$EI$50,123,FALSE))</f>
        <v/>
      </c>
      <c r="BO42" s="230" t="str">
        <f>VLOOKUP($B42,'6.คีย์ปลายภาค'!$C$6:$EI$50,124,FALSE)</f>
        <v/>
      </c>
      <c r="BP42" s="230" t="str">
        <f>IF(VLOOKUP($B42,'6.คีย์ปลายภาค'!$C$6:$EI$50,128,FALSE)="","",VLOOKUP($B42,'6.คีย์ปลายภาค'!$C$6:$EI$50,128,FALSE))</f>
        <v/>
      </c>
      <c r="BQ42" s="232" t="str">
        <f>VLOOKUP($B42,'6.คีย์ปลายภาค'!$C$6:$EI$50,129,FALSE)</f>
        <v/>
      </c>
      <c r="BR42" s="550" t="str">
        <f>IF(L42="","",IF('2.ชื่อนักเรียน'!R44="มส","",IF('2.ชื่อนักเรียน'!R44="ย้าย","",IF('2.ชื่อนักเรียน'!R44="ร","",SUM(BT42:CR42)/13.5))))</f>
        <v/>
      </c>
      <c r="BS42" s="520" t="str">
        <f>IF('2.ชื่อนักเรียน'!R44="มส","มส",IF('2.ชื่อนักเรียน'!R44="ย้าย","ย้าย",IF('2.ชื่อนักเรียน'!R44="ร","ร",IF(BR42="","",RANK(BR42,$BR$9:$BR$53,0)))))</f>
        <v/>
      </c>
      <c r="BT42" s="118" t="str">
        <f t="shared" si="0"/>
        <v/>
      </c>
      <c r="BU42" s="119" t="str">
        <f t="shared" si="1"/>
        <v/>
      </c>
      <c r="BV42" s="119" t="str">
        <f t="shared" si="2"/>
        <v/>
      </c>
      <c r="BW42" s="110" t="str">
        <f t="shared" si="3"/>
        <v/>
      </c>
      <c r="BX42" s="119" t="str">
        <f t="shared" si="4"/>
        <v/>
      </c>
      <c r="BY42" s="119" t="str">
        <f t="shared" si="5"/>
        <v/>
      </c>
      <c r="BZ42" s="119" t="str">
        <f t="shared" si="6"/>
        <v/>
      </c>
      <c r="CA42" s="119" t="str">
        <f t="shared" si="7"/>
        <v/>
      </c>
      <c r="CB42" s="110" t="str">
        <f t="shared" si="8"/>
        <v/>
      </c>
      <c r="CC42" s="151" t="str">
        <f t="shared" si="9"/>
        <v/>
      </c>
      <c r="CD42" s="151" t="str">
        <f t="shared" si="10"/>
        <v/>
      </c>
      <c r="CE42" s="111" t="str">
        <f t="shared" si="27"/>
        <v/>
      </c>
      <c r="CF42" s="118" t="str">
        <f t="shared" si="12"/>
        <v/>
      </c>
      <c r="CG42" s="119" t="str">
        <f t="shared" si="13"/>
        <v/>
      </c>
      <c r="CH42" s="119" t="str">
        <f t="shared" si="14"/>
        <v/>
      </c>
      <c r="CI42" s="119" t="str">
        <f t="shared" si="15"/>
        <v/>
      </c>
      <c r="CJ42" s="110" t="str">
        <f t="shared" si="16"/>
        <v/>
      </c>
      <c r="CK42" s="110" t="str">
        <f t="shared" si="17"/>
        <v/>
      </c>
      <c r="CL42" s="119" t="str">
        <f t="shared" si="18"/>
        <v/>
      </c>
      <c r="CM42" s="119" t="str">
        <f t="shared" si="19"/>
        <v/>
      </c>
      <c r="CN42" s="120" t="str">
        <f t="shared" si="20"/>
        <v/>
      </c>
      <c r="CO42" s="119" t="str">
        <f t="shared" si="21"/>
        <v/>
      </c>
      <c r="CP42" s="120" t="str">
        <f t="shared" si="22"/>
        <v/>
      </c>
      <c r="CQ42" s="111" t="str">
        <f t="shared" si="26"/>
        <v/>
      </c>
      <c r="CR42" s="494" t="str">
        <f t="shared" si="24"/>
        <v/>
      </c>
      <c r="CS42" s="148">
        <f t="shared" si="25"/>
        <v>0</v>
      </c>
      <c r="CT42" s="21">
        <f>IF('2.ชื่อนักเรียน'!AP44="มส","มส",IF('2.ชื่อนักเรียน'!AP44="ย้าย","ย้าย",IF('2.ชื่อนักเรียน'!AP44="ร","ร",IF(CS42="","",RANK(CS42,$CS$9:$CS$53,0)))))</f>
        <v>1</v>
      </c>
    </row>
    <row r="43" spans="1:98" s="29" customFormat="1" ht="18.75" customHeight="1" x14ac:dyDescent="0.25">
      <c r="A43" s="234">
        <v>35</v>
      </c>
      <c r="B43" s="512" t="str">
        <f>IF(IDstu35="","",IDstu35)</f>
        <v/>
      </c>
      <c r="C43" s="770" t="str">
        <f>IF(Name35="","",Name35)</f>
        <v/>
      </c>
      <c r="D43" s="707"/>
      <c r="E43" s="707"/>
      <c r="F43" s="707"/>
      <c r="G43" s="707" t="str">
        <f>IF(Surname35="","",Surname35)</f>
        <v/>
      </c>
      <c r="H43" s="707"/>
      <c r="I43" s="707"/>
      <c r="J43" s="707"/>
      <c r="K43" s="234" t="str">
        <f>IF(VLOOKUP($B43,'6.คีย์ปลายภาค'!$C$6:$EI$50,8,FALSE)="","",VLOOKUP($B43,'6.คีย์ปลายภาค'!$C$6:$EI$50,8,FALSE))</f>
        <v/>
      </c>
      <c r="L43" s="229" t="str">
        <f>VLOOKUP($B43,'6.คีย์ปลายภาค'!$C$6:$EI$50,9,FALSE)</f>
        <v/>
      </c>
      <c r="M43" s="229" t="str">
        <f>IF(VLOOKUP($B43,'6.คีย์ปลายภาค'!$C$6:$EI$50,13,FALSE)="","",VLOOKUP($B43,'6.คีย์ปลายภาค'!$C$6:$EI$50,13,FALSE))</f>
        <v/>
      </c>
      <c r="N43" s="230" t="str">
        <f>VLOOKUP($B43,'6.คีย์ปลายภาค'!$C$6:$EI$50,14,FALSE)</f>
        <v/>
      </c>
      <c r="O43" s="230" t="str">
        <f>IF(VLOOKUP($B43,'6.คีย์ปลายภาค'!$C$6:$EI$50,18,FALSE)="","",VLOOKUP($B43,'6.คีย์ปลายภาค'!$C$6:$EI$50,18,FALSE))</f>
        <v/>
      </c>
      <c r="P43" s="230" t="str">
        <f>VLOOKUP($B43,'6.คีย์ปลายภาค'!$C$6:$EI$50,19,FALSE)</f>
        <v/>
      </c>
      <c r="Q43" s="230" t="str">
        <f>IF(VLOOKUP($B43,'6.คีย์ปลายภาค'!$C$6:$EI$50,23,FALSE)="","",VLOOKUP($B43,'6.คีย์ปลายภาค'!$C$6:$EI$50,23,FALSE))</f>
        <v/>
      </c>
      <c r="R43" s="230" t="str">
        <f>VLOOKUP($B43,'6.คีย์ปลายภาค'!$C$6:$EI$50,24,FALSE)</f>
        <v/>
      </c>
      <c r="S43" s="230" t="str">
        <f>IF(VLOOKUP($B43,'6.คีย์ปลายภาค'!$C$6:$EI$50,28,FALSE)="","",VLOOKUP($B43,'6.คีย์ปลายภาค'!$C$6:$EI$50,28,FALSE))</f>
        <v/>
      </c>
      <c r="T43" s="230" t="str">
        <f>VLOOKUP($B43,'6.คีย์ปลายภาค'!$C$6:$EI$50,29,FALSE)</f>
        <v/>
      </c>
      <c r="U43" s="230" t="str">
        <f>IF(VLOOKUP($B43,'6.คีย์ปลายภาค'!$C$6:$EI$50,33,FALSE)="","",VLOOKUP($B43,'6.คีย์ปลายภาค'!$C$6:$EI$50,33,FALSE))</f>
        <v/>
      </c>
      <c r="V43" s="230" t="str">
        <f>VLOOKUP($B43,'6.คีย์ปลายภาค'!$C$6:$EI$50,34,FALSE)</f>
        <v/>
      </c>
      <c r="W43" s="230" t="str">
        <f>IF(VLOOKUP($B43,'6.คีย์ปลายภาค'!$C$6:$EI$50,38,FALSE)="","",VLOOKUP($B43,'6.คีย์ปลายภาค'!$C$6:$EI$50,38,FALSE))</f>
        <v/>
      </c>
      <c r="X43" s="230" t="str">
        <f>VLOOKUP($B43,'6.คีย์ปลายภาค'!$C$6:$EI$50,39,FALSE)</f>
        <v/>
      </c>
      <c r="Y43" s="230" t="str">
        <f>IF(VLOOKUP($B43,'6.คีย์ปลายภาค'!$C$6:$EI$50,43,FALSE)="","",VLOOKUP($B43,'6.คีย์ปลายภาค'!$C$6:$EI$50,43,FALSE))</f>
        <v/>
      </c>
      <c r="Z43" s="230" t="str">
        <f>VLOOKUP($B43,'6.คีย์ปลายภาค'!$C$6:$EI$50,44,FALSE)</f>
        <v/>
      </c>
      <c r="AA43" s="230" t="str">
        <f>IF(VLOOKUP($B43,'6.คีย์ปลายภาค'!$C$6:$EI$50,48,FALSE)="","",VLOOKUP($B43,'6.คีย์ปลายภาค'!$C$6:$EI$50,48,FALSE))</f>
        <v/>
      </c>
      <c r="AB43" s="230" t="str">
        <f>VLOOKUP($B43,'6.คีย์ปลายภาค'!$C$6:$EI$50,49,FALSE)</f>
        <v/>
      </c>
      <c r="AC43" s="231" t="str">
        <f>IF(VLOOKUP($B43,'6.คีย์ปลายภาค'!$C$6:$EI$50,53,FALSE)="","",VLOOKUP($B43,'6.คีย์ปลายภาค'!$C$6:$EI$50,53,FALSE))</f>
        <v/>
      </c>
      <c r="AD43" s="231" t="str">
        <f>VLOOKUP($B43,'6.คีย์ปลายภาค'!$C$6:$EI$50,54,FALSE)</f>
        <v/>
      </c>
      <c r="AE43" s="231" t="str">
        <f>IF(VLOOKUP($B43,'6.คีย์ปลายภาค'!$C$6:$EI$50,58,FALSE)="","",VLOOKUP($B43,'6.คีย์ปลายภาค'!$C$6:$EI$50,58,FALSE))</f>
        <v/>
      </c>
      <c r="AF43" s="231" t="str">
        <f>VLOOKUP($B43,'6.คีย์ปลายภาค'!$C$6:$EI$50,59,FALSE)</f>
        <v/>
      </c>
      <c r="AG43" s="231" t="str">
        <f>IF(VLOOKUP($B43,'6.คีย์ปลายภาค'!$C$6:$EI$50,63,FALSE)="","",VLOOKUP($B43,'6.คีย์ปลายภาค'!$C$6:$EI$50,63,FALSE))</f>
        <v/>
      </c>
      <c r="AH43" s="232" t="str">
        <f>VLOOKUP($B43,'6.คีย์ปลายภาค'!$C$6:$EI$50,64,FALSE)</f>
        <v/>
      </c>
      <c r="AI43" s="31">
        <v>35</v>
      </c>
      <c r="AJ43" s="770" t="str">
        <f>IF(Name35="","",Name35)</f>
        <v/>
      </c>
      <c r="AK43" s="707"/>
      <c r="AL43" s="707"/>
      <c r="AM43" s="707"/>
      <c r="AN43" s="707" t="str">
        <f>IF(Surname35="","",Surname35)</f>
        <v/>
      </c>
      <c r="AO43" s="707"/>
      <c r="AP43" s="707"/>
      <c r="AQ43" s="707"/>
      <c r="AR43" s="234" t="str">
        <f>IF(VLOOKUP($B43,'6.คีย์ปลายภาค'!$C$6:$EI$50,68,FALSE)="","",VLOOKUP($B43,'6.คีย์ปลายภาค'!$C$6:$EI$50,68,FALSE))</f>
        <v/>
      </c>
      <c r="AS43" s="230" t="str">
        <f>VLOOKUP($B43,'6.คีย์ปลายภาค'!$C$6:$EI$50,69,FALSE)</f>
        <v/>
      </c>
      <c r="AT43" s="230" t="str">
        <f>IF(VLOOKUP($B43,'6.คีย์ปลายภาค'!$C$6:$EI$50,73,FALSE)="","",VLOOKUP($B43,'6.คีย์ปลายภาค'!$C$6:$EI$50,73,FALSE))</f>
        <v/>
      </c>
      <c r="AU43" s="230" t="str">
        <f>VLOOKUP($B43,'6.คีย์ปลายภาค'!$C$6:$EI$50,74,FALSE)</f>
        <v/>
      </c>
      <c r="AV43" s="230" t="str">
        <f>IF(VLOOKUP($B43,'6.คีย์ปลายภาค'!$C$6:$EI$50,78,FALSE)="","",VLOOKUP($B43,'6.คีย์ปลายภาค'!$C$6:$EI$50,78,FALSE))</f>
        <v/>
      </c>
      <c r="AW43" s="230" t="str">
        <f>VLOOKUP($B43,'6.คีย์ปลายภาค'!$C$6:$EI$50,79,FALSE)</f>
        <v/>
      </c>
      <c r="AX43" s="230" t="str">
        <f>IF(VLOOKUP($B43,'6.คีย์ปลายภาค'!$C$6:$EI$50,83,FALSE)="","",VLOOKUP($B43,'6.คีย์ปลายภาค'!$C$6:$EI$50,83,FALSE))</f>
        <v/>
      </c>
      <c r="AY43" s="230" t="str">
        <f>VLOOKUP($B43,'6.คีย์ปลายภาค'!$C$6:$EI$50,84,FALSE)</f>
        <v/>
      </c>
      <c r="AZ43" s="230" t="str">
        <f>IF(VLOOKUP($B43,'6.คีย์ปลายภาค'!$C$6:$EI$50,88,FALSE)="","",VLOOKUP($B43,'6.คีย์ปลายภาค'!$C$6:$EI$50,88,FALSE))</f>
        <v/>
      </c>
      <c r="BA43" s="230" t="str">
        <f>VLOOKUP($B43,'6.คีย์ปลายภาค'!$C$6:$EI$50,89,FALSE)</f>
        <v/>
      </c>
      <c r="BB43" s="230" t="str">
        <f>IF(VLOOKUP($B43,'6.คีย์ปลายภาค'!$C$6:$EI$50,93,FALSE)="","",VLOOKUP($B43,'6.คีย์ปลายภาค'!$C$6:$EI$50,93,FALSE))</f>
        <v/>
      </c>
      <c r="BC43" s="230" t="str">
        <f>VLOOKUP($B43,'6.คีย์ปลายภาค'!$C$6:$EI$50,94,FALSE)</f>
        <v/>
      </c>
      <c r="BD43" s="230" t="str">
        <f>IF(VLOOKUP($B43,'6.คีย์ปลายภาค'!$C$6:$EI$50,98,FALSE)="","",VLOOKUP($B43,'6.คีย์ปลายภาค'!$C$6:$EI$50,98,FALSE))</f>
        <v/>
      </c>
      <c r="BE43" s="230" t="str">
        <f>VLOOKUP($B43,'6.คีย์ปลายภาค'!$C$6:$EI$50,99,FALSE)</f>
        <v/>
      </c>
      <c r="BF43" s="230" t="str">
        <f>IF(VLOOKUP($B43,'6.คีย์ปลายภาค'!$C$6:$EI$50,103,FALSE)="","",VLOOKUP($B43,'6.คีย์ปลายภาค'!$C$6:$EI$50,103,FALSE))</f>
        <v/>
      </c>
      <c r="BG43" s="230" t="str">
        <f>VLOOKUP($B43,'6.คีย์ปลายภาค'!$C$6:$EI$50,104,FALSE)</f>
        <v/>
      </c>
      <c r="BH43" s="230" t="str">
        <f>IF(VLOOKUP($B43,'6.คีย์ปลายภาค'!$C$6:$EI$50,108,FALSE)="","",VLOOKUP($B43,'6.คีย์ปลายภาค'!$C$6:$EI$50,108,FALSE))</f>
        <v/>
      </c>
      <c r="BI43" s="230" t="str">
        <f>VLOOKUP($B43,'6.คีย์ปลายภาค'!$C$6:$EI$50,109,FALSE)</f>
        <v/>
      </c>
      <c r="BJ43" s="230" t="str">
        <f>IF(VLOOKUP($B43,'6.คีย์ปลายภาค'!$C$6:$EI$50,113,FALSE)="","",VLOOKUP($B43,'6.คีย์ปลายภาค'!$C$6:$EI$50,113,FALSE))</f>
        <v/>
      </c>
      <c r="BK43" s="230" t="str">
        <f>VLOOKUP($B43,'6.คีย์ปลายภาค'!$C$6:$EI$50,114,FALSE)</f>
        <v/>
      </c>
      <c r="BL43" s="230" t="str">
        <f>IF(VLOOKUP($B43,'6.คีย์ปลายภาค'!$C$6:$EI$50,118,FALSE)="","",VLOOKUP($B43,'6.คีย์ปลายภาค'!$C$6:$EI$50,118,FALSE))</f>
        <v/>
      </c>
      <c r="BM43" s="230" t="str">
        <f>VLOOKUP($B43,'6.คีย์ปลายภาค'!$C$6:$EI$50,119,FALSE)</f>
        <v/>
      </c>
      <c r="BN43" s="230" t="str">
        <f>IF(VLOOKUP($B43,'6.คีย์ปลายภาค'!$C$6:$EI$50,123,FALSE)="","",VLOOKUP($B43,'6.คีย์ปลายภาค'!$C$6:$EI$50,123,FALSE))</f>
        <v/>
      </c>
      <c r="BO43" s="230" t="str">
        <f>VLOOKUP($B43,'6.คีย์ปลายภาค'!$C$6:$EI$50,124,FALSE)</f>
        <v/>
      </c>
      <c r="BP43" s="230" t="str">
        <f>IF(VLOOKUP($B43,'6.คีย์ปลายภาค'!$C$6:$EI$50,128,FALSE)="","",VLOOKUP($B43,'6.คีย์ปลายภาค'!$C$6:$EI$50,128,FALSE))</f>
        <v/>
      </c>
      <c r="BQ43" s="232" t="str">
        <f>VLOOKUP($B43,'6.คีย์ปลายภาค'!$C$6:$EI$50,129,FALSE)</f>
        <v/>
      </c>
      <c r="BR43" s="550" t="str">
        <f>IF(L43="","",IF('2.ชื่อนักเรียน'!R45="มส","",IF('2.ชื่อนักเรียน'!R45="ย้าย","",IF('2.ชื่อนักเรียน'!R45="ร","",SUM(BT43:CR43)/13.5))))</f>
        <v/>
      </c>
      <c r="BS43" s="520" t="str">
        <f>IF('2.ชื่อนักเรียน'!R45="มส","มส",IF('2.ชื่อนักเรียน'!R45="ย้าย","ย้าย",IF('2.ชื่อนักเรียน'!R45="ร","ร",IF(BR43="","",RANK(BR43,$BR$9:$BR$53,0)))))</f>
        <v/>
      </c>
      <c r="BT43" s="118" t="str">
        <f t="shared" si="0"/>
        <v/>
      </c>
      <c r="BU43" s="119" t="str">
        <f t="shared" si="1"/>
        <v/>
      </c>
      <c r="BV43" s="119" t="str">
        <f t="shared" si="2"/>
        <v/>
      </c>
      <c r="BW43" s="110" t="str">
        <f t="shared" si="3"/>
        <v/>
      </c>
      <c r="BX43" s="119" t="str">
        <f t="shared" si="4"/>
        <v/>
      </c>
      <c r="BY43" s="119" t="str">
        <f t="shared" si="5"/>
        <v/>
      </c>
      <c r="BZ43" s="119" t="str">
        <f t="shared" si="6"/>
        <v/>
      </c>
      <c r="CA43" s="119" t="str">
        <f t="shared" si="7"/>
        <v/>
      </c>
      <c r="CB43" s="110" t="str">
        <f t="shared" si="8"/>
        <v/>
      </c>
      <c r="CC43" s="151" t="str">
        <f t="shared" si="9"/>
        <v/>
      </c>
      <c r="CD43" s="151" t="str">
        <f t="shared" si="10"/>
        <v/>
      </c>
      <c r="CE43" s="111" t="str">
        <f t="shared" si="27"/>
        <v/>
      </c>
      <c r="CF43" s="118" t="str">
        <f t="shared" si="12"/>
        <v/>
      </c>
      <c r="CG43" s="119" t="str">
        <f t="shared" si="13"/>
        <v/>
      </c>
      <c r="CH43" s="119" t="str">
        <f t="shared" si="14"/>
        <v/>
      </c>
      <c r="CI43" s="119" t="str">
        <f t="shared" si="15"/>
        <v/>
      </c>
      <c r="CJ43" s="110" t="str">
        <f t="shared" si="16"/>
        <v/>
      </c>
      <c r="CK43" s="110" t="str">
        <f t="shared" si="17"/>
        <v/>
      </c>
      <c r="CL43" s="119" t="str">
        <f t="shared" si="18"/>
        <v/>
      </c>
      <c r="CM43" s="119" t="str">
        <f t="shared" si="19"/>
        <v/>
      </c>
      <c r="CN43" s="120" t="str">
        <f t="shared" si="20"/>
        <v/>
      </c>
      <c r="CO43" s="119" t="str">
        <f t="shared" si="21"/>
        <v/>
      </c>
      <c r="CP43" s="120" t="str">
        <f t="shared" si="22"/>
        <v/>
      </c>
      <c r="CQ43" s="111" t="str">
        <f t="shared" si="26"/>
        <v/>
      </c>
      <c r="CR43" s="494" t="str">
        <f t="shared" si="24"/>
        <v/>
      </c>
      <c r="CS43" s="148">
        <f t="shared" si="25"/>
        <v>0</v>
      </c>
      <c r="CT43" s="21">
        <f>IF('2.ชื่อนักเรียน'!AP45="มส","มส",IF('2.ชื่อนักเรียน'!AP45="ย้าย","ย้าย",IF('2.ชื่อนักเรียน'!AP45="ร","ร",IF(CS43="","",RANK(CS43,$CS$9:$CS$53,0)))))</f>
        <v>1</v>
      </c>
    </row>
    <row r="44" spans="1:98" s="29" customFormat="1" ht="18.75" customHeight="1" x14ac:dyDescent="0.25">
      <c r="A44" s="234">
        <v>36</v>
      </c>
      <c r="B44" s="512" t="str">
        <f>IF(IDstu36="","",IDstu36)</f>
        <v/>
      </c>
      <c r="C44" s="770" t="str">
        <f>IF(Name36="","",Name36)</f>
        <v/>
      </c>
      <c r="D44" s="707"/>
      <c r="E44" s="707"/>
      <c r="F44" s="707"/>
      <c r="G44" s="707" t="str">
        <f>IF(Surname36="","",Surname36)</f>
        <v/>
      </c>
      <c r="H44" s="707"/>
      <c r="I44" s="707"/>
      <c r="J44" s="707"/>
      <c r="K44" s="234" t="str">
        <f>IF(VLOOKUP($B44,'6.คีย์ปลายภาค'!$C$6:$EI$50,8,FALSE)="","",VLOOKUP($B44,'6.คีย์ปลายภาค'!$C$6:$EI$50,8,FALSE))</f>
        <v/>
      </c>
      <c r="L44" s="229" t="str">
        <f>VLOOKUP($B44,'6.คีย์ปลายภาค'!$C$6:$EI$50,9,FALSE)</f>
        <v/>
      </c>
      <c r="M44" s="229" t="str">
        <f>IF(VLOOKUP($B44,'6.คีย์ปลายภาค'!$C$6:$EI$50,13,FALSE)="","",VLOOKUP($B44,'6.คีย์ปลายภาค'!$C$6:$EI$50,13,FALSE))</f>
        <v/>
      </c>
      <c r="N44" s="230" t="str">
        <f>VLOOKUP($B44,'6.คีย์ปลายภาค'!$C$6:$EI$50,14,FALSE)</f>
        <v/>
      </c>
      <c r="O44" s="230" t="str">
        <f>IF(VLOOKUP($B44,'6.คีย์ปลายภาค'!$C$6:$EI$50,18,FALSE)="","",VLOOKUP($B44,'6.คีย์ปลายภาค'!$C$6:$EI$50,18,FALSE))</f>
        <v/>
      </c>
      <c r="P44" s="230" t="str">
        <f>VLOOKUP($B44,'6.คีย์ปลายภาค'!$C$6:$EI$50,19,FALSE)</f>
        <v/>
      </c>
      <c r="Q44" s="230" t="str">
        <f>IF(VLOOKUP($B44,'6.คีย์ปลายภาค'!$C$6:$EI$50,23,FALSE)="","",VLOOKUP($B44,'6.คีย์ปลายภาค'!$C$6:$EI$50,23,FALSE))</f>
        <v/>
      </c>
      <c r="R44" s="230" t="str">
        <f>VLOOKUP($B44,'6.คีย์ปลายภาค'!$C$6:$EI$50,24,FALSE)</f>
        <v/>
      </c>
      <c r="S44" s="230" t="str">
        <f>IF(VLOOKUP($B44,'6.คีย์ปลายภาค'!$C$6:$EI$50,28,FALSE)="","",VLOOKUP($B44,'6.คีย์ปลายภาค'!$C$6:$EI$50,28,FALSE))</f>
        <v/>
      </c>
      <c r="T44" s="230" t="str">
        <f>VLOOKUP($B44,'6.คีย์ปลายภาค'!$C$6:$EI$50,29,FALSE)</f>
        <v/>
      </c>
      <c r="U44" s="230" t="str">
        <f>IF(VLOOKUP($B44,'6.คีย์ปลายภาค'!$C$6:$EI$50,33,FALSE)="","",VLOOKUP($B44,'6.คีย์ปลายภาค'!$C$6:$EI$50,33,FALSE))</f>
        <v/>
      </c>
      <c r="V44" s="230" t="str">
        <f>VLOOKUP($B44,'6.คีย์ปลายภาค'!$C$6:$EI$50,34,FALSE)</f>
        <v/>
      </c>
      <c r="W44" s="230" t="str">
        <f>IF(VLOOKUP($B44,'6.คีย์ปลายภาค'!$C$6:$EI$50,38,FALSE)="","",VLOOKUP($B44,'6.คีย์ปลายภาค'!$C$6:$EI$50,38,FALSE))</f>
        <v/>
      </c>
      <c r="X44" s="230" t="str">
        <f>VLOOKUP($B44,'6.คีย์ปลายภาค'!$C$6:$EI$50,39,FALSE)</f>
        <v/>
      </c>
      <c r="Y44" s="230" t="str">
        <f>IF(VLOOKUP($B44,'6.คีย์ปลายภาค'!$C$6:$EI$50,43,FALSE)="","",VLOOKUP($B44,'6.คีย์ปลายภาค'!$C$6:$EI$50,43,FALSE))</f>
        <v/>
      </c>
      <c r="Z44" s="230" t="str">
        <f>VLOOKUP($B44,'6.คีย์ปลายภาค'!$C$6:$EI$50,44,FALSE)</f>
        <v/>
      </c>
      <c r="AA44" s="230" t="str">
        <f>IF(VLOOKUP($B44,'6.คีย์ปลายภาค'!$C$6:$EI$50,48,FALSE)="","",VLOOKUP($B44,'6.คีย์ปลายภาค'!$C$6:$EI$50,48,FALSE))</f>
        <v/>
      </c>
      <c r="AB44" s="230" t="str">
        <f>VLOOKUP($B44,'6.คีย์ปลายภาค'!$C$6:$EI$50,49,FALSE)</f>
        <v/>
      </c>
      <c r="AC44" s="231" t="str">
        <f>IF(VLOOKUP($B44,'6.คีย์ปลายภาค'!$C$6:$EI$50,53,FALSE)="","",VLOOKUP($B44,'6.คีย์ปลายภาค'!$C$6:$EI$50,53,FALSE))</f>
        <v/>
      </c>
      <c r="AD44" s="231" t="str">
        <f>VLOOKUP($B44,'6.คีย์ปลายภาค'!$C$6:$EI$50,54,FALSE)</f>
        <v/>
      </c>
      <c r="AE44" s="231" t="str">
        <f>IF(VLOOKUP($B44,'6.คีย์ปลายภาค'!$C$6:$EI$50,58,FALSE)="","",VLOOKUP($B44,'6.คีย์ปลายภาค'!$C$6:$EI$50,58,FALSE))</f>
        <v/>
      </c>
      <c r="AF44" s="231" t="str">
        <f>VLOOKUP($B44,'6.คีย์ปลายภาค'!$C$6:$EI$50,59,FALSE)</f>
        <v/>
      </c>
      <c r="AG44" s="231" t="str">
        <f>IF(VLOOKUP($B44,'6.คีย์ปลายภาค'!$C$6:$EI$50,63,FALSE)="","",VLOOKUP($B44,'6.คีย์ปลายภาค'!$C$6:$EI$50,63,FALSE))</f>
        <v/>
      </c>
      <c r="AH44" s="232" t="str">
        <f>VLOOKUP($B44,'6.คีย์ปลายภาค'!$C$6:$EI$50,64,FALSE)</f>
        <v/>
      </c>
      <c r="AI44" s="31">
        <v>36</v>
      </c>
      <c r="AJ44" s="770" t="str">
        <f>IF(Name36="","",Name36)</f>
        <v/>
      </c>
      <c r="AK44" s="707"/>
      <c r="AL44" s="707"/>
      <c r="AM44" s="707"/>
      <c r="AN44" s="707" t="str">
        <f>IF(Surname36="","",Surname36)</f>
        <v/>
      </c>
      <c r="AO44" s="707"/>
      <c r="AP44" s="707"/>
      <c r="AQ44" s="707"/>
      <c r="AR44" s="234" t="str">
        <f>IF(VLOOKUP($B44,'6.คีย์ปลายภาค'!$C$6:$EI$50,68,FALSE)="","",VLOOKUP($B44,'6.คีย์ปลายภาค'!$C$6:$EI$50,68,FALSE))</f>
        <v/>
      </c>
      <c r="AS44" s="230" t="str">
        <f>VLOOKUP($B44,'6.คีย์ปลายภาค'!$C$6:$EI$50,69,FALSE)</f>
        <v/>
      </c>
      <c r="AT44" s="230" t="str">
        <f>IF(VLOOKUP($B44,'6.คีย์ปลายภาค'!$C$6:$EI$50,73,FALSE)="","",VLOOKUP($B44,'6.คีย์ปลายภาค'!$C$6:$EI$50,73,FALSE))</f>
        <v/>
      </c>
      <c r="AU44" s="230" t="str">
        <f>VLOOKUP($B44,'6.คีย์ปลายภาค'!$C$6:$EI$50,74,FALSE)</f>
        <v/>
      </c>
      <c r="AV44" s="230" t="str">
        <f>IF(VLOOKUP($B44,'6.คีย์ปลายภาค'!$C$6:$EI$50,78,FALSE)="","",VLOOKUP($B44,'6.คีย์ปลายภาค'!$C$6:$EI$50,78,FALSE))</f>
        <v/>
      </c>
      <c r="AW44" s="230" t="str">
        <f>VLOOKUP($B44,'6.คีย์ปลายภาค'!$C$6:$EI$50,79,FALSE)</f>
        <v/>
      </c>
      <c r="AX44" s="230" t="str">
        <f>IF(VLOOKUP($B44,'6.คีย์ปลายภาค'!$C$6:$EI$50,83,FALSE)="","",VLOOKUP($B44,'6.คีย์ปลายภาค'!$C$6:$EI$50,83,FALSE))</f>
        <v/>
      </c>
      <c r="AY44" s="230" t="str">
        <f>VLOOKUP($B44,'6.คีย์ปลายภาค'!$C$6:$EI$50,84,FALSE)</f>
        <v/>
      </c>
      <c r="AZ44" s="230" t="str">
        <f>IF(VLOOKUP($B44,'6.คีย์ปลายภาค'!$C$6:$EI$50,88,FALSE)="","",VLOOKUP($B44,'6.คีย์ปลายภาค'!$C$6:$EI$50,88,FALSE))</f>
        <v/>
      </c>
      <c r="BA44" s="230" t="str">
        <f>VLOOKUP($B44,'6.คีย์ปลายภาค'!$C$6:$EI$50,89,FALSE)</f>
        <v/>
      </c>
      <c r="BB44" s="230" t="str">
        <f>IF(VLOOKUP($B44,'6.คีย์ปลายภาค'!$C$6:$EI$50,93,FALSE)="","",VLOOKUP($B44,'6.คีย์ปลายภาค'!$C$6:$EI$50,93,FALSE))</f>
        <v/>
      </c>
      <c r="BC44" s="230" t="str">
        <f>VLOOKUP($B44,'6.คีย์ปลายภาค'!$C$6:$EI$50,94,FALSE)</f>
        <v/>
      </c>
      <c r="BD44" s="230" t="str">
        <f>IF(VLOOKUP($B44,'6.คีย์ปลายภาค'!$C$6:$EI$50,98,FALSE)="","",VLOOKUP($B44,'6.คีย์ปลายภาค'!$C$6:$EI$50,98,FALSE))</f>
        <v/>
      </c>
      <c r="BE44" s="230" t="str">
        <f>VLOOKUP($B44,'6.คีย์ปลายภาค'!$C$6:$EI$50,99,FALSE)</f>
        <v/>
      </c>
      <c r="BF44" s="230" t="str">
        <f>IF(VLOOKUP($B44,'6.คีย์ปลายภาค'!$C$6:$EI$50,103,FALSE)="","",VLOOKUP($B44,'6.คีย์ปลายภาค'!$C$6:$EI$50,103,FALSE))</f>
        <v/>
      </c>
      <c r="BG44" s="230" t="str">
        <f>VLOOKUP($B44,'6.คีย์ปลายภาค'!$C$6:$EI$50,104,FALSE)</f>
        <v/>
      </c>
      <c r="BH44" s="230" t="str">
        <f>IF(VLOOKUP($B44,'6.คีย์ปลายภาค'!$C$6:$EI$50,108,FALSE)="","",VLOOKUP($B44,'6.คีย์ปลายภาค'!$C$6:$EI$50,108,FALSE))</f>
        <v/>
      </c>
      <c r="BI44" s="230" t="str">
        <f>VLOOKUP($B44,'6.คีย์ปลายภาค'!$C$6:$EI$50,109,FALSE)</f>
        <v/>
      </c>
      <c r="BJ44" s="230" t="str">
        <f>IF(VLOOKUP($B44,'6.คีย์ปลายภาค'!$C$6:$EI$50,113,FALSE)="","",VLOOKUP($B44,'6.คีย์ปลายภาค'!$C$6:$EI$50,113,FALSE))</f>
        <v/>
      </c>
      <c r="BK44" s="230" t="str">
        <f>VLOOKUP($B44,'6.คีย์ปลายภาค'!$C$6:$EI$50,114,FALSE)</f>
        <v/>
      </c>
      <c r="BL44" s="230" t="str">
        <f>IF(VLOOKUP($B44,'6.คีย์ปลายภาค'!$C$6:$EI$50,118,FALSE)="","",VLOOKUP($B44,'6.คีย์ปลายภาค'!$C$6:$EI$50,118,FALSE))</f>
        <v/>
      </c>
      <c r="BM44" s="230" t="str">
        <f>VLOOKUP($B44,'6.คีย์ปลายภาค'!$C$6:$EI$50,119,FALSE)</f>
        <v/>
      </c>
      <c r="BN44" s="230" t="str">
        <f>IF(VLOOKUP($B44,'6.คีย์ปลายภาค'!$C$6:$EI$50,123,FALSE)="","",VLOOKUP($B44,'6.คีย์ปลายภาค'!$C$6:$EI$50,123,FALSE))</f>
        <v/>
      </c>
      <c r="BO44" s="230" t="str">
        <f>VLOOKUP($B44,'6.คีย์ปลายภาค'!$C$6:$EI$50,124,FALSE)</f>
        <v/>
      </c>
      <c r="BP44" s="230" t="str">
        <f>IF(VLOOKUP($B44,'6.คีย์ปลายภาค'!$C$6:$EI$50,128,FALSE)="","",VLOOKUP($B44,'6.คีย์ปลายภาค'!$C$6:$EI$50,128,FALSE))</f>
        <v/>
      </c>
      <c r="BQ44" s="232" t="str">
        <f>VLOOKUP($B44,'6.คีย์ปลายภาค'!$C$6:$EI$50,129,FALSE)</f>
        <v/>
      </c>
      <c r="BR44" s="550" t="str">
        <f>IF(L44="","",IF('2.ชื่อนักเรียน'!R46="มส","",IF('2.ชื่อนักเรียน'!R46="ย้าย","",IF('2.ชื่อนักเรียน'!R46="ร","",SUM(BT44:CR44)/13.5))))</f>
        <v/>
      </c>
      <c r="BS44" s="520" t="str">
        <f>IF('2.ชื่อนักเรียน'!R46="มส","มส",IF('2.ชื่อนักเรียน'!R46="ย้าย","ย้าย",IF('2.ชื่อนักเรียน'!R46="ร","ร",IF(BR44="","",RANK(BR44,$BR$9:$BR$53,0)))))</f>
        <v/>
      </c>
      <c r="BT44" s="118" t="str">
        <f t="shared" si="0"/>
        <v/>
      </c>
      <c r="BU44" s="119" t="str">
        <f t="shared" si="1"/>
        <v/>
      </c>
      <c r="BV44" s="119" t="str">
        <f t="shared" si="2"/>
        <v/>
      </c>
      <c r="BW44" s="110" t="str">
        <f t="shared" si="3"/>
        <v/>
      </c>
      <c r="BX44" s="119" t="str">
        <f t="shared" si="4"/>
        <v/>
      </c>
      <c r="BY44" s="119" t="str">
        <f t="shared" si="5"/>
        <v/>
      </c>
      <c r="BZ44" s="119" t="str">
        <f t="shared" si="6"/>
        <v/>
      </c>
      <c r="CA44" s="119" t="str">
        <f t="shared" si="7"/>
        <v/>
      </c>
      <c r="CB44" s="110" t="str">
        <f t="shared" si="8"/>
        <v/>
      </c>
      <c r="CC44" s="151" t="str">
        <f t="shared" si="9"/>
        <v/>
      </c>
      <c r="CD44" s="151" t="str">
        <f t="shared" si="10"/>
        <v/>
      </c>
      <c r="CE44" s="111" t="str">
        <f t="shared" si="27"/>
        <v/>
      </c>
      <c r="CF44" s="118" t="str">
        <f t="shared" si="12"/>
        <v/>
      </c>
      <c r="CG44" s="119" t="str">
        <f t="shared" si="13"/>
        <v/>
      </c>
      <c r="CH44" s="119" t="str">
        <f t="shared" si="14"/>
        <v/>
      </c>
      <c r="CI44" s="119" t="str">
        <f t="shared" si="15"/>
        <v/>
      </c>
      <c r="CJ44" s="110" t="str">
        <f t="shared" si="16"/>
        <v/>
      </c>
      <c r="CK44" s="110" t="str">
        <f t="shared" si="17"/>
        <v/>
      </c>
      <c r="CL44" s="119" t="str">
        <f t="shared" si="18"/>
        <v/>
      </c>
      <c r="CM44" s="119" t="str">
        <f t="shared" si="19"/>
        <v/>
      </c>
      <c r="CN44" s="120" t="str">
        <f t="shared" si="20"/>
        <v/>
      </c>
      <c r="CO44" s="119" t="str">
        <f t="shared" si="21"/>
        <v/>
      </c>
      <c r="CP44" s="120" t="str">
        <f t="shared" si="22"/>
        <v/>
      </c>
      <c r="CQ44" s="111" t="str">
        <f t="shared" si="26"/>
        <v/>
      </c>
      <c r="CR44" s="494" t="str">
        <f t="shared" si="24"/>
        <v/>
      </c>
      <c r="CS44" s="148">
        <f t="shared" si="25"/>
        <v>0</v>
      </c>
      <c r="CT44" s="21">
        <f>IF('2.ชื่อนักเรียน'!AP46="มส","มส",IF('2.ชื่อนักเรียน'!AP46="ย้าย","ย้าย",IF('2.ชื่อนักเรียน'!AP46="ร","ร",IF(CS44="","",RANK(CS44,$CS$9:$CS$53,0)))))</f>
        <v>1</v>
      </c>
    </row>
    <row r="45" spans="1:98" s="29" customFormat="1" ht="18.75" customHeight="1" x14ac:dyDescent="0.25">
      <c r="A45" s="234">
        <v>37</v>
      </c>
      <c r="B45" s="512" t="str">
        <f>IF(IDstu37="","",IDstu37)</f>
        <v/>
      </c>
      <c r="C45" s="770" t="str">
        <f>IF(Name37="","",Name37)</f>
        <v/>
      </c>
      <c r="D45" s="707"/>
      <c r="E45" s="707"/>
      <c r="F45" s="707"/>
      <c r="G45" s="707" t="str">
        <f>IF(Surname37="","",Surname37)</f>
        <v/>
      </c>
      <c r="H45" s="707"/>
      <c r="I45" s="707"/>
      <c r="J45" s="707"/>
      <c r="K45" s="234" t="str">
        <f>IF(VLOOKUP($B45,'6.คีย์ปลายภาค'!$C$6:$EI$50,8,FALSE)="","",VLOOKUP($B45,'6.คีย์ปลายภาค'!$C$6:$EI$50,8,FALSE))</f>
        <v/>
      </c>
      <c r="L45" s="229" t="str">
        <f>VLOOKUP($B45,'6.คีย์ปลายภาค'!$C$6:$EI$50,9,FALSE)</f>
        <v/>
      </c>
      <c r="M45" s="229" t="str">
        <f>IF(VLOOKUP($B45,'6.คีย์ปลายภาค'!$C$6:$EI$50,13,FALSE)="","",VLOOKUP($B45,'6.คีย์ปลายภาค'!$C$6:$EI$50,13,FALSE))</f>
        <v/>
      </c>
      <c r="N45" s="230" t="str">
        <f>VLOOKUP($B45,'6.คีย์ปลายภาค'!$C$6:$EI$50,14,FALSE)</f>
        <v/>
      </c>
      <c r="O45" s="230" t="str">
        <f>IF(VLOOKUP($B45,'6.คีย์ปลายภาค'!$C$6:$EI$50,18,FALSE)="","",VLOOKUP($B45,'6.คีย์ปลายภาค'!$C$6:$EI$50,18,FALSE))</f>
        <v/>
      </c>
      <c r="P45" s="230" t="str">
        <f>VLOOKUP($B45,'6.คีย์ปลายภาค'!$C$6:$EI$50,19,FALSE)</f>
        <v/>
      </c>
      <c r="Q45" s="230" t="str">
        <f>IF(VLOOKUP($B45,'6.คีย์ปลายภาค'!$C$6:$EI$50,23,FALSE)="","",VLOOKUP($B45,'6.คีย์ปลายภาค'!$C$6:$EI$50,23,FALSE))</f>
        <v/>
      </c>
      <c r="R45" s="230" t="str">
        <f>VLOOKUP($B45,'6.คีย์ปลายภาค'!$C$6:$EI$50,24,FALSE)</f>
        <v/>
      </c>
      <c r="S45" s="230" t="str">
        <f>IF(VLOOKUP($B45,'6.คีย์ปลายภาค'!$C$6:$EI$50,28,FALSE)="","",VLOOKUP($B45,'6.คีย์ปลายภาค'!$C$6:$EI$50,28,FALSE))</f>
        <v/>
      </c>
      <c r="T45" s="230" t="str">
        <f>VLOOKUP($B45,'6.คีย์ปลายภาค'!$C$6:$EI$50,29,FALSE)</f>
        <v/>
      </c>
      <c r="U45" s="230" t="str">
        <f>IF(VLOOKUP($B45,'6.คีย์ปลายภาค'!$C$6:$EI$50,33,FALSE)="","",VLOOKUP($B45,'6.คีย์ปลายภาค'!$C$6:$EI$50,33,FALSE))</f>
        <v/>
      </c>
      <c r="V45" s="230" t="str">
        <f>VLOOKUP($B45,'6.คีย์ปลายภาค'!$C$6:$EI$50,34,FALSE)</f>
        <v/>
      </c>
      <c r="W45" s="230" t="str">
        <f>IF(VLOOKUP($B45,'6.คีย์ปลายภาค'!$C$6:$EI$50,38,FALSE)="","",VLOOKUP($B45,'6.คีย์ปลายภาค'!$C$6:$EI$50,38,FALSE))</f>
        <v/>
      </c>
      <c r="X45" s="230" t="str">
        <f>VLOOKUP($B45,'6.คีย์ปลายภาค'!$C$6:$EI$50,39,FALSE)</f>
        <v/>
      </c>
      <c r="Y45" s="230" t="str">
        <f>IF(VLOOKUP($B45,'6.คีย์ปลายภาค'!$C$6:$EI$50,43,FALSE)="","",VLOOKUP($B45,'6.คีย์ปลายภาค'!$C$6:$EI$50,43,FALSE))</f>
        <v/>
      </c>
      <c r="Z45" s="230" t="str">
        <f>VLOOKUP($B45,'6.คีย์ปลายภาค'!$C$6:$EI$50,44,FALSE)</f>
        <v/>
      </c>
      <c r="AA45" s="230" t="str">
        <f>IF(VLOOKUP($B45,'6.คีย์ปลายภาค'!$C$6:$EI$50,48,FALSE)="","",VLOOKUP($B45,'6.คีย์ปลายภาค'!$C$6:$EI$50,48,FALSE))</f>
        <v/>
      </c>
      <c r="AB45" s="230" t="str">
        <f>VLOOKUP($B45,'6.คีย์ปลายภาค'!$C$6:$EI$50,49,FALSE)</f>
        <v/>
      </c>
      <c r="AC45" s="231" t="str">
        <f>IF(VLOOKUP($B45,'6.คีย์ปลายภาค'!$C$6:$EI$50,53,FALSE)="","",VLOOKUP($B45,'6.คีย์ปลายภาค'!$C$6:$EI$50,53,FALSE))</f>
        <v/>
      </c>
      <c r="AD45" s="231" t="str">
        <f>VLOOKUP($B45,'6.คีย์ปลายภาค'!$C$6:$EI$50,54,FALSE)</f>
        <v/>
      </c>
      <c r="AE45" s="231" t="str">
        <f>IF(VLOOKUP($B45,'6.คีย์ปลายภาค'!$C$6:$EI$50,58,FALSE)="","",VLOOKUP($B45,'6.คีย์ปลายภาค'!$C$6:$EI$50,58,FALSE))</f>
        <v/>
      </c>
      <c r="AF45" s="231" t="str">
        <f>VLOOKUP($B45,'6.คีย์ปลายภาค'!$C$6:$EI$50,59,FALSE)</f>
        <v/>
      </c>
      <c r="AG45" s="231" t="str">
        <f>IF(VLOOKUP($B45,'6.คีย์ปลายภาค'!$C$6:$EI$50,63,FALSE)="","",VLOOKUP($B45,'6.คีย์ปลายภาค'!$C$6:$EI$50,63,FALSE))</f>
        <v/>
      </c>
      <c r="AH45" s="232" t="str">
        <f>VLOOKUP($B45,'6.คีย์ปลายภาค'!$C$6:$EI$50,64,FALSE)</f>
        <v/>
      </c>
      <c r="AI45" s="31">
        <v>37</v>
      </c>
      <c r="AJ45" s="770" t="str">
        <f>IF(Name37="","",Name37)</f>
        <v/>
      </c>
      <c r="AK45" s="707"/>
      <c r="AL45" s="707"/>
      <c r="AM45" s="707"/>
      <c r="AN45" s="707" t="str">
        <f>IF(Surname37="","",Surname37)</f>
        <v/>
      </c>
      <c r="AO45" s="707"/>
      <c r="AP45" s="707"/>
      <c r="AQ45" s="707"/>
      <c r="AR45" s="234" t="str">
        <f>IF(VLOOKUP($B45,'6.คีย์ปลายภาค'!$C$6:$EI$50,68,FALSE)="","",VLOOKUP($B45,'6.คีย์ปลายภาค'!$C$6:$EI$50,68,FALSE))</f>
        <v/>
      </c>
      <c r="AS45" s="230" t="str">
        <f>VLOOKUP($B45,'6.คีย์ปลายภาค'!$C$6:$EI$50,69,FALSE)</f>
        <v/>
      </c>
      <c r="AT45" s="230" t="str">
        <f>IF(VLOOKUP($B45,'6.คีย์ปลายภาค'!$C$6:$EI$50,73,FALSE)="","",VLOOKUP($B45,'6.คีย์ปลายภาค'!$C$6:$EI$50,73,FALSE))</f>
        <v/>
      </c>
      <c r="AU45" s="230" t="str">
        <f>VLOOKUP($B45,'6.คีย์ปลายภาค'!$C$6:$EI$50,74,FALSE)</f>
        <v/>
      </c>
      <c r="AV45" s="230" t="str">
        <f>IF(VLOOKUP($B45,'6.คีย์ปลายภาค'!$C$6:$EI$50,78,FALSE)="","",VLOOKUP($B45,'6.คีย์ปลายภาค'!$C$6:$EI$50,78,FALSE))</f>
        <v/>
      </c>
      <c r="AW45" s="230" t="str">
        <f>VLOOKUP($B45,'6.คีย์ปลายภาค'!$C$6:$EI$50,79,FALSE)</f>
        <v/>
      </c>
      <c r="AX45" s="230" t="str">
        <f>IF(VLOOKUP($B45,'6.คีย์ปลายภาค'!$C$6:$EI$50,83,FALSE)="","",VLOOKUP($B45,'6.คีย์ปลายภาค'!$C$6:$EI$50,83,FALSE))</f>
        <v/>
      </c>
      <c r="AY45" s="230" t="str">
        <f>VLOOKUP($B45,'6.คีย์ปลายภาค'!$C$6:$EI$50,84,FALSE)</f>
        <v/>
      </c>
      <c r="AZ45" s="230" t="str">
        <f>IF(VLOOKUP($B45,'6.คีย์ปลายภาค'!$C$6:$EI$50,88,FALSE)="","",VLOOKUP($B45,'6.คีย์ปลายภาค'!$C$6:$EI$50,88,FALSE))</f>
        <v/>
      </c>
      <c r="BA45" s="230" t="str">
        <f>VLOOKUP($B45,'6.คีย์ปลายภาค'!$C$6:$EI$50,89,FALSE)</f>
        <v/>
      </c>
      <c r="BB45" s="230" t="str">
        <f>IF(VLOOKUP($B45,'6.คีย์ปลายภาค'!$C$6:$EI$50,93,FALSE)="","",VLOOKUP($B45,'6.คีย์ปลายภาค'!$C$6:$EI$50,93,FALSE))</f>
        <v/>
      </c>
      <c r="BC45" s="230" t="str">
        <f>VLOOKUP($B45,'6.คีย์ปลายภาค'!$C$6:$EI$50,94,FALSE)</f>
        <v/>
      </c>
      <c r="BD45" s="230" t="str">
        <f>IF(VLOOKUP($B45,'6.คีย์ปลายภาค'!$C$6:$EI$50,98,FALSE)="","",VLOOKUP($B45,'6.คีย์ปลายภาค'!$C$6:$EI$50,98,FALSE))</f>
        <v/>
      </c>
      <c r="BE45" s="230" t="str">
        <f>VLOOKUP($B45,'6.คีย์ปลายภาค'!$C$6:$EI$50,99,FALSE)</f>
        <v/>
      </c>
      <c r="BF45" s="230" t="str">
        <f>IF(VLOOKUP($B45,'6.คีย์ปลายภาค'!$C$6:$EI$50,103,FALSE)="","",VLOOKUP($B45,'6.คีย์ปลายภาค'!$C$6:$EI$50,103,FALSE))</f>
        <v/>
      </c>
      <c r="BG45" s="230" t="str">
        <f>VLOOKUP($B45,'6.คีย์ปลายภาค'!$C$6:$EI$50,104,FALSE)</f>
        <v/>
      </c>
      <c r="BH45" s="230" t="str">
        <f>IF(VLOOKUP($B45,'6.คีย์ปลายภาค'!$C$6:$EI$50,108,FALSE)="","",VLOOKUP($B45,'6.คีย์ปลายภาค'!$C$6:$EI$50,108,FALSE))</f>
        <v/>
      </c>
      <c r="BI45" s="230" t="str">
        <f>VLOOKUP($B45,'6.คีย์ปลายภาค'!$C$6:$EI$50,109,FALSE)</f>
        <v/>
      </c>
      <c r="BJ45" s="230" t="str">
        <f>IF(VLOOKUP($B45,'6.คีย์ปลายภาค'!$C$6:$EI$50,113,FALSE)="","",VLOOKUP($B45,'6.คีย์ปลายภาค'!$C$6:$EI$50,113,FALSE))</f>
        <v/>
      </c>
      <c r="BK45" s="230" t="str">
        <f>VLOOKUP($B45,'6.คีย์ปลายภาค'!$C$6:$EI$50,114,FALSE)</f>
        <v/>
      </c>
      <c r="BL45" s="230" t="str">
        <f>IF(VLOOKUP($B45,'6.คีย์ปลายภาค'!$C$6:$EI$50,118,FALSE)="","",VLOOKUP($B45,'6.คีย์ปลายภาค'!$C$6:$EI$50,118,FALSE))</f>
        <v/>
      </c>
      <c r="BM45" s="230" t="str">
        <f>VLOOKUP($B45,'6.คีย์ปลายภาค'!$C$6:$EI$50,119,FALSE)</f>
        <v/>
      </c>
      <c r="BN45" s="230" t="str">
        <f>IF(VLOOKUP($B45,'6.คีย์ปลายภาค'!$C$6:$EI$50,123,FALSE)="","",VLOOKUP($B45,'6.คีย์ปลายภาค'!$C$6:$EI$50,123,FALSE))</f>
        <v/>
      </c>
      <c r="BO45" s="230" t="str">
        <f>VLOOKUP($B45,'6.คีย์ปลายภาค'!$C$6:$EI$50,124,FALSE)</f>
        <v/>
      </c>
      <c r="BP45" s="230" t="str">
        <f>IF(VLOOKUP($B45,'6.คีย์ปลายภาค'!$C$6:$EI$50,128,FALSE)="","",VLOOKUP($B45,'6.คีย์ปลายภาค'!$C$6:$EI$50,128,FALSE))</f>
        <v/>
      </c>
      <c r="BQ45" s="232" t="str">
        <f>VLOOKUP($B45,'6.คีย์ปลายภาค'!$C$6:$EI$50,129,FALSE)</f>
        <v/>
      </c>
      <c r="BR45" s="550" t="str">
        <f>IF(L45="","",IF('2.ชื่อนักเรียน'!R47="มส","",IF('2.ชื่อนักเรียน'!R47="ย้าย","",IF('2.ชื่อนักเรียน'!R47="ร","",SUM(BT45:CR45)/13.5))))</f>
        <v/>
      </c>
      <c r="BS45" s="520" t="str">
        <f>IF('2.ชื่อนักเรียน'!R47="มส","มส",IF('2.ชื่อนักเรียน'!R47="ย้าย","ย้าย",IF('2.ชื่อนักเรียน'!R47="ร","ร",IF(BR45="","",RANK(BR45,$BR$9:$BR$53,0)))))</f>
        <v/>
      </c>
      <c r="BT45" s="118" t="str">
        <f t="shared" si="0"/>
        <v/>
      </c>
      <c r="BU45" s="119" t="str">
        <f t="shared" si="1"/>
        <v/>
      </c>
      <c r="BV45" s="119" t="str">
        <f t="shared" si="2"/>
        <v/>
      </c>
      <c r="BW45" s="110" t="str">
        <f t="shared" si="3"/>
        <v/>
      </c>
      <c r="BX45" s="110" t="str">
        <f t="shared" si="4"/>
        <v/>
      </c>
      <c r="BY45" s="110" t="str">
        <f t="shared" si="5"/>
        <v/>
      </c>
      <c r="BZ45" s="119" t="str">
        <f t="shared" si="6"/>
        <v/>
      </c>
      <c r="CA45" s="119" t="str">
        <f t="shared" si="7"/>
        <v/>
      </c>
      <c r="CB45" s="110" t="str">
        <f t="shared" si="8"/>
        <v/>
      </c>
      <c r="CC45" s="151" t="str">
        <f t="shared" si="9"/>
        <v/>
      </c>
      <c r="CD45" s="151" t="str">
        <f t="shared" si="10"/>
        <v/>
      </c>
      <c r="CE45" s="111" t="str">
        <f t="shared" si="27"/>
        <v/>
      </c>
      <c r="CF45" s="118" t="str">
        <f t="shared" si="12"/>
        <v/>
      </c>
      <c r="CG45" s="119" t="str">
        <f t="shared" si="13"/>
        <v/>
      </c>
      <c r="CH45" s="119" t="str">
        <f t="shared" si="14"/>
        <v/>
      </c>
      <c r="CI45" s="119" t="str">
        <f t="shared" si="15"/>
        <v/>
      </c>
      <c r="CJ45" s="110" t="str">
        <f t="shared" si="16"/>
        <v/>
      </c>
      <c r="CK45" s="110" t="str">
        <f t="shared" si="17"/>
        <v/>
      </c>
      <c r="CL45" s="119" t="str">
        <f t="shared" si="18"/>
        <v/>
      </c>
      <c r="CM45" s="119" t="str">
        <f t="shared" si="19"/>
        <v/>
      </c>
      <c r="CN45" s="120" t="str">
        <f t="shared" si="20"/>
        <v/>
      </c>
      <c r="CO45" s="119" t="str">
        <f t="shared" si="21"/>
        <v/>
      </c>
      <c r="CP45" s="120" t="str">
        <f t="shared" si="22"/>
        <v/>
      </c>
      <c r="CQ45" s="111" t="str">
        <f t="shared" si="26"/>
        <v/>
      </c>
      <c r="CR45" s="494" t="str">
        <f t="shared" si="24"/>
        <v/>
      </c>
      <c r="CS45" s="148">
        <f t="shared" si="25"/>
        <v>0</v>
      </c>
      <c r="CT45" s="21">
        <f>IF('2.ชื่อนักเรียน'!AP47="มส","มส",IF('2.ชื่อนักเรียน'!AP47="ย้าย","ย้าย",IF('2.ชื่อนักเรียน'!AP47="ร","ร",IF(CS45="","",RANK(CS45,$CS$9:$CS$53,0)))))</f>
        <v>1</v>
      </c>
    </row>
    <row r="46" spans="1:98" s="29" customFormat="1" ht="18.75" customHeight="1" x14ac:dyDescent="0.25">
      <c r="A46" s="234">
        <v>38</v>
      </c>
      <c r="B46" s="512" t="str">
        <f>IF(IDstu38="","",IDstu38)</f>
        <v/>
      </c>
      <c r="C46" s="770" t="str">
        <f>IF(Name38="","",Name38)</f>
        <v/>
      </c>
      <c r="D46" s="707"/>
      <c r="E46" s="707"/>
      <c r="F46" s="707"/>
      <c r="G46" s="707" t="str">
        <f>IF(Surname38="","",Surname38)</f>
        <v/>
      </c>
      <c r="H46" s="707"/>
      <c r="I46" s="707"/>
      <c r="J46" s="707"/>
      <c r="K46" s="234" t="str">
        <f>IF(VLOOKUP($B46,'6.คีย์ปลายภาค'!$C$6:$EI$50,8,FALSE)="","",VLOOKUP($B46,'6.คีย์ปลายภาค'!$C$6:$EI$50,8,FALSE))</f>
        <v/>
      </c>
      <c r="L46" s="229" t="str">
        <f>VLOOKUP($B46,'6.คีย์ปลายภาค'!$C$6:$EI$50,9,FALSE)</f>
        <v/>
      </c>
      <c r="M46" s="229" t="str">
        <f>IF(VLOOKUP($B46,'6.คีย์ปลายภาค'!$C$6:$EI$50,13,FALSE)="","",VLOOKUP($B46,'6.คีย์ปลายภาค'!$C$6:$EI$50,13,FALSE))</f>
        <v/>
      </c>
      <c r="N46" s="230" t="str">
        <f>VLOOKUP($B46,'6.คีย์ปลายภาค'!$C$6:$EI$50,14,FALSE)</f>
        <v/>
      </c>
      <c r="O46" s="230" t="str">
        <f>IF(VLOOKUP($B46,'6.คีย์ปลายภาค'!$C$6:$EI$50,18,FALSE)="","",VLOOKUP($B46,'6.คีย์ปลายภาค'!$C$6:$EI$50,18,FALSE))</f>
        <v/>
      </c>
      <c r="P46" s="230" t="str">
        <f>VLOOKUP($B46,'6.คีย์ปลายภาค'!$C$6:$EI$50,19,FALSE)</f>
        <v/>
      </c>
      <c r="Q46" s="230" t="str">
        <f>IF(VLOOKUP($B46,'6.คีย์ปลายภาค'!$C$6:$EI$50,23,FALSE)="","",VLOOKUP($B46,'6.คีย์ปลายภาค'!$C$6:$EI$50,23,FALSE))</f>
        <v/>
      </c>
      <c r="R46" s="230" t="str">
        <f>VLOOKUP($B46,'6.คีย์ปลายภาค'!$C$6:$EI$50,24,FALSE)</f>
        <v/>
      </c>
      <c r="S46" s="230" t="str">
        <f>IF(VLOOKUP($B46,'6.คีย์ปลายภาค'!$C$6:$EI$50,28,FALSE)="","",VLOOKUP($B46,'6.คีย์ปลายภาค'!$C$6:$EI$50,28,FALSE))</f>
        <v/>
      </c>
      <c r="T46" s="230" t="str">
        <f>VLOOKUP($B46,'6.คีย์ปลายภาค'!$C$6:$EI$50,29,FALSE)</f>
        <v/>
      </c>
      <c r="U46" s="230" t="str">
        <f>IF(VLOOKUP($B46,'6.คีย์ปลายภาค'!$C$6:$EI$50,33,FALSE)="","",VLOOKUP($B46,'6.คีย์ปลายภาค'!$C$6:$EI$50,33,FALSE))</f>
        <v/>
      </c>
      <c r="V46" s="230" t="str">
        <f>VLOOKUP($B46,'6.คีย์ปลายภาค'!$C$6:$EI$50,34,FALSE)</f>
        <v/>
      </c>
      <c r="W46" s="230" t="str">
        <f>IF(VLOOKUP($B46,'6.คีย์ปลายภาค'!$C$6:$EI$50,38,FALSE)="","",VLOOKUP($B46,'6.คีย์ปลายภาค'!$C$6:$EI$50,38,FALSE))</f>
        <v/>
      </c>
      <c r="X46" s="230" t="str">
        <f>VLOOKUP($B46,'6.คีย์ปลายภาค'!$C$6:$EI$50,39,FALSE)</f>
        <v/>
      </c>
      <c r="Y46" s="230" t="str">
        <f>IF(VLOOKUP($B46,'6.คีย์ปลายภาค'!$C$6:$EI$50,43,FALSE)="","",VLOOKUP($B46,'6.คีย์ปลายภาค'!$C$6:$EI$50,43,FALSE))</f>
        <v/>
      </c>
      <c r="Z46" s="230" t="str">
        <f>VLOOKUP($B46,'6.คีย์ปลายภาค'!$C$6:$EI$50,44,FALSE)</f>
        <v/>
      </c>
      <c r="AA46" s="230" t="str">
        <f>IF(VLOOKUP($B46,'6.คีย์ปลายภาค'!$C$6:$EI$50,48,FALSE)="","",VLOOKUP($B46,'6.คีย์ปลายภาค'!$C$6:$EI$50,48,FALSE))</f>
        <v/>
      </c>
      <c r="AB46" s="230" t="str">
        <f>VLOOKUP($B46,'6.คีย์ปลายภาค'!$C$6:$EI$50,49,FALSE)</f>
        <v/>
      </c>
      <c r="AC46" s="231" t="str">
        <f>IF(VLOOKUP($B46,'6.คีย์ปลายภาค'!$C$6:$EI$50,53,FALSE)="","",VLOOKUP($B46,'6.คีย์ปลายภาค'!$C$6:$EI$50,53,FALSE))</f>
        <v/>
      </c>
      <c r="AD46" s="231" t="str">
        <f>VLOOKUP($B46,'6.คีย์ปลายภาค'!$C$6:$EI$50,54,FALSE)</f>
        <v/>
      </c>
      <c r="AE46" s="231" t="str">
        <f>IF(VLOOKUP($B46,'6.คีย์ปลายภาค'!$C$6:$EI$50,58,FALSE)="","",VLOOKUP($B46,'6.คีย์ปลายภาค'!$C$6:$EI$50,58,FALSE))</f>
        <v/>
      </c>
      <c r="AF46" s="231" t="str">
        <f>VLOOKUP($B46,'6.คีย์ปลายภาค'!$C$6:$EI$50,59,FALSE)</f>
        <v/>
      </c>
      <c r="AG46" s="231" t="str">
        <f>IF(VLOOKUP($B46,'6.คีย์ปลายภาค'!$C$6:$EI$50,63,FALSE)="","",VLOOKUP($B46,'6.คีย์ปลายภาค'!$C$6:$EI$50,63,FALSE))</f>
        <v/>
      </c>
      <c r="AH46" s="232" t="str">
        <f>VLOOKUP($B46,'6.คีย์ปลายภาค'!$C$6:$EI$50,64,FALSE)</f>
        <v/>
      </c>
      <c r="AI46" s="31">
        <v>38</v>
      </c>
      <c r="AJ46" s="770" t="str">
        <f>IF(Name38="","",Name38)</f>
        <v/>
      </c>
      <c r="AK46" s="707"/>
      <c r="AL46" s="707"/>
      <c r="AM46" s="707"/>
      <c r="AN46" s="707" t="str">
        <f>IF(Surname38="","",Surname38)</f>
        <v/>
      </c>
      <c r="AO46" s="707"/>
      <c r="AP46" s="707"/>
      <c r="AQ46" s="707"/>
      <c r="AR46" s="234" t="str">
        <f>IF(VLOOKUP($B46,'6.คีย์ปลายภาค'!$C$6:$EI$50,68,FALSE)="","",VLOOKUP($B46,'6.คีย์ปลายภาค'!$C$6:$EI$50,68,FALSE))</f>
        <v/>
      </c>
      <c r="AS46" s="230" t="str">
        <f>VLOOKUP($B46,'6.คีย์ปลายภาค'!$C$6:$EI$50,69,FALSE)</f>
        <v/>
      </c>
      <c r="AT46" s="230" t="str">
        <f>IF(VLOOKUP($B46,'6.คีย์ปลายภาค'!$C$6:$EI$50,73,FALSE)="","",VLOOKUP($B46,'6.คีย์ปลายภาค'!$C$6:$EI$50,73,FALSE))</f>
        <v/>
      </c>
      <c r="AU46" s="230" t="str">
        <f>VLOOKUP($B46,'6.คีย์ปลายภาค'!$C$6:$EI$50,74,FALSE)</f>
        <v/>
      </c>
      <c r="AV46" s="230" t="str">
        <f>IF(VLOOKUP($B46,'6.คีย์ปลายภาค'!$C$6:$EI$50,78,FALSE)="","",VLOOKUP($B46,'6.คีย์ปลายภาค'!$C$6:$EI$50,78,FALSE))</f>
        <v/>
      </c>
      <c r="AW46" s="230" t="str">
        <f>VLOOKUP($B46,'6.คีย์ปลายภาค'!$C$6:$EI$50,79,FALSE)</f>
        <v/>
      </c>
      <c r="AX46" s="230" t="str">
        <f>IF(VLOOKUP($B46,'6.คีย์ปลายภาค'!$C$6:$EI$50,83,FALSE)="","",VLOOKUP($B46,'6.คีย์ปลายภาค'!$C$6:$EI$50,83,FALSE))</f>
        <v/>
      </c>
      <c r="AY46" s="230" t="str">
        <f>VLOOKUP($B46,'6.คีย์ปลายภาค'!$C$6:$EI$50,84,FALSE)</f>
        <v/>
      </c>
      <c r="AZ46" s="230" t="str">
        <f>IF(VLOOKUP($B46,'6.คีย์ปลายภาค'!$C$6:$EI$50,88,FALSE)="","",VLOOKUP($B46,'6.คีย์ปลายภาค'!$C$6:$EI$50,88,FALSE))</f>
        <v/>
      </c>
      <c r="BA46" s="230" t="str">
        <f>VLOOKUP($B46,'6.คีย์ปลายภาค'!$C$6:$EI$50,89,FALSE)</f>
        <v/>
      </c>
      <c r="BB46" s="230" t="str">
        <f>IF(VLOOKUP($B46,'6.คีย์ปลายภาค'!$C$6:$EI$50,93,FALSE)="","",VLOOKUP($B46,'6.คีย์ปลายภาค'!$C$6:$EI$50,93,FALSE))</f>
        <v/>
      </c>
      <c r="BC46" s="230" t="str">
        <f>VLOOKUP($B46,'6.คีย์ปลายภาค'!$C$6:$EI$50,94,FALSE)</f>
        <v/>
      </c>
      <c r="BD46" s="230" t="str">
        <f>IF(VLOOKUP($B46,'6.คีย์ปลายภาค'!$C$6:$EI$50,98,FALSE)="","",VLOOKUP($B46,'6.คีย์ปลายภาค'!$C$6:$EI$50,98,FALSE))</f>
        <v/>
      </c>
      <c r="BE46" s="230" t="str">
        <f>VLOOKUP($B46,'6.คีย์ปลายภาค'!$C$6:$EI$50,99,FALSE)</f>
        <v/>
      </c>
      <c r="BF46" s="230" t="str">
        <f>IF(VLOOKUP($B46,'6.คีย์ปลายภาค'!$C$6:$EI$50,103,FALSE)="","",VLOOKUP($B46,'6.คีย์ปลายภาค'!$C$6:$EI$50,103,FALSE))</f>
        <v/>
      </c>
      <c r="BG46" s="230" t="str">
        <f>VLOOKUP($B46,'6.คีย์ปลายภาค'!$C$6:$EI$50,104,FALSE)</f>
        <v/>
      </c>
      <c r="BH46" s="230" t="str">
        <f>IF(VLOOKUP($B46,'6.คีย์ปลายภาค'!$C$6:$EI$50,108,FALSE)="","",VLOOKUP($B46,'6.คีย์ปลายภาค'!$C$6:$EI$50,108,FALSE))</f>
        <v/>
      </c>
      <c r="BI46" s="230" t="str">
        <f>VLOOKUP($B46,'6.คีย์ปลายภาค'!$C$6:$EI$50,109,FALSE)</f>
        <v/>
      </c>
      <c r="BJ46" s="230" t="str">
        <f>IF(VLOOKUP($B46,'6.คีย์ปลายภาค'!$C$6:$EI$50,113,FALSE)="","",VLOOKUP($B46,'6.คีย์ปลายภาค'!$C$6:$EI$50,113,FALSE))</f>
        <v/>
      </c>
      <c r="BK46" s="230" t="str">
        <f>VLOOKUP($B46,'6.คีย์ปลายภาค'!$C$6:$EI$50,114,FALSE)</f>
        <v/>
      </c>
      <c r="BL46" s="230" t="str">
        <f>IF(VLOOKUP($B46,'6.คีย์ปลายภาค'!$C$6:$EI$50,118,FALSE)="","",VLOOKUP($B46,'6.คีย์ปลายภาค'!$C$6:$EI$50,118,FALSE))</f>
        <v/>
      </c>
      <c r="BM46" s="230" t="str">
        <f>VLOOKUP($B46,'6.คีย์ปลายภาค'!$C$6:$EI$50,119,FALSE)</f>
        <v/>
      </c>
      <c r="BN46" s="230" t="str">
        <f>IF(VLOOKUP($B46,'6.คีย์ปลายภาค'!$C$6:$EI$50,123,FALSE)="","",VLOOKUP($B46,'6.คีย์ปลายภาค'!$C$6:$EI$50,123,FALSE))</f>
        <v/>
      </c>
      <c r="BO46" s="230" t="str">
        <f>VLOOKUP($B46,'6.คีย์ปลายภาค'!$C$6:$EI$50,124,FALSE)</f>
        <v/>
      </c>
      <c r="BP46" s="230" t="str">
        <f>IF(VLOOKUP($B46,'6.คีย์ปลายภาค'!$C$6:$EI$50,128,FALSE)="","",VLOOKUP($B46,'6.คีย์ปลายภาค'!$C$6:$EI$50,128,FALSE))</f>
        <v/>
      </c>
      <c r="BQ46" s="232" t="str">
        <f>VLOOKUP($B46,'6.คีย์ปลายภาค'!$C$6:$EI$50,129,FALSE)</f>
        <v/>
      </c>
      <c r="BR46" s="550" t="str">
        <f>IF(L46="","",IF('2.ชื่อนักเรียน'!R48="มส","",IF('2.ชื่อนักเรียน'!R48="ย้าย","",IF('2.ชื่อนักเรียน'!R48="ร","",SUM(BT46:CR46)/13.5))))</f>
        <v/>
      </c>
      <c r="BS46" s="520" t="str">
        <f>IF('2.ชื่อนักเรียน'!R48="มส","มส",IF('2.ชื่อนักเรียน'!R48="ย้าย","ย้าย",IF('2.ชื่อนักเรียน'!R48="ร","ร",IF(BR46="","",RANK(BR46,$BR$9:$BR$53,0)))))</f>
        <v/>
      </c>
      <c r="BT46" s="118" t="str">
        <f t="shared" si="0"/>
        <v/>
      </c>
      <c r="BU46" s="119" t="str">
        <f t="shared" si="1"/>
        <v/>
      </c>
      <c r="BV46" s="119" t="str">
        <f t="shared" si="2"/>
        <v/>
      </c>
      <c r="BW46" s="110" t="str">
        <f t="shared" si="3"/>
        <v/>
      </c>
      <c r="BX46" s="110" t="str">
        <f t="shared" si="4"/>
        <v/>
      </c>
      <c r="BY46" s="110" t="str">
        <f t="shared" si="5"/>
        <v/>
      </c>
      <c r="BZ46" s="119" t="str">
        <f t="shared" si="6"/>
        <v/>
      </c>
      <c r="CA46" s="119" t="str">
        <f t="shared" si="7"/>
        <v/>
      </c>
      <c r="CB46" s="110" t="str">
        <f t="shared" si="8"/>
        <v/>
      </c>
      <c r="CC46" s="151" t="str">
        <f t="shared" si="9"/>
        <v/>
      </c>
      <c r="CD46" s="151" t="str">
        <f t="shared" si="10"/>
        <v/>
      </c>
      <c r="CE46" s="111" t="str">
        <f t="shared" si="27"/>
        <v/>
      </c>
      <c r="CF46" s="118" t="str">
        <f t="shared" si="12"/>
        <v/>
      </c>
      <c r="CG46" s="119" t="str">
        <f t="shared" si="13"/>
        <v/>
      </c>
      <c r="CH46" s="119" t="str">
        <f t="shared" si="14"/>
        <v/>
      </c>
      <c r="CI46" s="119" t="str">
        <f t="shared" si="15"/>
        <v/>
      </c>
      <c r="CJ46" s="110" t="str">
        <f t="shared" si="16"/>
        <v/>
      </c>
      <c r="CK46" s="110" t="str">
        <f t="shared" si="17"/>
        <v/>
      </c>
      <c r="CL46" s="119" t="str">
        <f t="shared" si="18"/>
        <v/>
      </c>
      <c r="CM46" s="119" t="str">
        <f t="shared" si="19"/>
        <v/>
      </c>
      <c r="CN46" s="120" t="str">
        <f t="shared" si="20"/>
        <v/>
      </c>
      <c r="CO46" s="119" t="str">
        <f t="shared" si="21"/>
        <v/>
      </c>
      <c r="CP46" s="120" t="str">
        <f t="shared" si="22"/>
        <v/>
      </c>
      <c r="CQ46" s="111" t="str">
        <f t="shared" si="26"/>
        <v/>
      </c>
      <c r="CR46" s="494" t="str">
        <f t="shared" si="24"/>
        <v/>
      </c>
      <c r="CS46" s="148">
        <f t="shared" si="25"/>
        <v>0</v>
      </c>
      <c r="CT46" s="21">
        <f>IF('2.ชื่อนักเรียน'!AP48="มส","มส",IF('2.ชื่อนักเรียน'!AP48="ย้าย","ย้าย",IF('2.ชื่อนักเรียน'!AP48="ร","ร",IF(CS46="","",RANK(CS46,$CS$9:$CS$53,0)))))</f>
        <v>1</v>
      </c>
    </row>
    <row r="47" spans="1:98" s="29" customFormat="1" ht="18.75" customHeight="1" x14ac:dyDescent="0.25">
      <c r="A47" s="234">
        <v>39</v>
      </c>
      <c r="B47" s="512" t="str">
        <f>IF(IDstu39="","",IDstu39)</f>
        <v/>
      </c>
      <c r="C47" s="770" t="str">
        <f>IF(Name39="","",Name39)</f>
        <v/>
      </c>
      <c r="D47" s="707"/>
      <c r="E47" s="707"/>
      <c r="F47" s="707"/>
      <c r="G47" s="707" t="str">
        <f>IF(Surname39="","",Surname39)</f>
        <v/>
      </c>
      <c r="H47" s="707"/>
      <c r="I47" s="707"/>
      <c r="J47" s="707"/>
      <c r="K47" s="234" t="str">
        <f>IF(VLOOKUP($B47,'6.คีย์ปลายภาค'!$C$6:$EI$50,8,FALSE)="","",VLOOKUP($B47,'6.คีย์ปลายภาค'!$C$6:$EI$50,8,FALSE))</f>
        <v/>
      </c>
      <c r="L47" s="229" t="str">
        <f>VLOOKUP($B47,'6.คีย์ปลายภาค'!$C$6:$EI$50,9,FALSE)</f>
        <v/>
      </c>
      <c r="M47" s="229" t="str">
        <f>IF(VLOOKUP($B47,'6.คีย์ปลายภาค'!$C$6:$EI$50,13,FALSE)="","",VLOOKUP($B47,'6.คีย์ปลายภาค'!$C$6:$EI$50,13,FALSE))</f>
        <v/>
      </c>
      <c r="N47" s="230" t="str">
        <f>VLOOKUP($B47,'6.คีย์ปลายภาค'!$C$6:$EI$50,14,FALSE)</f>
        <v/>
      </c>
      <c r="O47" s="230" t="str">
        <f>IF(VLOOKUP($B47,'6.คีย์ปลายภาค'!$C$6:$EI$50,18,FALSE)="","",VLOOKUP($B47,'6.คีย์ปลายภาค'!$C$6:$EI$50,18,FALSE))</f>
        <v/>
      </c>
      <c r="P47" s="230" t="str">
        <f>VLOOKUP($B47,'6.คีย์ปลายภาค'!$C$6:$EI$50,19,FALSE)</f>
        <v/>
      </c>
      <c r="Q47" s="230" t="str">
        <f>IF(VLOOKUP($B47,'6.คีย์ปลายภาค'!$C$6:$EI$50,23,FALSE)="","",VLOOKUP($B47,'6.คีย์ปลายภาค'!$C$6:$EI$50,23,FALSE))</f>
        <v/>
      </c>
      <c r="R47" s="230" t="str">
        <f>VLOOKUP($B47,'6.คีย์ปลายภาค'!$C$6:$EI$50,24,FALSE)</f>
        <v/>
      </c>
      <c r="S47" s="230" t="str">
        <f>IF(VLOOKUP($B47,'6.คีย์ปลายภาค'!$C$6:$EI$50,28,FALSE)="","",VLOOKUP($B47,'6.คีย์ปลายภาค'!$C$6:$EI$50,28,FALSE))</f>
        <v/>
      </c>
      <c r="T47" s="230" t="str">
        <f>VLOOKUP($B47,'6.คีย์ปลายภาค'!$C$6:$EI$50,29,FALSE)</f>
        <v/>
      </c>
      <c r="U47" s="230" t="str">
        <f>IF(VLOOKUP($B47,'6.คีย์ปลายภาค'!$C$6:$EI$50,33,FALSE)="","",VLOOKUP($B47,'6.คีย์ปลายภาค'!$C$6:$EI$50,33,FALSE))</f>
        <v/>
      </c>
      <c r="V47" s="230" t="str">
        <f>VLOOKUP($B47,'6.คีย์ปลายภาค'!$C$6:$EI$50,34,FALSE)</f>
        <v/>
      </c>
      <c r="W47" s="230" t="str">
        <f>IF(VLOOKUP($B47,'6.คีย์ปลายภาค'!$C$6:$EI$50,38,FALSE)="","",VLOOKUP($B47,'6.คีย์ปลายภาค'!$C$6:$EI$50,38,FALSE))</f>
        <v/>
      </c>
      <c r="X47" s="230" t="str">
        <f>VLOOKUP($B47,'6.คีย์ปลายภาค'!$C$6:$EI$50,39,FALSE)</f>
        <v/>
      </c>
      <c r="Y47" s="230" t="str">
        <f>IF(VLOOKUP($B47,'6.คีย์ปลายภาค'!$C$6:$EI$50,43,FALSE)="","",VLOOKUP($B47,'6.คีย์ปลายภาค'!$C$6:$EI$50,43,FALSE))</f>
        <v/>
      </c>
      <c r="Z47" s="230" t="str">
        <f>VLOOKUP($B47,'6.คีย์ปลายภาค'!$C$6:$EI$50,44,FALSE)</f>
        <v/>
      </c>
      <c r="AA47" s="230" t="str">
        <f>IF(VLOOKUP($B47,'6.คีย์ปลายภาค'!$C$6:$EI$50,48,FALSE)="","",VLOOKUP($B47,'6.คีย์ปลายภาค'!$C$6:$EI$50,48,FALSE))</f>
        <v/>
      </c>
      <c r="AB47" s="230" t="str">
        <f>VLOOKUP($B47,'6.คีย์ปลายภาค'!$C$6:$EI$50,49,FALSE)</f>
        <v/>
      </c>
      <c r="AC47" s="231" t="str">
        <f>IF(VLOOKUP($B47,'6.คีย์ปลายภาค'!$C$6:$EI$50,53,FALSE)="","",VLOOKUP($B47,'6.คีย์ปลายภาค'!$C$6:$EI$50,53,FALSE))</f>
        <v/>
      </c>
      <c r="AD47" s="231" t="str">
        <f>VLOOKUP($B47,'6.คีย์ปลายภาค'!$C$6:$EI$50,54,FALSE)</f>
        <v/>
      </c>
      <c r="AE47" s="231" t="str">
        <f>IF(VLOOKUP($B47,'6.คีย์ปลายภาค'!$C$6:$EI$50,58,FALSE)="","",VLOOKUP($B47,'6.คีย์ปลายภาค'!$C$6:$EI$50,58,FALSE))</f>
        <v/>
      </c>
      <c r="AF47" s="231" t="str">
        <f>VLOOKUP($B47,'6.คีย์ปลายภาค'!$C$6:$EI$50,59,FALSE)</f>
        <v/>
      </c>
      <c r="AG47" s="231" t="str">
        <f>IF(VLOOKUP($B47,'6.คีย์ปลายภาค'!$C$6:$EI$50,63,FALSE)="","",VLOOKUP($B47,'6.คีย์ปลายภาค'!$C$6:$EI$50,63,FALSE))</f>
        <v/>
      </c>
      <c r="AH47" s="232" t="str">
        <f>VLOOKUP($B47,'6.คีย์ปลายภาค'!$C$6:$EI$50,64,FALSE)</f>
        <v/>
      </c>
      <c r="AI47" s="31">
        <v>39</v>
      </c>
      <c r="AJ47" s="770" t="str">
        <f>IF(Name39="","",Name39)</f>
        <v/>
      </c>
      <c r="AK47" s="707"/>
      <c r="AL47" s="707"/>
      <c r="AM47" s="707"/>
      <c r="AN47" s="707" t="str">
        <f>IF(Surname39="","",Surname39)</f>
        <v/>
      </c>
      <c r="AO47" s="707"/>
      <c r="AP47" s="707"/>
      <c r="AQ47" s="707"/>
      <c r="AR47" s="234" t="str">
        <f>IF(VLOOKUP($B47,'6.คีย์ปลายภาค'!$C$6:$EI$50,68,FALSE)="","",VLOOKUP($B47,'6.คีย์ปลายภาค'!$C$6:$EI$50,68,FALSE))</f>
        <v/>
      </c>
      <c r="AS47" s="230" t="str">
        <f>VLOOKUP($B47,'6.คีย์ปลายภาค'!$C$6:$EI$50,69,FALSE)</f>
        <v/>
      </c>
      <c r="AT47" s="230" t="str">
        <f>IF(VLOOKUP($B47,'6.คีย์ปลายภาค'!$C$6:$EI$50,73,FALSE)="","",VLOOKUP($B47,'6.คีย์ปลายภาค'!$C$6:$EI$50,73,FALSE))</f>
        <v/>
      </c>
      <c r="AU47" s="230" t="str">
        <f>VLOOKUP($B47,'6.คีย์ปลายภาค'!$C$6:$EI$50,74,FALSE)</f>
        <v/>
      </c>
      <c r="AV47" s="230" t="str">
        <f>IF(VLOOKUP($B47,'6.คีย์ปลายภาค'!$C$6:$EI$50,78,FALSE)="","",VLOOKUP($B47,'6.คีย์ปลายภาค'!$C$6:$EI$50,78,FALSE))</f>
        <v/>
      </c>
      <c r="AW47" s="230" t="str">
        <f>VLOOKUP($B47,'6.คีย์ปลายภาค'!$C$6:$EI$50,79,FALSE)</f>
        <v/>
      </c>
      <c r="AX47" s="230" t="str">
        <f>IF(VLOOKUP($B47,'6.คีย์ปลายภาค'!$C$6:$EI$50,83,FALSE)="","",VLOOKUP($B47,'6.คีย์ปลายภาค'!$C$6:$EI$50,83,FALSE))</f>
        <v/>
      </c>
      <c r="AY47" s="230" t="str">
        <f>VLOOKUP($B47,'6.คีย์ปลายภาค'!$C$6:$EI$50,84,FALSE)</f>
        <v/>
      </c>
      <c r="AZ47" s="230" t="str">
        <f>IF(VLOOKUP($B47,'6.คีย์ปลายภาค'!$C$6:$EI$50,88,FALSE)="","",VLOOKUP($B47,'6.คีย์ปลายภาค'!$C$6:$EI$50,88,FALSE))</f>
        <v/>
      </c>
      <c r="BA47" s="230" t="str">
        <f>VLOOKUP($B47,'6.คีย์ปลายภาค'!$C$6:$EI$50,89,FALSE)</f>
        <v/>
      </c>
      <c r="BB47" s="230" t="str">
        <f>IF(VLOOKUP($B47,'6.คีย์ปลายภาค'!$C$6:$EI$50,93,FALSE)="","",VLOOKUP($B47,'6.คีย์ปลายภาค'!$C$6:$EI$50,93,FALSE))</f>
        <v/>
      </c>
      <c r="BC47" s="230" t="str">
        <f>VLOOKUP($B47,'6.คีย์ปลายภาค'!$C$6:$EI$50,94,FALSE)</f>
        <v/>
      </c>
      <c r="BD47" s="230" t="str">
        <f>IF(VLOOKUP($B47,'6.คีย์ปลายภาค'!$C$6:$EI$50,98,FALSE)="","",VLOOKUP($B47,'6.คีย์ปลายภาค'!$C$6:$EI$50,98,FALSE))</f>
        <v/>
      </c>
      <c r="BE47" s="230" t="str">
        <f>VLOOKUP($B47,'6.คีย์ปลายภาค'!$C$6:$EI$50,99,FALSE)</f>
        <v/>
      </c>
      <c r="BF47" s="230" t="str">
        <f>IF(VLOOKUP($B47,'6.คีย์ปลายภาค'!$C$6:$EI$50,103,FALSE)="","",VLOOKUP($B47,'6.คีย์ปลายภาค'!$C$6:$EI$50,103,FALSE))</f>
        <v/>
      </c>
      <c r="BG47" s="230" t="str">
        <f>VLOOKUP($B47,'6.คีย์ปลายภาค'!$C$6:$EI$50,104,FALSE)</f>
        <v/>
      </c>
      <c r="BH47" s="230" t="str">
        <f>IF(VLOOKUP($B47,'6.คีย์ปลายภาค'!$C$6:$EI$50,108,FALSE)="","",VLOOKUP($B47,'6.คีย์ปลายภาค'!$C$6:$EI$50,108,FALSE))</f>
        <v/>
      </c>
      <c r="BI47" s="230" t="str">
        <f>VLOOKUP($B47,'6.คีย์ปลายภาค'!$C$6:$EI$50,109,FALSE)</f>
        <v/>
      </c>
      <c r="BJ47" s="230" t="str">
        <f>IF(VLOOKUP($B47,'6.คีย์ปลายภาค'!$C$6:$EI$50,113,FALSE)="","",VLOOKUP($B47,'6.คีย์ปลายภาค'!$C$6:$EI$50,113,FALSE))</f>
        <v/>
      </c>
      <c r="BK47" s="230" t="str">
        <f>VLOOKUP($B47,'6.คีย์ปลายภาค'!$C$6:$EI$50,114,FALSE)</f>
        <v/>
      </c>
      <c r="BL47" s="230" t="str">
        <f>IF(VLOOKUP($B47,'6.คีย์ปลายภาค'!$C$6:$EI$50,118,FALSE)="","",VLOOKUP($B47,'6.คีย์ปลายภาค'!$C$6:$EI$50,118,FALSE))</f>
        <v/>
      </c>
      <c r="BM47" s="230" t="str">
        <f>VLOOKUP($B47,'6.คีย์ปลายภาค'!$C$6:$EI$50,119,FALSE)</f>
        <v/>
      </c>
      <c r="BN47" s="230" t="str">
        <f>IF(VLOOKUP($B47,'6.คีย์ปลายภาค'!$C$6:$EI$50,123,FALSE)="","",VLOOKUP($B47,'6.คีย์ปลายภาค'!$C$6:$EI$50,123,FALSE))</f>
        <v/>
      </c>
      <c r="BO47" s="230" t="str">
        <f>VLOOKUP($B47,'6.คีย์ปลายภาค'!$C$6:$EI$50,124,FALSE)</f>
        <v/>
      </c>
      <c r="BP47" s="230" t="str">
        <f>IF(VLOOKUP($B47,'6.คีย์ปลายภาค'!$C$6:$EI$50,128,FALSE)="","",VLOOKUP($B47,'6.คีย์ปลายภาค'!$C$6:$EI$50,128,FALSE))</f>
        <v/>
      </c>
      <c r="BQ47" s="232" t="str">
        <f>VLOOKUP($B47,'6.คีย์ปลายภาค'!$C$6:$EI$50,129,FALSE)</f>
        <v/>
      </c>
      <c r="BR47" s="550" t="str">
        <f>IF(L47="","",IF('2.ชื่อนักเรียน'!R49="มส","",IF('2.ชื่อนักเรียน'!R49="ย้าย","",IF('2.ชื่อนักเรียน'!R49="ร","",SUM(BT47:CR47)/13.5))))</f>
        <v/>
      </c>
      <c r="BS47" s="520" t="str">
        <f>IF('2.ชื่อนักเรียน'!R49="มส","มส",IF('2.ชื่อนักเรียน'!R49="ย้าย","ย้าย",IF('2.ชื่อนักเรียน'!R49="ร","ร",IF(BR47="","",RANK(BR47,$BR$9:$BR$53,0)))))</f>
        <v/>
      </c>
      <c r="BT47" s="118" t="str">
        <f t="shared" si="0"/>
        <v/>
      </c>
      <c r="BU47" s="119" t="str">
        <f t="shared" si="1"/>
        <v/>
      </c>
      <c r="BV47" s="119" t="str">
        <f t="shared" si="2"/>
        <v/>
      </c>
      <c r="BW47" s="110" t="str">
        <f t="shared" si="3"/>
        <v/>
      </c>
      <c r="BX47" s="119" t="str">
        <f t="shared" si="4"/>
        <v/>
      </c>
      <c r="BY47" s="119" t="str">
        <f t="shared" si="5"/>
        <v/>
      </c>
      <c r="BZ47" s="119" t="str">
        <f t="shared" si="6"/>
        <v/>
      </c>
      <c r="CA47" s="119" t="str">
        <f t="shared" si="7"/>
        <v/>
      </c>
      <c r="CB47" s="110" t="str">
        <f t="shared" si="8"/>
        <v/>
      </c>
      <c r="CC47" s="151" t="str">
        <f t="shared" si="9"/>
        <v/>
      </c>
      <c r="CD47" s="151" t="str">
        <f t="shared" si="10"/>
        <v/>
      </c>
      <c r="CE47" s="111" t="str">
        <f t="shared" si="27"/>
        <v/>
      </c>
      <c r="CF47" s="118" t="str">
        <f t="shared" si="12"/>
        <v/>
      </c>
      <c r="CG47" s="119" t="str">
        <f t="shared" si="13"/>
        <v/>
      </c>
      <c r="CH47" s="119" t="str">
        <f t="shared" si="14"/>
        <v/>
      </c>
      <c r="CI47" s="119" t="str">
        <f t="shared" si="15"/>
        <v/>
      </c>
      <c r="CJ47" s="110" t="str">
        <f t="shared" si="16"/>
        <v/>
      </c>
      <c r="CK47" s="110" t="str">
        <f t="shared" si="17"/>
        <v/>
      </c>
      <c r="CL47" s="119" t="str">
        <f t="shared" si="18"/>
        <v/>
      </c>
      <c r="CM47" s="119" t="str">
        <f t="shared" si="19"/>
        <v/>
      </c>
      <c r="CN47" s="120" t="str">
        <f t="shared" si="20"/>
        <v/>
      </c>
      <c r="CO47" s="119" t="str">
        <f t="shared" si="21"/>
        <v/>
      </c>
      <c r="CP47" s="120" t="str">
        <f t="shared" si="22"/>
        <v/>
      </c>
      <c r="CQ47" s="111" t="str">
        <f t="shared" si="26"/>
        <v/>
      </c>
      <c r="CR47" s="494" t="str">
        <f t="shared" si="24"/>
        <v/>
      </c>
      <c r="CS47" s="148">
        <f t="shared" si="25"/>
        <v>0</v>
      </c>
      <c r="CT47" s="21">
        <f>IF('2.ชื่อนักเรียน'!AP49="มส","มส",IF('2.ชื่อนักเรียน'!AP49="ย้าย","ย้าย",IF('2.ชื่อนักเรียน'!AP49="ร","ร",IF(CS47="","",RANK(CS47,$CS$9:$CS$53,0)))))</f>
        <v>1</v>
      </c>
    </row>
    <row r="48" spans="1:98" s="29" customFormat="1" ht="18.75" customHeight="1" x14ac:dyDescent="0.25">
      <c r="A48" s="234">
        <v>40</v>
      </c>
      <c r="B48" s="512" t="str">
        <f>IF(IDstu40="","",IDstu40)</f>
        <v/>
      </c>
      <c r="C48" s="770" t="str">
        <f>IF(Name40="","",Name40)</f>
        <v/>
      </c>
      <c r="D48" s="707"/>
      <c r="E48" s="707"/>
      <c r="F48" s="707"/>
      <c r="G48" s="707" t="str">
        <f>IF(Surname40="","",Surname40)</f>
        <v/>
      </c>
      <c r="H48" s="707"/>
      <c r="I48" s="707"/>
      <c r="J48" s="707"/>
      <c r="K48" s="234" t="str">
        <f>IF(VLOOKUP($B48,'6.คีย์ปลายภาค'!$C$6:$EI$50,8,FALSE)="","",VLOOKUP($B48,'6.คีย์ปลายภาค'!$C$6:$EI$50,8,FALSE))</f>
        <v/>
      </c>
      <c r="L48" s="229" t="str">
        <f>VLOOKUP($B48,'6.คีย์ปลายภาค'!$C$6:$EI$50,9,FALSE)</f>
        <v/>
      </c>
      <c r="M48" s="229" t="str">
        <f>IF(VLOOKUP($B48,'6.คีย์ปลายภาค'!$C$6:$EI$50,13,FALSE)="","",VLOOKUP($B48,'6.คีย์ปลายภาค'!$C$6:$EI$50,13,FALSE))</f>
        <v/>
      </c>
      <c r="N48" s="230" t="str">
        <f>VLOOKUP($B48,'6.คีย์ปลายภาค'!$C$6:$EI$50,14,FALSE)</f>
        <v/>
      </c>
      <c r="O48" s="230" t="str">
        <f>IF(VLOOKUP($B48,'6.คีย์ปลายภาค'!$C$6:$EI$50,18,FALSE)="","",VLOOKUP($B48,'6.คีย์ปลายภาค'!$C$6:$EI$50,18,FALSE))</f>
        <v/>
      </c>
      <c r="P48" s="230" t="str">
        <f>VLOOKUP($B48,'6.คีย์ปลายภาค'!$C$6:$EI$50,19,FALSE)</f>
        <v/>
      </c>
      <c r="Q48" s="230" t="str">
        <f>IF(VLOOKUP($B48,'6.คีย์ปลายภาค'!$C$6:$EI$50,23,FALSE)="","",VLOOKUP($B48,'6.คีย์ปลายภาค'!$C$6:$EI$50,23,FALSE))</f>
        <v/>
      </c>
      <c r="R48" s="230" t="str">
        <f>VLOOKUP($B48,'6.คีย์ปลายภาค'!$C$6:$EI$50,24,FALSE)</f>
        <v/>
      </c>
      <c r="S48" s="230" t="str">
        <f>IF(VLOOKUP($B48,'6.คีย์ปลายภาค'!$C$6:$EI$50,28,FALSE)="","",VLOOKUP($B48,'6.คีย์ปลายภาค'!$C$6:$EI$50,28,FALSE))</f>
        <v/>
      </c>
      <c r="T48" s="230" t="str">
        <f>VLOOKUP($B48,'6.คีย์ปลายภาค'!$C$6:$EI$50,29,FALSE)</f>
        <v/>
      </c>
      <c r="U48" s="230" t="str">
        <f>IF(VLOOKUP($B48,'6.คีย์ปลายภาค'!$C$6:$EI$50,33,FALSE)="","",VLOOKUP($B48,'6.คีย์ปลายภาค'!$C$6:$EI$50,33,FALSE))</f>
        <v/>
      </c>
      <c r="V48" s="230" t="str">
        <f>VLOOKUP($B48,'6.คีย์ปลายภาค'!$C$6:$EI$50,34,FALSE)</f>
        <v/>
      </c>
      <c r="W48" s="230" t="str">
        <f>IF(VLOOKUP($B48,'6.คีย์ปลายภาค'!$C$6:$EI$50,38,FALSE)="","",VLOOKUP($B48,'6.คีย์ปลายภาค'!$C$6:$EI$50,38,FALSE))</f>
        <v/>
      </c>
      <c r="X48" s="230" t="str">
        <f>VLOOKUP($B48,'6.คีย์ปลายภาค'!$C$6:$EI$50,39,FALSE)</f>
        <v/>
      </c>
      <c r="Y48" s="230" t="str">
        <f>IF(VLOOKUP($B48,'6.คีย์ปลายภาค'!$C$6:$EI$50,43,FALSE)="","",VLOOKUP($B48,'6.คีย์ปลายภาค'!$C$6:$EI$50,43,FALSE))</f>
        <v/>
      </c>
      <c r="Z48" s="230" t="str">
        <f>VLOOKUP($B48,'6.คีย์ปลายภาค'!$C$6:$EI$50,44,FALSE)</f>
        <v/>
      </c>
      <c r="AA48" s="230" t="str">
        <f>IF(VLOOKUP($B48,'6.คีย์ปลายภาค'!$C$6:$EI$50,48,FALSE)="","",VLOOKUP($B48,'6.คีย์ปลายภาค'!$C$6:$EI$50,48,FALSE))</f>
        <v/>
      </c>
      <c r="AB48" s="230" t="str">
        <f>VLOOKUP($B48,'6.คีย์ปลายภาค'!$C$6:$EI$50,49,FALSE)</f>
        <v/>
      </c>
      <c r="AC48" s="231" t="str">
        <f>IF(VLOOKUP($B48,'6.คีย์ปลายภาค'!$C$6:$EI$50,53,FALSE)="","",VLOOKUP($B48,'6.คีย์ปลายภาค'!$C$6:$EI$50,53,FALSE))</f>
        <v/>
      </c>
      <c r="AD48" s="231" t="str">
        <f>VLOOKUP($B48,'6.คีย์ปลายภาค'!$C$6:$EI$50,54,FALSE)</f>
        <v/>
      </c>
      <c r="AE48" s="231" t="str">
        <f>IF(VLOOKUP($B48,'6.คีย์ปลายภาค'!$C$6:$EI$50,58,FALSE)="","",VLOOKUP($B48,'6.คีย์ปลายภาค'!$C$6:$EI$50,58,FALSE))</f>
        <v/>
      </c>
      <c r="AF48" s="231" t="str">
        <f>VLOOKUP($B48,'6.คีย์ปลายภาค'!$C$6:$EI$50,59,FALSE)</f>
        <v/>
      </c>
      <c r="AG48" s="231" t="str">
        <f>IF(VLOOKUP($B48,'6.คีย์ปลายภาค'!$C$6:$EI$50,63,FALSE)="","",VLOOKUP($B48,'6.คีย์ปลายภาค'!$C$6:$EI$50,63,FALSE))</f>
        <v/>
      </c>
      <c r="AH48" s="232" t="str">
        <f>VLOOKUP($B48,'6.คีย์ปลายภาค'!$C$6:$EI$50,64,FALSE)</f>
        <v/>
      </c>
      <c r="AI48" s="31">
        <v>40</v>
      </c>
      <c r="AJ48" s="770" t="str">
        <f>IF(Name40="","",Name40)</f>
        <v/>
      </c>
      <c r="AK48" s="707"/>
      <c r="AL48" s="707"/>
      <c r="AM48" s="707"/>
      <c r="AN48" s="707" t="str">
        <f>IF(Surname40="","",Surname40)</f>
        <v/>
      </c>
      <c r="AO48" s="707"/>
      <c r="AP48" s="707"/>
      <c r="AQ48" s="707"/>
      <c r="AR48" s="234" t="str">
        <f>IF(VLOOKUP($B48,'6.คีย์ปลายภาค'!$C$6:$EI$50,68,FALSE)="","",VLOOKUP($B48,'6.คีย์ปลายภาค'!$C$6:$EI$50,68,FALSE))</f>
        <v/>
      </c>
      <c r="AS48" s="230" t="str">
        <f>VLOOKUP($B48,'6.คีย์ปลายภาค'!$C$6:$EI$50,69,FALSE)</f>
        <v/>
      </c>
      <c r="AT48" s="230" t="str">
        <f>IF(VLOOKUP($B48,'6.คีย์ปลายภาค'!$C$6:$EI$50,73,FALSE)="","",VLOOKUP($B48,'6.คีย์ปลายภาค'!$C$6:$EI$50,73,FALSE))</f>
        <v/>
      </c>
      <c r="AU48" s="230" t="str">
        <f>VLOOKUP($B48,'6.คีย์ปลายภาค'!$C$6:$EI$50,74,FALSE)</f>
        <v/>
      </c>
      <c r="AV48" s="230" t="str">
        <f>IF(VLOOKUP($B48,'6.คีย์ปลายภาค'!$C$6:$EI$50,78,FALSE)="","",VLOOKUP($B48,'6.คีย์ปลายภาค'!$C$6:$EI$50,78,FALSE))</f>
        <v/>
      </c>
      <c r="AW48" s="230" t="str">
        <f>VLOOKUP($B48,'6.คีย์ปลายภาค'!$C$6:$EI$50,79,FALSE)</f>
        <v/>
      </c>
      <c r="AX48" s="230" t="str">
        <f>IF(VLOOKUP($B48,'6.คีย์ปลายภาค'!$C$6:$EI$50,83,FALSE)="","",VLOOKUP($B48,'6.คีย์ปลายภาค'!$C$6:$EI$50,83,FALSE))</f>
        <v/>
      </c>
      <c r="AY48" s="230" t="str">
        <f>VLOOKUP($B48,'6.คีย์ปลายภาค'!$C$6:$EI$50,84,FALSE)</f>
        <v/>
      </c>
      <c r="AZ48" s="230" t="str">
        <f>IF(VLOOKUP($B48,'6.คีย์ปลายภาค'!$C$6:$EI$50,88,FALSE)="","",VLOOKUP($B48,'6.คีย์ปลายภาค'!$C$6:$EI$50,88,FALSE))</f>
        <v/>
      </c>
      <c r="BA48" s="230" t="str">
        <f>VLOOKUP($B48,'6.คีย์ปลายภาค'!$C$6:$EI$50,89,FALSE)</f>
        <v/>
      </c>
      <c r="BB48" s="230" t="str">
        <f>IF(VLOOKUP($B48,'6.คีย์ปลายภาค'!$C$6:$EI$50,93,FALSE)="","",VLOOKUP($B48,'6.คีย์ปลายภาค'!$C$6:$EI$50,93,FALSE))</f>
        <v/>
      </c>
      <c r="BC48" s="230" t="str">
        <f>VLOOKUP($B48,'6.คีย์ปลายภาค'!$C$6:$EI$50,94,FALSE)</f>
        <v/>
      </c>
      <c r="BD48" s="230" t="str">
        <f>IF(VLOOKUP($B48,'6.คีย์ปลายภาค'!$C$6:$EI$50,98,FALSE)="","",VLOOKUP($B48,'6.คีย์ปลายภาค'!$C$6:$EI$50,98,FALSE))</f>
        <v/>
      </c>
      <c r="BE48" s="230" t="str">
        <f>VLOOKUP($B48,'6.คีย์ปลายภาค'!$C$6:$EI$50,99,FALSE)</f>
        <v/>
      </c>
      <c r="BF48" s="230" t="str">
        <f>IF(VLOOKUP($B48,'6.คีย์ปลายภาค'!$C$6:$EI$50,103,FALSE)="","",VLOOKUP($B48,'6.คีย์ปลายภาค'!$C$6:$EI$50,103,FALSE))</f>
        <v/>
      </c>
      <c r="BG48" s="230" t="str">
        <f>VLOOKUP($B48,'6.คีย์ปลายภาค'!$C$6:$EI$50,104,FALSE)</f>
        <v/>
      </c>
      <c r="BH48" s="230" t="str">
        <f>IF(VLOOKUP($B48,'6.คีย์ปลายภาค'!$C$6:$EI$50,108,FALSE)="","",VLOOKUP($B48,'6.คีย์ปลายภาค'!$C$6:$EI$50,108,FALSE))</f>
        <v/>
      </c>
      <c r="BI48" s="230" t="str">
        <f>VLOOKUP($B48,'6.คีย์ปลายภาค'!$C$6:$EI$50,109,FALSE)</f>
        <v/>
      </c>
      <c r="BJ48" s="230" t="str">
        <f>IF(VLOOKUP($B48,'6.คีย์ปลายภาค'!$C$6:$EI$50,113,FALSE)="","",VLOOKUP($B48,'6.คีย์ปลายภาค'!$C$6:$EI$50,113,FALSE))</f>
        <v/>
      </c>
      <c r="BK48" s="230" t="str">
        <f>VLOOKUP($B48,'6.คีย์ปลายภาค'!$C$6:$EI$50,114,FALSE)</f>
        <v/>
      </c>
      <c r="BL48" s="230" t="str">
        <f>IF(VLOOKUP($B48,'6.คีย์ปลายภาค'!$C$6:$EI$50,118,FALSE)="","",VLOOKUP($B48,'6.คีย์ปลายภาค'!$C$6:$EI$50,118,FALSE))</f>
        <v/>
      </c>
      <c r="BM48" s="230" t="str">
        <f>VLOOKUP($B48,'6.คีย์ปลายภาค'!$C$6:$EI$50,119,FALSE)</f>
        <v/>
      </c>
      <c r="BN48" s="230" t="str">
        <f>IF(VLOOKUP($B48,'6.คีย์ปลายภาค'!$C$6:$EI$50,123,FALSE)="","",VLOOKUP($B48,'6.คีย์ปลายภาค'!$C$6:$EI$50,123,FALSE))</f>
        <v/>
      </c>
      <c r="BO48" s="230" t="str">
        <f>VLOOKUP($B48,'6.คีย์ปลายภาค'!$C$6:$EI$50,124,FALSE)</f>
        <v/>
      </c>
      <c r="BP48" s="230" t="str">
        <f>IF(VLOOKUP($B48,'6.คีย์ปลายภาค'!$C$6:$EI$50,128,FALSE)="","",VLOOKUP($B48,'6.คีย์ปลายภาค'!$C$6:$EI$50,128,FALSE))</f>
        <v/>
      </c>
      <c r="BQ48" s="232" t="str">
        <f>VLOOKUP($B48,'6.คีย์ปลายภาค'!$C$6:$EI$50,129,FALSE)</f>
        <v/>
      </c>
      <c r="BR48" s="550" t="str">
        <f>IF(L48="","",IF('2.ชื่อนักเรียน'!R50="มส","",IF('2.ชื่อนักเรียน'!R50="ย้าย","",IF('2.ชื่อนักเรียน'!R50="ร","",SUM(BT48:CR48)/13.5))))</f>
        <v/>
      </c>
      <c r="BS48" s="520" t="str">
        <f>IF('2.ชื่อนักเรียน'!R50="มส","มส",IF('2.ชื่อนักเรียน'!R50="ย้าย","ย้าย",IF('2.ชื่อนักเรียน'!R50="ร","ร",IF(BR48="","",RANK(BR48,$BR$9:$BR$53,0)))))</f>
        <v/>
      </c>
      <c r="BT48" s="118" t="str">
        <f t="shared" si="0"/>
        <v/>
      </c>
      <c r="BU48" s="119" t="str">
        <f t="shared" si="1"/>
        <v/>
      </c>
      <c r="BV48" s="119" t="str">
        <f t="shared" si="2"/>
        <v/>
      </c>
      <c r="BW48" s="110" t="str">
        <f t="shared" si="3"/>
        <v/>
      </c>
      <c r="BX48" s="119" t="str">
        <f t="shared" si="4"/>
        <v/>
      </c>
      <c r="BY48" s="119" t="str">
        <f t="shared" si="5"/>
        <v/>
      </c>
      <c r="BZ48" s="119" t="str">
        <f t="shared" si="6"/>
        <v/>
      </c>
      <c r="CA48" s="119" t="str">
        <f t="shared" si="7"/>
        <v/>
      </c>
      <c r="CB48" s="110" t="str">
        <f t="shared" si="8"/>
        <v/>
      </c>
      <c r="CC48" s="151" t="str">
        <f t="shared" si="9"/>
        <v/>
      </c>
      <c r="CD48" s="151" t="str">
        <f t="shared" si="10"/>
        <v/>
      </c>
      <c r="CE48" s="111" t="str">
        <f t="shared" si="27"/>
        <v/>
      </c>
      <c r="CF48" s="118" t="str">
        <f t="shared" si="12"/>
        <v/>
      </c>
      <c r="CG48" s="119" t="str">
        <f t="shared" si="13"/>
        <v/>
      </c>
      <c r="CH48" s="119" t="str">
        <f t="shared" si="14"/>
        <v/>
      </c>
      <c r="CI48" s="119" t="str">
        <f t="shared" si="15"/>
        <v/>
      </c>
      <c r="CJ48" s="110" t="str">
        <f t="shared" si="16"/>
        <v/>
      </c>
      <c r="CK48" s="110" t="str">
        <f t="shared" si="17"/>
        <v/>
      </c>
      <c r="CL48" s="119" t="str">
        <f t="shared" si="18"/>
        <v/>
      </c>
      <c r="CM48" s="119" t="str">
        <f t="shared" si="19"/>
        <v/>
      </c>
      <c r="CN48" s="120" t="str">
        <f t="shared" si="20"/>
        <v/>
      </c>
      <c r="CO48" s="119" t="str">
        <f t="shared" si="21"/>
        <v/>
      </c>
      <c r="CP48" s="120" t="str">
        <f t="shared" si="22"/>
        <v/>
      </c>
      <c r="CQ48" s="111" t="str">
        <f t="shared" si="26"/>
        <v/>
      </c>
      <c r="CR48" s="494" t="str">
        <f t="shared" si="24"/>
        <v/>
      </c>
      <c r="CS48" s="148">
        <f t="shared" si="25"/>
        <v>0</v>
      </c>
      <c r="CT48" s="21">
        <f>IF('2.ชื่อนักเรียน'!AP50="มส","มส",IF('2.ชื่อนักเรียน'!AP50="ย้าย","ย้าย",IF('2.ชื่อนักเรียน'!AP50="ร","ร",IF(CS48="","",RANK(CS48,$CS$9:$CS$53,0)))))</f>
        <v>1</v>
      </c>
    </row>
    <row r="49" spans="1:98" s="29" customFormat="1" ht="18.75" customHeight="1" x14ac:dyDescent="0.25">
      <c r="A49" s="234">
        <v>41</v>
      </c>
      <c r="B49" s="512" t="str">
        <f>IF(IDstu41="","",IDstu41)</f>
        <v/>
      </c>
      <c r="C49" s="770" t="str">
        <f>IF(Name41="","",Name41)</f>
        <v/>
      </c>
      <c r="D49" s="707"/>
      <c r="E49" s="707"/>
      <c r="F49" s="707"/>
      <c r="G49" s="707" t="str">
        <f>IF(Surname41="","",Surname41)</f>
        <v/>
      </c>
      <c r="H49" s="707"/>
      <c r="I49" s="707"/>
      <c r="J49" s="707"/>
      <c r="K49" s="234" t="str">
        <f>IF(VLOOKUP($B49,'6.คีย์ปลายภาค'!$C$6:$EI$50,8,FALSE)="","",VLOOKUP($B49,'6.คีย์ปลายภาค'!$C$6:$EI$50,8,FALSE))</f>
        <v/>
      </c>
      <c r="L49" s="229" t="str">
        <f>VLOOKUP($B49,'6.คีย์ปลายภาค'!$C$6:$EI$50,9,FALSE)</f>
        <v/>
      </c>
      <c r="M49" s="229" t="str">
        <f>IF(VLOOKUP($B49,'6.คีย์ปลายภาค'!$C$6:$EI$50,13,FALSE)="","",VLOOKUP($B49,'6.คีย์ปลายภาค'!$C$6:$EI$50,13,FALSE))</f>
        <v/>
      </c>
      <c r="N49" s="230" t="str">
        <f>VLOOKUP($B49,'6.คีย์ปลายภาค'!$C$6:$EI$50,14,FALSE)</f>
        <v/>
      </c>
      <c r="O49" s="230" t="str">
        <f>IF(VLOOKUP($B49,'6.คีย์ปลายภาค'!$C$6:$EI$50,18,FALSE)="","",VLOOKUP($B49,'6.คีย์ปลายภาค'!$C$6:$EI$50,18,FALSE))</f>
        <v/>
      </c>
      <c r="P49" s="230" t="str">
        <f>VLOOKUP($B49,'6.คีย์ปลายภาค'!$C$6:$EI$50,19,FALSE)</f>
        <v/>
      </c>
      <c r="Q49" s="230" t="str">
        <f>IF(VLOOKUP($B49,'6.คีย์ปลายภาค'!$C$6:$EI$50,23,FALSE)="","",VLOOKUP($B49,'6.คีย์ปลายภาค'!$C$6:$EI$50,23,FALSE))</f>
        <v/>
      </c>
      <c r="R49" s="230" t="str">
        <f>VLOOKUP($B49,'6.คีย์ปลายภาค'!$C$6:$EI$50,24,FALSE)</f>
        <v/>
      </c>
      <c r="S49" s="230" t="str">
        <f>IF(VLOOKUP($B49,'6.คีย์ปลายภาค'!$C$6:$EI$50,28,FALSE)="","",VLOOKUP($B49,'6.คีย์ปลายภาค'!$C$6:$EI$50,28,FALSE))</f>
        <v/>
      </c>
      <c r="T49" s="230" t="str">
        <f>VLOOKUP($B49,'6.คีย์ปลายภาค'!$C$6:$EI$50,29,FALSE)</f>
        <v/>
      </c>
      <c r="U49" s="230" t="str">
        <f>IF(VLOOKUP($B49,'6.คีย์ปลายภาค'!$C$6:$EI$50,33,FALSE)="","",VLOOKUP($B49,'6.คีย์ปลายภาค'!$C$6:$EI$50,33,FALSE))</f>
        <v/>
      </c>
      <c r="V49" s="230" t="str">
        <f>VLOOKUP($B49,'6.คีย์ปลายภาค'!$C$6:$EI$50,34,FALSE)</f>
        <v/>
      </c>
      <c r="W49" s="230" t="str">
        <f>IF(VLOOKUP($B49,'6.คีย์ปลายภาค'!$C$6:$EI$50,38,FALSE)="","",VLOOKUP($B49,'6.คีย์ปลายภาค'!$C$6:$EI$50,38,FALSE))</f>
        <v/>
      </c>
      <c r="X49" s="230" t="str">
        <f>VLOOKUP($B49,'6.คีย์ปลายภาค'!$C$6:$EI$50,39,FALSE)</f>
        <v/>
      </c>
      <c r="Y49" s="230" t="str">
        <f>IF(VLOOKUP($B49,'6.คีย์ปลายภาค'!$C$6:$EI$50,43,FALSE)="","",VLOOKUP($B49,'6.คีย์ปลายภาค'!$C$6:$EI$50,43,FALSE))</f>
        <v/>
      </c>
      <c r="Z49" s="230" t="str">
        <f>VLOOKUP($B49,'6.คีย์ปลายภาค'!$C$6:$EI$50,44,FALSE)</f>
        <v/>
      </c>
      <c r="AA49" s="230" t="str">
        <f>IF(VLOOKUP($B49,'6.คีย์ปลายภาค'!$C$6:$EI$50,48,FALSE)="","",VLOOKUP($B49,'6.คีย์ปลายภาค'!$C$6:$EI$50,48,FALSE))</f>
        <v/>
      </c>
      <c r="AB49" s="230" t="str">
        <f>VLOOKUP($B49,'6.คีย์ปลายภาค'!$C$6:$EI$50,49,FALSE)</f>
        <v/>
      </c>
      <c r="AC49" s="231" t="str">
        <f>IF(VLOOKUP($B49,'6.คีย์ปลายภาค'!$C$6:$EI$50,53,FALSE)="","",VLOOKUP($B49,'6.คีย์ปลายภาค'!$C$6:$EI$50,53,FALSE))</f>
        <v/>
      </c>
      <c r="AD49" s="231" t="str">
        <f>VLOOKUP($B49,'6.คีย์ปลายภาค'!$C$6:$EI$50,54,FALSE)</f>
        <v/>
      </c>
      <c r="AE49" s="231" t="str">
        <f>IF(VLOOKUP($B49,'6.คีย์ปลายภาค'!$C$6:$EI$50,58,FALSE)="","",VLOOKUP($B49,'6.คีย์ปลายภาค'!$C$6:$EI$50,58,FALSE))</f>
        <v/>
      </c>
      <c r="AF49" s="231" t="str">
        <f>VLOOKUP($B49,'6.คีย์ปลายภาค'!$C$6:$EI$50,59,FALSE)</f>
        <v/>
      </c>
      <c r="AG49" s="231" t="str">
        <f>IF(VLOOKUP($B49,'6.คีย์ปลายภาค'!$C$6:$EI$50,63,FALSE)="","",VLOOKUP($B49,'6.คีย์ปลายภาค'!$C$6:$EI$50,63,FALSE))</f>
        <v/>
      </c>
      <c r="AH49" s="232" t="str">
        <f>VLOOKUP($B49,'6.คีย์ปลายภาค'!$C$6:$EI$50,64,FALSE)</f>
        <v/>
      </c>
      <c r="AI49" s="31">
        <v>41</v>
      </c>
      <c r="AJ49" s="770" t="str">
        <f>IF(Name41="","",Name41)</f>
        <v/>
      </c>
      <c r="AK49" s="707"/>
      <c r="AL49" s="707"/>
      <c r="AM49" s="707"/>
      <c r="AN49" s="707" t="str">
        <f>IF(Surname41="","",Surname41)</f>
        <v/>
      </c>
      <c r="AO49" s="707"/>
      <c r="AP49" s="707"/>
      <c r="AQ49" s="707"/>
      <c r="AR49" s="234" t="str">
        <f>IF(VLOOKUP($B49,'6.คีย์ปลายภาค'!$C$6:$EI$50,68,FALSE)="","",VLOOKUP($B49,'6.คีย์ปลายภาค'!$C$6:$EI$50,68,FALSE))</f>
        <v/>
      </c>
      <c r="AS49" s="230" t="str">
        <f>VLOOKUP($B49,'6.คีย์ปลายภาค'!$C$6:$EI$50,69,FALSE)</f>
        <v/>
      </c>
      <c r="AT49" s="230" t="str">
        <f>IF(VLOOKUP($B49,'6.คีย์ปลายภาค'!$C$6:$EI$50,73,FALSE)="","",VLOOKUP($B49,'6.คีย์ปลายภาค'!$C$6:$EI$50,73,FALSE))</f>
        <v/>
      </c>
      <c r="AU49" s="230" t="str">
        <f>VLOOKUP($B49,'6.คีย์ปลายภาค'!$C$6:$EI$50,74,FALSE)</f>
        <v/>
      </c>
      <c r="AV49" s="230" t="str">
        <f>IF(VLOOKUP($B49,'6.คีย์ปลายภาค'!$C$6:$EI$50,78,FALSE)="","",VLOOKUP($B49,'6.คีย์ปลายภาค'!$C$6:$EI$50,78,FALSE))</f>
        <v/>
      </c>
      <c r="AW49" s="230" t="str">
        <f>VLOOKUP($B49,'6.คีย์ปลายภาค'!$C$6:$EI$50,79,FALSE)</f>
        <v/>
      </c>
      <c r="AX49" s="230" t="str">
        <f>IF(VLOOKUP($B49,'6.คีย์ปลายภาค'!$C$6:$EI$50,83,FALSE)="","",VLOOKUP($B49,'6.คีย์ปลายภาค'!$C$6:$EI$50,83,FALSE))</f>
        <v/>
      </c>
      <c r="AY49" s="230" t="str">
        <f>VLOOKUP($B49,'6.คีย์ปลายภาค'!$C$6:$EI$50,84,FALSE)</f>
        <v/>
      </c>
      <c r="AZ49" s="230" t="str">
        <f>IF(VLOOKUP($B49,'6.คีย์ปลายภาค'!$C$6:$EI$50,88,FALSE)="","",VLOOKUP($B49,'6.คีย์ปลายภาค'!$C$6:$EI$50,88,FALSE))</f>
        <v/>
      </c>
      <c r="BA49" s="230" t="str">
        <f>VLOOKUP($B49,'6.คีย์ปลายภาค'!$C$6:$EI$50,89,FALSE)</f>
        <v/>
      </c>
      <c r="BB49" s="230" t="str">
        <f>IF(VLOOKUP($B49,'6.คีย์ปลายภาค'!$C$6:$EI$50,93,FALSE)="","",VLOOKUP($B49,'6.คีย์ปลายภาค'!$C$6:$EI$50,93,FALSE))</f>
        <v/>
      </c>
      <c r="BC49" s="230" t="str">
        <f>VLOOKUP($B49,'6.คีย์ปลายภาค'!$C$6:$EI$50,94,FALSE)</f>
        <v/>
      </c>
      <c r="BD49" s="230" t="str">
        <f>IF(VLOOKUP($B49,'6.คีย์ปลายภาค'!$C$6:$EI$50,98,FALSE)="","",VLOOKUP($B49,'6.คีย์ปลายภาค'!$C$6:$EI$50,98,FALSE))</f>
        <v/>
      </c>
      <c r="BE49" s="230" t="str">
        <f>VLOOKUP($B49,'6.คีย์ปลายภาค'!$C$6:$EI$50,99,FALSE)</f>
        <v/>
      </c>
      <c r="BF49" s="230" t="str">
        <f>IF(VLOOKUP($B49,'6.คีย์ปลายภาค'!$C$6:$EI$50,103,FALSE)="","",VLOOKUP($B49,'6.คีย์ปลายภาค'!$C$6:$EI$50,103,FALSE))</f>
        <v/>
      </c>
      <c r="BG49" s="230" t="str">
        <f>VLOOKUP($B49,'6.คีย์ปลายภาค'!$C$6:$EI$50,104,FALSE)</f>
        <v/>
      </c>
      <c r="BH49" s="230" t="str">
        <f>IF(VLOOKUP($B49,'6.คีย์ปลายภาค'!$C$6:$EI$50,108,FALSE)="","",VLOOKUP($B49,'6.คีย์ปลายภาค'!$C$6:$EI$50,108,FALSE))</f>
        <v/>
      </c>
      <c r="BI49" s="230" t="str">
        <f>VLOOKUP($B49,'6.คีย์ปลายภาค'!$C$6:$EI$50,109,FALSE)</f>
        <v/>
      </c>
      <c r="BJ49" s="230" t="str">
        <f>IF(VLOOKUP($B49,'6.คีย์ปลายภาค'!$C$6:$EI$50,113,FALSE)="","",VLOOKUP($B49,'6.คีย์ปลายภาค'!$C$6:$EI$50,113,FALSE))</f>
        <v/>
      </c>
      <c r="BK49" s="230" t="str">
        <f>VLOOKUP($B49,'6.คีย์ปลายภาค'!$C$6:$EI$50,114,FALSE)</f>
        <v/>
      </c>
      <c r="BL49" s="230" t="str">
        <f>IF(VLOOKUP($B49,'6.คีย์ปลายภาค'!$C$6:$EI$50,118,FALSE)="","",VLOOKUP($B49,'6.คีย์ปลายภาค'!$C$6:$EI$50,118,FALSE))</f>
        <v/>
      </c>
      <c r="BM49" s="230" t="str">
        <f>VLOOKUP($B49,'6.คีย์ปลายภาค'!$C$6:$EI$50,119,FALSE)</f>
        <v/>
      </c>
      <c r="BN49" s="230" t="str">
        <f>IF(VLOOKUP($B49,'6.คีย์ปลายภาค'!$C$6:$EI$50,123,FALSE)="","",VLOOKUP($B49,'6.คีย์ปลายภาค'!$C$6:$EI$50,123,FALSE))</f>
        <v/>
      </c>
      <c r="BO49" s="230" t="str">
        <f>VLOOKUP($B49,'6.คีย์ปลายภาค'!$C$6:$EI$50,124,FALSE)</f>
        <v/>
      </c>
      <c r="BP49" s="230" t="str">
        <f>IF(VLOOKUP($B49,'6.คีย์ปลายภาค'!$C$6:$EI$50,128,FALSE)="","",VLOOKUP($B49,'6.คีย์ปลายภาค'!$C$6:$EI$50,128,FALSE))</f>
        <v/>
      </c>
      <c r="BQ49" s="232" t="str">
        <f>VLOOKUP($B49,'6.คีย์ปลายภาค'!$C$6:$EI$50,129,FALSE)</f>
        <v/>
      </c>
      <c r="BR49" s="550" t="str">
        <f>IF(L49="","",IF('2.ชื่อนักเรียน'!R51="มส","",IF('2.ชื่อนักเรียน'!R51="ย้าย","",IF('2.ชื่อนักเรียน'!R51="ร","",SUM(BT49:CR49)/13.5))))</f>
        <v/>
      </c>
      <c r="BS49" s="520" t="str">
        <f>IF('2.ชื่อนักเรียน'!R51="มส","มส",IF('2.ชื่อนักเรียน'!R51="ย้าย","ย้าย",IF('2.ชื่อนักเรียน'!R51="ร","ร",IF(BR49="","",RANK(BR49,$BR$9:$BR$53,0)))))</f>
        <v/>
      </c>
      <c r="BT49" s="118" t="str">
        <f t="shared" si="0"/>
        <v/>
      </c>
      <c r="BU49" s="119" t="str">
        <f t="shared" si="1"/>
        <v/>
      </c>
      <c r="BV49" s="119" t="str">
        <f t="shared" si="2"/>
        <v/>
      </c>
      <c r="BW49" s="110" t="str">
        <f t="shared" si="3"/>
        <v/>
      </c>
      <c r="BX49" s="119" t="str">
        <f t="shared" si="4"/>
        <v/>
      </c>
      <c r="BY49" s="119" t="str">
        <f t="shared" si="5"/>
        <v/>
      </c>
      <c r="BZ49" s="119" t="str">
        <f t="shared" si="6"/>
        <v/>
      </c>
      <c r="CA49" s="119" t="str">
        <f t="shared" si="7"/>
        <v/>
      </c>
      <c r="CB49" s="110" t="str">
        <f t="shared" si="8"/>
        <v/>
      </c>
      <c r="CC49" s="151" t="str">
        <f t="shared" si="9"/>
        <v/>
      </c>
      <c r="CD49" s="151" t="str">
        <f t="shared" si="10"/>
        <v/>
      </c>
      <c r="CE49" s="111" t="str">
        <f t="shared" si="27"/>
        <v/>
      </c>
      <c r="CF49" s="118" t="str">
        <f t="shared" si="12"/>
        <v/>
      </c>
      <c r="CG49" s="119" t="str">
        <f t="shared" si="13"/>
        <v/>
      </c>
      <c r="CH49" s="119" t="str">
        <f t="shared" si="14"/>
        <v/>
      </c>
      <c r="CI49" s="119" t="str">
        <f t="shared" si="15"/>
        <v/>
      </c>
      <c r="CJ49" s="110" t="str">
        <f t="shared" si="16"/>
        <v/>
      </c>
      <c r="CK49" s="110" t="str">
        <f t="shared" si="17"/>
        <v/>
      </c>
      <c r="CL49" s="119" t="str">
        <f t="shared" si="18"/>
        <v/>
      </c>
      <c r="CM49" s="119" t="str">
        <f t="shared" si="19"/>
        <v/>
      </c>
      <c r="CN49" s="120" t="str">
        <f t="shared" si="20"/>
        <v/>
      </c>
      <c r="CO49" s="119" t="str">
        <f t="shared" si="21"/>
        <v/>
      </c>
      <c r="CP49" s="120" t="str">
        <f t="shared" si="22"/>
        <v/>
      </c>
      <c r="CQ49" s="111" t="str">
        <f t="shared" si="26"/>
        <v/>
      </c>
      <c r="CR49" s="494" t="str">
        <f t="shared" si="24"/>
        <v/>
      </c>
      <c r="CS49" s="148">
        <f t="shared" si="25"/>
        <v>0</v>
      </c>
      <c r="CT49" s="21">
        <f>IF('2.ชื่อนักเรียน'!AP51="มส","มส",IF('2.ชื่อนักเรียน'!AP51="ย้าย","ย้าย",IF('2.ชื่อนักเรียน'!AP51="ร","ร",IF(CS49="","",RANK(CS49,$CS$9:$CS$53,0)))))</f>
        <v>1</v>
      </c>
    </row>
    <row r="50" spans="1:98" s="29" customFormat="1" ht="18.75" customHeight="1" x14ac:dyDescent="0.25">
      <c r="A50" s="234">
        <v>42</v>
      </c>
      <c r="B50" s="512" t="str">
        <f>IF(IDstu42="","",IDstu42)</f>
        <v/>
      </c>
      <c r="C50" s="770" t="str">
        <f>IF(Name42="","",Name42)</f>
        <v/>
      </c>
      <c r="D50" s="707"/>
      <c r="E50" s="707"/>
      <c r="F50" s="707"/>
      <c r="G50" s="707" t="str">
        <f>IF(Surname42="","",Surname42)</f>
        <v/>
      </c>
      <c r="H50" s="707"/>
      <c r="I50" s="707"/>
      <c r="J50" s="707"/>
      <c r="K50" s="234" t="str">
        <f>IF(VLOOKUP($B50,'6.คีย์ปลายภาค'!$C$6:$EI$50,8,FALSE)="","",VLOOKUP($B50,'6.คีย์ปลายภาค'!$C$6:$EI$50,8,FALSE))</f>
        <v/>
      </c>
      <c r="L50" s="229" t="str">
        <f>VLOOKUP($B50,'6.คีย์ปลายภาค'!$C$6:$EI$50,9,FALSE)</f>
        <v/>
      </c>
      <c r="M50" s="229" t="str">
        <f>IF(VLOOKUP($B50,'6.คีย์ปลายภาค'!$C$6:$EI$50,13,FALSE)="","",VLOOKUP($B50,'6.คีย์ปลายภาค'!$C$6:$EI$50,13,FALSE))</f>
        <v/>
      </c>
      <c r="N50" s="230" t="str">
        <f>VLOOKUP($B50,'6.คีย์ปลายภาค'!$C$6:$EI$50,14,FALSE)</f>
        <v/>
      </c>
      <c r="O50" s="230" t="str">
        <f>IF(VLOOKUP($B50,'6.คีย์ปลายภาค'!$C$6:$EI$50,18,FALSE)="","",VLOOKUP($B50,'6.คีย์ปลายภาค'!$C$6:$EI$50,18,FALSE))</f>
        <v/>
      </c>
      <c r="P50" s="230" t="str">
        <f>VLOOKUP($B50,'6.คีย์ปลายภาค'!$C$6:$EI$50,19,FALSE)</f>
        <v/>
      </c>
      <c r="Q50" s="230" t="str">
        <f>IF(VLOOKUP($B50,'6.คีย์ปลายภาค'!$C$6:$EI$50,23,FALSE)="","",VLOOKUP($B50,'6.คีย์ปลายภาค'!$C$6:$EI$50,23,FALSE))</f>
        <v/>
      </c>
      <c r="R50" s="230" t="str">
        <f>VLOOKUP($B50,'6.คีย์ปลายภาค'!$C$6:$EI$50,24,FALSE)</f>
        <v/>
      </c>
      <c r="S50" s="230" t="str">
        <f>IF(VLOOKUP($B50,'6.คีย์ปลายภาค'!$C$6:$EI$50,28,FALSE)="","",VLOOKUP($B50,'6.คีย์ปลายภาค'!$C$6:$EI$50,28,FALSE))</f>
        <v/>
      </c>
      <c r="T50" s="230" t="str">
        <f>VLOOKUP($B50,'6.คีย์ปลายภาค'!$C$6:$EI$50,29,FALSE)</f>
        <v/>
      </c>
      <c r="U50" s="230" t="str">
        <f>IF(VLOOKUP($B50,'6.คีย์ปลายภาค'!$C$6:$EI$50,33,FALSE)="","",VLOOKUP($B50,'6.คีย์ปลายภาค'!$C$6:$EI$50,33,FALSE))</f>
        <v/>
      </c>
      <c r="V50" s="230" t="str">
        <f>VLOOKUP($B50,'6.คีย์ปลายภาค'!$C$6:$EI$50,34,FALSE)</f>
        <v/>
      </c>
      <c r="W50" s="230" t="str">
        <f>IF(VLOOKUP($B50,'6.คีย์ปลายภาค'!$C$6:$EI$50,38,FALSE)="","",VLOOKUP($B50,'6.คีย์ปลายภาค'!$C$6:$EI$50,38,FALSE))</f>
        <v/>
      </c>
      <c r="X50" s="230" t="str">
        <f>VLOOKUP($B50,'6.คีย์ปลายภาค'!$C$6:$EI$50,39,FALSE)</f>
        <v/>
      </c>
      <c r="Y50" s="230" t="str">
        <f>IF(VLOOKUP($B50,'6.คีย์ปลายภาค'!$C$6:$EI$50,43,FALSE)="","",VLOOKUP($B50,'6.คีย์ปลายภาค'!$C$6:$EI$50,43,FALSE))</f>
        <v/>
      </c>
      <c r="Z50" s="230" t="str">
        <f>VLOOKUP($B50,'6.คีย์ปลายภาค'!$C$6:$EI$50,44,FALSE)</f>
        <v/>
      </c>
      <c r="AA50" s="230" t="str">
        <f>IF(VLOOKUP($B50,'6.คีย์ปลายภาค'!$C$6:$EI$50,48,FALSE)="","",VLOOKUP($B50,'6.คีย์ปลายภาค'!$C$6:$EI$50,48,FALSE))</f>
        <v/>
      </c>
      <c r="AB50" s="230" t="str">
        <f>VLOOKUP($B50,'6.คีย์ปลายภาค'!$C$6:$EI$50,49,FALSE)</f>
        <v/>
      </c>
      <c r="AC50" s="231" t="str">
        <f>IF(VLOOKUP($B50,'6.คีย์ปลายภาค'!$C$6:$EI$50,53,FALSE)="","",VLOOKUP($B50,'6.คีย์ปลายภาค'!$C$6:$EI$50,53,FALSE))</f>
        <v/>
      </c>
      <c r="AD50" s="231" t="str">
        <f>VLOOKUP($B50,'6.คีย์ปลายภาค'!$C$6:$EI$50,54,FALSE)</f>
        <v/>
      </c>
      <c r="AE50" s="231" t="str">
        <f>IF(VLOOKUP($B50,'6.คีย์ปลายภาค'!$C$6:$EI$50,58,FALSE)="","",VLOOKUP($B50,'6.คีย์ปลายภาค'!$C$6:$EI$50,58,FALSE))</f>
        <v/>
      </c>
      <c r="AF50" s="231" t="str">
        <f>VLOOKUP($B50,'6.คีย์ปลายภาค'!$C$6:$EI$50,59,FALSE)</f>
        <v/>
      </c>
      <c r="AG50" s="231" t="str">
        <f>IF(VLOOKUP($B50,'6.คีย์ปลายภาค'!$C$6:$EI$50,63,FALSE)="","",VLOOKUP($B50,'6.คีย์ปลายภาค'!$C$6:$EI$50,63,FALSE))</f>
        <v/>
      </c>
      <c r="AH50" s="232" t="str">
        <f>VLOOKUP($B50,'6.คีย์ปลายภาค'!$C$6:$EI$50,64,FALSE)</f>
        <v/>
      </c>
      <c r="AI50" s="31">
        <v>42</v>
      </c>
      <c r="AJ50" s="770" t="str">
        <f>IF(Name42="","",Name42)</f>
        <v/>
      </c>
      <c r="AK50" s="707"/>
      <c r="AL50" s="707"/>
      <c r="AM50" s="707"/>
      <c r="AN50" s="707" t="str">
        <f>IF(Surname42="","",Surname42)</f>
        <v/>
      </c>
      <c r="AO50" s="707"/>
      <c r="AP50" s="707"/>
      <c r="AQ50" s="707"/>
      <c r="AR50" s="234" t="str">
        <f>IF(VLOOKUP($B50,'6.คีย์ปลายภาค'!$C$6:$EI$50,68,FALSE)="","",VLOOKUP($B50,'6.คีย์ปลายภาค'!$C$6:$EI$50,68,FALSE))</f>
        <v/>
      </c>
      <c r="AS50" s="230" t="str">
        <f>VLOOKUP($B50,'6.คีย์ปลายภาค'!$C$6:$EI$50,69,FALSE)</f>
        <v/>
      </c>
      <c r="AT50" s="230" t="str">
        <f>IF(VLOOKUP($B50,'6.คีย์ปลายภาค'!$C$6:$EI$50,73,FALSE)="","",VLOOKUP($B50,'6.คีย์ปลายภาค'!$C$6:$EI$50,73,FALSE))</f>
        <v/>
      </c>
      <c r="AU50" s="230" t="str">
        <f>VLOOKUP($B50,'6.คีย์ปลายภาค'!$C$6:$EI$50,74,FALSE)</f>
        <v/>
      </c>
      <c r="AV50" s="230" t="str">
        <f>IF(VLOOKUP($B50,'6.คีย์ปลายภาค'!$C$6:$EI$50,78,FALSE)="","",VLOOKUP($B50,'6.คีย์ปลายภาค'!$C$6:$EI$50,78,FALSE))</f>
        <v/>
      </c>
      <c r="AW50" s="230" t="str">
        <f>VLOOKUP($B50,'6.คีย์ปลายภาค'!$C$6:$EI$50,79,FALSE)</f>
        <v/>
      </c>
      <c r="AX50" s="230" t="str">
        <f>IF(VLOOKUP($B50,'6.คีย์ปลายภาค'!$C$6:$EI$50,83,FALSE)="","",VLOOKUP($B50,'6.คีย์ปลายภาค'!$C$6:$EI$50,83,FALSE))</f>
        <v/>
      </c>
      <c r="AY50" s="230" t="str">
        <f>VLOOKUP($B50,'6.คีย์ปลายภาค'!$C$6:$EI$50,84,FALSE)</f>
        <v/>
      </c>
      <c r="AZ50" s="230" t="str">
        <f>IF(VLOOKUP($B50,'6.คีย์ปลายภาค'!$C$6:$EI$50,88,FALSE)="","",VLOOKUP($B50,'6.คีย์ปลายภาค'!$C$6:$EI$50,88,FALSE))</f>
        <v/>
      </c>
      <c r="BA50" s="230" t="str">
        <f>VLOOKUP($B50,'6.คีย์ปลายภาค'!$C$6:$EI$50,89,FALSE)</f>
        <v/>
      </c>
      <c r="BB50" s="230" t="str">
        <f>IF(VLOOKUP($B50,'6.คีย์ปลายภาค'!$C$6:$EI$50,93,FALSE)="","",VLOOKUP($B50,'6.คีย์ปลายภาค'!$C$6:$EI$50,93,FALSE))</f>
        <v/>
      </c>
      <c r="BC50" s="230" t="str">
        <f>VLOOKUP($B50,'6.คีย์ปลายภาค'!$C$6:$EI$50,94,FALSE)</f>
        <v/>
      </c>
      <c r="BD50" s="230" t="str">
        <f>IF(VLOOKUP($B50,'6.คีย์ปลายภาค'!$C$6:$EI$50,98,FALSE)="","",VLOOKUP($B50,'6.คีย์ปลายภาค'!$C$6:$EI$50,98,FALSE))</f>
        <v/>
      </c>
      <c r="BE50" s="230" t="str">
        <f>VLOOKUP($B50,'6.คีย์ปลายภาค'!$C$6:$EI$50,99,FALSE)</f>
        <v/>
      </c>
      <c r="BF50" s="230" t="str">
        <f>IF(VLOOKUP($B50,'6.คีย์ปลายภาค'!$C$6:$EI$50,103,FALSE)="","",VLOOKUP($B50,'6.คีย์ปลายภาค'!$C$6:$EI$50,103,FALSE))</f>
        <v/>
      </c>
      <c r="BG50" s="230" t="str">
        <f>VLOOKUP($B50,'6.คีย์ปลายภาค'!$C$6:$EI$50,104,FALSE)</f>
        <v/>
      </c>
      <c r="BH50" s="230" t="str">
        <f>IF(VLOOKUP($B50,'6.คีย์ปลายภาค'!$C$6:$EI$50,108,FALSE)="","",VLOOKUP($B50,'6.คีย์ปลายภาค'!$C$6:$EI$50,108,FALSE))</f>
        <v/>
      </c>
      <c r="BI50" s="230" t="str">
        <f>VLOOKUP($B50,'6.คีย์ปลายภาค'!$C$6:$EI$50,109,FALSE)</f>
        <v/>
      </c>
      <c r="BJ50" s="230" t="str">
        <f>IF(VLOOKUP($B50,'6.คีย์ปลายภาค'!$C$6:$EI$50,113,FALSE)="","",VLOOKUP($B50,'6.คีย์ปลายภาค'!$C$6:$EI$50,113,FALSE))</f>
        <v/>
      </c>
      <c r="BK50" s="230" t="str">
        <f>VLOOKUP($B50,'6.คีย์ปลายภาค'!$C$6:$EI$50,114,FALSE)</f>
        <v/>
      </c>
      <c r="BL50" s="230" t="str">
        <f>IF(VLOOKUP($B50,'6.คีย์ปลายภาค'!$C$6:$EI$50,118,FALSE)="","",VLOOKUP($B50,'6.คีย์ปลายภาค'!$C$6:$EI$50,118,FALSE))</f>
        <v/>
      </c>
      <c r="BM50" s="230" t="str">
        <f>VLOOKUP($B50,'6.คีย์ปลายภาค'!$C$6:$EI$50,119,FALSE)</f>
        <v/>
      </c>
      <c r="BN50" s="230" t="str">
        <f>IF(VLOOKUP($B50,'6.คีย์ปลายภาค'!$C$6:$EI$50,123,FALSE)="","",VLOOKUP($B50,'6.คีย์ปลายภาค'!$C$6:$EI$50,123,FALSE))</f>
        <v/>
      </c>
      <c r="BO50" s="230" t="str">
        <f>VLOOKUP($B50,'6.คีย์ปลายภาค'!$C$6:$EI$50,124,FALSE)</f>
        <v/>
      </c>
      <c r="BP50" s="230" t="str">
        <f>IF(VLOOKUP($B50,'6.คีย์ปลายภาค'!$C$6:$EI$50,128,FALSE)="","",VLOOKUP($B50,'6.คีย์ปลายภาค'!$C$6:$EI$50,128,FALSE))</f>
        <v/>
      </c>
      <c r="BQ50" s="232" t="str">
        <f>VLOOKUP($B50,'6.คีย์ปลายภาค'!$C$6:$EI$50,129,FALSE)</f>
        <v/>
      </c>
      <c r="BR50" s="550" t="str">
        <f>IF(L50="","",IF('2.ชื่อนักเรียน'!R52="มส","",IF('2.ชื่อนักเรียน'!R52="ย้าย","",IF('2.ชื่อนักเรียน'!R52="ร","",SUM(BT50:CR50)/13.5))))</f>
        <v/>
      </c>
      <c r="BS50" s="520" t="str">
        <f>IF('2.ชื่อนักเรียน'!R52="มส","มส",IF('2.ชื่อนักเรียน'!R52="ย้าย","ย้าย",IF('2.ชื่อนักเรียน'!R52="ร","ร",IF(BR50="","",RANK(BR50,$BR$9:$BR$53,0)))))</f>
        <v/>
      </c>
      <c r="BT50" s="118" t="str">
        <f t="shared" si="0"/>
        <v/>
      </c>
      <c r="BU50" s="119" t="str">
        <f t="shared" si="1"/>
        <v/>
      </c>
      <c r="BV50" s="119" t="str">
        <f t="shared" si="2"/>
        <v/>
      </c>
      <c r="BW50" s="110" t="str">
        <f t="shared" si="3"/>
        <v/>
      </c>
      <c r="BX50" s="119" t="str">
        <f t="shared" si="4"/>
        <v/>
      </c>
      <c r="BY50" s="119" t="str">
        <f t="shared" si="5"/>
        <v/>
      </c>
      <c r="BZ50" s="119" t="str">
        <f t="shared" si="6"/>
        <v/>
      </c>
      <c r="CA50" s="119" t="str">
        <f t="shared" si="7"/>
        <v/>
      </c>
      <c r="CB50" s="110" t="str">
        <f t="shared" si="8"/>
        <v/>
      </c>
      <c r="CC50" s="151" t="str">
        <f t="shared" si="9"/>
        <v/>
      </c>
      <c r="CD50" s="151" t="str">
        <f t="shared" si="10"/>
        <v/>
      </c>
      <c r="CE50" s="111" t="str">
        <f t="shared" si="27"/>
        <v/>
      </c>
      <c r="CF50" s="118" t="str">
        <f t="shared" si="12"/>
        <v/>
      </c>
      <c r="CG50" s="119" t="str">
        <f t="shared" si="13"/>
        <v/>
      </c>
      <c r="CH50" s="119" t="str">
        <f t="shared" si="14"/>
        <v/>
      </c>
      <c r="CI50" s="119" t="str">
        <f t="shared" si="15"/>
        <v/>
      </c>
      <c r="CJ50" s="110" t="str">
        <f t="shared" si="16"/>
        <v/>
      </c>
      <c r="CK50" s="110" t="str">
        <f t="shared" si="17"/>
        <v/>
      </c>
      <c r="CL50" s="119" t="str">
        <f t="shared" si="18"/>
        <v/>
      </c>
      <c r="CM50" s="119" t="str">
        <f t="shared" si="19"/>
        <v/>
      </c>
      <c r="CN50" s="120" t="str">
        <f t="shared" si="20"/>
        <v/>
      </c>
      <c r="CO50" s="119" t="str">
        <f t="shared" si="21"/>
        <v/>
      </c>
      <c r="CP50" s="120" t="str">
        <f t="shared" si="22"/>
        <v/>
      </c>
      <c r="CQ50" s="111" t="str">
        <f t="shared" si="26"/>
        <v/>
      </c>
      <c r="CR50" s="494" t="str">
        <f t="shared" si="24"/>
        <v/>
      </c>
      <c r="CS50" s="148">
        <f t="shared" si="25"/>
        <v>0</v>
      </c>
      <c r="CT50" s="21">
        <f>IF('2.ชื่อนักเรียน'!AP52="มส","มส",IF('2.ชื่อนักเรียน'!AP52="ย้าย","ย้าย",IF('2.ชื่อนักเรียน'!AP52="ร","ร",IF(CS50="","",RANK(CS50,$CS$9:$CS$53,0)))))</f>
        <v>1</v>
      </c>
    </row>
    <row r="51" spans="1:98" s="29" customFormat="1" ht="18.75" customHeight="1" x14ac:dyDescent="0.25">
      <c r="A51" s="234">
        <v>43</v>
      </c>
      <c r="B51" s="512" t="str">
        <f>IF(IDstu43="","",IDstu43)</f>
        <v/>
      </c>
      <c r="C51" s="770" t="str">
        <f>IF(Name43="","",Name43)</f>
        <v/>
      </c>
      <c r="D51" s="707"/>
      <c r="E51" s="707"/>
      <c r="F51" s="707"/>
      <c r="G51" s="707" t="str">
        <f>IF(Surname43="","",Surname43)</f>
        <v/>
      </c>
      <c r="H51" s="707"/>
      <c r="I51" s="707"/>
      <c r="J51" s="707"/>
      <c r="K51" s="234" t="str">
        <f>IF(VLOOKUP($B51,'6.คีย์ปลายภาค'!$C$6:$EI$50,8,FALSE)="","",VLOOKUP($B51,'6.คีย์ปลายภาค'!$C$6:$EI$50,8,FALSE))</f>
        <v/>
      </c>
      <c r="L51" s="229" t="str">
        <f>VLOOKUP($B51,'6.คีย์ปลายภาค'!$C$6:$EI$50,9,FALSE)</f>
        <v/>
      </c>
      <c r="M51" s="229" t="str">
        <f>IF(VLOOKUP($B51,'6.คีย์ปลายภาค'!$C$6:$EI$50,13,FALSE)="","",VLOOKUP($B51,'6.คีย์ปลายภาค'!$C$6:$EI$50,13,FALSE))</f>
        <v/>
      </c>
      <c r="N51" s="230" t="str">
        <f>VLOOKUP($B51,'6.คีย์ปลายภาค'!$C$6:$EI$50,14,FALSE)</f>
        <v/>
      </c>
      <c r="O51" s="230" t="str">
        <f>IF(VLOOKUP($B51,'6.คีย์ปลายภาค'!$C$6:$EI$50,18,FALSE)="","",VLOOKUP($B51,'6.คีย์ปลายภาค'!$C$6:$EI$50,18,FALSE))</f>
        <v/>
      </c>
      <c r="P51" s="230" t="str">
        <f>VLOOKUP($B51,'6.คีย์ปลายภาค'!$C$6:$EI$50,19,FALSE)</f>
        <v/>
      </c>
      <c r="Q51" s="230" t="str">
        <f>IF(VLOOKUP($B51,'6.คีย์ปลายภาค'!$C$6:$EI$50,23,FALSE)="","",VLOOKUP($B51,'6.คีย์ปลายภาค'!$C$6:$EI$50,23,FALSE))</f>
        <v/>
      </c>
      <c r="R51" s="230" t="str">
        <f>VLOOKUP($B51,'6.คีย์ปลายภาค'!$C$6:$EI$50,24,FALSE)</f>
        <v/>
      </c>
      <c r="S51" s="230" t="str">
        <f>IF(VLOOKUP($B51,'6.คีย์ปลายภาค'!$C$6:$EI$50,28,FALSE)="","",VLOOKUP($B51,'6.คีย์ปลายภาค'!$C$6:$EI$50,28,FALSE))</f>
        <v/>
      </c>
      <c r="T51" s="230" t="str">
        <f>VLOOKUP($B51,'6.คีย์ปลายภาค'!$C$6:$EI$50,29,FALSE)</f>
        <v/>
      </c>
      <c r="U51" s="230" t="str">
        <f>IF(VLOOKUP($B51,'6.คีย์ปลายภาค'!$C$6:$EI$50,33,FALSE)="","",VLOOKUP($B51,'6.คีย์ปลายภาค'!$C$6:$EI$50,33,FALSE))</f>
        <v/>
      </c>
      <c r="V51" s="230" t="str">
        <f>VLOOKUP($B51,'6.คีย์ปลายภาค'!$C$6:$EI$50,34,FALSE)</f>
        <v/>
      </c>
      <c r="W51" s="230" t="str">
        <f>IF(VLOOKUP($B51,'6.คีย์ปลายภาค'!$C$6:$EI$50,38,FALSE)="","",VLOOKUP($B51,'6.คีย์ปลายภาค'!$C$6:$EI$50,38,FALSE))</f>
        <v/>
      </c>
      <c r="X51" s="230" t="str">
        <f>VLOOKUP($B51,'6.คีย์ปลายภาค'!$C$6:$EI$50,39,FALSE)</f>
        <v/>
      </c>
      <c r="Y51" s="230" t="str">
        <f>IF(VLOOKUP($B51,'6.คีย์ปลายภาค'!$C$6:$EI$50,43,FALSE)="","",VLOOKUP($B51,'6.คีย์ปลายภาค'!$C$6:$EI$50,43,FALSE))</f>
        <v/>
      </c>
      <c r="Z51" s="230" t="str">
        <f>VLOOKUP($B51,'6.คีย์ปลายภาค'!$C$6:$EI$50,44,FALSE)</f>
        <v/>
      </c>
      <c r="AA51" s="230" t="str">
        <f>IF(VLOOKUP($B51,'6.คีย์ปลายภาค'!$C$6:$EI$50,48,FALSE)="","",VLOOKUP($B51,'6.คีย์ปลายภาค'!$C$6:$EI$50,48,FALSE))</f>
        <v/>
      </c>
      <c r="AB51" s="230" t="str">
        <f>VLOOKUP($B51,'6.คีย์ปลายภาค'!$C$6:$EI$50,49,FALSE)</f>
        <v/>
      </c>
      <c r="AC51" s="231" t="str">
        <f>IF(VLOOKUP($B51,'6.คีย์ปลายภาค'!$C$6:$EI$50,53,FALSE)="","",VLOOKUP($B51,'6.คีย์ปลายภาค'!$C$6:$EI$50,53,FALSE))</f>
        <v/>
      </c>
      <c r="AD51" s="231" t="str">
        <f>VLOOKUP($B51,'6.คีย์ปลายภาค'!$C$6:$EI$50,54,FALSE)</f>
        <v/>
      </c>
      <c r="AE51" s="231" t="str">
        <f>IF(VLOOKUP($B51,'6.คีย์ปลายภาค'!$C$6:$EI$50,58,FALSE)="","",VLOOKUP($B51,'6.คีย์ปลายภาค'!$C$6:$EI$50,58,FALSE))</f>
        <v/>
      </c>
      <c r="AF51" s="231" t="str">
        <f>VLOOKUP($B51,'6.คีย์ปลายภาค'!$C$6:$EI$50,59,FALSE)</f>
        <v/>
      </c>
      <c r="AG51" s="231" t="str">
        <f>IF(VLOOKUP($B51,'6.คีย์ปลายภาค'!$C$6:$EI$50,63,FALSE)="","",VLOOKUP($B51,'6.คีย์ปลายภาค'!$C$6:$EI$50,63,FALSE))</f>
        <v/>
      </c>
      <c r="AH51" s="232" t="str">
        <f>VLOOKUP($B51,'6.คีย์ปลายภาค'!$C$6:$EI$50,64,FALSE)</f>
        <v/>
      </c>
      <c r="AI51" s="31">
        <v>43</v>
      </c>
      <c r="AJ51" s="770" t="str">
        <f>IF(Name43="","",Name43)</f>
        <v/>
      </c>
      <c r="AK51" s="707"/>
      <c r="AL51" s="707"/>
      <c r="AM51" s="707"/>
      <c r="AN51" s="707" t="str">
        <f>IF(Surname43="","",Surname43)</f>
        <v/>
      </c>
      <c r="AO51" s="707"/>
      <c r="AP51" s="707"/>
      <c r="AQ51" s="707"/>
      <c r="AR51" s="234" t="str">
        <f>IF(VLOOKUP($B51,'6.คีย์ปลายภาค'!$C$6:$EI$50,68,FALSE)="","",VLOOKUP($B51,'6.คีย์ปลายภาค'!$C$6:$EI$50,68,FALSE))</f>
        <v/>
      </c>
      <c r="AS51" s="230" t="str">
        <f>VLOOKUP($B51,'6.คีย์ปลายภาค'!$C$6:$EI$50,69,FALSE)</f>
        <v/>
      </c>
      <c r="AT51" s="230" t="str">
        <f>IF(VLOOKUP($B51,'6.คีย์ปลายภาค'!$C$6:$EI$50,73,FALSE)="","",VLOOKUP($B51,'6.คีย์ปลายภาค'!$C$6:$EI$50,73,FALSE))</f>
        <v/>
      </c>
      <c r="AU51" s="230" t="str">
        <f>VLOOKUP($B51,'6.คีย์ปลายภาค'!$C$6:$EI$50,74,FALSE)</f>
        <v/>
      </c>
      <c r="AV51" s="230" t="str">
        <f>IF(VLOOKUP($B51,'6.คีย์ปลายภาค'!$C$6:$EI$50,78,FALSE)="","",VLOOKUP($B51,'6.คีย์ปลายภาค'!$C$6:$EI$50,78,FALSE))</f>
        <v/>
      </c>
      <c r="AW51" s="230" t="str">
        <f>VLOOKUP($B51,'6.คีย์ปลายภาค'!$C$6:$EI$50,79,FALSE)</f>
        <v/>
      </c>
      <c r="AX51" s="230" t="str">
        <f>IF(VLOOKUP($B51,'6.คีย์ปลายภาค'!$C$6:$EI$50,83,FALSE)="","",VLOOKUP($B51,'6.คีย์ปลายภาค'!$C$6:$EI$50,83,FALSE))</f>
        <v/>
      </c>
      <c r="AY51" s="230" t="str">
        <f>VLOOKUP($B51,'6.คีย์ปลายภาค'!$C$6:$EI$50,84,FALSE)</f>
        <v/>
      </c>
      <c r="AZ51" s="230" t="str">
        <f>IF(VLOOKUP($B51,'6.คีย์ปลายภาค'!$C$6:$EI$50,88,FALSE)="","",VLOOKUP($B51,'6.คีย์ปลายภาค'!$C$6:$EI$50,88,FALSE))</f>
        <v/>
      </c>
      <c r="BA51" s="230" t="str">
        <f>VLOOKUP($B51,'6.คีย์ปลายภาค'!$C$6:$EI$50,89,FALSE)</f>
        <v/>
      </c>
      <c r="BB51" s="230" t="str">
        <f>IF(VLOOKUP($B51,'6.คีย์ปลายภาค'!$C$6:$EI$50,93,FALSE)="","",VLOOKUP($B51,'6.คีย์ปลายภาค'!$C$6:$EI$50,93,FALSE))</f>
        <v/>
      </c>
      <c r="BC51" s="230" t="str">
        <f>VLOOKUP($B51,'6.คีย์ปลายภาค'!$C$6:$EI$50,94,FALSE)</f>
        <v/>
      </c>
      <c r="BD51" s="230" t="str">
        <f>IF(VLOOKUP($B51,'6.คีย์ปลายภาค'!$C$6:$EI$50,98,FALSE)="","",VLOOKUP($B51,'6.คีย์ปลายภาค'!$C$6:$EI$50,98,FALSE))</f>
        <v/>
      </c>
      <c r="BE51" s="230" t="str">
        <f>VLOOKUP($B51,'6.คีย์ปลายภาค'!$C$6:$EI$50,99,FALSE)</f>
        <v/>
      </c>
      <c r="BF51" s="230" t="str">
        <f>IF(VLOOKUP($B51,'6.คีย์ปลายภาค'!$C$6:$EI$50,103,FALSE)="","",VLOOKUP($B51,'6.คีย์ปลายภาค'!$C$6:$EI$50,103,FALSE))</f>
        <v/>
      </c>
      <c r="BG51" s="230" t="str">
        <f>VLOOKUP($B51,'6.คีย์ปลายภาค'!$C$6:$EI$50,104,FALSE)</f>
        <v/>
      </c>
      <c r="BH51" s="230" t="str">
        <f>IF(VLOOKUP($B51,'6.คีย์ปลายภาค'!$C$6:$EI$50,108,FALSE)="","",VLOOKUP($B51,'6.คีย์ปลายภาค'!$C$6:$EI$50,108,FALSE))</f>
        <v/>
      </c>
      <c r="BI51" s="230" t="str">
        <f>VLOOKUP($B51,'6.คีย์ปลายภาค'!$C$6:$EI$50,109,FALSE)</f>
        <v/>
      </c>
      <c r="BJ51" s="230" t="str">
        <f>IF(VLOOKUP($B51,'6.คีย์ปลายภาค'!$C$6:$EI$50,113,FALSE)="","",VLOOKUP($B51,'6.คีย์ปลายภาค'!$C$6:$EI$50,113,FALSE))</f>
        <v/>
      </c>
      <c r="BK51" s="230" t="str">
        <f>VLOOKUP($B51,'6.คีย์ปลายภาค'!$C$6:$EI$50,114,FALSE)</f>
        <v/>
      </c>
      <c r="BL51" s="230" t="str">
        <f>IF(VLOOKUP($B51,'6.คีย์ปลายภาค'!$C$6:$EI$50,118,FALSE)="","",VLOOKUP($B51,'6.คีย์ปลายภาค'!$C$6:$EI$50,118,FALSE))</f>
        <v/>
      </c>
      <c r="BM51" s="230" t="str">
        <f>VLOOKUP($B51,'6.คีย์ปลายภาค'!$C$6:$EI$50,119,FALSE)</f>
        <v/>
      </c>
      <c r="BN51" s="230" t="str">
        <f>IF(VLOOKUP($B51,'6.คีย์ปลายภาค'!$C$6:$EI$50,123,FALSE)="","",VLOOKUP($B51,'6.คีย์ปลายภาค'!$C$6:$EI$50,123,FALSE))</f>
        <v/>
      </c>
      <c r="BO51" s="230" t="str">
        <f>VLOOKUP($B51,'6.คีย์ปลายภาค'!$C$6:$EI$50,124,FALSE)</f>
        <v/>
      </c>
      <c r="BP51" s="230" t="str">
        <f>IF(VLOOKUP($B51,'6.คีย์ปลายภาค'!$C$6:$EI$50,128,FALSE)="","",VLOOKUP($B51,'6.คีย์ปลายภาค'!$C$6:$EI$50,128,FALSE))</f>
        <v/>
      </c>
      <c r="BQ51" s="232" t="str">
        <f>VLOOKUP($B51,'6.คีย์ปลายภาค'!$C$6:$EI$50,129,FALSE)</f>
        <v/>
      </c>
      <c r="BR51" s="550" t="str">
        <f>IF(L51="","",IF('2.ชื่อนักเรียน'!R53="มส","",IF('2.ชื่อนักเรียน'!R53="ย้าย","",IF('2.ชื่อนักเรียน'!R53="ร","",SUM(BT51:CR51)/13.5))))</f>
        <v/>
      </c>
      <c r="BS51" s="520" t="str">
        <f>IF('2.ชื่อนักเรียน'!R53="มส","มส",IF('2.ชื่อนักเรียน'!R53="ย้าย","ย้าย",IF('2.ชื่อนักเรียน'!R53="ร","ร",IF(BR51="","",RANK(BR51,$BR$9:$BR$53,0)))))</f>
        <v/>
      </c>
      <c r="BT51" s="118" t="str">
        <f t="shared" si="0"/>
        <v/>
      </c>
      <c r="BU51" s="119" t="str">
        <f t="shared" si="1"/>
        <v/>
      </c>
      <c r="BV51" s="119" t="str">
        <f t="shared" si="2"/>
        <v/>
      </c>
      <c r="BW51" s="110" t="str">
        <f t="shared" si="3"/>
        <v/>
      </c>
      <c r="BX51" s="119" t="str">
        <f t="shared" si="4"/>
        <v/>
      </c>
      <c r="BY51" s="119" t="str">
        <f t="shared" si="5"/>
        <v/>
      </c>
      <c r="BZ51" s="119" t="str">
        <f t="shared" si="6"/>
        <v/>
      </c>
      <c r="CA51" s="119" t="str">
        <f t="shared" si="7"/>
        <v/>
      </c>
      <c r="CB51" s="110" t="str">
        <f t="shared" si="8"/>
        <v/>
      </c>
      <c r="CC51" s="151" t="str">
        <f t="shared" si="9"/>
        <v/>
      </c>
      <c r="CD51" s="151" t="str">
        <f t="shared" si="10"/>
        <v/>
      </c>
      <c r="CE51" s="111" t="str">
        <f t="shared" si="27"/>
        <v/>
      </c>
      <c r="CF51" s="118" t="str">
        <f t="shared" si="12"/>
        <v/>
      </c>
      <c r="CG51" s="119" t="str">
        <f t="shared" si="13"/>
        <v/>
      </c>
      <c r="CH51" s="119" t="str">
        <f t="shared" si="14"/>
        <v/>
      </c>
      <c r="CI51" s="119" t="str">
        <f t="shared" si="15"/>
        <v/>
      </c>
      <c r="CJ51" s="110" t="str">
        <f t="shared" si="16"/>
        <v/>
      </c>
      <c r="CK51" s="110" t="str">
        <f t="shared" si="17"/>
        <v/>
      </c>
      <c r="CL51" s="119" t="str">
        <f t="shared" si="18"/>
        <v/>
      </c>
      <c r="CM51" s="119" t="str">
        <f t="shared" si="19"/>
        <v/>
      </c>
      <c r="CN51" s="120" t="str">
        <f t="shared" si="20"/>
        <v/>
      </c>
      <c r="CO51" s="119" t="str">
        <f t="shared" si="21"/>
        <v/>
      </c>
      <c r="CP51" s="120" t="str">
        <f t="shared" si="22"/>
        <v/>
      </c>
      <c r="CQ51" s="111" t="str">
        <f t="shared" si="26"/>
        <v/>
      </c>
      <c r="CR51" s="494" t="str">
        <f t="shared" si="24"/>
        <v/>
      </c>
      <c r="CS51" s="148">
        <f t="shared" si="25"/>
        <v>0</v>
      </c>
      <c r="CT51" s="21">
        <f>IF('2.ชื่อนักเรียน'!AP53="มส","มส",IF('2.ชื่อนักเรียน'!AP53="ย้าย","ย้าย",IF('2.ชื่อนักเรียน'!AP53="ร","ร",IF(CS51="","",RANK(CS51,$CS$9:$CS$53,0)))))</f>
        <v>1</v>
      </c>
    </row>
    <row r="52" spans="1:98" s="29" customFormat="1" ht="18.75" customHeight="1" x14ac:dyDescent="0.25">
      <c r="A52" s="234">
        <v>44</v>
      </c>
      <c r="B52" s="512" t="str">
        <f>IF(IDstu44="","",IDstu44)</f>
        <v/>
      </c>
      <c r="C52" s="770" t="str">
        <f>IF(Name44="","",Name44)</f>
        <v/>
      </c>
      <c r="D52" s="707"/>
      <c r="E52" s="707"/>
      <c r="F52" s="707"/>
      <c r="G52" s="707" t="str">
        <f>IF(Surname44="","",Surname44)</f>
        <v/>
      </c>
      <c r="H52" s="707"/>
      <c r="I52" s="707"/>
      <c r="J52" s="707"/>
      <c r="K52" s="234" t="str">
        <f>IF(VLOOKUP($B52,'6.คีย์ปลายภาค'!$C$6:$EI$50,8,FALSE)="","",VLOOKUP($B52,'6.คีย์ปลายภาค'!$C$6:$EI$50,8,FALSE))</f>
        <v/>
      </c>
      <c r="L52" s="229" t="str">
        <f>VLOOKUP($B52,'6.คีย์ปลายภาค'!$C$6:$EI$50,9,FALSE)</f>
        <v/>
      </c>
      <c r="M52" s="229" t="str">
        <f>IF(VLOOKUP($B52,'6.คีย์ปลายภาค'!$C$6:$EI$50,13,FALSE)="","",VLOOKUP($B52,'6.คีย์ปลายภาค'!$C$6:$EI$50,13,FALSE))</f>
        <v/>
      </c>
      <c r="N52" s="230" t="str">
        <f>VLOOKUP($B52,'6.คีย์ปลายภาค'!$C$6:$EI$50,14,FALSE)</f>
        <v/>
      </c>
      <c r="O52" s="230" t="str">
        <f>IF(VLOOKUP($B52,'6.คีย์ปลายภาค'!$C$6:$EI$50,18,FALSE)="","",VLOOKUP($B52,'6.คีย์ปลายภาค'!$C$6:$EI$50,18,FALSE))</f>
        <v/>
      </c>
      <c r="P52" s="230" t="str">
        <f>VLOOKUP($B52,'6.คีย์ปลายภาค'!$C$6:$EI$50,19,FALSE)</f>
        <v/>
      </c>
      <c r="Q52" s="230" t="str">
        <f>IF(VLOOKUP($B52,'6.คีย์ปลายภาค'!$C$6:$EI$50,23,FALSE)="","",VLOOKUP($B52,'6.คีย์ปลายภาค'!$C$6:$EI$50,23,FALSE))</f>
        <v/>
      </c>
      <c r="R52" s="230" t="str">
        <f>VLOOKUP($B52,'6.คีย์ปลายภาค'!$C$6:$EI$50,24,FALSE)</f>
        <v/>
      </c>
      <c r="S52" s="230" t="str">
        <f>IF(VLOOKUP($B52,'6.คีย์ปลายภาค'!$C$6:$EI$50,28,FALSE)="","",VLOOKUP($B52,'6.คีย์ปลายภาค'!$C$6:$EI$50,28,FALSE))</f>
        <v/>
      </c>
      <c r="T52" s="230" t="str">
        <f>VLOOKUP($B52,'6.คีย์ปลายภาค'!$C$6:$EI$50,29,FALSE)</f>
        <v/>
      </c>
      <c r="U52" s="230" t="str">
        <f>IF(VLOOKUP($B52,'6.คีย์ปลายภาค'!$C$6:$EI$50,33,FALSE)="","",VLOOKUP($B52,'6.คีย์ปลายภาค'!$C$6:$EI$50,33,FALSE))</f>
        <v/>
      </c>
      <c r="V52" s="230" t="str">
        <f>VLOOKUP($B52,'6.คีย์ปลายภาค'!$C$6:$EI$50,34,FALSE)</f>
        <v/>
      </c>
      <c r="W52" s="230" t="str">
        <f>IF(VLOOKUP($B52,'6.คีย์ปลายภาค'!$C$6:$EI$50,38,FALSE)="","",VLOOKUP($B52,'6.คีย์ปลายภาค'!$C$6:$EI$50,38,FALSE))</f>
        <v/>
      </c>
      <c r="X52" s="230" t="str">
        <f>VLOOKUP($B52,'6.คีย์ปลายภาค'!$C$6:$EI$50,39,FALSE)</f>
        <v/>
      </c>
      <c r="Y52" s="230" t="str">
        <f>IF(VLOOKUP($B52,'6.คีย์ปลายภาค'!$C$6:$EI$50,43,FALSE)="","",VLOOKUP($B52,'6.คีย์ปลายภาค'!$C$6:$EI$50,43,FALSE))</f>
        <v/>
      </c>
      <c r="Z52" s="230" t="str">
        <f>VLOOKUP($B52,'6.คีย์ปลายภาค'!$C$6:$EI$50,44,FALSE)</f>
        <v/>
      </c>
      <c r="AA52" s="230" t="str">
        <f>IF(VLOOKUP($B52,'6.คีย์ปลายภาค'!$C$6:$EI$50,48,FALSE)="","",VLOOKUP($B52,'6.คีย์ปลายภาค'!$C$6:$EI$50,48,FALSE))</f>
        <v/>
      </c>
      <c r="AB52" s="230" t="str">
        <f>VLOOKUP($B52,'6.คีย์ปลายภาค'!$C$6:$EI$50,49,FALSE)</f>
        <v/>
      </c>
      <c r="AC52" s="231" t="str">
        <f>IF(VLOOKUP($B52,'6.คีย์ปลายภาค'!$C$6:$EI$50,53,FALSE)="","",VLOOKUP($B52,'6.คีย์ปลายภาค'!$C$6:$EI$50,53,FALSE))</f>
        <v/>
      </c>
      <c r="AD52" s="231" t="str">
        <f>VLOOKUP($B52,'6.คีย์ปลายภาค'!$C$6:$EI$50,54,FALSE)</f>
        <v/>
      </c>
      <c r="AE52" s="231" t="str">
        <f>IF(VLOOKUP($B52,'6.คีย์ปลายภาค'!$C$6:$EI$50,58,FALSE)="","",VLOOKUP($B52,'6.คีย์ปลายภาค'!$C$6:$EI$50,58,FALSE))</f>
        <v/>
      </c>
      <c r="AF52" s="231" t="str">
        <f>VLOOKUP($B52,'6.คีย์ปลายภาค'!$C$6:$EI$50,59,FALSE)</f>
        <v/>
      </c>
      <c r="AG52" s="231" t="str">
        <f>IF(VLOOKUP($B52,'6.คีย์ปลายภาค'!$C$6:$EI$50,63,FALSE)="","",VLOOKUP($B52,'6.คีย์ปลายภาค'!$C$6:$EI$50,63,FALSE))</f>
        <v/>
      </c>
      <c r="AH52" s="232" t="str">
        <f>VLOOKUP($B52,'6.คีย์ปลายภาค'!$C$6:$EI$50,64,FALSE)</f>
        <v/>
      </c>
      <c r="AI52" s="31">
        <v>44</v>
      </c>
      <c r="AJ52" s="770" t="str">
        <f>IF(Name44="","",Name44)</f>
        <v/>
      </c>
      <c r="AK52" s="707"/>
      <c r="AL52" s="707"/>
      <c r="AM52" s="707"/>
      <c r="AN52" s="707" t="str">
        <f>IF(Surname44="","",Surname44)</f>
        <v/>
      </c>
      <c r="AO52" s="707"/>
      <c r="AP52" s="707"/>
      <c r="AQ52" s="707"/>
      <c r="AR52" s="234" t="str">
        <f>IF(VLOOKUP($B52,'6.คีย์ปลายภาค'!$C$6:$EI$50,68,FALSE)="","",VLOOKUP($B52,'6.คีย์ปลายภาค'!$C$6:$EI$50,68,FALSE))</f>
        <v/>
      </c>
      <c r="AS52" s="230" t="str">
        <f>VLOOKUP($B52,'6.คีย์ปลายภาค'!$C$6:$EI$50,69,FALSE)</f>
        <v/>
      </c>
      <c r="AT52" s="230" t="str">
        <f>IF(VLOOKUP($B52,'6.คีย์ปลายภาค'!$C$6:$EI$50,73,FALSE)="","",VLOOKUP($B52,'6.คีย์ปลายภาค'!$C$6:$EI$50,73,FALSE))</f>
        <v/>
      </c>
      <c r="AU52" s="230" t="str">
        <f>VLOOKUP($B52,'6.คีย์ปลายภาค'!$C$6:$EI$50,74,FALSE)</f>
        <v/>
      </c>
      <c r="AV52" s="230" t="str">
        <f>IF(VLOOKUP($B52,'6.คีย์ปลายภาค'!$C$6:$EI$50,78,FALSE)="","",VLOOKUP($B52,'6.คีย์ปลายภาค'!$C$6:$EI$50,78,FALSE))</f>
        <v/>
      </c>
      <c r="AW52" s="230" t="str">
        <f>VLOOKUP($B52,'6.คีย์ปลายภาค'!$C$6:$EI$50,79,FALSE)</f>
        <v/>
      </c>
      <c r="AX52" s="230" t="str">
        <f>IF(VLOOKUP($B52,'6.คีย์ปลายภาค'!$C$6:$EI$50,83,FALSE)="","",VLOOKUP($B52,'6.คีย์ปลายภาค'!$C$6:$EI$50,83,FALSE))</f>
        <v/>
      </c>
      <c r="AY52" s="230" t="str">
        <f>VLOOKUP($B52,'6.คีย์ปลายภาค'!$C$6:$EI$50,84,FALSE)</f>
        <v/>
      </c>
      <c r="AZ52" s="230" t="str">
        <f>IF(VLOOKUP($B52,'6.คีย์ปลายภาค'!$C$6:$EI$50,88,FALSE)="","",VLOOKUP($B52,'6.คีย์ปลายภาค'!$C$6:$EI$50,88,FALSE))</f>
        <v/>
      </c>
      <c r="BA52" s="230" t="str">
        <f>VLOOKUP($B52,'6.คีย์ปลายภาค'!$C$6:$EI$50,89,FALSE)</f>
        <v/>
      </c>
      <c r="BB52" s="230" t="str">
        <f>IF(VLOOKUP($B52,'6.คีย์ปลายภาค'!$C$6:$EI$50,93,FALSE)="","",VLOOKUP($B52,'6.คีย์ปลายภาค'!$C$6:$EI$50,93,FALSE))</f>
        <v/>
      </c>
      <c r="BC52" s="230" t="str">
        <f>VLOOKUP($B52,'6.คีย์ปลายภาค'!$C$6:$EI$50,94,FALSE)</f>
        <v/>
      </c>
      <c r="BD52" s="230" t="str">
        <f>IF(VLOOKUP($B52,'6.คีย์ปลายภาค'!$C$6:$EI$50,98,FALSE)="","",VLOOKUP($B52,'6.คีย์ปลายภาค'!$C$6:$EI$50,98,FALSE))</f>
        <v/>
      </c>
      <c r="BE52" s="230" t="str">
        <f>VLOOKUP($B52,'6.คีย์ปลายภาค'!$C$6:$EI$50,99,FALSE)</f>
        <v/>
      </c>
      <c r="BF52" s="230" t="str">
        <f>IF(VLOOKUP($B52,'6.คีย์ปลายภาค'!$C$6:$EI$50,103,FALSE)="","",VLOOKUP($B52,'6.คีย์ปลายภาค'!$C$6:$EI$50,103,FALSE))</f>
        <v/>
      </c>
      <c r="BG52" s="230" t="str">
        <f>VLOOKUP($B52,'6.คีย์ปลายภาค'!$C$6:$EI$50,104,FALSE)</f>
        <v/>
      </c>
      <c r="BH52" s="230" t="str">
        <f>IF(VLOOKUP($B52,'6.คีย์ปลายภาค'!$C$6:$EI$50,108,FALSE)="","",VLOOKUP($B52,'6.คีย์ปลายภาค'!$C$6:$EI$50,108,FALSE))</f>
        <v/>
      </c>
      <c r="BI52" s="230" t="str">
        <f>VLOOKUP($B52,'6.คีย์ปลายภาค'!$C$6:$EI$50,109,FALSE)</f>
        <v/>
      </c>
      <c r="BJ52" s="230" t="str">
        <f>IF(VLOOKUP($B52,'6.คีย์ปลายภาค'!$C$6:$EI$50,113,FALSE)="","",VLOOKUP($B52,'6.คีย์ปลายภาค'!$C$6:$EI$50,113,FALSE))</f>
        <v/>
      </c>
      <c r="BK52" s="230" t="str">
        <f>VLOOKUP($B52,'6.คีย์ปลายภาค'!$C$6:$EI$50,114,FALSE)</f>
        <v/>
      </c>
      <c r="BL52" s="230" t="str">
        <f>IF(VLOOKUP($B52,'6.คีย์ปลายภาค'!$C$6:$EI$50,118,FALSE)="","",VLOOKUP($B52,'6.คีย์ปลายภาค'!$C$6:$EI$50,118,FALSE))</f>
        <v/>
      </c>
      <c r="BM52" s="230" t="str">
        <f>VLOOKUP($B52,'6.คีย์ปลายภาค'!$C$6:$EI$50,119,FALSE)</f>
        <v/>
      </c>
      <c r="BN52" s="230" t="str">
        <f>IF(VLOOKUP($B52,'6.คีย์ปลายภาค'!$C$6:$EI$50,123,FALSE)="","",VLOOKUP($B52,'6.คีย์ปลายภาค'!$C$6:$EI$50,123,FALSE))</f>
        <v/>
      </c>
      <c r="BO52" s="230" t="str">
        <f>VLOOKUP($B52,'6.คีย์ปลายภาค'!$C$6:$EI$50,124,FALSE)</f>
        <v/>
      </c>
      <c r="BP52" s="230" t="str">
        <f>IF(VLOOKUP($B52,'6.คีย์ปลายภาค'!$C$6:$EI$50,128,FALSE)="","",VLOOKUP($B52,'6.คีย์ปลายภาค'!$C$6:$EI$50,128,FALSE))</f>
        <v/>
      </c>
      <c r="BQ52" s="232" t="str">
        <f>VLOOKUP($B52,'6.คีย์ปลายภาค'!$C$6:$EI$50,129,FALSE)</f>
        <v/>
      </c>
      <c r="BR52" s="550" t="str">
        <f>IF(L52="","",IF('2.ชื่อนักเรียน'!R54="มส","",IF('2.ชื่อนักเรียน'!R54="ย้าย","",IF('2.ชื่อนักเรียน'!R54="ร","",SUM(BT52:CR52)/13.5))))</f>
        <v/>
      </c>
      <c r="BS52" s="520" t="str">
        <f>IF('2.ชื่อนักเรียน'!R54="มส","มส",IF('2.ชื่อนักเรียน'!R54="ย้าย","ย้าย",IF('2.ชื่อนักเรียน'!R54="ร","ร",IF(BR52="","",RANK(BR52,$BR$9:$BR$53,0)))))</f>
        <v/>
      </c>
      <c r="BT52" s="118" t="str">
        <f t="shared" si="0"/>
        <v/>
      </c>
      <c r="BU52" s="119" t="str">
        <f t="shared" si="1"/>
        <v/>
      </c>
      <c r="BV52" s="119" t="str">
        <f t="shared" si="2"/>
        <v/>
      </c>
      <c r="BW52" s="110" t="str">
        <f t="shared" si="3"/>
        <v/>
      </c>
      <c r="BX52" s="119" t="str">
        <f t="shared" si="4"/>
        <v/>
      </c>
      <c r="BY52" s="119" t="str">
        <f t="shared" si="5"/>
        <v/>
      </c>
      <c r="BZ52" s="119" t="str">
        <f t="shared" si="6"/>
        <v/>
      </c>
      <c r="CA52" s="119" t="str">
        <f t="shared" si="7"/>
        <v/>
      </c>
      <c r="CB52" s="110" t="str">
        <f t="shared" si="8"/>
        <v/>
      </c>
      <c r="CC52" s="151" t="str">
        <f t="shared" si="9"/>
        <v/>
      </c>
      <c r="CD52" s="151" t="str">
        <f t="shared" si="10"/>
        <v/>
      </c>
      <c r="CE52" s="111" t="str">
        <f t="shared" si="27"/>
        <v/>
      </c>
      <c r="CF52" s="118" t="str">
        <f t="shared" si="12"/>
        <v/>
      </c>
      <c r="CG52" s="119" t="str">
        <f t="shared" si="13"/>
        <v/>
      </c>
      <c r="CH52" s="119" t="str">
        <f t="shared" si="14"/>
        <v/>
      </c>
      <c r="CI52" s="119" t="str">
        <f t="shared" si="15"/>
        <v/>
      </c>
      <c r="CJ52" s="110" t="str">
        <f t="shared" si="16"/>
        <v/>
      </c>
      <c r="CK52" s="110" t="str">
        <f t="shared" si="17"/>
        <v/>
      </c>
      <c r="CL52" s="119" t="str">
        <f t="shared" si="18"/>
        <v/>
      </c>
      <c r="CM52" s="119" t="str">
        <f t="shared" si="19"/>
        <v/>
      </c>
      <c r="CN52" s="120" t="str">
        <f t="shared" si="20"/>
        <v/>
      </c>
      <c r="CO52" s="119" t="str">
        <f t="shared" si="21"/>
        <v/>
      </c>
      <c r="CP52" s="120" t="str">
        <f t="shared" si="22"/>
        <v/>
      </c>
      <c r="CQ52" s="111" t="str">
        <f t="shared" si="26"/>
        <v/>
      </c>
      <c r="CR52" s="494" t="str">
        <f t="shared" si="24"/>
        <v/>
      </c>
      <c r="CS52" s="148">
        <f t="shared" si="25"/>
        <v>0</v>
      </c>
      <c r="CT52" s="21">
        <f>IF('2.ชื่อนักเรียน'!AP54="มส","มส",IF('2.ชื่อนักเรียน'!AP54="ย้าย","ย้าย",IF('2.ชื่อนักเรียน'!AP54="ร","ร",IF(CS52="","",RANK(CS52,$CS$9:$CS$53,0)))))</f>
        <v>1</v>
      </c>
    </row>
    <row r="53" spans="1:98" s="29" customFormat="1" ht="18.75" customHeight="1" thickBot="1" x14ac:dyDescent="0.3">
      <c r="A53" s="236">
        <v>45</v>
      </c>
      <c r="B53" s="513" t="str">
        <f>IF(IDstu45="","",IDstu45)</f>
        <v/>
      </c>
      <c r="C53" s="766" t="str">
        <f>IF(Name45="","",Name45)</f>
        <v/>
      </c>
      <c r="D53" s="767"/>
      <c r="E53" s="767"/>
      <c r="F53" s="767"/>
      <c r="G53" s="767" t="str">
        <f>IF(Surname45="","",Surname45)</f>
        <v/>
      </c>
      <c r="H53" s="767"/>
      <c r="I53" s="767"/>
      <c r="J53" s="767"/>
      <c r="K53" s="236" t="str">
        <f>IF(VLOOKUP($B53,'6.คีย์ปลายภาค'!$C$6:$EI$50,8,FALSE)="","",VLOOKUP($B53,'6.คีย์ปลายภาค'!$C$6:$EI$50,8,FALSE))</f>
        <v/>
      </c>
      <c r="L53" s="237" t="str">
        <f>VLOOKUP($B53,'6.คีย์ปลายภาค'!$C$6:$EI$50,9,FALSE)</f>
        <v/>
      </c>
      <c r="M53" s="237" t="str">
        <f>IF(VLOOKUP($B53,'6.คีย์ปลายภาค'!$C$6:$EI$50,13,FALSE)="","",VLOOKUP($B53,'6.คีย์ปลายภาค'!$C$6:$EI$50,13,FALSE))</f>
        <v/>
      </c>
      <c r="N53" s="238" t="str">
        <f>VLOOKUP($B53,'6.คีย์ปลายภาค'!$C$6:$EI$50,14,FALSE)</f>
        <v/>
      </c>
      <c r="O53" s="238" t="str">
        <f>IF(VLOOKUP($B53,'6.คีย์ปลายภาค'!$C$6:$EI$50,18,FALSE)="","",VLOOKUP($B53,'6.คีย์ปลายภาค'!$C$6:$EI$50,18,FALSE))</f>
        <v/>
      </c>
      <c r="P53" s="238" t="str">
        <f>VLOOKUP($B53,'6.คีย์ปลายภาค'!$C$6:$EI$50,19,FALSE)</f>
        <v/>
      </c>
      <c r="Q53" s="238" t="str">
        <f>IF(VLOOKUP($B53,'6.คีย์ปลายภาค'!$C$6:$EI$50,23,FALSE)="","",VLOOKUP($B53,'6.คีย์ปลายภาค'!$C$6:$EI$50,23,FALSE))</f>
        <v/>
      </c>
      <c r="R53" s="238" t="str">
        <f>VLOOKUP($B53,'6.คีย์ปลายภาค'!$C$6:$EI$50,24,FALSE)</f>
        <v/>
      </c>
      <c r="S53" s="238" t="str">
        <f>IF(VLOOKUP($B53,'6.คีย์ปลายภาค'!$C$6:$EI$50,28,FALSE)="","",VLOOKUP($B53,'6.คีย์ปลายภาค'!$C$6:$EI$50,28,FALSE))</f>
        <v/>
      </c>
      <c r="T53" s="238" t="str">
        <f>VLOOKUP($B53,'6.คีย์ปลายภาค'!$C$6:$EI$50,29,FALSE)</f>
        <v/>
      </c>
      <c r="U53" s="238" t="str">
        <f>IF(VLOOKUP($B53,'6.คีย์ปลายภาค'!$C$6:$EI$50,33,FALSE)="","",VLOOKUP($B53,'6.คีย์ปลายภาค'!$C$6:$EI$50,33,FALSE))</f>
        <v/>
      </c>
      <c r="V53" s="238" t="str">
        <f>VLOOKUP($B53,'6.คีย์ปลายภาค'!$C$6:$EI$50,34,FALSE)</f>
        <v/>
      </c>
      <c r="W53" s="238" t="str">
        <f>IF(VLOOKUP($B53,'6.คีย์ปลายภาค'!$C$6:$EI$50,38,FALSE)="","",VLOOKUP($B53,'6.คีย์ปลายภาค'!$C$6:$EI$50,38,FALSE))</f>
        <v/>
      </c>
      <c r="X53" s="238" t="str">
        <f>VLOOKUP($B53,'6.คีย์ปลายภาค'!$C$6:$EI$50,39,FALSE)</f>
        <v/>
      </c>
      <c r="Y53" s="238" t="str">
        <f>IF(VLOOKUP($B53,'6.คีย์ปลายภาค'!$C$6:$EI$50,43,FALSE)="","",VLOOKUP($B53,'6.คีย์ปลายภาค'!$C$6:$EI$50,43,FALSE))</f>
        <v/>
      </c>
      <c r="Z53" s="238" t="str">
        <f>VLOOKUP($B53,'6.คีย์ปลายภาค'!$C$6:$EI$50,44,FALSE)</f>
        <v/>
      </c>
      <c r="AA53" s="238" t="str">
        <f>IF(VLOOKUP($B53,'6.คีย์ปลายภาค'!$C$6:$EI$50,48,FALSE)="","",VLOOKUP($B53,'6.คีย์ปลายภาค'!$C$6:$EI$50,48,FALSE))</f>
        <v/>
      </c>
      <c r="AB53" s="238" t="str">
        <f>VLOOKUP($B53,'6.คีย์ปลายภาค'!$C$6:$EI$50,49,FALSE)</f>
        <v/>
      </c>
      <c r="AC53" s="239" t="str">
        <f>IF(VLOOKUP($B53,'6.คีย์ปลายภาค'!$C$6:$EI$50,53,FALSE)="","",VLOOKUP($B53,'6.คีย์ปลายภาค'!$C$6:$EI$50,53,FALSE))</f>
        <v/>
      </c>
      <c r="AD53" s="239" t="str">
        <f>VLOOKUP($B53,'6.คีย์ปลายภาค'!$C$6:$EI$50,54,FALSE)</f>
        <v/>
      </c>
      <c r="AE53" s="239" t="str">
        <f>IF(VLOOKUP($B53,'6.คีย์ปลายภาค'!$C$6:$EI$50,58,FALSE)="","",VLOOKUP($B53,'6.คีย์ปลายภาค'!$C$6:$EI$50,58,FALSE))</f>
        <v/>
      </c>
      <c r="AF53" s="239" t="str">
        <f>VLOOKUP($B53,'6.คีย์ปลายภาค'!$C$6:$EI$50,59,FALSE)</f>
        <v/>
      </c>
      <c r="AG53" s="239" t="str">
        <f>IF(VLOOKUP($B53,'6.คีย์ปลายภาค'!$C$6:$EI$50,63,FALSE)="","",VLOOKUP($B53,'6.คีย์ปลายภาค'!$C$6:$EI$50,63,FALSE))</f>
        <v/>
      </c>
      <c r="AH53" s="240" t="str">
        <f>VLOOKUP($B53,'6.คีย์ปลายภาค'!$C$6:$EI$50,64,FALSE)</f>
        <v/>
      </c>
      <c r="AI53" s="32">
        <v>45</v>
      </c>
      <c r="AJ53" s="768" t="str">
        <f>IF(Name45="","",Name45)</f>
        <v/>
      </c>
      <c r="AK53" s="769"/>
      <c r="AL53" s="769"/>
      <c r="AM53" s="769"/>
      <c r="AN53" s="769" t="str">
        <f>IF(Surname45="","",Surname45)</f>
        <v/>
      </c>
      <c r="AO53" s="769"/>
      <c r="AP53" s="769"/>
      <c r="AQ53" s="769"/>
      <c r="AR53" s="515" t="str">
        <f>IF(VLOOKUP($B53,'6.คีย์ปลายภาค'!$C$6:$EI$50,68,FALSE)="","",VLOOKUP($B53,'6.คีย์ปลายภาค'!$C$6:$EI$50,68,FALSE))</f>
        <v/>
      </c>
      <c r="AS53" s="516" t="str">
        <f>VLOOKUP($B53,'6.คีย์ปลายภาค'!$C$6:$EI$50,69,FALSE)</f>
        <v/>
      </c>
      <c r="AT53" s="516" t="str">
        <f>IF(VLOOKUP($B53,'6.คีย์ปลายภาค'!$C$6:$EI$50,73,FALSE)="","",VLOOKUP($B53,'6.คีย์ปลายภาค'!$C$6:$EI$50,73,FALSE))</f>
        <v/>
      </c>
      <c r="AU53" s="516" t="str">
        <f>VLOOKUP($B53,'6.คีย์ปลายภาค'!$C$6:$EI$50,74,FALSE)</f>
        <v/>
      </c>
      <c r="AV53" s="516" t="str">
        <f>IF(VLOOKUP($B53,'6.คีย์ปลายภาค'!$C$6:$EI$50,78,FALSE)="","",VLOOKUP($B53,'6.คีย์ปลายภาค'!$C$6:$EI$50,78,FALSE))</f>
        <v/>
      </c>
      <c r="AW53" s="516" t="str">
        <f>VLOOKUP($B53,'6.คีย์ปลายภาค'!$C$6:$EI$50,79,FALSE)</f>
        <v/>
      </c>
      <c r="AX53" s="516" t="str">
        <f>IF(VLOOKUP($B53,'6.คีย์ปลายภาค'!$C$6:$EI$50,83,FALSE)="","",VLOOKUP($B53,'6.คีย์ปลายภาค'!$C$6:$EI$50,83,FALSE))</f>
        <v/>
      </c>
      <c r="AY53" s="516" t="str">
        <f>VLOOKUP($B53,'6.คีย์ปลายภาค'!$C$6:$EI$50,84,FALSE)</f>
        <v/>
      </c>
      <c r="AZ53" s="516" t="str">
        <f>IF(VLOOKUP($B53,'6.คีย์ปลายภาค'!$C$6:$EI$50,88,FALSE)="","",VLOOKUP($B53,'6.คีย์ปลายภาค'!$C$6:$EI$50,88,FALSE))</f>
        <v/>
      </c>
      <c r="BA53" s="516" t="str">
        <f>VLOOKUP($B53,'6.คีย์ปลายภาค'!$C$6:$EI$50,89,FALSE)</f>
        <v/>
      </c>
      <c r="BB53" s="516" t="str">
        <f>IF(VLOOKUP($B53,'6.คีย์ปลายภาค'!$C$6:$EI$50,93,FALSE)="","",VLOOKUP($B53,'6.คีย์ปลายภาค'!$C$6:$EI$50,93,FALSE))</f>
        <v/>
      </c>
      <c r="BC53" s="516" t="str">
        <f>VLOOKUP($B53,'6.คีย์ปลายภาค'!$C$6:$EI$50,94,FALSE)</f>
        <v/>
      </c>
      <c r="BD53" s="516" t="str">
        <f>IF(VLOOKUP($B53,'6.คีย์ปลายภาค'!$C$6:$EI$50,98,FALSE)="","",VLOOKUP($B53,'6.คีย์ปลายภาค'!$C$6:$EI$50,98,FALSE))</f>
        <v/>
      </c>
      <c r="BE53" s="516" t="str">
        <f>VLOOKUP($B53,'6.คีย์ปลายภาค'!$C$6:$EI$50,99,FALSE)</f>
        <v/>
      </c>
      <c r="BF53" s="516" t="str">
        <f>IF(VLOOKUP($B53,'6.คีย์ปลายภาค'!$C$6:$EI$50,103,FALSE)="","",VLOOKUP($B53,'6.คีย์ปลายภาค'!$C$6:$EI$50,103,FALSE))</f>
        <v/>
      </c>
      <c r="BG53" s="516" t="str">
        <f>VLOOKUP($B53,'6.คีย์ปลายภาค'!$C$6:$EI$50,104,FALSE)</f>
        <v/>
      </c>
      <c r="BH53" s="516" t="str">
        <f>IF(VLOOKUP($B53,'6.คีย์ปลายภาค'!$C$6:$EI$50,108,FALSE)="","",VLOOKUP($B53,'6.คีย์ปลายภาค'!$C$6:$EI$50,108,FALSE))</f>
        <v/>
      </c>
      <c r="BI53" s="516" t="str">
        <f>VLOOKUP($B53,'6.คีย์ปลายภาค'!$C$6:$EI$50,109,FALSE)</f>
        <v/>
      </c>
      <c r="BJ53" s="516" t="str">
        <f>IF(VLOOKUP($B53,'6.คีย์ปลายภาค'!$C$6:$EI$50,113,FALSE)="","",VLOOKUP($B53,'6.คีย์ปลายภาค'!$C$6:$EI$50,113,FALSE))</f>
        <v/>
      </c>
      <c r="BK53" s="516" t="str">
        <f>VLOOKUP($B53,'6.คีย์ปลายภาค'!$C$6:$EI$50,114,FALSE)</f>
        <v/>
      </c>
      <c r="BL53" s="516" t="str">
        <f>IF(VLOOKUP($B53,'6.คีย์ปลายภาค'!$C$6:$EI$50,118,FALSE)="","",VLOOKUP($B53,'6.คีย์ปลายภาค'!$C$6:$EI$50,118,FALSE))</f>
        <v/>
      </c>
      <c r="BM53" s="516" t="str">
        <f>VLOOKUP($B53,'6.คีย์ปลายภาค'!$C$6:$EI$50,119,FALSE)</f>
        <v/>
      </c>
      <c r="BN53" s="516" t="str">
        <f>IF(VLOOKUP($B53,'6.คีย์ปลายภาค'!$C$6:$EI$50,123,FALSE)="","",VLOOKUP($B53,'6.คีย์ปลายภาค'!$C$6:$EI$50,123,FALSE))</f>
        <v/>
      </c>
      <c r="BO53" s="516" t="str">
        <f>VLOOKUP($B53,'6.คีย์ปลายภาค'!$C$6:$EI$50,124,FALSE)</f>
        <v/>
      </c>
      <c r="BP53" s="516" t="str">
        <f>IF(VLOOKUP($B53,'6.คีย์ปลายภาค'!$C$6:$EI$50,128,FALSE)="","",VLOOKUP($B53,'6.คีย์ปลายภาค'!$C$6:$EI$50,128,FALSE))</f>
        <v/>
      </c>
      <c r="BQ53" s="514" t="str">
        <f>VLOOKUP($B53,'6.คีย์ปลายภาค'!$C$6:$EI$50,129,FALSE)</f>
        <v/>
      </c>
      <c r="BR53" s="551" t="str">
        <f>IF(L53="","",IF('2.ชื่อนักเรียน'!R55="มส","",IF('2.ชื่อนักเรียน'!R55="ย้าย","",IF('2.ชื่อนักเรียน'!R55="ร","",SUM(BT53:CR53)/13.5))))</f>
        <v/>
      </c>
      <c r="BS53" s="521" t="str">
        <f>IF('2.ชื่อนักเรียน'!R55="มส","มส",IF('2.ชื่อนักเรียน'!R55="ย้าย","ย้าย",IF('2.ชื่อนักเรียน'!R55="ร","ร",IF(BR53="","",RANK(BR53,$BR$9:$BR$53,0)))))</f>
        <v/>
      </c>
      <c r="BT53" s="121" t="str">
        <f t="shared" si="0"/>
        <v/>
      </c>
      <c r="BU53" s="122" t="str">
        <f t="shared" si="1"/>
        <v/>
      </c>
      <c r="BV53" s="122" t="str">
        <f t="shared" si="2"/>
        <v/>
      </c>
      <c r="BW53" s="123" t="str">
        <f t="shared" si="3"/>
        <v/>
      </c>
      <c r="BX53" s="122" t="str">
        <f t="shared" si="4"/>
        <v/>
      </c>
      <c r="BY53" s="122" t="str">
        <f t="shared" si="5"/>
        <v/>
      </c>
      <c r="BZ53" s="122" t="str">
        <f t="shared" si="6"/>
        <v/>
      </c>
      <c r="CA53" s="122" t="str">
        <f t="shared" si="7"/>
        <v/>
      </c>
      <c r="CB53" s="123" t="str">
        <f t="shared" si="8"/>
        <v/>
      </c>
      <c r="CC53" s="153" t="str">
        <f t="shared" si="9"/>
        <v/>
      </c>
      <c r="CD53" s="153" t="str">
        <f t="shared" si="10"/>
        <v/>
      </c>
      <c r="CE53" s="124" t="str">
        <f t="shared" si="27"/>
        <v/>
      </c>
      <c r="CF53" s="121" t="str">
        <f t="shared" si="12"/>
        <v/>
      </c>
      <c r="CG53" s="122" t="str">
        <f t="shared" si="13"/>
        <v/>
      </c>
      <c r="CH53" s="122" t="str">
        <f t="shared" si="14"/>
        <v/>
      </c>
      <c r="CI53" s="122" t="str">
        <f t="shared" si="15"/>
        <v/>
      </c>
      <c r="CJ53" s="123" t="str">
        <f t="shared" si="16"/>
        <v/>
      </c>
      <c r="CK53" s="123" t="str">
        <f t="shared" si="17"/>
        <v/>
      </c>
      <c r="CL53" s="122" t="str">
        <f t="shared" si="18"/>
        <v/>
      </c>
      <c r="CM53" s="122" t="str">
        <f t="shared" si="19"/>
        <v/>
      </c>
      <c r="CN53" s="125" t="str">
        <f t="shared" si="20"/>
        <v/>
      </c>
      <c r="CO53" s="122" t="str">
        <f t="shared" si="21"/>
        <v/>
      </c>
      <c r="CP53" s="125" t="str">
        <f t="shared" si="22"/>
        <v/>
      </c>
      <c r="CQ53" s="124" t="str">
        <f t="shared" si="26"/>
        <v/>
      </c>
      <c r="CR53" s="495" t="str">
        <f t="shared" si="24"/>
        <v/>
      </c>
      <c r="CS53" s="149">
        <f t="shared" si="25"/>
        <v>0</v>
      </c>
      <c r="CT53" s="136">
        <f>IF('2.ชื่อนักเรียน'!AP55="มส","มส",IF('2.ชื่อนักเรียน'!AP55="ย้าย","ย้าย",IF('2.ชื่อนักเรียน'!AP55="ร","ร",IF(CS53="","",RANK(CS53,$CS$9:$CS$53,0)))))</f>
        <v>1</v>
      </c>
    </row>
    <row r="54" spans="1:98" ht="18.75" customHeight="1" x14ac:dyDescent="0.4">
      <c r="A54" s="761" t="s">
        <v>6</v>
      </c>
      <c r="B54" s="793"/>
      <c r="C54" s="762"/>
      <c r="D54" s="762"/>
      <c r="E54" s="762"/>
      <c r="F54" s="762"/>
      <c r="G54" s="762"/>
      <c r="H54" s="762"/>
      <c r="I54" s="762"/>
      <c r="J54" s="794"/>
      <c r="K54" s="801" t="str">
        <f>IF(SUM(K9:K53)=0,"",SUM(K9:K53))</f>
        <v/>
      </c>
      <c r="L54" s="755"/>
      <c r="M54" s="755" t="str">
        <f t="shared" ref="M54" si="28">IF(SUM(M9:M53)=0,"",SUM(M9:M53))</f>
        <v/>
      </c>
      <c r="N54" s="755"/>
      <c r="O54" s="755" t="str">
        <f t="shared" ref="O54" si="29">IF(SUM(O9:O53)=0,"",SUM(O9:O53))</f>
        <v/>
      </c>
      <c r="P54" s="755"/>
      <c r="Q54" s="755" t="str">
        <f t="shared" ref="Q54" si="30">IF(SUM(Q9:Q53)=0,"",SUM(Q9:Q53))</f>
        <v/>
      </c>
      <c r="R54" s="755"/>
      <c r="S54" s="755" t="str">
        <f t="shared" ref="S54" si="31">IF(SUM(S9:S53)=0,"",SUM(S9:S53))</f>
        <v/>
      </c>
      <c r="T54" s="755"/>
      <c r="U54" s="755" t="str">
        <f t="shared" ref="U54" si="32">IF(SUM(U9:U53)=0,"",SUM(U9:U53))</f>
        <v/>
      </c>
      <c r="V54" s="755"/>
      <c r="W54" s="755" t="str">
        <f t="shared" ref="W54" si="33">IF(SUM(W9:W53)=0,"",SUM(W9:W53))</f>
        <v/>
      </c>
      <c r="X54" s="755"/>
      <c r="Y54" s="755" t="str">
        <f t="shared" ref="Y54" si="34">IF(SUM(Y9:Y53)=0,"",SUM(Y9:Y53))</f>
        <v/>
      </c>
      <c r="Z54" s="755"/>
      <c r="AA54" s="755" t="str">
        <f t="shared" ref="AA54" si="35">IF(SUM(AA9:AA53)=0,"",SUM(AA9:AA53))</f>
        <v/>
      </c>
      <c r="AB54" s="755"/>
      <c r="AC54" s="755" t="str">
        <f t="shared" ref="AC54" si="36">IF(SUM(AC9:AC53)=0,"",SUM(AC9:AC53))</f>
        <v/>
      </c>
      <c r="AD54" s="755"/>
      <c r="AE54" s="755" t="str">
        <f t="shared" ref="AE54" si="37">IF(SUM(AE9:AE53)=0,"",SUM(AE9:AE53))</f>
        <v/>
      </c>
      <c r="AF54" s="755"/>
      <c r="AG54" s="755" t="str">
        <f t="shared" ref="AG54" si="38">IF(SUM(AG9:AG53)=0,"",SUM(AG9:AG53))</f>
        <v/>
      </c>
      <c r="AH54" s="756"/>
      <c r="AI54" s="793" t="s">
        <v>6</v>
      </c>
      <c r="AJ54" s="762"/>
      <c r="AK54" s="762"/>
      <c r="AL54" s="762"/>
      <c r="AM54" s="762"/>
      <c r="AN54" s="762"/>
      <c r="AO54" s="762"/>
      <c r="AP54" s="762"/>
      <c r="AQ54" s="794"/>
      <c r="AR54" s="801" t="str">
        <f>IF(SUM(AR9:AR53)=0,"",SUM(AR9:AR53))</f>
        <v/>
      </c>
      <c r="AS54" s="755"/>
      <c r="AT54" s="755" t="str">
        <f t="shared" ref="AT54" si="39">IF(SUM(AT9:AT53)=0,"",SUM(AT9:AT53))</f>
        <v/>
      </c>
      <c r="AU54" s="755"/>
      <c r="AV54" s="755" t="str">
        <f t="shared" ref="AV54" si="40">IF(SUM(AV9:AV53)=0,"",SUM(AV9:AV53))</f>
        <v/>
      </c>
      <c r="AW54" s="755"/>
      <c r="AX54" s="755" t="str">
        <f t="shared" ref="AX54" si="41">IF(SUM(AX9:AX53)=0,"",SUM(AX9:AX53))</f>
        <v/>
      </c>
      <c r="AY54" s="755"/>
      <c r="AZ54" s="755" t="str">
        <f t="shared" ref="AZ54" si="42">IF(SUM(AZ9:AZ53)=0,"",SUM(AZ9:AZ53))</f>
        <v/>
      </c>
      <c r="BA54" s="755"/>
      <c r="BB54" s="755" t="str">
        <f t="shared" ref="BB54" si="43">IF(SUM(BB9:BB53)=0,"",SUM(BB9:BB53))</f>
        <v/>
      </c>
      <c r="BC54" s="755"/>
      <c r="BD54" s="755" t="str">
        <f t="shared" ref="BD54" si="44">IF(SUM(BD9:BD53)=0,"",SUM(BD9:BD53))</f>
        <v/>
      </c>
      <c r="BE54" s="755"/>
      <c r="BF54" s="755" t="str">
        <f t="shared" ref="BF54" si="45">IF(SUM(BF9:BF53)=0,"",SUM(BF9:BF53))</f>
        <v/>
      </c>
      <c r="BG54" s="755"/>
      <c r="BH54" s="755" t="str">
        <f t="shared" ref="BH54" si="46">IF(SUM(BH9:BH53)=0,"",SUM(BH9:BH53))</f>
        <v/>
      </c>
      <c r="BI54" s="755"/>
      <c r="BJ54" s="755" t="str">
        <f t="shared" ref="BJ54" si="47">IF(SUM(BJ9:BJ53)=0,"",SUM(BJ9:BJ53))</f>
        <v/>
      </c>
      <c r="BK54" s="755"/>
      <c r="BL54" s="755" t="str">
        <f t="shared" ref="BL54" si="48">IF(SUM(BL9:BL53)=0,"",SUM(BL9:BL53))</f>
        <v/>
      </c>
      <c r="BM54" s="755"/>
      <c r="BN54" s="755" t="str">
        <f t="shared" ref="BN54:BP54" si="49">IF(SUM(BN9:BN53)=0,"",SUM(BN9:BN53))</f>
        <v/>
      </c>
      <c r="BO54" s="755"/>
      <c r="BP54" s="755" t="str">
        <f t="shared" si="49"/>
        <v/>
      </c>
      <c r="BQ54" s="756"/>
    </row>
    <row r="55" spans="1:98" ht="18.75" customHeight="1" x14ac:dyDescent="0.4">
      <c r="A55" s="795" t="s">
        <v>7</v>
      </c>
      <c r="B55" s="796"/>
      <c r="C55" s="797"/>
      <c r="D55" s="797"/>
      <c r="E55" s="797"/>
      <c r="F55" s="797"/>
      <c r="G55" s="797"/>
      <c r="H55" s="797"/>
      <c r="I55" s="797"/>
      <c r="J55" s="667"/>
      <c r="K55" s="765" t="str">
        <f>IF(K54="","",MIN(K9:K53))</f>
        <v/>
      </c>
      <c r="L55" s="757"/>
      <c r="M55" s="757" t="str">
        <f t="shared" ref="M55" si="50">IF(M54="","",MIN(M9:M53))</f>
        <v/>
      </c>
      <c r="N55" s="757"/>
      <c r="O55" s="757" t="str">
        <f t="shared" ref="O55" si="51">IF(O54="","",MIN(O9:O53))</f>
        <v/>
      </c>
      <c r="P55" s="757"/>
      <c r="Q55" s="757" t="str">
        <f t="shared" ref="Q55" si="52">IF(Q54="","",MIN(Q9:Q53))</f>
        <v/>
      </c>
      <c r="R55" s="757"/>
      <c r="S55" s="757" t="str">
        <f t="shared" ref="S55" si="53">IF(S54="","",MIN(S9:S53))</f>
        <v/>
      </c>
      <c r="T55" s="757"/>
      <c r="U55" s="757" t="str">
        <f t="shared" ref="U55" si="54">IF(U54="","",MIN(U9:U53))</f>
        <v/>
      </c>
      <c r="V55" s="757"/>
      <c r="W55" s="757" t="str">
        <f t="shared" ref="W55" si="55">IF(W54="","",MIN(W9:W53))</f>
        <v/>
      </c>
      <c r="X55" s="757"/>
      <c r="Y55" s="757" t="str">
        <f t="shared" ref="Y55" si="56">IF(Y54="","",MIN(Y9:Y53))</f>
        <v/>
      </c>
      <c r="Z55" s="757"/>
      <c r="AA55" s="757" t="str">
        <f t="shared" ref="AA55" si="57">IF(AA54="","",MIN(AA9:AA53))</f>
        <v/>
      </c>
      <c r="AB55" s="757"/>
      <c r="AC55" s="757" t="str">
        <f t="shared" ref="AC55" si="58">IF(AC54="","",MIN(AC9:AC53))</f>
        <v/>
      </c>
      <c r="AD55" s="757"/>
      <c r="AE55" s="757" t="str">
        <f t="shared" ref="AE55" si="59">IF(AE54="","",MIN(AE9:AE53))</f>
        <v/>
      </c>
      <c r="AF55" s="757"/>
      <c r="AG55" s="757" t="str">
        <f t="shared" ref="AG55" si="60">IF(AG54="","",MIN(AG9:AG53))</f>
        <v/>
      </c>
      <c r="AH55" s="758"/>
      <c r="AI55" s="796" t="s">
        <v>7</v>
      </c>
      <c r="AJ55" s="797"/>
      <c r="AK55" s="797"/>
      <c r="AL55" s="797"/>
      <c r="AM55" s="797"/>
      <c r="AN55" s="797"/>
      <c r="AO55" s="797"/>
      <c r="AP55" s="797"/>
      <c r="AQ55" s="667"/>
      <c r="AR55" s="765" t="str">
        <f>IF(AR54="","",MIN(AR9:AR53))</f>
        <v/>
      </c>
      <c r="AS55" s="757"/>
      <c r="AT55" s="757" t="str">
        <f t="shared" ref="AT55" si="61">IF(AT54="","",MIN(AT9:AT53))</f>
        <v/>
      </c>
      <c r="AU55" s="757"/>
      <c r="AV55" s="757" t="str">
        <f t="shared" ref="AV55" si="62">IF(AV54="","",MIN(AV9:AV53))</f>
        <v/>
      </c>
      <c r="AW55" s="757"/>
      <c r="AX55" s="757" t="str">
        <f t="shared" ref="AX55" si="63">IF(AX54="","",MIN(AX9:AX53))</f>
        <v/>
      </c>
      <c r="AY55" s="757"/>
      <c r="AZ55" s="757" t="str">
        <f t="shared" ref="AZ55" si="64">IF(AZ54="","",MIN(AZ9:AZ53))</f>
        <v/>
      </c>
      <c r="BA55" s="757"/>
      <c r="BB55" s="757" t="str">
        <f t="shared" ref="BB55" si="65">IF(BB54="","",MIN(BB9:BB53))</f>
        <v/>
      </c>
      <c r="BC55" s="757"/>
      <c r="BD55" s="757" t="str">
        <f t="shared" ref="BD55" si="66">IF(BD54="","",MIN(BD9:BD53))</f>
        <v/>
      </c>
      <c r="BE55" s="757"/>
      <c r="BF55" s="757" t="str">
        <f t="shared" ref="BF55" si="67">IF(BF54="","",MIN(BF9:BF53))</f>
        <v/>
      </c>
      <c r="BG55" s="757"/>
      <c r="BH55" s="757" t="str">
        <f t="shared" ref="BH55" si="68">IF(BH54="","",MIN(BH9:BH53))</f>
        <v/>
      </c>
      <c r="BI55" s="757"/>
      <c r="BJ55" s="757" t="str">
        <f t="shared" ref="BJ55" si="69">IF(BJ54="","",MIN(BJ9:BJ53))</f>
        <v/>
      </c>
      <c r="BK55" s="757"/>
      <c r="BL55" s="757" t="str">
        <f t="shared" ref="BL55" si="70">IF(BL54="","",MIN(BL9:BL53))</f>
        <v/>
      </c>
      <c r="BM55" s="757"/>
      <c r="BN55" s="757" t="str">
        <f t="shared" ref="BN55:BP55" si="71">IF(BN54="","",MIN(BN9:BN53))</f>
        <v/>
      </c>
      <c r="BO55" s="757"/>
      <c r="BP55" s="757" t="str">
        <f t="shared" si="71"/>
        <v/>
      </c>
      <c r="BQ55" s="758"/>
    </row>
    <row r="56" spans="1:98" ht="18.75" customHeight="1" x14ac:dyDescent="0.4">
      <c r="A56" s="795" t="s">
        <v>8</v>
      </c>
      <c r="B56" s="796"/>
      <c r="C56" s="797"/>
      <c r="D56" s="797"/>
      <c r="E56" s="797"/>
      <c r="F56" s="797"/>
      <c r="G56" s="797"/>
      <c r="H56" s="797"/>
      <c r="I56" s="797"/>
      <c r="J56" s="667"/>
      <c r="K56" s="765" t="str">
        <f>IF(K54="","",MAX(K9:K53))</f>
        <v/>
      </c>
      <c r="L56" s="757"/>
      <c r="M56" s="757" t="str">
        <f t="shared" ref="M56" si="72">IF(M54="","",MAX(M9:M53))</f>
        <v/>
      </c>
      <c r="N56" s="757"/>
      <c r="O56" s="757" t="str">
        <f t="shared" ref="O56" si="73">IF(O54="","",MAX(O9:O53))</f>
        <v/>
      </c>
      <c r="P56" s="757"/>
      <c r="Q56" s="757" t="str">
        <f t="shared" ref="Q56" si="74">IF(Q54="","",MAX(Q9:Q53))</f>
        <v/>
      </c>
      <c r="R56" s="757"/>
      <c r="S56" s="757" t="str">
        <f t="shared" ref="S56" si="75">IF(S54="","",MAX(S9:S53))</f>
        <v/>
      </c>
      <c r="T56" s="757"/>
      <c r="U56" s="757" t="str">
        <f t="shared" ref="U56" si="76">IF(U54="","",MAX(U9:U53))</f>
        <v/>
      </c>
      <c r="V56" s="757"/>
      <c r="W56" s="757" t="str">
        <f t="shared" ref="W56" si="77">IF(W54="","",MAX(W9:W53))</f>
        <v/>
      </c>
      <c r="X56" s="757"/>
      <c r="Y56" s="757" t="str">
        <f t="shared" ref="Y56" si="78">IF(Y54="","",MAX(Y9:Y53))</f>
        <v/>
      </c>
      <c r="Z56" s="757"/>
      <c r="AA56" s="757" t="str">
        <f t="shared" ref="AA56" si="79">IF(AA54="","",MAX(AA9:AA53))</f>
        <v/>
      </c>
      <c r="AB56" s="757"/>
      <c r="AC56" s="757" t="str">
        <f t="shared" ref="AC56" si="80">IF(AC54="","",MAX(AC9:AC53))</f>
        <v/>
      </c>
      <c r="AD56" s="757"/>
      <c r="AE56" s="757" t="str">
        <f t="shared" ref="AE56" si="81">IF(AE54="","",MAX(AE9:AE53))</f>
        <v/>
      </c>
      <c r="AF56" s="757"/>
      <c r="AG56" s="757" t="str">
        <f t="shared" ref="AG56" si="82">IF(AG54="","",MAX(AG9:AG53))</f>
        <v/>
      </c>
      <c r="AH56" s="758"/>
      <c r="AI56" s="796" t="s">
        <v>8</v>
      </c>
      <c r="AJ56" s="797"/>
      <c r="AK56" s="797"/>
      <c r="AL56" s="797"/>
      <c r="AM56" s="797"/>
      <c r="AN56" s="797"/>
      <c r="AO56" s="797"/>
      <c r="AP56" s="797"/>
      <c r="AQ56" s="667"/>
      <c r="AR56" s="765" t="str">
        <f>IF(AR54="","",MAX(AR9:AR53))</f>
        <v/>
      </c>
      <c r="AS56" s="757"/>
      <c r="AT56" s="757" t="str">
        <f t="shared" ref="AT56" si="83">IF(AT54="","",MAX(AT9:AT53))</f>
        <v/>
      </c>
      <c r="AU56" s="757"/>
      <c r="AV56" s="757" t="str">
        <f t="shared" ref="AV56" si="84">IF(AV54="","",MAX(AV9:AV53))</f>
        <v/>
      </c>
      <c r="AW56" s="757"/>
      <c r="AX56" s="757" t="str">
        <f t="shared" ref="AX56" si="85">IF(AX54="","",MAX(AX9:AX53))</f>
        <v/>
      </c>
      <c r="AY56" s="757"/>
      <c r="AZ56" s="757" t="str">
        <f t="shared" ref="AZ56" si="86">IF(AZ54="","",MAX(AZ9:AZ53))</f>
        <v/>
      </c>
      <c r="BA56" s="757"/>
      <c r="BB56" s="757" t="str">
        <f t="shared" ref="BB56" si="87">IF(BB54="","",MAX(BB9:BB53))</f>
        <v/>
      </c>
      <c r="BC56" s="757"/>
      <c r="BD56" s="757" t="str">
        <f t="shared" ref="BD56" si="88">IF(BD54="","",MAX(BD9:BD53))</f>
        <v/>
      </c>
      <c r="BE56" s="757"/>
      <c r="BF56" s="757" t="str">
        <f t="shared" ref="BF56" si="89">IF(BF54="","",MAX(BF9:BF53))</f>
        <v/>
      </c>
      <c r="BG56" s="757"/>
      <c r="BH56" s="757" t="str">
        <f t="shared" ref="BH56" si="90">IF(BH54="","",MAX(BH9:BH53))</f>
        <v/>
      </c>
      <c r="BI56" s="757"/>
      <c r="BJ56" s="757" t="str">
        <f t="shared" ref="BJ56" si="91">IF(BJ54="","",MAX(BJ9:BJ53))</f>
        <v/>
      </c>
      <c r="BK56" s="757"/>
      <c r="BL56" s="757" t="str">
        <f t="shared" ref="BL56" si="92">IF(BL54="","",MAX(BL9:BL53))</f>
        <v/>
      </c>
      <c r="BM56" s="757"/>
      <c r="BN56" s="757" t="str">
        <f t="shared" ref="BN56:BP56" si="93">IF(BN54="","",MAX(BN9:BN53))</f>
        <v/>
      </c>
      <c r="BO56" s="757"/>
      <c r="BP56" s="757" t="str">
        <f t="shared" si="93"/>
        <v/>
      </c>
      <c r="BQ56" s="758"/>
    </row>
    <row r="57" spans="1:98" ht="18.75" customHeight="1" x14ac:dyDescent="0.4">
      <c r="A57" s="795" t="s">
        <v>9</v>
      </c>
      <c r="B57" s="796"/>
      <c r="C57" s="797"/>
      <c r="D57" s="797"/>
      <c r="E57" s="797"/>
      <c r="F57" s="797"/>
      <c r="G57" s="797"/>
      <c r="H57" s="797"/>
      <c r="I57" s="797"/>
      <c r="J57" s="667"/>
      <c r="K57" s="765" t="str">
        <f>IF(K54="","",AVERAGE(K9:K53))</f>
        <v/>
      </c>
      <c r="L57" s="757"/>
      <c r="M57" s="757" t="str">
        <f t="shared" ref="M57" si="94">IF(M54="","",AVERAGE(M9:M53))</f>
        <v/>
      </c>
      <c r="N57" s="757"/>
      <c r="O57" s="757" t="str">
        <f t="shared" ref="O57" si="95">IF(O54="","",AVERAGE(O9:O53))</f>
        <v/>
      </c>
      <c r="P57" s="757"/>
      <c r="Q57" s="757" t="str">
        <f t="shared" ref="Q57" si="96">IF(Q54="","",AVERAGE(Q9:Q53))</f>
        <v/>
      </c>
      <c r="R57" s="757"/>
      <c r="S57" s="757" t="str">
        <f t="shared" ref="S57" si="97">IF(S54="","",AVERAGE(S9:S53))</f>
        <v/>
      </c>
      <c r="T57" s="757"/>
      <c r="U57" s="757" t="str">
        <f t="shared" ref="U57" si="98">IF(U54="","",AVERAGE(U9:U53))</f>
        <v/>
      </c>
      <c r="V57" s="757"/>
      <c r="W57" s="757" t="str">
        <f t="shared" ref="W57" si="99">IF(W54="","",AVERAGE(W9:W53))</f>
        <v/>
      </c>
      <c r="X57" s="757"/>
      <c r="Y57" s="757" t="str">
        <f t="shared" ref="Y57" si="100">IF(Y54="","",AVERAGE(Y9:Y53))</f>
        <v/>
      </c>
      <c r="Z57" s="757"/>
      <c r="AA57" s="757" t="str">
        <f t="shared" ref="AA57" si="101">IF(AA54="","",AVERAGE(AA9:AA53))</f>
        <v/>
      </c>
      <c r="AB57" s="757"/>
      <c r="AC57" s="757" t="str">
        <f t="shared" ref="AC57" si="102">IF(AC54="","",AVERAGE(AC9:AC53))</f>
        <v/>
      </c>
      <c r="AD57" s="757"/>
      <c r="AE57" s="757" t="str">
        <f t="shared" ref="AE57" si="103">IF(AE54="","",AVERAGE(AE9:AE53))</f>
        <v/>
      </c>
      <c r="AF57" s="757"/>
      <c r="AG57" s="757" t="str">
        <f t="shared" ref="AG57" si="104">IF(AG54="","",AVERAGE(AG9:AG53))</f>
        <v/>
      </c>
      <c r="AH57" s="758"/>
      <c r="AI57" s="796" t="s">
        <v>9</v>
      </c>
      <c r="AJ57" s="797"/>
      <c r="AK57" s="797"/>
      <c r="AL57" s="797"/>
      <c r="AM57" s="797"/>
      <c r="AN57" s="797"/>
      <c r="AO57" s="797"/>
      <c r="AP57" s="797"/>
      <c r="AQ57" s="667"/>
      <c r="AR57" s="765" t="str">
        <f>IF(AR54="","",AVERAGE(AR9:AR53))</f>
        <v/>
      </c>
      <c r="AS57" s="757"/>
      <c r="AT57" s="757" t="str">
        <f t="shared" ref="AT57" si="105">IF(AT54="","",AVERAGE(AT9:AT53))</f>
        <v/>
      </c>
      <c r="AU57" s="757"/>
      <c r="AV57" s="757" t="str">
        <f t="shared" ref="AV57" si="106">IF(AV54="","",AVERAGE(AV9:AV53))</f>
        <v/>
      </c>
      <c r="AW57" s="757"/>
      <c r="AX57" s="757" t="str">
        <f t="shared" ref="AX57" si="107">IF(AX54="","",AVERAGE(AX9:AX53))</f>
        <v/>
      </c>
      <c r="AY57" s="757"/>
      <c r="AZ57" s="757" t="str">
        <f t="shared" ref="AZ57" si="108">IF(AZ54="","",AVERAGE(AZ9:AZ53))</f>
        <v/>
      </c>
      <c r="BA57" s="757"/>
      <c r="BB57" s="757" t="str">
        <f t="shared" ref="BB57" si="109">IF(BB54="","",AVERAGE(BB9:BB53))</f>
        <v/>
      </c>
      <c r="BC57" s="757"/>
      <c r="BD57" s="757" t="str">
        <f t="shared" ref="BD57" si="110">IF(BD54="","",AVERAGE(BD9:BD53))</f>
        <v/>
      </c>
      <c r="BE57" s="757"/>
      <c r="BF57" s="757" t="str">
        <f t="shared" ref="BF57" si="111">IF(BF54="","",AVERAGE(BF9:BF53))</f>
        <v/>
      </c>
      <c r="BG57" s="757"/>
      <c r="BH57" s="757" t="str">
        <f t="shared" ref="BH57" si="112">IF(BH54="","",AVERAGE(BH9:BH53))</f>
        <v/>
      </c>
      <c r="BI57" s="757"/>
      <c r="BJ57" s="757" t="str">
        <f t="shared" ref="BJ57" si="113">IF(BJ54="","",AVERAGE(BJ9:BJ53))</f>
        <v/>
      </c>
      <c r="BK57" s="757"/>
      <c r="BL57" s="757" t="str">
        <f t="shared" ref="BL57" si="114">IF(BL54="","",AVERAGE(BL9:BL53))</f>
        <v/>
      </c>
      <c r="BM57" s="757"/>
      <c r="BN57" s="757" t="str">
        <f t="shared" ref="BN57:BP57" si="115">IF(BN54="","",AVERAGE(BN9:BN53))</f>
        <v/>
      </c>
      <c r="BO57" s="757"/>
      <c r="BP57" s="757" t="str">
        <f t="shared" si="115"/>
        <v/>
      </c>
      <c r="BQ57" s="758"/>
    </row>
    <row r="58" spans="1:98" ht="18.75" customHeight="1" thickBot="1" x14ac:dyDescent="0.45">
      <c r="A58" s="798" t="s">
        <v>10</v>
      </c>
      <c r="B58" s="799"/>
      <c r="C58" s="800"/>
      <c r="D58" s="800"/>
      <c r="E58" s="800"/>
      <c r="F58" s="800"/>
      <c r="G58" s="800"/>
      <c r="H58" s="800"/>
      <c r="I58" s="800"/>
      <c r="J58" s="669"/>
      <c r="K58" s="802" t="str">
        <f>IF(K54="","",(K57*100)/K8)</f>
        <v/>
      </c>
      <c r="L58" s="759"/>
      <c r="M58" s="759" t="str">
        <f t="shared" ref="M58" si="116">IF(M54="","",(M57*100)/M8)</f>
        <v/>
      </c>
      <c r="N58" s="759"/>
      <c r="O58" s="759" t="str">
        <f t="shared" ref="O58" si="117">IF(O54="","",(O57*100)/O8)</f>
        <v/>
      </c>
      <c r="P58" s="759"/>
      <c r="Q58" s="759" t="str">
        <f t="shared" ref="Q58" si="118">IF(Q54="","",(Q57*100)/Q8)</f>
        <v/>
      </c>
      <c r="R58" s="759"/>
      <c r="S58" s="759" t="str">
        <f t="shared" ref="S58" si="119">IF(S54="","",(S57*100)/S8)</f>
        <v/>
      </c>
      <c r="T58" s="759"/>
      <c r="U58" s="759" t="str">
        <f t="shared" ref="U58" si="120">IF(U54="","",(U57*100)/U8)</f>
        <v/>
      </c>
      <c r="V58" s="759"/>
      <c r="W58" s="759" t="str">
        <f t="shared" ref="W58" si="121">IF(W54="","",(W57*100)/W8)</f>
        <v/>
      </c>
      <c r="X58" s="759"/>
      <c r="Y58" s="759" t="str">
        <f t="shared" ref="Y58" si="122">IF(Y54="","",(Y57*100)/Y8)</f>
        <v/>
      </c>
      <c r="Z58" s="759"/>
      <c r="AA58" s="759" t="str">
        <f t="shared" ref="AA58" si="123">IF(AA54="","",(AA57*100)/AA8)</f>
        <v/>
      </c>
      <c r="AB58" s="759"/>
      <c r="AC58" s="759" t="str">
        <f t="shared" ref="AC58" si="124">IF(AC54="","",(AC57*100)/AC8)</f>
        <v/>
      </c>
      <c r="AD58" s="759"/>
      <c r="AE58" s="759" t="str">
        <f t="shared" ref="AE58" si="125">IF(AE54="","",(AE57*100)/AE8)</f>
        <v/>
      </c>
      <c r="AF58" s="759"/>
      <c r="AG58" s="759" t="str">
        <f t="shared" ref="AG58" si="126">IF(AG54="","",(AG57*100)/AG8)</f>
        <v/>
      </c>
      <c r="AH58" s="760"/>
      <c r="AI58" s="799" t="s">
        <v>10</v>
      </c>
      <c r="AJ58" s="800"/>
      <c r="AK58" s="800"/>
      <c r="AL58" s="800"/>
      <c r="AM58" s="800"/>
      <c r="AN58" s="800"/>
      <c r="AO58" s="800"/>
      <c r="AP58" s="800"/>
      <c r="AQ58" s="669"/>
      <c r="AR58" s="802" t="str">
        <f>IF(AR54="","",(AR57*100)/AR8)</f>
        <v/>
      </c>
      <c r="AS58" s="759"/>
      <c r="AT58" s="759" t="str">
        <f t="shared" ref="AT58" si="127">IF(AT54="","",(AT57*100)/AT8)</f>
        <v/>
      </c>
      <c r="AU58" s="759"/>
      <c r="AV58" s="759" t="str">
        <f t="shared" ref="AV58" si="128">IF(AV54="","",(AV57*100)/AV8)</f>
        <v/>
      </c>
      <c r="AW58" s="759"/>
      <c r="AX58" s="759" t="str">
        <f t="shared" ref="AX58" si="129">IF(AX54="","",(AX57*100)/AX8)</f>
        <v/>
      </c>
      <c r="AY58" s="759"/>
      <c r="AZ58" s="759" t="str">
        <f t="shared" ref="AZ58" si="130">IF(AZ54="","",(AZ57*100)/AZ8)</f>
        <v/>
      </c>
      <c r="BA58" s="759"/>
      <c r="BB58" s="759" t="str">
        <f t="shared" ref="BB58" si="131">IF(BB54="","",(BB57*100)/BB8)</f>
        <v/>
      </c>
      <c r="BC58" s="759"/>
      <c r="BD58" s="759" t="str">
        <f t="shared" ref="BD58" si="132">IF(BD54="","",(BD57*100)/BD8)</f>
        <v/>
      </c>
      <c r="BE58" s="759"/>
      <c r="BF58" s="759" t="str">
        <f t="shared" ref="BF58" si="133">IF(BF54="","",(BF57*100)/BF8)</f>
        <v/>
      </c>
      <c r="BG58" s="759"/>
      <c r="BH58" s="759" t="str">
        <f t="shared" ref="BH58" si="134">IF(BH54="","",(BH57*100)/BH8)</f>
        <v/>
      </c>
      <c r="BI58" s="759"/>
      <c r="BJ58" s="759" t="str">
        <f t="shared" ref="BJ58" si="135">IF(BJ54="","",(BJ57*100)/BJ8)</f>
        <v/>
      </c>
      <c r="BK58" s="759"/>
      <c r="BL58" s="759" t="str">
        <f t="shared" ref="BL58" si="136">IF(BL54="","",(BL57*100)/BL8)</f>
        <v/>
      </c>
      <c r="BM58" s="759"/>
      <c r="BN58" s="759" t="str">
        <f t="shared" ref="BN58:BP58" si="137">IF(BN54="","",(BN57*100)/BN8)</f>
        <v/>
      </c>
      <c r="BO58" s="759"/>
      <c r="BP58" s="759" t="str">
        <f t="shared" si="137"/>
        <v/>
      </c>
      <c r="BQ58" s="760"/>
    </row>
    <row r="59" spans="1:98" ht="16.5" customHeight="1" x14ac:dyDescent="0.4"/>
  </sheetData>
  <sheetProtection algorithmName="SHA-512" hashValue="VjApD2sfoZs/1fc/ZgH+tqZnMzXwskyXEI3bNVF0MSQGv4bkIMvxdTl9zWYE2s3kkcLUBhoJ3MwuZDA+NTKtgQ==" saltValue="KDgGbsnD9iDaB3Dh6SRjcQ==" spinCount="100000" sheet="1" objects="1" scenarios="1"/>
  <mergeCells count="364">
    <mergeCell ref="BF58:BG58"/>
    <mergeCell ref="BH58:BI58"/>
    <mergeCell ref="BJ58:BK58"/>
    <mergeCell ref="BL58:BM58"/>
    <mergeCell ref="BN58:BO58"/>
    <mergeCell ref="BF56:BG56"/>
    <mergeCell ref="BH56:BI56"/>
    <mergeCell ref="BJ56:BK56"/>
    <mergeCell ref="BL56:BM56"/>
    <mergeCell ref="BN56:BO56"/>
    <mergeCell ref="BJ57:BK57"/>
    <mergeCell ref="BL57:BM57"/>
    <mergeCell ref="BN57:BO57"/>
    <mergeCell ref="BN55:BO55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AE58:AF58"/>
    <mergeCell ref="AG58:AH58"/>
    <mergeCell ref="AR54:AS54"/>
    <mergeCell ref="AT54:AU54"/>
    <mergeCell ref="AV54:AW54"/>
    <mergeCell ref="AX54:AY54"/>
    <mergeCell ref="AZ54:BA54"/>
    <mergeCell ref="BB54:BC54"/>
    <mergeCell ref="BD54:BE54"/>
    <mergeCell ref="AR56:AS56"/>
    <mergeCell ref="AT56:AU56"/>
    <mergeCell ref="AV56:AW56"/>
    <mergeCell ref="AX56:AY56"/>
    <mergeCell ref="AZ56:BA56"/>
    <mergeCell ref="BB56:BC56"/>
    <mergeCell ref="BD56:BE56"/>
    <mergeCell ref="AR58:AS58"/>
    <mergeCell ref="AT58:AU58"/>
    <mergeCell ref="AV58:AW58"/>
    <mergeCell ref="AX58:AY58"/>
    <mergeCell ref="AZ58:BA58"/>
    <mergeCell ref="BB58:BC58"/>
    <mergeCell ref="BD58:BE58"/>
    <mergeCell ref="AE56:AF56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G56:AH56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4:AF54"/>
    <mergeCell ref="AG54:AH54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54:J54"/>
    <mergeCell ref="A55:J55"/>
    <mergeCell ref="A56:J56"/>
    <mergeCell ref="A57:J57"/>
    <mergeCell ref="A58:J58"/>
    <mergeCell ref="AI54:AQ54"/>
    <mergeCell ref="AI55:AQ55"/>
    <mergeCell ref="AI56:AQ56"/>
    <mergeCell ref="AI57:AQ57"/>
    <mergeCell ref="AI58:AQ58"/>
    <mergeCell ref="K54:L54"/>
    <mergeCell ref="K55:L55"/>
    <mergeCell ref="K56:L56"/>
    <mergeCell ref="K57:L57"/>
    <mergeCell ref="K58:L58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1:AH1"/>
    <mergeCell ref="AI1:BS1"/>
    <mergeCell ref="BT1:CJ1"/>
    <mergeCell ref="A2:AH2"/>
    <mergeCell ref="AI2:BS2"/>
    <mergeCell ref="BT2:CJ2"/>
    <mergeCell ref="BS5:BS8"/>
    <mergeCell ref="BT5:CE5"/>
    <mergeCell ref="K5:AH5"/>
    <mergeCell ref="AR7:AS7"/>
    <mergeCell ref="AT7:AU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BP7:BQ7"/>
    <mergeCell ref="CS5:CS8"/>
    <mergeCell ref="CT5:CT8"/>
    <mergeCell ref="CU7:CY7"/>
    <mergeCell ref="CU8:CY12"/>
    <mergeCell ref="A3:AH3"/>
    <mergeCell ref="AI3:BS3"/>
    <mergeCell ref="BT3:CJ3"/>
    <mergeCell ref="A5:A8"/>
    <mergeCell ref="C5:J8"/>
    <mergeCell ref="AI5:AI8"/>
    <mergeCell ref="AJ5:AQ8"/>
    <mergeCell ref="BR5:BR8"/>
    <mergeCell ref="C11:F11"/>
    <mergeCell ref="G11:J11"/>
    <mergeCell ref="AJ11:AM11"/>
    <mergeCell ref="AN11:AQ11"/>
    <mergeCell ref="C12:F12"/>
    <mergeCell ref="G12:J12"/>
    <mergeCell ref="AJ12:AM12"/>
    <mergeCell ref="AN12:AQ12"/>
    <mergeCell ref="C9:F9"/>
    <mergeCell ref="G9:J9"/>
    <mergeCell ref="AJ9:AM9"/>
    <mergeCell ref="AN9:AQ9"/>
    <mergeCell ref="C10:F10"/>
    <mergeCell ref="G10:J10"/>
    <mergeCell ref="AJ10:AM10"/>
    <mergeCell ref="AN10:AQ10"/>
    <mergeCell ref="C13:F13"/>
    <mergeCell ref="G13:J13"/>
    <mergeCell ref="AJ13:AM13"/>
    <mergeCell ref="AN13:AQ13"/>
    <mergeCell ref="CU13:CY16"/>
    <mergeCell ref="C14:F14"/>
    <mergeCell ref="G14:J14"/>
    <mergeCell ref="AJ14:AM14"/>
    <mergeCell ref="AN14:AQ14"/>
    <mergeCell ref="C15:F15"/>
    <mergeCell ref="C17:F17"/>
    <mergeCell ref="G17:J17"/>
    <mergeCell ref="AJ17:AM17"/>
    <mergeCell ref="AN17:AQ17"/>
    <mergeCell ref="C18:F18"/>
    <mergeCell ref="G18:J18"/>
    <mergeCell ref="AJ18:AM18"/>
    <mergeCell ref="AN18:AQ18"/>
    <mergeCell ref="G15:J15"/>
    <mergeCell ref="AJ15:AM15"/>
    <mergeCell ref="AN15:AQ15"/>
    <mergeCell ref="C16:F16"/>
    <mergeCell ref="G16:J16"/>
    <mergeCell ref="AJ16:AM16"/>
    <mergeCell ref="AN16:AQ16"/>
    <mergeCell ref="C21:F21"/>
    <mergeCell ref="G21:J21"/>
    <mergeCell ref="AJ21:AM21"/>
    <mergeCell ref="AN21:AQ21"/>
    <mergeCell ref="C22:F22"/>
    <mergeCell ref="G22:J22"/>
    <mergeCell ref="AJ22:AM22"/>
    <mergeCell ref="AN22:AQ22"/>
    <mergeCell ref="C19:F19"/>
    <mergeCell ref="G19:J19"/>
    <mergeCell ref="AJ19:AM19"/>
    <mergeCell ref="AN19:AQ19"/>
    <mergeCell ref="C20:F20"/>
    <mergeCell ref="G20:J20"/>
    <mergeCell ref="AJ20:AM20"/>
    <mergeCell ref="AN20:AQ20"/>
    <mergeCell ref="C25:F25"/>
    <mergeCell ref="G25:J25"/>
    <mergeCell ref="AJ25:AM25"/>
    <mergeCell ref="AN25:AQ25"/>
    <mergeCell ref="C26:F26"/>
    <mergeCell ref="G26:J26"/>
    <mergeCell ref="AJ26:AM26"/>
    <mergeCell ref="AN26:AQ26"/>
    <mergeCell ref="C23:F23"/>
    <mergeCell ref="G23:J23"/>
    <mergeCell ref="AJ23:AM23"/>
    <mergeCell ref="AN23:AQ23"/>
    <mergeCell ref="C24:F24"/>
    <mergeCell ref="G24:J24"/>
    <mergeCell ref="AJ24:AM24"/>
    <mergeCell ref="AN24:AQ24"/>
    <mergeCell ref="C29:F29"/>
    <mergeCell ref="G29:J29"/>
    <mergeCell ref="AJ29:AM29"/>
    <mergeCell ref="AN29:AQ29"/>
    <mergeCell ref="C30:F30"/>
    <mergeCell ref="G30:J30"/>
    <mergeCell ref="AJ30:AM30"/>
    <mergeCell ref="AN30:AQ30"/>
    <mergeCell ref="C27:F27"/>
    <mergeCell ref="G27:J27"/>
    <mergeCell ref="AJ27:AM27"/>
    <mergeCell ref="AN27:AQ27"/>
    <mergeCell ref="C28:F28"/>
    <mergeCell ref="G28:J28"/>
    <mergeCell ref="AJ28:AM28"/>
    <mergeCell ref="AN28:AQ28"/>
    <mergeCell ref="C33:F33"/>
    <mergeCell ref="G33:J33"/>
    <mergeCell ref="AJ33:AM33"/>
    <mergeCell ref="AN33:AQ33"/>
    <mergeCell ref="C34:F34"/>
    <mergeCell ref="G34:J34"/>
    <mergeCell ref="AJ34:AM34"/>
    <mergeCell ref="AN34:AQ34"/>
    <mergeCell ref="C31:F31"/>
    <mergeCell ref="G31:J31"/>
    <mergeCell ref="AJ31:AM31"/>
    <mergeCell ref="AN31:AQ31"/>
    <mergeCell ref="C32:F32"/>
    <mergeCell ref="G32:J32"/>
    <mergeCell ref="AJ32:AM32"/>
    <mergeCell ref="AN32:AQ32"/>
    <mergeCell ref="C37:F37"/>
    <mergeCell ref="G37:J37"/>
    <mergeCell ref="AJ37:AM37"/>
    <mergeCell ref="AN37:AQ37"/>
    <mergeCell ref="C38:F38"/>
    <mergeCell ref="G38:J38"/>
    <mergeCell ref="AJ38:AM38"/>
    <mergeCell ref="AN38:AQ38"/>
    <mergeCell ref="C35:F35"/>
    <mergeCell ref="G35:J35"/>
    <mergeCell ref="AJ35:AM35"/>
    <mergeCell ref="AN35:AQ35"/>
    <mergeCell ref="C36:F36"/>
    <mergeCell ref="G36:J36"/>
    <mergeCell ref="AJ36:AM36"/>
    <mergeCell ref="AN36:AQ36"/>
    <mergeCell ref="C41:F41"/>
    <mergeCell ref="G41:J41"/>
    <mergeCell ref="AJ41:AM41"/>
    <mergeCell ref="AN41:AQ41"/>
    <mergeCell ref="C42:F42"/>
    <mergeCell ref="G42:J42"/>
    <mergeCell ref="AJ42:AM42"/>
    <mergeCell ref="AN42:AQ42"/>
    <mergeCell ref="C39:F39"/>
    <mergeCell ref="G39:J39"/>
    <mergeCell ref="AJ39:AM39"/>
    <mergeCell ref="AN39:AQ39"/>
    <mergeCell ref="C40:F40"/>
    <mergeCell ref="G40:J40"/>
    <mergeCell ref="AJ40:AM40"/>
    <mergeCell ref="AN40:AQ40"/>
    <mergeCell ref="C45:F45"/>
    <mergeCell ref="G45:J45"/>
    <mergeCell ref="AJ45:AM45"/>
    <mergeCell ref="AN45:AQ45"/>
    <mergeCell ref="C46:F46"/>
    <mergeCell ref="G46:J46"/>
    <mergeCell ref="AJ46:AM46"/>
    <mergeCell ref="AN46:AQ46"/>
    <mergeCell ref="C43:F43"/>
    <mergeCell ref="G43:J43"/>
    <mergeCell ref="AJ43:AM43"/>
    <mergeCell ref="AN43:AQ43"/>
    <mergeCell ref="C44:F44"/>
    <mergeCell ref="G44:J44"/>
    <mergeCell ref="AJ44:AM44"/>
    <mergeCell ref="AN44:AQ44"/>
    <mergeCell ref="C49:F49"/>
    <mergeCell ref="G49:J49"/>
    <mergeCell ref="AJ49:AM49"/>
    <mergeCell ref="AN49:AQ49"/>
    <mergeCell ref="C50:F50"/>
    <mergeCell ref="G50:J50"/>
    <mergeCell ref="AJ50:AM50"/>
    <mergeCell ref="AN50:AQ50"/>
    <mergeCell ref="C47:F47"/>
    <mergeCell ref="G47:J47"/>
    <mergeCell ref="AJ47:AM47"/>
    <mergeCell ref="AN47:AQ47"/>
    <mergeCell ref="C48:F48"/>
    <mergeCell ref="G48:J48"/>
    <mergeCell ref="AJ48:AM48"/>
    <mergeCell ref="AN48:AQ48"/>
    <mergeCell ref="C53:F53"/>
    <mergeCell ref="G53:J53"/>
    <mergeCell ref="AJ53:AM53"/>
    <mergeCell ref="AN53:AQ53"/>
    <mergeCell ref="C51:F51"/>
    <mergeCell ref="G51:J51"/>
    <mergeCell ref="AJ51:AM51"/>
    <mergeCell ref="AN51:AQ51"/>
    <mergeCell ref="C52:F52"/>
    <mergeCell ref="G52:J52"/>
    <mergeCell ref="AJ52:AM52"/>
    <mergeCell ref="AN52:AQ52"/>
    <mergeCell ref="BP54:BQ54"/>
    <mergeCell ref="BP55:BQ55"/>
    <mergeCell ref="BP56:BQ56"/>
    <mergeCell ref="BP57:BQ57"/>
    <mergeCell ref="BP58:BQ58"/>
    <mergeCell ref="AR5:BQ5"/>
    <mergeCell ref="CF5:CR5"/>
    <mergeCell ref="BH7:BI7"/>
    <mergeCell ref="BJ7:BK7"/>
    <mergeCell ref="BL7:BM7"/>
    <mergeCell ref="BN7:BO7"/>
    <mergeCell ref="AV7:AW7"/>
    <mergeCell ref="AX7:AY7"/>
    <mergeCell ref="AZ7:BA7"/>
    <mergeCell ref="BB7:BC7"/>
    <mergeCell ref="BD7:BE7"/>
    <mergeCell ref="BF7:BG7"/>
    <mergeCell ref="BF54:BG54"/>
    <mergeCell ref="BH54:BI54"/>
    <mergeCell ref="BJ54:BK54"/>
    <mergeCell ref="BL54:BM54"/>
    <mergeCell ref="BN54:BO54"/>
    <mergeCell ref="AR55:AS55"/>
    <mergeCell ref="BL55:BM55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70" fitToWidth="2" orientation="portrait" horizontalDpi="4294967293" r:id="rId1"/>
  <headerFooter alignWithMargins="0"/>
  <colBreaks count="1" manualBreakCount="1">
    <brk id="34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</sheetPr>
  <dimension ref="A1:I61"/>
  <sheetViews>
    <sheetView view="pageBreakPreview" zoomScale="120" zoomScaleSheetLayoutView="12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9.33203125" defaultRowHeight="21" x14ac:dyDescent="0.4"/>
  <cols>
    <col min="1" max="1" width="3.44140625" style="14" customWidth="1"/>
    <col min="2" max="2" width="14.44140625" style="14" customWidth="1"/>
    <col min="3" max="3" width="18.33203125" style="14" customWidth="1"/>
    <col min="4" max="7" width="5" style="14" customWidth="1"/>
    <col min="8" max="8" width="8" style="14" customWidth="1"/>
    <col min="9" max="9" width="31.44140625" style="14" customWidth="1"/>
    <col min="10" max="16384" width="9.33203125" style="14"/>
  </cols>
  <sheetData>
    <row r="1" spans="1:9" s="13" customFormat="1" ht="24.75" customHeight="1" x14ac:dyDescent="0.35">
      <c r="A1" s="752" t="s">
        <v>694</v>
      </c>
      <c r="B1" s="752"/>
      <c r="C1" s="752"/>
      <c r="D1" s="752"/>
      <c r="E1" s="752"/>
      <c r="F1" s="752"/>
      <c r="G1" s="752"/>
      <c r="H1" s="752"/>
      <c r="I1" s="752"/>
    </row>
    <row r="2" spans="1:9" s="13" customFormat="1" ht="24.75" customHeight="1" x14ac:dyDescent="0.35">
      <c r="A2" s="752" t="str">
        <f>IF(B11="","ปีการศึกษา................................. ภาคเรียนที่...................................ชั้นมัธยมศึกษาปีที่.................",CONCATENATE(" ปีการศึกษา ",Year,"  ภาคเรียนที่ ",Semester,"  ชั้นมัธยมศึกษาปีที่ ",Class))</f>
        <v>ปีการศึกษา................................. ภาคเรียนที่...................................ชั้นมัธยมศึกษาปีที่.................</v>
      </c>
      <c r="B2" s="752"/>
      <c r="C2" s="752"/>
      <c r="D2" s="752"/>
      <c r="E2" s="752"/>
      <c r="F2" s="752"/>
      <c r="G2" s="752"/>
      <c r="H2" s="752"/>
      <c r="I2" s="752"/>
    </row>
    <row r="3" spans="1:9" s="13" customFormat="1" ht="24.75" hidden="1" customHeight="1" x14ac:dyDescent="0.35">
      <c r="A3" s="55"/>
      <c r="B3" s="55"/>
      <c r="C3" s="55"/>
      <c r="D3" s="55"/>
      <c r="E3" s="55"/>
      <c r="F3" s="55"/>
      <c r="G3" s="55"/>
      <c r="H3" s="55"/>
      <c r="I3" s="55"/>
    </row>
    <row r="4" spans="1:9" s="13" customFormat="1" ht="24.75" hidden="1" customHeight="1" x14ac:dyDescent="0.35">
      <c r="A4" s="55"/>
      <c r="B4" s="55"/>
      <c r="C4" s="55"/>
      <c r="D4" s="55"/>
      <c r="E4" s="55"/>
      <c r="F4" s="55"/>
      <c r="G4" s="55"/>
      <c r="H4" s="55"/>
      <c r="I4" s="55"/>
    </row>
    <row r="5" spans="1:9" s="13" customFormat="1" ht="24.75" hidden="1" customHeight="1" x14ac:dyDescent="0.35">
      <c r="A5" s="55"/>
      <c r="B5" s="55"/>
      <c r="C5" s="55"/>
      <c r="D5" s="55"/>
      <c r="E5" s="55"/>
      <c r="F5" s="55"/>
      <c r="G5" s="55"/>
      <c r="H5" s="55"/>
      <c r="I5" s="55"/>
    </row>
    <row r="6" spans="1:9" s="13" customFormat="1" ht="24.75" hidden="1" customHeight="1" x14ac:dyDescent="0.35">
      <c r="A6" s="55"/>
      <c r="B6" s="55"/>
      <c r="C6" s="55"/>
      <c r="D6" s="55"/>
      <c r="E6" s="55"/>
      <c r="F6" s="55"/>
      <c r="G6" s="55"/>
      <c r="H6" s="55"/>
      <c r="I6" s="55"/>
    </row>
    <row r="7" spans="1:9" ht="8.25" customHeight="1" thickBot="1" x14ac:dyDescent="0.45">
      <c r="A7" s="54"/>
      <c r="B7" s="54"/>
      <c r="C7" s="54"/>
      <c r="E7" s="15"/>
    </row>
    <row r="8" spans="1:9" ht="23.25" hidden="1" customHeight="1" x14ac:dyDescent="0.4">
      <c r="A8" s="808" t="s">
        <v>0</v>
      </c>
      <c r="B8" s="806" t="s">
        <v>53</v>
      </c>
      <c r="C8" s="811"/>
      <c r="D8" s="53"/>
      <c r="E8" s="49"/>
      <c r="F8" s="49"/>
      <c r="G8" s="50"/>
      <c r="H8" s="13"/>
      <c r="I8" s="13"/>
    </row>
    <row r="9" spans="1:9" ht="23.25" customHeight="1" x14ac:dyDescent="0.4">
      <c r="A9" s="809"/>
      <c r="B9" s="812"/>
      <c r="C9" s="813"/>
      <c r="D9" s="805" t="s">
        <v>42</v>
      </c>
      <c r="E9" s="806"/>
      <c r="F9" s="806"/>
      <c r="G9" s="807"/>
      <c r="H9" s="803" t="s">
        <v>51</v>
      </c>
      <c r="I9" s="52" t="s">
        <v>21</v>
      </c>
    </row>
    <row r="10" spans="1:9" ht="101.25" customHeight="1" thickBot="1" x14ac:dyDescent="0.45">
      <c r="A10" s="810"/>
      <c r="B10" s="814"/>
      <c r="C10" s="815"/>
      <c r="D10" s="143" t="str">
        <f>IF('1.ข้อมูลเบื้องต้น'!C34="","",'1.ข้อมูลเบื้องต้น'!C34)</f>
        <v>กิจกรรมแนะแนว</v>
      </c>
      <c r="E10" s="144" t="str">
        <f>IF('1.ข้อมูลเบื้องต้น'!C35="","",'1.ข้อมูลเบื้องต้น'!C35)</f>
        <v>ลูกเสือ - เนตรนารี</v>
      </c>
      <c r="F10" s="144" t="str">
        <f>IF('1.ข้อมูลเบื้องต้น'!C36="","",'1.ข้อมูลเบื้องต้น'!C36)</f>
        <v>ชมรม</v>
      </c>
      <c r="G10" s="145" t="str">
        <f>IF('1.ข้อมูลเบื้องต้น'!C37="","",'1.ข้อมูลเบื้องต้น'!C37)</f>
        <v>กิจกรรมเพื่อสังคมและสาธารณประโยชน์</v>
      </c>
      <c r="H10" s="804"/>
      <c r="I10" s="51" t="s">
        <v>52</v>
      </c>
    </row>
    <row r="11" spans="1:9" s="29" customFormat="1" ht="16.5" customHeight="1" x14ac:dyDescent="0.25">
      <c r="A11" s="30">
        <v>1</v>
      </c>
      <c r="B11" s="42" t="str">
        <f>IF(Name1="","",Name1)</f>
        <v/>
      </c>
      <c r="C11" s="45" t="str">
        <f>IF(Surname1="","",Surname1)</f>
        <v/>
      </c>
      <c r="D11" s="146" t="str">
        <f>IF('2.ชื่อนักเรียน'!R11="ย้าย","-",IF(VLOOKUP($A11,'6.คีย์ปลายภาค'!$A$6:$ET$50,134,FALSE)="","",VLOOKUP($A11,'6.คีย์ปลายภาค'!$A$6:$ET$50,134,FALSE)))</f>
        <v/>
      </c>
      <c r="E11" s="132" t="str">
        <f>IF('2.ชื่อนักเรียน'!R11="ย้าย","-",IF(VLOOKUP($A11,'6.คีย์ปลายภาค'!$A$6:$ET$50,135,FALSE)="","",VLOOKUP($A11,'6.คีย์ปลายภาค'!$A$6:$ET$50,135,FALSE)))</f>
        <v/>
      </c>
      <c r="F11" s="132" t="str">
        <f>IF('2.ชื่อนักเรียน'!R11="ย้าย","-",IF(VLOOKUP($A11,'6.คีย์ปลายภาค'!$A$6:$ET$50,136,FALSE)="","",VLOOKUP($A11,'6.คีย์ปลายภาค'!$A$6:$ET$50,136,FALSE)))</f>
        <v/>
      </c>
      <c r="G11" s="135" t="str">
        <f>IF('2.ชื่อนักเรียน'!R11="ย้าย","-",IF(VLOOKUP($A11,'6.คีย์ปลายภาค'!$A$6:$ET$50,137,FALSE)="","",VLOOKUP($A11,'6.คีย์ปลายภาค'!$A$6:$ET$50,137,FALSE)))</f>
        <v/>
      </c>
      <c r="H11" s="140" t="str">
        <f>IF(VLOOKUP($A11,'6.คีย์ปลายภาค'!$A$6:$ET$50,138,FALSE)="","",VLOOKUP($A11,'6.คีย์ปลายภาค'!$A$6:$ET$50,138,FALSE))</f>
        <v/>
      </c>
      <c r="I11" s="140" t="str">
        <f>IF(VLOOKUP($A11,'6.คีย์ปลายภาค'!$A$6:$ET$50,139,FALSE)="","",VLOOKUP($A11,'6.คีย์ปลายภาค'!$A$6:$ET$50,139,FALSE))</f>
        <v/>
      </c>
    </row>
    <row r="12" spans="1:9" s="29" customFormat="1" ht="16.5" customHeight="1" x14ac:dyDescent="0.25">
      <c r="A12" s="31">
        <v>2</v>
      </c>
      <c r="B12" s="43" t="str">
        <f>IF(Name2="","",Name2)</f>
        <v/>
      </c>
      <c r="C12" s="46" t="str">
        <f>IF(Surname2="","",Surname2)</f>
        <v/>
      </c>
      <c r="D12" s="131" t="str">
        <f>IF('2.ชื่อนักเรียน'!R12="ย้าย","-",IF(VLOOKUP($A12,'6.คีย์ปลายภาค'!$A$6:$ET$50,134,FALSE)="","",VLOOKUP($A12,'6.คีย์ปลายภาค'!$A$6:$ET$50,134,FALSE)))</f>
        <v/>
      </c>
      <c r="E12" s="20" t="str">
        <f>IF('2.ชื่อนักเรียน'!R12="ย้าย","-",IF(VLOOKUP($A12,'6.คีย์ปลายภาค'!$A$6:$ET$50,135,FALSE)="","",VLOOKUP($A12,'6.คีย์ปลายภาค'!$A$6:$ET$50,135,FALSE)))</f>
        <v/>
      </c>
      <c r="F12" s="20" t="str">
        <f>IF('2.ชื่อนักเรียน'!R12="ย้าย","-",IF(VLOOKUP($A12,'6.คีย์ปลายภาค'!$A$6:$ET$50,136,FALSE)="","",VLOOKUP($A12,'6.คีย์ปลายภาค'!$A$6:$ET$50,136,FALSE)))</f>
        <v/>
      </c>
      <c r="G12" s="21" t="str">
        <f>IF('2.ชื่อนักเรียน'!R12="ย้าย","-",IF(VLOOKUP($A12,'6.คีย์ปลายภาค'!$A$6:$ET$50,137,FALSE)="","",VLOOKUP($A12,'6.คีย์ปลายภาค'!$A$6:$ET$50,137,FALSE)))</f>
        <v/>
      </c>
      <c r="H12" s="141" t="str">
        <f>IF(VLOOKUP($A12,'6.คีย์ปลายภาค'!$A$6:$ET$50,138,FALSE)="","",VLOOKUP($A12,'6.คีย์ปลายภาค'!$A$6:$ET$50,138,FALSE))</f>
        <v/>
      </c>
      <c r="I12" s="141" t="str">
        <f>IF(VLOOKUP($A12,'6.คีย์ปลายภาค'!$A$6:$ET$50,139,FALSE)="","",VLOOKUP($A12,'6.คีย์ปลายภาค'!$A$6:$ET$50,139,FALSE))</f>
        <v/>
      </c>
    </row>
    <row r="13" spans="1:9" s="29" customFormat="1" ht="16.5" customHeight="1" x14ac:dyDescent="0.25">
      <c r="A13" s="31">
        <v>3</v>
      </c>
      <c r="B13" s="43" t="str">
        <f>IF(Name3="","",Name3)</f>
        <v/>
      </c>
      <c r="C13" s="46" t="str">
        <f>IF(Surname3="","",Surname3)</f>
        <v/>
      </c>
      <c r="D13" s="131" t="str">
        <f>IF('2.ชื่อนักเรียน'!R13="ย้าย","-",IF(VLOOKUP($A13,'6.คีย์ปลายภาค'!$A$6:$ET$50,134,FALSE)="","",VLOOKUP($A13,'6.คีย์ปลายภาค'!$A$6:$ET$50,134,FALSE)))</f>
        <v/>
      </c>
      <c r="E13" s="20" t="str">
        <f>IF('2.ชื่อนักเรียน'!R13="ย้าย","-",IF(VLOOKUP($A13,'6.คีย์ปลายภาค'!$A$6:$ET$50,135,FALSE)="","",VLOOKUP($A13,'6.คีย์ปลายภาค'!$A$6:$ET$50,135,FALSE)))</f>
        <v/>
      </c>
      <c r="F13" s="20" t="str">
        <f>IF('2.ชื่อนักเรียน'!R13="ย้าย","-",IF(VLOOKUP($A13,'6.คีย์ปลายภาค'!$A$6:$ET$50,136,FALSE)="","",VLOOKUP($A13,'6.คีย์ปลายภาค'!$A$6:$ET$50,136,FALSE)))</f>
        <v/>
      </c>
      <c r="G13" s="21" t="str">
        <f>IF('2.ชื่อนักเรียน'!R13="ย้าย","-",IF(VLOOKUP($A13,'6.คีย์ปลายภาค'!$A$6:$ET$50,137,FALSE)="","",VLOOKUP($A13,'6.คีย์ปลายภาค'!$A$6:$ET$50,137,FALSE)))</f>
        <v/>
      </c>
      <c r="H13" s="141" t="str">
        <f>IF(VLOOKUP($A13,'6.คีย์ปลายภาค'!$A$6:$ET$50,138,FALSE)="","",VLOOKUP($A13,'6.คีย์ปลายภาค'!$A$6:$ET$50,138,FALSE))</f>
        <v/>
      </c>
      <c r="I13" s="141" t="str">
        <f>IF(VLOOKUP($A13,'6.คีย์ปลายภาค'!$A$6:$ET$50,139,FALSE)="","",VLOOKUP($A13,'6.คีย์ปลายภาค'!$A$6:$ET$50,139,FALSE))</f>
        <v/>
      </c>
    </row>
    <row r="14" spans="1:9" s="29" customFormat="1" ht="16.5" customHeight="1" x14ac:dyDescent="0.25">
      <c r="A14" s="31">
        <v>4</v>
      </c>
      <c r="B14" s="43" t="str">
        <f>IF(Name4="","",Name4)</f>
        <v/>
      </c>
      <c r="C14" s="46" t="str">
        <f>IF(Surname4="","",Surname4)</f>
        <v/>
      </c>
      <c r="D14" s="131" t="str">
        <f>IF('2.ชื่อนักเรียน'!R14="ย้าย","-",IF(VLOOKUP($A14,'6.คีย์ปลายภาค'!$A$6:$ET$50,134,FALSE)="","",VLOOKUP($A14,'6.คีย์ปลายภาค'!$A$6:$ET$50,134,FALSE)))</f>
        <v/>
      </c>
      <c r="E14" s="20" t="str">
        <f>IF('2.ชื่อนักเรียน'!R14="ย้าย","-",IF(VLOOKUP($A14,'6.คีย์ปลายภาค'!$A$6:$ET$50,135,FALSE)="","",VLOOKUP($A14,'6.คีย์ปลายภาค'!$A$6:$ET$50,135,FALSE)))</f>
        <v/>
      </c>
      <c r="F14" s="20" t="str">
        <f>IF('2.ชื่อนักเรียน'!R14="ย้าย","-",IF(VLOOKUP($A14,'6.คีย์ปลายภาค'!$A$6:$ET$50,136,FALSE)="","",VLOOKUP($A14,'6.คีย์ปลายภาค'!$A$6:$ET$50,136,FALSE)))</f>
        <v/>
      </c>
      <c r="G14" s="21" t="str">
        <f>IF('2.ชื่อนักเรียน'!R14="ย้าย","-",IF(VLOOKUP($A14,'6.คีย์ปลายภาค'!$A$6:$ET$50,137,FALSE)="","",VLOOKUP($A14,'6.คีย์ปลายภาค'!$A$6:$ET$50,137,FALSE)))</f>
        <v/>
      </c>
      <c r="H14" s="141" t="str">
        <f>IF(VLOOKUP($A14,'6.คีย์ปลายภาค'!$A$6:$ET$50,138,FALSE)="","",VLOOKUP($A14,'6.คีย์ปลายภาค'!$A$6:$ET$50,138,FALSE))</f>
        <v/>
      </c>
      <c r="I14" s="141" t="str">
        <f>IF(VLOOKUP($A14,'6.คีย์ปลายภาค'!$A$6:$ET$50,139,FALSE)="","",VLOOKUP($A14,'6.คีย์ปลายภาค'!$A$6:$ET$50,139,FALSE))</f>
        <v/>
      </c>
    </row>
    <row r="15" spans="1:9" s="29" customFormat="1" ht="16.5" customHeight="1" x14ac:dyDescent="0.25">
      <c r="A15" s="31">
        <v>5</v>
      </c>
      <c r="B15" s="43" t="str">
        <f>IF(Name5="","",Name5)</f>
        <v/>
      </c>
      <c r="C15" s="46" t="str">
        <f>IF(Surname5="","",Surname5)</f>
        <v/>
      </c>
      <c r="D15" s="131" t="str">
        <f>IF('2.ชื่อนักเรียน'!R15="ย้าย","-",IF(VLOOKUP($A15,'6.คีย์ปลายภาค'!$A$6:$ET$50,134,FALSE)="","",VLOOKUP($A15,'6.คีย์ปลายภาค'!$A$6:$ET$50,134,FALSE)))</f>
        <v/>
      </c>
      <c r="E15" s="20" t="str">
        <f>IF('2.ชื่อนักเรียน'!R15="ย้าย","-",IF(VLOOKUP($A15,'6.คีย์ปลายภาค'!$A$6:$ET$50,135,FALSE)="","",VLOOKUP($A15,'6.คีย์ปลายภาค'!$A$6:$ET$50,135,FALSE)))</f>
        <v/>
      </c>
      <c r="F15" s="20" t="str">
        <f>IF('2.ชื่อนักเรียน'!R15="ย้าย","-",IF(VLOOKUP($A15,'6.คีย์ปลายภาค'!$A$6:$ET$50,136,FALSE)="","",VLOOKUP($A15,'6.คีย์ปลายภาค'!$A$6:$ET$50,136,FALSE)))</f>
        <v/>
      </c>
      <c r="G15" s="21" t="str">
        <f>IF('2.ชื่อนักเรียน'!R15="ย้าย","-",IF(VLOOKUP($A15,'6.คีย์ปลายภาค'!$A$6:$ET$50,137,FALSE)="","",VLOOKUP($A15,'6.คีย์ปลายภาค'!$A$6:$ET$50,137,FALSE)))</f>
        <v/>
      </c>
      <c r="H15" s="141" t="str">
        <f>IF(VLOOKUP($A15,'6.คีย์ปลายภาค'!$A$6:$ET$50,138,FALSE)="","",VLOOKUP($A15,'6.คีย์ปลายภาค'!$A$6:$ET$50,138,FALSE))</f>
        <v/>
      </c>
      <c r="I15" s="141" t="str">
        <f>IF(VLOOKUP($A15,'6.คีย์ปลายภาค'!$A$6:$ET$50,139,FALSE)="","",VLOOKUP($A15,'6.คีย์ปลายภาค'!$A$6:$ET$50,139,FALSE))</f>
        <v/>
      </c>
    </row>
    <row r="16" spans="1:9" s="29" customFormat="1" ht="16.5" customHeight="1" x14ac:dyDescent="0.25">
      <c r="A16" s="31">
        <v>6</v>
      </c>
      <c r="B16" s="43" t="str">
        <f>IF(Name6="","",Name6)</f>
        <v/>
      </c>
      <c r="C16" s="46" t="str">
        <f>IF(Surname6="","",Surname6)</f>
        <v/>
      </c>
      <c r="D16" s="131" t="str">
        <f>IF('2.ชื่อนักเรียน'!R16="ย้าย","-",IF(VLOOKUP($A16,'6.คีย์ปลายภาค'!$A$6:$ET$50,134,FALSE)="","",VLOOKUP($A16,'6.คีย์ปลายภาค'!$A$6:$ET$50,134,FALSE)))</f>
        <v/>
      </c>
      <c r="E16" s="20" t="str">
        <f>IF('2.ชื่อนักเรียน'!R16="ย้าย","-",IF(VLOOKUP($A16,'6.คีย์ปลายภาค'!$A$6:$ET$50,135,FALSE)="","",VLOOKUP($A16,'6.คีย์ปลายภาค'!$A$6:$ET$50,135,FALSE)))</f>
        <v/>
      </c>
      <c r="F16" s="20" t="str">
        <f>IF('2.ชื่อนักเรียน'!R16="ย้าย","-",IF(VLOOKUP($A16,'6.คีย์ปลายภาค'!$A$6:$ET$50,136,FALSE)="","",VLOOKUP($A16,'6.คีย์ปลายภาค'!$A$6:$ET$50,136,FALSE)))</f>
        <v/>
      </c>
      <c r="G16" s="21" t="str">
        <f>IF('2.ชื่อนักเรียน'!R16="ย้าย","-",IF(VLOOKUP($A16,'6.คีย์ปลายภาค'!$A$6:$ET$50,137,FALSE)="","",VLOOKUP($A16,'6.คีย์ปลายภาค'!$A$6:$ET$50,137,FALSE)))</f>
        <v/>
      </c>
      <c r="H16" s="141" t="str">
        <f>IF(VLOOKUP($A16,'6.คีย์ปลายภาค'!$A$6:$ET$50,138,FALSE)="","",VLOOKUP($A16,'6.คีย์ปลายภาค'!$A$6:$ET$50,138,FALSE))</f>
        <v/>
      </c>
      <c r="I16" s="141" t="str">
        <f>IF(VLOOKUP($A16,'6.คีย์ปลายภาค'!$A$6:$ET$50,139,FALSE)="","",VLOOKUP($A16,'6.คีย์ปลายภาค'!$A$6:$ET$50,139,FALSE))</f>
        <v/>
      </c>
    </row>
    <row r="17" spans="1:9" s="29" customFormat="1" ht="16.5" customHeight="1" x14ac:dyDescent="0.25">
      <c r="A17" s="31">
        <v>7</v>
      </c>
      <c r="B17" s="43" t="str">
        <f>IF(Name7="","",Name7)</f>
        <v/>
      </c>
      <c r="C17" s="46" t="str">
        <f>IF(Surname7="","",Surname7)</f>
        <v/>
      </c>
      <c r="D17" s="131" t="str">
        <f>IF('2.ชื่อนักเรียน'!R17="ย้าย","-",IF(VLOOKUP($A17,'6.คีย์ปลายภาค'!$A$6:$ET$50,134,FALSE)="","",VLOOKUP($A17,'6.คีย์ปลายภาค'!$A$6:$ET$50,134,FALSE)))</f>
        <v/>
      </c>
      <c r="E17" s="20" t="str">
        <f>IF('2.ชื่อนักเรียน'!R17="ย้าย","-",IF(VLOOKUP($A17,'6.คีย์ปลายภาค'!$A$6:$ET$50,135,FALSE)="","",VLOOKUP($A17,'6.คีย์ปลายภาค'!$A$6:$ET$50,135,FALSE)))</f>
        <v/>
      </c>
      <c r="F17" s="20" t="str">
        <f>IF('2.ชื่อนักเรียน'!R17="ย้าย","-",IF(VLOOKUP($A17,'6.คีย์ปลายภาค'!$A$6:$ET$50,136,FALSE)="","",VLOOKUP($A17,'6.คีย์ปลายภาค'!$A$6:$ET$50,136,FALSE)))</f>
        <v/>
      </c>
      <c r="G17" s="21" t="str">
        <f>IF('2.ชื่อนักเรียน'!R17="ย้าย","-",IF(VLOOKUP($A17,'6.คีย์ปลายภาค'!$A$6:$ET$50,137,FALSE)="","",VLOOKUP($A17,'6.คีย์ปลายภาค'!$A$6:$ET$50,137,FALSE)))</f>
        <v/>
      </c>
      <c r="H17" s="141" t="str">
        <f>IF(VLOOKUP($A17,'6.คีย์ปลายภาค'!$A$6:$ET$50,138,FALSE)="","",VLOOKUP($A17,'6.คีย์ปลายภาค'!$A$6:$ET$50,138,FALSE))</f>
        <v/>
      </c>
      <c r="I17" s="141" t="str">
        <f>IF(VLOOKUP($A17,'6.คีย์ปลายภาค'!$A$6:$ET$50,139,FALSE)="","",VLOOKUP($A17,'6.คีย์ปลายภาค'!$A$6:$ET$50,139,FALSE))</f>
        <v/>
      </c>
    </row>
    <row r="18" spans="1:9" s="29" customFormat="1" ht="16.5" customHeight="1" x14ac:dyDescent="0.25">
      <c r="A18" s="31">
        <v>8</v>
      </c>
      <c r="B18" s="43" t="str">
        <f>IF(Name8="","",Name8)</f>
        <v/>
      </c>
      <c r="C18" s="46" t="str">
        <f>IF(Surname8="","",Surname8)</f>
        <v/>
      </c>
      <c r="D18" s="131" t="str">
        <f>IF('2.ชื่อนักเรียน'!R18="ย้าย","-",IF(VLOOKUP($A18,'6.คีย์ปลายภาค'!$A$6:$ET$50,134,FALSE)="","",VLOOKUP($A18,'6.คีย์ปลายภาค'!$A$6:$ET$50,134,FALSE)))</f>
        <v/>
      </c>
      <c r="E18" s="20" t="str">
        <f>IF('2.ชื่อนักเรียน'!R18="ย้าย","-",IF(VLOOKUP($A18,'6.คีย์ปลายภาค'!$A$6:$ET$50,135,FALSE)="","",VLOOKUP($A18,'6.คีย์ปลายภาค'!$A$6:$ET$50,135,FALSE)))</f>
        <v/>
      </c>
      <c r="F18" s="20" t="str">
        <f>IF('2.ชื่อนักเรียน'!R18="ย้าย","-",IF(VLOOKUP($A18,'6.คีย์ปลายภาค'!$A$6:$ET$50,136,FALSE)="","",VLOOKUP($A18,'6.คีย์ปลายภาค'!$A$6:$ET$50,136,FALSE)))</f>
        <v/>
      </c>
      <c r="G18" s="21" t="str">
        <f>IF('2.ชื่อนักเรียน'!R18="ย้าย","-",IF(VLOOKUP($A18,'6.คีย์ปลายภาค'!$A$6:$ET$50,137,FALSE)="","",VLOOKUP($A18,'6.คีย์ปลายภาค'!$A$6:$ET$50,137,FALSE)))</f>
        <v/>
      </c>
      <c r="H18" s="141" t="str">
        <f>IF(VLOOKUP($A18,'6.คีย์ปลายภาค'!$A$6:$ET$50,138,FALSE)="","",VLOOKUP($A18,'6.คีย์ปลายภาค'!$A$6:$ET$50,138,FALSE))</f>
        <v/>
      </c>
      <c r="I18" s="141" t="str">
        <f>IF(VLOOKUP($A18,'6.คีย์ปลายภาค'!$A$6:$ET$50,139,FALSE)="","",VLOOKUP($A18,'6.คีย์ปลายภาค'!$A$6:$ET$50,139,FALSE))</f>
        <v/>
      </c>
    </row>
    <row r="19" spans="1:9" s="29" customFormat="1" ht="16.5" customHeight="1" x14ac:dyDescent="0.25">
      <c r="A19" s="31">
        <v>9</v>
      </c>
      <c r="B19" s="43" t="str">
        <f>IF(Name9="","",Name9)</f>
        <v/>
      </c>
      <c r="C19" s="46" t="str">
        <f>IF(Surname9="","",Surname9)</f>
        <v/>
      </c>
      <c r="D19" s="131" t="str">
        <f>IF('2.ชื่อนักเรียน'!R19="ย้าย","-",IF(VLOOKUP($A19,'6.คีย์ปลายภาค'!$A$6:$ET$50,134,FALSE)="","",VLOOKUP($A19,'6.คีย์ปลายภาค'!$A$6:$ET$50,134,FALSE)))</f>
        <v/>
      </c>
      <c r="E19" s="20" t="str">
        <f>IF('2.ชื่อนักเรียน'!R19="ย้าย","-",IF(VLOOKUP($A19,'6.คีย์ปลายภาค'!$A$6:$ET$50,135,FALSE)="","",VLOOKUP($A19,'6.คีย์ปลายภาค'!$A$6:$ET$50,135,FALSE)))</f>
        <v/>
      </c>
      <c r="F19" s="20" t="str">
        <f>IF('2.ชื่อนักเรียน'!R19="ย้าย","-",IF(VLOOKUP($A19,'6.คีย์ปลายภาค'!$A$6:$ET$50,136,FALSE)="","",VLOOKUP($A19,'6.คีย์ปลายภาค'!$A$6:$ET$50,136,FALSE)))</f>
        <v/>
      </c>
      <c r="G19" s="21" t="str">
        <f>IF('2.ชื่อนักเรียน'!R19="ย้าย","-",IF(VLOOKUP($A19,'6.คีย์ปลายภาค'!$A$6:$ET$50,137,FALSE)="","",VLOOKUP($A19,'6.คีย์ปลายภาค'!$A$6:$ET$50,137,FALSE)))</f>
        <v/>
      </c>
      <c r="H19" s="141" t="str">
        <f>IF(VLOOKUP($A19,'6.คีย์ปลายภาค'!$A$6:$ET$50,138,FALSE)="","",VLOOKUP($A19,'6.คีย์ปลายภาค'!$A$6:$ET$50,138,FALSE))</f>
        <v/>
      </c>
      <c r="I19" s="141" t="str">
        <f>IF(VLOOKUP($A19,'6.คีย์ปลายภาค'!$A$6:$ET$50,139,FALSE)="","",VLOOKUP($A19,'6.คีย์ปลายภาค'!$A$6:$ET$50,139,FALSE))</f>
        <v/>
      </c>
    </row>
    <row r="20" spans="1:9" s="29" customFormat="1" ht="16.5" customHeight="1" x14ac:dyDescent="0.25">
      <c r="A20" s="31">
        <v>10</v>
      </c>
      <c r="B20" s="43" t="str">
        <f>IF(Name10="","",Name10)</f>
        <v/>
      </c>
      <c r="C20" s="46" t="str">
        <f>IF(Surname10="","",Surname10)</f>
        <v/>
      </c>
      <c r="D20" s="131" t="str">
        <f>IF('2.ชื่อนักเรียน'!R20="ย้าย","-",IF(VLOOKUP($A20,'6.คีย์ปลายภาค'!$A$6:$ET$50,134,FALSE)="","",VLOOKUP($A20,'6.คีย์ปลายภาค'!$A$6:$ET$50,134,FALSE)))</f>
        <v/>
      </c>
      <c r="E20" s="20" t="str">
        <f>IF('2.ชื่อนักเรียน'!R20="ย้าย","-",IF(VLOOKUP($A20,'6.คีย์ปลายภาค'!$A$6:$ET$50,135,FALSE)="","",VLOOKUP($A20,'6.คีย์ปลายภาค'!$A$6:$ET$50,135,FALSE)))</f>
        <v/>
      </c>
      <c r="F20" s="20" t="str">
        <f>IF('2.ชื่อนักเรียน'!R20="ย้าย","-",IF(VLOOKUP($A20,'6.คีย์ปลายภาค'!$A$6:$ET$50,136,FALSE)="","",VLOOKUP($A20,'6.คีย์ปลายภาค'!$A$6:$ET$50,136,FALSE)))</f>
        <v/>
      </c>
      <c r="G20" s="21" t="str">
        <f>IF('2.ชื่อนักเรียน'!R20="ย้าย","-",IF(VLOOKUP($A20,'6.คีย์ปลายภาค'!$A$6:$ET$50,137,FALSE)="","",VLOOKUP($A20,'6.คีย์ปลายภาค'!$A$6:$ET$50,137,FALSE)))</f>
        <v/>
      </c>
      <c r="H20" s="141" t="str">
        <f>IF(VLOOKUP($A20,'6.คีย์ปลายภาค'!$A$6:$ET$50,138,FALSE)="","",VLOOKUP($A20,'6.คีย์ปลายภาค'!$A$6:$ET$50,138,FALSE))</f>
        <v/>
      </c>
      <c r="I20" s="141" t="str">
        <f>IF(VLOOKUP($A20,'6.คีย์ปลายภาค'!$A$6:$ET$50,139,FALSE)="","",VLOOKUP($A20,'6.คีย์ปลายภาค'!$A$6:$ET$50,139,FALSE))</f>
        <v/>
      </c>
    </row>
    <row r="21" spans="1:9" s="29" customFormat="1" ht="16.5" customHeight="1" x14ac:dyDescent="0.25">
      <c r="A21" s="31">
        <v>11</v>
      </c>
      <c r="B21" s="43" t="str">
        <f>IF(Name11="","",Name11)</f>
        <v/>
      </c>
      <c r="C21" s="46" t="str">
        <f>IF(Surname11="","",Surname11)</f>
        <v/>
      </c>
      <c r="D21" s="131" t="str">
        <f>IF('2.ชื่อนักเรียน'!R21="ย้าย","-",IF(VLOOKUP($A21,'6.คีย์ปลายภาค'!$A$6:$ET$50,134,FALSE)="","",VLOOKUP($A21,'6.คีย์ปลายภาค'!$A$6:$ET$50,134,FALSE)))</f>
        <v/>
      </c>
      <c r="E21" s="20" t="str">
        <f>IF('2.ชื่อนักเรียน'!R21="ย้าย","-",IF(VLOOKUP($A21,'6.คีย์ปลายภาค'!$A$6:$ET$50,135,FALSE)="","",VLOOKUP($A21,'6.คีย์ปลายภาค'!$A$6:$ET$50,135,FALSE)))</f>
        <v/>
      </c>
      <c r="F21" s="20" t="str">
        <f>IF('2.ชื่อนักเรียน'!R21="ย้าย","-",IF(VLOOKUP($A21,'6.คีย์ปลายภาค'!$A$6:$ET$50,136,FALSE)="","",VLOOKUP($A21,'6.คีย์ปลายภาค'!$A$6:$ET$50,136,FALSE)))</f>
        <v/>
      </c>
      <c r="G21" s="21" t="str">
        <f>IF('2.ชื่อนักเรียน'!R21="ย้าย","-",IF(VLOOKUP($A21,'6.คีย์ปลายภาค'!$A$6:$ET$50,137,FALSE)="","",VLOOKUP($A21,'6.คีย์ปลายภาค'!$A$6:$ET$50,137,FALSE)))</f>
        <v/>
      </c>
      <c r="H21" s="141" t="str">
        <f>IF(VLOOKUP($A21,'6.คีย์ปลายภาค'!$A$6:$ET$50,138,FALSE)="","",VLOOKUP($A21,'6.คีย์ปลายภาค'!$A$6:$ET$50,138,FALSE))</f>
        <v/>
      </c>
      <c r="I21" s="141" t="str">
        <f>IF(VLOOKUP($A21,'6.คีย์ปลายภาค'!$A$6:$ET$50,139,FALSE)="","",VLOOKUP($A21,'6.คีย์ปลายภาค'!$A$6:$ET$50,139,FALSE))</f>
        <v/>
      </c>
    </row>
    <row r="22" spans="1:9" s="29" customFormat="1" ht="16.5" customHeight="1" x14ac:dyDescent="0.25">
      <c r="A22" s="31">
        <v>12</v>
      </c>
      <c r="B22" s="43" t="str">
        <f>IF(Name12="","",Name12)</f>
        <v/>
      </c>
      <c r="C22" s="46" t="str">
        <f>IF(Surname12="","",Surname12)</f>
        <v/>
      </c>
      <c r="D22" s="131" t="str">
        <f>IF('2.ชื่อนักเรียน'!R22="ย้าย","-",IF(VLOOKUP($A22,'6.คีย์ปลายภาค'!$A$6:$ET$50,134,FALSE)="","",VLOOKUP($A22,'6.คีย์ปลายภาค'!$A$6:$ET$50,134,FALSE)))</f>
        <v/>
      </c>
      <c r="E22" s="20" t="str">
        <f>IF('2.ชื่อนักเรียน'!R22="ย้าย","-",IF(VLOOKUP($A22,'6.คีย์ปลายภาค'!$A$6:$ET$50,135,FALSE)="","",VLOOKUP($A22,'6.คีย์ปลายภาค'!$A$6:$ET$50,135,FALSE)))</f>
        <v/>
      </c>
      <c r="F22" s="20" t="str">
        <f>IF('2.ชื่อนักเรียน'!R22="ย้าย","-",IF(VLOOKUP($A22,'6.คีย์ปลายภาค'!$A$6:$ET$50,136,FALSE)="","",VLOOKUP($A22,'6.คีย์ปลายภาค'!$A$6:$ET$50,136,FALSE)))</f>
        <v/>
      </c>
      <c r="G22" s="21" t="str">
        <f>IF('2.ชื่อนักเรียน'!R22="ย้าย","-",IF(VLOOKUP($A22,'6.คีย์ปลายภาค'!$A$6:$ET$50,137,FALSE)="","",VLOOKUP($A22,'6.คีย์ปลายภาค'!$A$6:$ET$50,137,FALSE)))</f>
        <v/>
      </c>
      <c r="H22" s="141" t="str">
        <f>IF(VLOOKUP($A22,'6.คีย์ปลายภาค'!$A$6:$ET$50,138,FALSE)="","",VLOOKUP($A22,'6.คีย์ปลายภาค'!$A$6:$ET$50,138,FALSE))</f>
        <v/>
      </c>
      <c r="I22" s="141" t="str">
        <f>IF(VLOOKUP($A22,'6.คีย์ปลายภาค'!$A$6:$ET$50,139,FALSE)="","",VLOOKUP($A22,'6.คีย์ปลายภาค'!$A$6:$ET$50,139,FALSE))</f>
        <v/>
      </c>
    </row>
    <row r="23" spans="1:9" s="29" customFormat="1" ht="16.5" customHeight="1" x14ac:dyDescent="0.25">
      <c r="A23" s="31">
        <v>13</v>
      </c>
      <c r="B23" s="43" t="str">
        <f>IF(Name13="","",Name13)</f>
        <v/>
      </c>
      <c r="C23" s="46" t="str">
        <f>IF(Surname13="","",Surname13)</f>
        <v/>
      </c>
      <c r="D23" s="131" t="str">
        <f>IF('2.ชื่อนักเรียน'!R23="ย้าย","-",IF(VLOOKUP($A23,'6.คีย์ปลายภาค'!$A$6:$ET$50,134,FALSE)="","",VLOOKUP($A23,'6.คีย์ปลายภาค'!$A$6:$ET$50,134,FALSE)))</f>
        <v/>
      </c>
      <c r="E23" s="20" t="str">
        <f>IF('2.ชื่อนักเรียน'!R23="ย้าย","-",IF(VLOOKUP($A23,'6.คีย์ปลายภาค'!$A$6:$ET$50,135,FALSE)="","",VLOOKUP($A23,'6.คีย์ปลายภาค'!$A$6:$ET$50,135,FALSE)))</f>
        <v/>
      </c>
      <c r="F23" s="20" t="str">
        <f>IF('2.ชื่อนักเรียน'!R23="ย้าย","-",IF(VLOOKUP($A23,'6.คีย์ปลายภาค'!$A$6:$ET$50,136,FALSE)="","",VLOOKUP($A23,'6.คีย์ปลายภาค'!$A$6:$ET$50,136,FALSE)))</f>
        <v/>
      </c>
      <c r="G23" s="21" t="str">
        <f>IF('2.ชื่อนักเรียน'!R23="ย้าย","-",IF(VLOOKUP($A23,'6.คีย์ปลายภาค'!$A$6:$ET$50,137,FALSE)="","",VLOOKUP($A23,'6.คีย์ปลายภาค'!$A$6:$ET$50,137,FALSE)))</f>
        <v/>
      </c>
      <c r="H23" s="141" t="str">
        <f>IF(VLOOKUP($A23,'6.คีย์ปลายภาค'!$A$6:$ET$50,138,FALSE)="","",VLOOKUP($A23,'6.คีย์ปลายภาค'!$A$6:$ET$50,138,FALSE))</f>
        <v/>
      </c>
      <c r="I23" s="141" t="str">
        <f>IF(VLOOKUP($A23,'6.คีย์ปลายภาค'!$A$6:$ET$50,139,FALSE)="","",VLOOKUP($A23,'6.คีย์ปลายภาค'!$A$6:$ET$50,139,FALSE))</f>
        <v/>
      </c>
    </row>
    <row r="24" spans="1:9" s="29" customFormat="1" ht="16.5" customHeight="1" x14ac:dyDescent="0.25">
      <c r="A24" s="31">
        <v>14</v>
      </c>
      <c r="B24" s="43" t="str">
        <f>IF(Name14="","",Name14)</f>
        <v/>
      </c>
      <c r="C24" s="46" t="str">
        <f>IF(Surname14="","",Surname14)</f>
        <v/>
      </c>
      <c r="D24" s="131" t="str">
        <f>IF('2.ชื่อนักเรียน'!R24="ย้าย","-",IF(VLOOKUP($A24,'6.คีย์ปลายภาค'!$A$6:$ET$50,134,FALSE)="","",VLOOKUP($A24,'6.คีย์ปลายภาค'!$A$6:$ET$50,134,FALSE)))</f>
        <v/>
      </c>
      <c r="E24" s="20" t="str">
        <f>IF('2.ชื่อนักเรียน'!R24="ย้าย","-",IF(VLOOKUP($A24,'6.คีย์ปลายภาค'!$A$6:$ET$50,135,FALSE)="","",VLOOKUP($A24,'6.คีย์ปลายภาค'!$A$6:$ET$50,135,FALSE)))</f>
        <v/>
      </c>
      <c r="F24" s="20" t="str">
        <f>IF('2.ชื่อนักเรียน'!R24="ย้าย","-",IF(VLOOKUP($A24,'6.คีย์ปลายภาค'!$A$6:$ET$50,136,FALSE)="","",VLOOKUP($A24,'6.คีย์ปลายภาค'!$A$6:$ET$50,136,FALSE)))</f>
        <v/>
      </c>
      <c r="G24" s="21" t="str">
        <f>IF('2.ชื่อนักเรียน'!R24="ย้าย","-",IF(VLOOKUP($A24,'6.คีย์ปลายภาค'!$A$6:$ET$50,137,FALSE)="","",VLOOKUP($A24,'6.คีย์ปลายภาค'!$A$6:$ET$50,137,FALSE)))</f>
        <v/>
      </c>
      <c r="H24" s="141" t="str">
        <f>IF(VLOOKUP($A24,'6.คีย์ปลายภาค'!$A$6:$ET$50,138,FALSE)="","",VLOOKUP($A24,'6.คีย์ปลายภาค'!$A$6:$ET$50,138,FALSE))</f>
        <v/>
      </c>
      <c r="I24" s="141" t="str">
        <f>IF(VLOOKUP($A24,'6.คีย์ปลายภาค'!$A$6:$ET$50,139,FALSE)="","",VLOOKUP($A24,'6.คีย์ปลายภาค'!$A$6:$ET$50,139,FALSE))</f>
        <v/>
      </c>
    </row>
    <row r="25" spans="1:9" s="29" customFormat="1" ht="16.5" customHeight="1" x14ac:dyDescent="0.25">
      <c r="A25" s="31">
        <v>15</v>
      </c>
      <c r="B25" s="43" t="str">
        <f>IF(Name15="","",Name15)</f>
        <v/>
      </c>
      <c r="C25" s="46" t="str">
        <f>IF(Surname15="","",Surname15)</f>
        <v/>
      </c>
      <c r="D25" s="131" t="str">
        <f>IF('2.ชื่อนักเรียน'!R25="ย้าย","-",IF(VLOOKUP($A25,'6.คีย์ปลายภาค'!$A$6:$ET$50,134,FALSE)="","",VLOOKUP($A25,'6.คีย์ปลายภาค'!$A$6:$ET$50,134,FALSE)))</f>
        <v/>
      </c>
      <c r="E25" s="20" t="str">
        <f>IF('2.ชื่อนักเรียน'!R25="ย้าย","-",IF(VLOOKUP($A25,'6.คีย์ปลายภาค'!$A$6:$ET$50,135,FALSE)="","",VLOOKUP($A25,'6.คีย์ปลายภาค'!$A$6:$ET$50,135,FALSE)))</f>
        <v/>
      </c>
      <c r="F25" s="20" t="str">
        <f>IF('2.ชื่อนักเรียน'!R25="ย้าย","-",IF(VLOOKUP($A25,'6.คีย์ปลายภาค'!$A$6:$ET$50,136,FALSE)="","",VLOOKUP($A25,'6.คีย์ปลายภาค'!$A$6:$ET$50,136,FALSE)))</f>
        <v/>
      </c>
      <c r="G25" s="21" t="str">
        <f>IF('2.ชื่อนักเรียน'!R25="ย้าย","-",IF(VLOOKUP($A25,'6.คีย์ปลายภาค'!$A$6:$ET$50,137,FALSE)="","",VLOOKUP($A25,'6.คีย์ปลายภาค'!$A$6:$ET$50,137,FALSE)))</f>
        <v/>
      </c>
      <c r="H25" s="141" t="str">
        <f>IF(VLOOKUP($A25,'6.คีย์ปลายภาค'!$A$6:$ET$50,138,FALSE)="","",VLOOKUP($A25,'6.คีย์ปลายภาค'!$A$6:$ET$50,138,FALSE))</f>
        <v/>
      </c>
      <c r="I25" s="141" t="str">
        <f>IF(VLOOKUP($A25,'6.คีย์ปลายภาค'!$A$6:$ET$50,139,FALSE)="","",VLOOKUP($A25,'6.คีย์ปลายภาค'!$A$6:$ET$50,139,FALSE))</f>
        <v/>
      </c>
    </row>
    <row r="26" spans="1:9" s="29" customFormat="1" ht="16.5" customHeight="1" x14ac:dyDescent="0.25">
      <c r="A26" s="31">
        <v>16</v>
      </c>
      <c r="B26" s="43" t="str">
        <f>IF(Name16="","",Name16)</f>
        <v/>
      </c>
      <c r="C26" s="46" t="str">
        <f>IF(Surname16="","",Surname16)</f>
        <v/>
      </c>
      <c r="D26" s="131" t="str">
        <f>IF('2.ชื่อนักเรียน'!R26="ย้าย","-",IF(VLOOKUP($A26,'6.คีย์ปลายภาค'!$A$6:$ET$50,134,FALSE)="","",VLOOKUP($A26,'6.คีย์ปลายภาค'!$A$6:$ET$50,134,FALSE)))</f>
        <v/>
      </c>
      <c r="E26" s="20" t="str">
        <f>IF('2.ชื่อนักเรียน'!R26="ย้าย","-",IF(VLOOKUP($A26,'6.คีย์ปลายภาค'!$A$6:$ET$50,135,FALSE)="","",VLOOKUP($A26,'6.คีย์ปลายภาค'!$A$6:$ET$50,135,FALSE)))</f>
        <v/>
      </c>
      <c r="F26" s="20" t="str">
        <f>IF('2.ชื่อนักเรียน'!R26="ย้าย","-",IF(VLOOKUP($A26,'6.คีย์ปลายภาค'!$A$6:$ET$50,136,FALSE)="","",VLOOKUP($A26,'6.คีย์ปลายภาค'!$A$6:$ET$50,136,FALSE)))</f>
        <v/>
      </c>
      <c r="G26" s="21" t="str">
        <f>IF('2.ชื่อนักเรียน'!R26="ย้าย","-",IF(VLOOKUP($A26,'6.คีย์ปลายภาค'!$A$6:$ET$50,137,FALSE)="","",VLOOKUP($A26,'6.คีย์ปลายภาค'!$A$6:$ET$50,137,FALSE)))</f>
        <v/>
      </c>
      <c r="H26" s="141" t="str">
        <f>IF(VLOOKUP($A26,'6.คีย์ปลายภาค'!$A$6:$ET$50,138,FALSE)="","",VLOOKUP($A26,'6.คีย์ปลายภาค'!$A$6:$ET$50,138,FALSE))</f>
        <v/>
      </c>
      <c r="I26" s="141" t="str">
        <f>IF(VLOOKUP($A26,'6.คีย์ปลายภาค'!$A$6:$ET$50,139,FALSE)="","",VLOOKUP($A26,'6.คีย์ปลายภาค'!$A$6:$ET$50,139,FALSE))</f>
        <v/>
      </c>
    </row>
    <row r="27" spans="1:9" s="29" customFormat="1" ht="16.5" customHeight="1" x14ac:dyDescent="0.25">
      <c r="A27" s="31">
        <v>17</v>
      </c>
      <c r="B27" s="43" t="str">
        <f>IF(Name17="","",Name17)</f>
        <v/>
      </c>
      <c r="C27" s="46" t="str">
        <f>IF(Surname17="","",Surname17)</f>
        <v/>
      </c>
      <c r="D27" s="131" t="str">
        <f>IF('2.ชื่อนักเรียน'!R27="ย้าย","-",IF(VLOOKUP($A27,'6.คีย์ปลายภาค'!$A$6:$ET$50,134,FALSE)="","",VLOOKUP($A27,'6.คีย์ปลายภาค'!$A$6:$ET$50,134,FALSE)))</f>
        <v/>
      </c>
      <c r="E27" s="20" t="str">
        <f>IF('2.ชื่อนักเรียน'!R27="ย้าย","-",IF(VLOOKUP($A27,'6.คีย์ปลายภาค'!$A$6:$ET$50,135,FALSE)="","",VLOOKUP($A27,'6.คีย์ปลายภาค'!$A$6:$ET$50,135,FALSE)))</f>
        <v/>
      </c>
      <c r="F27" s="20" t="str">
        <f>IF('2.ชื่อนักเรียน'!R27="ย้าย","-",IF(VLOOKUP($A27,'6.คีย์ปลายภาค'!$A$6:$ET$50,136,FALSE)="","",VLOOKUP($A27,'6.คีย์ปลายภาค'!$A$6:$ET$50,136,FALSE)))</f>
        <v/>
      </c>
      <c r="G27" s="21" t="str">
        <f>IF('2.ชื่อนักเรียน'!R27="ย้าย","-",IF(VLOOKUP($A27,'6.คีย์ปลายภาค'!$A$6:$ET$50,137,FALSE)="","",VLOOKUP($A27,'6.คีย์ปลายภาค'!$A$6:$ET$50,137,FALSE)))</f>
        <v/>
      </c>
      <c r="H27" s="141" t="str">
        <f>IF(VLOOKUP($A27,'6.คีย์ปลายภาค'!$A$6:$ET$50,138,FALSE)="","",VLOOKUP($A27,'6.คีย์ปลายภาค'!$A$6:$ET$50,138,FALSE))</f>
        <v/>
      </c>
      <c r="I27" s="141" t="str">
        <f>IF(VLOOKUP($A27,'6.คีย์ปลายภาค'!$A$6:$ET$50,139,FALSE)="","",VLOOKUP($A27,'6.คีย์ปลายภาค'!$A$6:$ET$50,139,FALSE))</f>
        <v/>
      </c>
    </row>
    <row r="28" spans="1:9" s="29" customFormat="1" ht="16.5" customHeight="1" x14ac:dyDescent="0.25">
      <c r="A28" s="31">
        <v>18</v>
      </c>
      <c r="B28" s="43" t="str">
        <f>IF(Name18="","",Name18)</f>
        <v/>
      </c>
      <c r="C28" s="46" t="str">
        <f>IF(Surname18="","",Surname18)</f>
        <v/>
      </c>
      <c r="D28" s="131" t="str">
        <f>IF('2.ชื่อนักเรียน'!R28="ย้าย","-",IF(VLOOKUP($A28,'6.คีย์ปลายภาค'!$A$6:$ET$50,134,FALSE)="","",VLOOKUP($A28,'6.คีย์ปลายภาค'!$A$6:$ET$50,134,FALSE)))</f>
        <v/>
      </c>
      <c r="E28" s="20" t="str">
        <f>IF('2.ชื่อนักเรียน'!R28="ย้าย","-",IF(VLOOKUP($A28,'6.คีย์ปลายภาค'!$A$6:$ET$50,135,FALSE)="","",VLOOKUP($A28,'6.คีย์ปลายภาค'!$A$6:$ET$50,135,FALSE)))</f>
        <v/>
      </c>
      <c r="F28" s="20" t="str">
        <f>IF('2.ชื่อนักเรียน'!R28="ย้าย","-",IF(VLOOKUP($A28,'6.คีย์ปลายภาค'!$A$6:$ET$50,136,FALSE)="","",VLOOKUP($A28,'6.คีย์ปลายภาค'!$A$6:$ET$50,136,FALSE)))</f>
        <v/>
      </c>
      <c r="G28" s="21" t="str">
        <f>IF('2.ชื่อนักเรียน'!R28="ย้าย","-",IF(VLOOKUP($A28,'6.คีย์ปลายภาค'!$A$6:$ET$50,137,FALSE)="","",VLOOKUP($A28,'6.คีย์ปลายภาค'!$A$6:$ET$50,137,FALSE)))</f>
        <v/>
      </c>
      <c r="H28" s="141" t="str">
        <f>IF(VLOOKUP($A28,'6.คีย์ปลายภาค'!$A$6:$ET$50,138,FALSE)="","",VLOOKUP($A28,'6.คีย์ปลายภาค'!$A$6:$ET$50,138,FALSE))</f>
        <v/>
      </c>
      <c r="I28" s="141" t="str">
        <f>IF(VLOOKUP($A28,'6.คีย์ปลายภาค'!$A$6:$ET$50,139,FALSE)="","",VLOOKUP($A28,'6.คีย์ปลายภาค'!$A$6:$ET$50,139,FALSE))</f>
        <v/>
      </c>
    </row>
    <row r="29" spans="1:9" s="29" customFormat="1" ht="16.5" customHeight="1" x14ac:dyDescent="0.25">
      <c r="A29" s="31">
        <v>19</v>
      </c>
      <c r="B29" s="43" t="str">
        <f>IF(Name19="","",Name19)</f>
        <v/>
      </c>
      <c r="C29" s="46" t="str">
        <f>IF(Surname19="","",Surname19)</f>
        <v/>
      </c>
      <c r="D29" s="131" t="str">
        <f>IF('2.ชื่อนักเรียน'!R29="ย้าย","-",IF(VLOOKUP($A29,'6.คีย์ปลายภาค'!$A$6:$ET$50,134,FALSE)="","",VLOOKUP($A29,'6.คีย์ปลายภาค'!$A$6:$ET$50,134,FALSE)))</f>
        <v/>
      </c>
      <c r="E29" s="20" t="str">
        <f>IF('2.ชื่อนักเรียน'!R29="ย้าย","-",IF(VLOOKUP($A29,'6.คีย์ปลายภาค'!$A$6:$ET$50,135,FALSE)="","",VLOOKUP($A29,'6.คีย์ปลายภาค'!$A$6:$ET$50,135,FALSE)))</f>
        <v/>
      </c>
      <c r="F29" s="20" t="str">
        <f>IF('2.ชื่อนักเรียน'!R29="ย้าย","-",IF(VLOOKUP($A29,'6.คีย์ปลายภาค'!$A$6:$ET$50,136,FALSE)="","",VLOOKUP($A29,'6.คีย์ปลายภาค'!$A$6:$ET$50,136,FALSE)))</f>
        <v/>
      </c>
      <c r="G29" s="21" t="str">
        <f>IF('2.ชื่อนักเรียน'!R29="ย้าย","-",IF(VLOOKUP($A29,'6.คีย์ปลายภาค'!$A$6:$ET$50,137,FALSE)="","",VLOOKUP($A29,'6.คีย์ปลายภาค'!$A$6:$ET$50,137,FALSE)))</f>
        <v/>
      </c>
      <c r="H29" s="141" t="str">
        <f>IF(VLOOKUP($A29,'6.คีย์ปลายภาค'!$A$6:$ET$50,138,FALSE)="","",VLOOKUP($A29,'6.คีย์ปลายภาค'!$A$6:$ET$50,138,FALSE))</f>
        <v/>
      </c>
      <c r="I29" s="141" t="str">
        <f>IF(VLOOKUP($A29,'6.คีย์ปลายภาค'!$A$6:$ET$50,139,FALSE)="","",VLOOKUP($A29,'6.คีย์ปลายภาค'!$A$6:$ET$50,139,FALSE))</f>
        <v/>
      </c>
    </row>
    <row r="30" spans="1:9" s="29" customFormat="1" ht="16.5" customHeight="1" x14ac:dyDescent="0.25">
      <c r="A30" s="31">
        <v>20</v>
      </c>
      <c r="B30" s="43" t="str">
        <f>IF(Name20="","",Name20)</f>
        <v/>
      </c>
      <c r="C30" s="46" t="str">
        <f>IF(Surname20="","",Surname20)</f>
        <v/>
      </c>
      <c r="D30" s="131" t="str">
        <f>IF('2.ชื่อนักเรียน'!R30="ย้าย","-",IF(VLOOKUP($A30,'6.คีย์ปลายภาค'!$A$6:$ET$50,134,FALSE)="","",VLOOKUP($A30,'6.คีย์ปลายภาค'!$A$6:$ET$50,134,FALSE)))</f>
        <v/>
      </c>
      <c r="E30" s="20" t="str">
        <f>IF('2.ชื่อนักเรียน'!R30="ย้าย","-",IF(VLOOKUP($A30,'6.คีย์ปลายภาค'!$A$6:$ET$50,135,FALSE)="","",VLOOKUP($A30,'6.คีย์ปลายภาค'!$A$6:$ET$50,135,FALSE)))</f>
        <v/>
      </c>
      <c r="F30" s="20" t="str">
        <f>IF('2.ชื่อนักเรียน'!R30="ย้าย","-",IF(VLOOKUP($A30,'6.คีย์ปลายภาค'!$A$6:$ET$50,136,FALSE)="","",VLOOKUP($A30,'6.คีย์ปลายภาค'!$A$6:$ET$50,136,FALSE)))</f>
        <v/>
      </c>
      <c r="G30" s="21" t="str">
        <f>IF('2.ชื่อนักเรียน'!R30="ย้าย","-",IF(VLOOKUP($A30,'6.คีย์ปลายภาค'!$A$6:$ET$50,137,FALSE)="","",VLOOKUP($A30,'6.คีย์ปลายภาค'!$A$6:$ET$50,137,FALSE)))</f>
        <v/>
      </c>
      <c r="H30" s="141" t="str">
        <f>IF(VLOOKUP($A30,'6.คีย์ปลายภาค'!$A$6:$ET$50,138,FALSE)="","",VLOOKUP($A30,'6.คีย์ปลายภาค'!$A$6:$ET$50,138,FALSE))</f>
        <v/>
      </c>
      <c r="I30" s="141" t="str">
        <f>IF(VLOOKUP($A30,'6.คีย์ปลายภาค'!$A$6:$ET$50,139,FALSE)="","",VLOOKUP($A30,'6.คีย์ปลายภาค'!$A$6:$ET$50,139,FALSE))</f>
        <v/>
      </c>
    </row>
    <row r="31" spans="1:9" s="29" customFormat="1" ht="16.5" customHeight="1" x14ac:dyDescent="0.25">
      <c r="A31" s="31">
        <v>21</v>
      </c>
      <c r="B31" s="43" t="str">
        <f>IF(Name21="","",Name21)</f>
        <v/>
      </c>
      <c r="C31" s="46" t="str">
        <f>IF(Surname21="","",Surname21)</f>
        <v/>
      </c>
      <c r="D31" s="131" t="str">
        <f>IF('2.ชื่อนักเรียน'!R31="ย้าย","-",IF(VLOOKUP($A31,'6.คีย์ปลายภาค'!$A$6:$ET$50,134,FALSE)="","",VLOOKUP($A31,'6.คีย์ปลายภาค'!$A$6:$ET$50,134,FALSE)))</f>
        <v/>
      </c>
      <c r="E31" s="20" t="str">
        <f>IF('2.ชื่อนักเรียน'!R31="ย้าย","-",IF(VLOOKUP($A31,'6.คีย์ปลายภาค'!$A$6:$ET$50,135,FALSE)="","",VLOOKUP($A31,'6.คีย์ปลายภาค'!$A$6:$ET$50,135,FALSE)))</f>
        <v/>
      </c>
      <c r="F31" s="20" t="str">
        <f>IF('2.ชื่อนักเรียน'!R31="ย้าย","-",IF(VLOOKUP($A31,'6.คีย์ปลายภาค'!$A$6:$ET$50,136,FALSE)="","",VLOOKUP($A31,'6.คีย์ปลายภาค'!$A$6:$ET$50,136,FALSE)))</f>
        <v/>
      </c>
      <c r="G31" s="21" t="str">
        <f>IF('2.ชื่อนักเรียน'!R31="ย้าย","-",IF(VLOOKUP($A31,'6.คีย์ปลายภาค'!$A$6:$ET$50,137,FALSE)="","",VLOOKUP($A31,'6.คีย์ปลายภาค'!$A$6:$ET$50,137,FALSE)))</f>
        <v/>
      </c>
      <c r="H31" s="141" t="str">
        <f>IF(VLOOKUP($A31,'6.คีย์ปลายภาค'!$A$6:$ET$50,138,FALSE)="","",VLOOKUP($A31,'6.คีย์ปลายภาค'!$A$6:$ET$50,138,FALSE))</f>
        <v/>
      </c>
      <c r="I31" s="141" t="str">
        <f>IF(VLOOKUP($A31,'6.คีย์ปลายภาค'!$A$6:$ET$50,139,FALSE)="","",VLOOKUP($A31,'6.คีย์ปลายภาค'!$A$6:$ET$50,139,FALSE))</f>
        <v/>
      </c>
    </row>
    <row r="32" spans="1:9" s="29" customFormat="1" ht="16.5" customHeight="1" x14ac:dyDescent="0.25">
      <c r="A32" s="31">
        <v>22</v>
      </c>
      <c r="B32" s="43" t="str">
        <f>IF(Name22="","",Name22)</f>
        <v/>
      </c>
      <c r="C32" s="47" t="str">
        <f>IF(Surname22="","",Surname22)</f>
        <v/>
      </c>
      <c r="D32" s="131" t="str">
        <f>IF('2.ชื่อนักเรียน'!R32="ย้าย","-",IF(VLOOKUP($A32,'6.คีย์ปลายภาค'!$A$6:$ET$50,134,FALSE)="","",VLOOKUP($A32,'6.คีย์ปลายภาค'!$A$6:$ET$50,134,FALSE)))</f>
        <v/>
      </c>
      <c r="E32" s="20" t="str">
        <f>IF('2.ชื่อนักเรียน'!R32="ย้าย","-",IF(VLOOKUP($A32,'6.คีย์ปลายภาค'!$A$6:$ET$50,135,FALSE)="","",VLOOKUP($A32,'6.คีย์ปลายภาค'!$A$6:$ET$50,135,FALSE)))</f>
        <v/>
      </c>
      <c r="F32" s="20" t="str">
        <f>IF('2.ชื่อนักเรียน'!R32="ย้าย","-",IF(VLOOKUP($A32,'6.คีย์ปลายภาค'!$A$6:$ET$50,136,FALSE)="","",VLOOKUP($A32,'6.คีย์ปลายภาค'!$A$6:$ET$50,136,FALSE)))</f>
        <v/>
      </c>
      <c r="G32" s="21" t="str">
        <f>IF('2.ชื่อนักเรียน'!R32="ย้าย","-",IF(VLOOKUP($A32,'6.คีย์ปลายภาค'!$A$6:$ET$50,137,FALSE)="","",VLOOKUP($A32,'6.คีย์ปลายภาค'!$A$6:$ET$50,137,FALSE)))</f>
        <v/>
      </c>
      <c r="H32" s="141" t="str">
        <f>IF(VLOOKUP($A32,'6.คีย์ปลายภาค'!$A$6:$ET$50,138,FALSE)="","",VLOOKUP($A32,'6.คีย์ปลายภาค'!$A$6:$ET$50,138,FALSE))</f>
        <v/>
      </c>
      <c r="I32" s="141" t="str">
        <f>IF(VLOOKUP($A32,'6.คีย์ปลายภาค'!$A$6:$ET$50,139,FALSE)="","",VLOOKUP($A32,'6.คีย์ปลายภาค'!$A$6:$ET$50,139,FALSE))</f>
        <v/>
      </c>
    </row>
    <row r="33" spans="1:9" s="29" customFormat="1" ht="16.5" customHeight="1" x14ac:dyDescent="0.25">
      <c r="A33" s="31">
        <v>23</v>
      </c>
      <c r="B33" s="43" t="str">
        <f>IF(Name23="","",Name23)</f>
        <v/>
      </c>
      <c r="C33" s="46" t="str">
        <f>IF(Surname23="","",Surname23)</f>
        <v/>
      </c>
      <c r="D33" s="131" t="str">
        <f>IF('2.ชื่อนักเรียน'!R33="ย้าย","-",IF(VLOOKUP($A33,'6.คีย์ปลายภาค'!$A$6:$ET$50,134,FALSE)="","",VLOOKUP($A33,'6.คีย์ปลายภาค'!$A$6:$ET$50,134,FALSE)))</f>
        <v/>
      </c>
      <c r="E33" s="20" t="str">
        <f>IF('2.ชื่อนักเรียน'!R33="ย้าย","-",IF(VLOOKUP($A33,'6.คีย์ปลายภาค'!$A$6:$ET$50,135,FALSE)="","",VLOOKUP($A33,'6.คีย์ปลายภาค'!$A$6:$ET$50,135,FALSE)))</f>
        <v/>
      </c>
      <c r="F33" s="20" t="str">
        <f>IF('2.ชื่อนักเรียน'!R33="ย้าย","-",IF(VLOOKUP($A33,'6.คีย์ปลายภาค'!$A$6:$ET$50,136,FALSE)="","",VLOOKUP($A33,'6.คีย์ปลายภาค'!$A$6:$ET$50,136,FALSE)))</f>
        <v/>
      </c>
      <c r="G33" s="21" t="str">
        <f>IF('2.ชื่อนักเรียน'!R33="ย้าย","-",IF(VLOOKUP($A33,'6.คีย์ปลายภาค'!$A$6:$ET$50,137,FALSE)="","",VLOOKUP($A33,'6.คีย์ปลายภาค'!$A$6:$ET$50,137,FALSE)))</f>
        <v/>
      </c>
      <c r="H33" s="141" t="str">
        <f>IF(VLOOKUP($A33,'6.คีย์ปลายภาค'!$A$6:$ET$50,138,FALSE)="","",VLOOKUP($A33,'6.คีย์ปลายภาค'!$A$6:$ET$50,138,FALSE))</f>
        <v/>
      </c>
      <c r="I33" s="141" t="str">
        <f>IF(VLOOKUP($A33,'6.คีย์ปลายภาค'!$A$6:$ET$50,139,FALSE)="","",VLOOKUP($A33,'6.คีย์ปลายภาค'!$A$6:$ET$50,139,FALSE))</f>
        <v/>
      </c>
    </row>
    <row r="34" spans="1:9" s="29" customFormat="1" ht="16.5" customHeight="1" x14ac:dyDescent="0.25">
      <c r="A34" s="31">
        <v>24</v>
      </c>
      <c r="B34" s="43" t="str">
        <f>IF(Name24="","",Name24)</f>
        <v/>
      </c>
      <c r="C34" s="46" t="str">
        <f>IF(Surname24="","",Surname24)</f>
        <v/>
      </c>
      <c r="D34" s="131" t="str">
        <f>IF('2.ชื่อนักเรียน'!R34="ย้าย","-",IF(VLOOKUP($A34,'6.คีย์ปลายภาค'!$A$6:$ET$50,134,FALSE)="","",VLOOKUP($A34,'6.คีย์ปลายภาค'!$A$6:$ET$50,134,FALSE)))</f>
        <v/>
      </c>
      <c r="E34" s="20" t="str">
        <f>IF('2.ชื่อนักเรียน'!R34="ย้าย","-",IF(VLOOKUP($A34,'6.คีย์ปลายภาค'!$A$6:$ET$50,135,FALSE)="","",VLOOKUP($A34,'6.คีย์ปลายภาค'!$A$6:$ET$50,135,FALSE)))</f>
        <v/>
      </c>
      <c r="F34" s="20" t="str">
        <f>IF('2.ชื่อนักเรียน'!R34="ย้าย","-",IF(VLOOKUP($A34,'6.คีย์ปลายภาค'!$A$6:$ET$50,136,FALSE)="","",VLOOKUP($A34,'6.คีย์ปลายภาค'!$A$6:$ET$50,136,FALSE)))</f>
        <v/>
      </c>
      <c r="G34" s="21" t="str">
        <f>IF('2.ชื่อนักเรียน'!R34="ย้าย","-",IF(VLOOKUP($A34,'6.คีย์ปลายภาค'!$A$6:$ET$50,137,FALSE)="","",VLOOKUP($A34,'6.คีย์ปลายภาค'!$A$6:$ET$50,137,FALSE)))</f>
        <v/>
      </c>
      <c r="H34" s="141" t="str">
        <f>IF(VLOOKUP($A34,'6.คีย์ปลายภาค'!$A$6:$ET$50,138,FALSE)="","",VLOOKUP($A34,'6.คีย์ปลายภาค'!$A$6:$ET$50,138,FALSE))</f>
        <v/>
      </c>
      <c r="I34" s="141" t="str">
        <f>IF(VLOOKUP($A34,'6.คีย์ปลายภาค'!$A$6:$ET$50,139,FALSE)="","",VLOOKUP($A34,'6.คีย์ปลายภาค'!$A$6:$ET$50,139,FALSE))</f>
        <v/>
      </c>
    </row>
    <row r="35" spans="1:9" s="29" customFormat="1" ht="16.5" customHeight="1" x14ac:dyDescent="0.25">
      <c r="A35" s="31">
        <v>25</v>
      </c>
      <c r="B35" s="43" t="str">
        <f>IF(Name25="","",Name25)</f>
        <v/>
      </c>
      <c r="C35" s="46" t="str">
        <f>IF(Surname25="","",Surname25)</f>
        <v/>
      </c>
      <c r="D35" s="131" t="str">
        <f>IF('2.ชื่อนักเรียน'!R35="ย้าย","-",IF(VLOOKUP($A35,'6.คีย์ปลายภาค'!$A$6:$ET$50,134,FALSE)="","",VLOOKUP($A35,'6.คีย์ปลายภาค'!$A$6:$ET$50,134,FALSE)))</f>
        <v/>
      </c>
      <c r="E35" s="20" t="str">
        <f>IF('2.ชื่อนักเรียน'!R35="ย้าย","-",IF(VLOOKUP($A35,'6.คีย์ปลายภาค'!$A$6:$ET$50,135,FALSE)="","",VLOOKUP($A35,'6.คีย์ปลายภาค'!$A$6:$ET$50,135,FALSE)))</f>
        <v/>
      </c>
      <c r="F35" s="20" t="str">
        <f>IF('2.ชื่อนักเรียน'!R35="ย้าย","-",IF(VLOOKUP($A35,'6.คีย์ปลายภาค'!$A$6:$ET$50,136,FALSE)="","",VLOOKUP($A35,'6.คีย์ปลายภาค'!$A$6:$ET$50,136,FALSE)))</f>
        <v/>
      </c>
      <c r="G35" s="21" t="str">
        <f>IF('2.ชื่อนักเรียน'!R35="ย้าย","-",IF(VLOOKUP($A35,'6.คีย์ปลายภาค'!$A$6:$ET$50,137,FALSE)="","",VLOOKUP($A35,'6.คีย์ปลายภาค'!$A$6:$ET$50,137,FALSE)))</f>
        <v/>
      </c>
      <c r="H35" s="141" t="str">
        <f>IF(VLOOKUP($A35,'6.คีย์ปลายภาค'!$A$6:$ET$50,138,FALSE)="","",VLOOKUP($A35,'6.คีย์ปลายภาค'!$A$6:$ET$50,138,FALSE))</f>
        <v/>
      </c>
      <c r="I35" s="141" t="str">
        <f>IF(VLOOKUP($A35,'6.คีย์ปลายภาค'!$A$6:$ET$50,139,FALSE)="","",VLOOKUP($A35,'6.คีย์ปลายภาค'!$A$6:$ET$50,139,FALSE))</f>
        <v/>
      </c>
    </row>
    <row r="36" spans="1:9" s="29" customFormat="1" ht="16.5" customHeight="1" x14ac:dyDescent="0.25">
      <c r="A36" s="31">
        <v>26</v>
      </c>
      <c r="B36" s="43" t="str">
        <f>IF(Name26="","",Name26)</f>
        <v/>
      </c>
      <c r="C36" s="46" t="str">
        <f>IF(Surname26="","",Surname26)</f>
        <v/>
      </c>
      <c r="D36" s="131" t="str">
        <f>IF('2.ชื่อนักเรียน'!R36="ย้าย","-",IF(VLOOKUP($A36,'6.คีย์ปลายภาค'!$A$6:$ET$50,134,FALSE)="","",VLOOKUP($A36,'6.คีย์ปลายภาค'!$A$6:$ET$50,134,FALSE)))</f>
        <v/>
      </c>
      <c r="E36" s="20" t="str">
        <f>IF('2.ชื่อนักเรียน'!R36="ย้าย","-",IF(VLOOKUP($A36,'6.คีย์ปลายภาค'!$A$6:$ET$50,135,FALSE)="","",VLOOKUP($A36,'6.คีย์ปลายภาค'!$A$6:$ET$50,135,FALSE)))</f>
        <v/>
      </c>
      <c r="F36" s="20" t="str">
        <f>IF('2.ชื่อนักเรียน'!R36="ย้าย","-",IF(VLOOKUP($A36,'6.คีย์ปลายภาค'!$A$6:$ET$50,136,FALSE)="","",VLOOKUP($A36,'6.คีย์ปลายภาค'!$A$6:$ET$50,136,FALSE)))</f>
        <v/>
      </c>
      <c r="G36" s="21" t="str">
        <f>IF('2.ชื่อนักเรียน'!R36="ย้าย","-",IF(VLOOKUP($A36,'6.คีย์ปลายภาค'!$A$6:$ET$50,137,FALSE)="","",VLOOKUP($A36,'6.คีย์ปลายภาค'!$A$6:$ET$50,137,FALSE)))</f>
        <v/>
      </c>
      <c r="H36" s="141" t="str">
        <f>IF(VLOOKUP($A36,'6.คีย์ปลายภาค'!$A$6:$ET$50,138,FALSE)="","",VLOOKUP($A36,'6.คีย์ปลายภาค'!$A$6:$ET$50,138,FALSE))</f>
        <v/>
      </c>
      <c r="I36" s="141" t="str">
        <f>IF(VLOOKUP($A36,'6.คีย์ปลายภาค'!$A$6:$ET$50,139,FALSE)="","",VLOOKUP($A36,'6.คีย์ปลายภาค'!$A$6:$ET$50,139,FALSE))</f>
        <v/>
      </c>
    </row>
    <row r="37" spans="1:9" s="29" customFormat="1" ht="16.5" customHeight="1" x14ac:dyDescent="0.25">
      <c r="A37" s="31">
        <v>27</v>
      </c>
      <c r="B37" s="43" t="str">
        <f>IF(Name27="","",Name27)</f>
        <v/>
      </c>
      <c r="C37" s="46" t="str">
        <f>IF(Surname27="","",Surname27)</f>
        <v/>
      </c>
      <c r="D37" s="131" t="str">
        <f>IF('2.ชื่อนักเรียน'!R37="ย้าย","-",IF(VLOOKUP($A37,'6.คีย์ปลายภาค'!$A$6:$ET$50,134,FALSE)="","",VLOOKUP($A37,'6.คีย์ปลายภาค'!$A$6:$ET$50,134,FALSE)))</f>
        <v/>
      </c>
      <c r="E37" s="20" t="str">
        <f>IF('2.ชื่อนักเรียน'!R37="ย้าย","-",IF(VLOOKUP($A37,'6.คีย์ปลายภาค'!$A$6:$ET$50,135,FALSE)="","",VLOOKUP($A37,'6.คีย์ปลายภาค'!$A$6:$ET$50,135,FALSE)))</f>
        <v/>
      </c>
      <c r="F37" s="20" t="str">
        <f>IF('2.ชื่อนักเรียน'!R37="ย้าย","-",IF(VLOOKUP($A37,'6.คีย์ปลายภาค'!$A$6:$ET$50,136,FALSE)="","",VLOOKUP($A37,'6.คีย์ปลายภาค'!$A$6:$ET$50,136,FALSE)))</f>
        <v/>
      </c>
      <c r="G37" s="21" t="str">
        <f>IF('2.ชื่อนักเรียน'!R37="ย้าย","-",IF(VLOOKUP($A37,'6.คีย์ปลายภาค'!$A$6:$ET$50,137,FALSE)="","",VLOOKUP($A37,'6.คีย์ปลายภาค'!$A$6:$ET$50,137,FALSE)))</f>
        <v/>
      </c>
      <c r="H37" s="141" t="str">
        <f>IF(VLOOKUP($A37,'6.คีย์ปลายภาค'!$A$6:$ET$50,138,FALSE)="","",VLOOKUP($A37,'6.คีย์ปลายภาค'!$A$6:$ET$50,138,FALSE))</f>
        <v/>
      </c>
      <c r="I37" s="141" t="str">
        <f>IF(VLOOKUP($A37,'6.คีย์ปลายภาค'!$A$6:$ET$50,139,FALSE)="","",VLOOKUP($A37,'6.คีย์ปลายภาค'!$A$6:$ET$50,139,FALSE))</f>
        <v/>
      </c>
    </row>
    <row r="38" spans="1:9" s="29" customFormat="1" ht="16.5" customHeight="1" x14ac:dyDescent="0.25">
      <c r="A38" s="31">
        <v>28</v>
      </c>
      <c r="B38" s="43" t="str">
        <f>IF(Name28="","",Name28)</f>
        <v/>
      </c>
      <c r="C38" s="46" t="str">
        <f>IF(Surname28="","",Surname28)</f>
        <v/>
      </c>
      <c r="D38" s="131" t="str">
        <f>IF('2.ชื่อนักเรียน'!R38="ย้าย","-",IF(VLOOKUP($A38,'6.คีย์ปลายภาค'!$A$6:$ET$50,134,FALSE)="","",VLOOKUP($A38,'6.คีย์ปลายภาค'!$A$6:$ET$50,134,FALSE)))</f>
        <v/>
      </c>
      <c r="E38" s="20" t="str">
        <f>IF('2.ชื่อนักเรียน'!R38="ย้าย","-",IF(VLOOKUP($A38,'6.คีย์ปลายภาค'!$A$6:$ET$50,135,FALSE)="","",VLOOKUP($A38,'6.คีย์ปลายภาค'!$A$6:$ET$50,135,FALSE)))</f>
        <v/>
      </c>
      <c r="F38" s="20" t="str">
        <f>IF('2.ชื่อนักเรียน'!R38="ย้าย","-",IF(VLOOKUP($A38,'6.คีย์ปลายภาค'!$A$6:$ET$50,136,FALSE)="","",VLOOKUP($A38,'6.คีย์ปลายภาค'!$A$6:$ET$50,136,FALSE)))</f>
        <v/>
      </c>
      <c r="G38" s="21" t="str">
        <f>IF('2.ชื่อนักเรียน'!R38="ย้าย","-",IF(VLOOKUP($A38,'6.คีย์ปลายภาค'!$A$6:$ET$50,137,FALSE)="","",VLOOKUP($A38,'6.คีย์ปลายภาค'!$A$6:$ET$50,137,FALSE)))</f>
        <v/>
      </c>
      <c r="H38" s="141" t="str">
        <f>IF(VLOOKUP($A38,'6.คีย์ปลายภาค'!$A$6:$ET$50,138,FALSE)="","",VLOOKUP($A38,'6.คีย์ปลายภาค'!$A$6:$ET$50,138,FALSE))</f>
        <v/>
      </c>
      <c r="I38" s="141" t="str">
        <f>IF(VLOOKUP($A38,'6.คีย์ปลายภาค'!$A$6:$ET$50,139,FALSE)="","",VLOOKUP($A38,'6.คีย์ปลายภาค'!$A$6:$ET$50,139,FALSE))</f>
        <v/>
      </c>
    </row>
    <row r="39" spans="1:9" s="29" customFormat="1" ht="16.5" customHeight="1" x14ac:dyDescent="0.25">
      <c r="A39" s="31">
        <v>29</v>
      </c>
      <c r="B39" s="43" t="str">
        <f>IF(Name29="","",Name29)</f>
        <v/>
      </c>
      <c r="C39" s="46" t="str">
        <f>IF(Surname29="","",Surname29)</f>
        <v/>
      </c>
      <c r="D39" s="131" t="str">
        <f>IF('2.ชื่อนักเรียน'!R39="ย้าย","-",IF(VLOOKUP($A39,'6.คีย์ปลายภาค'!$A$6:$ET$50,134,FALSE)="","",VLOOKUP($A39,'6.คีย์ปลายภาค'!$A$6:$ET$50,134,FALSE)))</f>
        <v/>
      </c>
      <c r="E39" s="20" t="str">
        <f>IF('2.ชื่อนักเรียน'!R39="ย้าย","-",IF(VLOOKUP($A39,'6.คีย์ปลายภาค'!$A$6:$ET$50,135,FALSE)="","",VLOOKUP($A39,'6.คีย์ปลายภาค'!$A$6:$ET$50,135,FALSE)))</f>
        <v/>
      </c>
      <c r="F39" s="20" t="str">
        <f>IF('2.ชื่อนักเรียน'!R39="ย้าย","-",IF(VLOOKUP($A39,'6.คีย์ปลายภาค'!$A$6:$ET$50,136,FALSE)="","",VLOOKUP($A39,'6.คีย์ปลายภาค'!$A$6:$ET$50,136,FALSE)))</f>
        <v/>
      </c>
      <c r="G39" s="21" t="str">
        <f>IF('2.ชื่อนักเรียน'!R39="ย้าย","-",IF(VLOOKUP($A39,'6.คีย์ปลายภาค'!$A$6:$ET$50,137,FALSE)="","",VLOOKUP($A39,'6.คีย์ปลายภาค'!$A$6:$ET$50,137,FALSE)))</f>
        <v/>
      </c>
      <c r="H39" s="141" t="str">
        <f>IF(VLOOKUP($A39,'6.คีย์ปลายภาค'!$A$6:$ET$50,138,FALSE)="","",VLOOKUP($A39,'6.คีย์ปลายภาค'!$A$6:$ET$50,138,FALSE))</f>
        <v/>
      </c>
      <c r="I39" s="141" t="str">
        <f>IF(VLOOKUP($A39,'6.คีย์ปลายภาค'!$A$6:$ET$50,139,FALSE)="","",VLOOKUP($A39,'6.คีย์ปลายภาค'!$A$6:$ET$50,139,FALSE))</f>
        <v/>
      </c>
    </row>
    <row r="40" spans="1:9" s="29" customFormat="1" ht="16.5" customHeight="1" x14ac:dyDescent="0.25">
      <c r="A40" s="31">
        <v>30</v>
      </c>
      <c r="B40" s="43" t="str">
        <f>IF(Name30="","",Name30)</f>
        <v/>
      </c>
      <c r="C40" s="46" t="str">
        <f>IF(Surname30="","",Surname30)</f>
        <v/>
      </c>
      <c r="D40" s="131" t="str">
        <f>IF('2.ชื่อนักเรียน'!R40="ย้าย","-",IF(VLOOKUP($A40,'6.คีย์ปลายภาค'!$A$6:$ET$50,134,FALSE)="","",VLOOKUP($A40,'6.คีย์ปลายภาค'!$A$6:$ET$50,134,FALSE)))</f>
        <v/>
      </c>
      <c r="E40" s="20" t="str">
        <f>IF('2.ชื่อนักเรียน'!R40="ย้าย","-",IF(VLOOKUP($A40,'6.คีย์ปลายภาค'!$A$6:$ET$50,135,FALSE)="","",VLOOKUP($A40,'6.คีย์ปลายภาค'!$A$6:$ET$50,135,FALSE)))</f>
        <v/>
      </c>
      <c r="F40" s="20" t="str">
        <f>IF('2.ชื่อนักเรียน'!R40="ย้าย","-",IF(VLOOKUP($A40,'6.คีย์ปลายภาค'!$A$6:$ET$50,136,FALSE)="","",VLOOKUP($A40,'6.คีย์ปลายภาค'!$A$6:$ET$50,136,FALSE)))</f>
        <v/>
      </c>
      <c r="G40" s="21" t="str">
        <f>IF('2.ชื่อนักเรียน'!R40="ย้าย","-",IF(VLOOKUP($A40,'6.คีย์ปลายภาค'!$A$6:$ET$50,137,FALSE)="","",VLOOKUP($A40,'6.คีย์ปลายภาค'!$A$6:$ET$50,137,FALSE)))</f>
        <v/>
      </c>
      <c r="H40" s="141" t="str">
        <f>IF(VLOOKUP($A40,'6.คีย์ปลายภาค'!$A$6:$ET$50,138,FALSE)="","",VLOOKUP($A40,'6.คีย์ปลายภาค'!$A$6:$ET$50,138,FALSE))</f>
        <v/>
      </c>
      <c r="I40" s="141" t="str">
        <f>IF(VLOOKUP($A40,'6.คีย์ปลายภาค'!$A$6:$ET$50,139,FALSE)="","",VLOOKUP($A40,'6.คีย์ปลายภาค'!$A$6:$ET$50,139,FALSE))</f>
        <v/>
      </c>
    </row>
    <row r="41" spans="1:9" s="29" customFormat="1" ht="16.5" customHeight="1" x14ac:dyDescent="0.25">
      <c r="A41" s="31">
        <v>31</v>
      </c>
      <c r="B41" s="43" t="str">
        <f>IF(Name31="","",Name31)</f>
        <v/>
      </c>
      <c r="C41" s="46" t="str">
        <f>IF(Surname31="","",Surname31)</f>
        <v/>
      </c>
      <c r="D41" s="131" t="str">
        <f>IF('2.ชื่อนักเรียน'!R41="ย้าย","-",IF(VLOOKUP($A41,'6.คีย์ปลายภาค'!$A$6:$ET$50,134,FALSE)="","",VLOOKUP($A41,'6.คีย์ปลายภาค'!$A$6:$ET$50,134,FALSE)))</f>
        <v/>
      </c>
      <c r="E41" s="20" t="str">
        <f>IF('2.ชื่อนักเรียน'!R41="ย้าย","-",IF(VLOOKUP($A41,'6.คีย์ปลายภาค'!$A$6:$ET$50,135,FALSE)="","",VLOOKUP($A41,'6.คีย์ปลายภาค'!$A$6:$ET$50,135,FALSE)))</f>
        <v/>
      </c>
      <c r="F41" s="20" t="str">
        <f>IF('2.ชื่อนักเรียน'!R41="ย้าย","-",IF(VLOOKUP($A41,'6.คีย์ปลายภาค'!$A$6:$ET$50,136,FALSE)="","",VLOOKUP($A41,'6.คีย์ปลายภาค'!$A$6:$ET$50,136,FALSE)))</f>
        <v/>
      </c>
      <c r="G41" s="21" t="str">
        <f>IF('2.ชื่อนักเรียน'!R41="ย้าย","-",IF(VLOOKUP($A41,'6.คีย์ปลายภาค'!$A$6:$ET$50,137,FALSE)="","",VLOOKUP($A41,'6.คีย์ปลายภาค'!$A$6:$ET$50,137,FALSE)))</f>
        <v/>
      </c>
      <c r="H41" s="141" t="str">
        <f>IF(VLOOKUP($A41,'6.คีย์ปลายภาค'!$A$6:$ET$50,138,FALSE)="","",VLOOKUP($A41,'6.คีย์ปลายภาค'!$A$6:$ET$50,138,FALSE))</f>
        <v/>
      </c>
      <c r="I41" s="141" t="str">
        <f>IF(VLOOKUP($A41,'6.คีย์ปลายภาค'!$A$6:$ET$50,139,FALSE)="","",VLOOKUP($A41,'6.คีย์ปลายภาค'!$A$6:$ET$50,139,FALSE))</f>
        <v/>
      </c>
    </row>
    <row r="42" spans="1:9" s="29" customFormat="1" ht="16.5" customHeight="1" x14ac:dyDescent="0.25">
      <c r="A42" s="31">
        <v>32</v>
      </c>
      <c r="B42" s="43" t="str">
        <f>IF(Name32="","",Name32)</f>
        <v/>
      </c>
      <c r="C42" s="46" t="str">
        <f>IF(Surname32="","",Surname32)</f>
        <v/>
      </c>
      <c r="D42" s="131" t="str">
        <f>IF('2.ชื่อนักเรียน'!R42="ย้าย","-",IF(VLOOKUP($A42,'6.คีย์ปลายภาค'!$A$6:$ET$50,134,FALSE)="","",VLOOKUP($A42,'6.คีย์ปลายภาค'!$A$6:$ET$50,134,FALSE)))</f>
        <v/>
      </c>
      <c r="E42" s="20" t="str">
        <f>IF('2.ชื่อนักเรียน'!R42="ย้าย","-",IF(VLOOKUP($A42,'6.คีย์ปลายภาค'!$A$6:$ET$50,135,FALSE)="","",VLOOKUP($A42,'6.คีย์ปลายภาค'!$A$6:$ET$50,135,FALSE)))</f>
        <v/>
      </c>
      <c r="F42" s="20" t="str">
        <f>IF('2.ชื่อนักเรียน'!R42="ย้าย","-",IF(VLOOKUP($A42,'6.คีย์ปลายภาค'!$A$6:$ET$50,136,FALSE)="","",VLOOKUP($A42,'6.คีย์ปลายภาค'!$A$6:$ET$50,136,FALSE)))</f>
        <v/>
      </c>
      <c r="G42" s="21" t="str">
        <f>IF('2.ชื่อนักเรียน'!R42="ย้าย","-",IF(VLOOKUP($A42,'6.คีย์ปลายภาค'!$A$6:$ET$50,137,FALSE)="","",VLOOKUP($A42,'6.คีย์ปลายภาค'!$A$6:$ET$50,137,FALSE)))</f>
        <v/>
      </c>
      <c r="H42" s="141" t="str">
        <f>IF(VLOOKUP($A42,'6.คีย์ปลายภาค'!$A$6:$ET$50,138,FALSE)="","",VLOOKUP($A42,'6.คีย์ปลายภาค'!$A$6:$ET$50,138,FALSE))</f>
        <v/>
      </c>
      <c r="I42" s="141" t="str">
        <f>IF(VLOOKUP($A42,'6.คีย์ปลายภาค'!$A$6:$ET$50,139,FALSE)="","",VLOOKUP($A42,'6.คีย์ปลายภาค'!$A$6:$ET$50,139,FALSE))</f>
        <v/>
      </c>
    </row>
    <row r="43" spans="1:9" s="29" customFormat="1" ht="16.5" customHeight="1" x14ac:dyDescent="0.25">
      <c r="A43" s="31">
        <v>33</v>
      </c>
      <c r="B43" s="43" t="str">
        <f>IF(Name33="","",Name33)</f>
        <v/>
      </c>
      <c r="C43" s="46" t="str">
        <f>IF(Surname33="","",Surname33)</f>
        <v/>
      </c>
      <c r="D43" s="131" t="str">
        <f>IF('2.ชื่อนักเรียน'!R43="ย้าย","-",IF(VLOOKUP($A43,'6.คีย์ปลายภาค'!$A$6:$ET$50,134,FALSE)="","",VLOOKUP($A43,'6.คีย์ปลายภาค'!$A$6:$ET$50,134,FALSE)))</f>
        <v/>
      </c>
      <c r="E43" s="20" t="str">
        <f>IF('2.ชื่อนักเรียน'!R43="ย้าย","-",IF(VLOOKUP($A43,'6.คีย์ปลายภาค'!$A$6:$ET$50,135,FALSE)="","",VLOOKUP($A43,'6.คีย์ปลายภาค'!$A$6:$ET$50,135,FALSE)))</f>
        <v/>
      </c>
      <c r="F43" s="20" t="str">
        <f>IF('2.ชื่อนักเรียน'!R43="ย้าย","-",IF(VLOOKUP($A43,'6.คีย์ปลายภาค'!$A$6:$ET$50,136,FALSE)="","",VLOOKUP($A43,'6.คีย์ปลายภาค'!$A$6:$ET$50,136,FALSE)))</f>
        <v/>
      </c>
      <c r="G43" s="21" t="str">
        <f>IF('2.ชื่อนักเรียน'!R43="ย้าย","-",IF(VLOOKUP($A43,'6.คีย์ปลายภาค'!$A$6:$ET$50,137,FALSE)="","",VLOOKUP($A43,'6.คีย์ปลายภาค'!$A$6:$ET$50,137,FALSE)))</f>
        <v/>
      </c>
      <c r="H43" s="141" t="str">
        <f>IF(VLOOKUP($A43,'6.คีย์ปลายภาค'!$A$6:$ET$50,138,FALSE)="","",VLOOKUP($A43,'6.คีย์ปลายภาค'!$A$6:$ET$50,138,FALSE))</f>
        <v/>
      </c>
      <c r="I43" s="141" t="str">
        <f>IF(VLOOKUP($A43,'6.คีย์ปลายภาค'!$A$6:$ET$50,139,FALSE)="","",VLOOKUP($A43,'6.คีย์ปลายภาค'!$A$6:$ET$50,139,FALSE))</f>
        <v/>
      </c>
    </row>
    <row r="44" spans="1:9" s="29" customFormat="1" ht="16.5" customHeight="1" x14ac:dyDescent="0.25">
      <c r="A44" s="31">
        <v>34</v>
      </c>
      <c r="B44" s="43" t="str">
        <f>IF(Name34="","",Name34)</f>
        <v/>
      </c>
      <c r="C44" s="46" t="str">
        <f>IF(Surname34="","",Surname34)</f>
        <v/>
      </c>
      <c r="D44" s="131" t="str">
        <f>IF('2.ชื่อนักเรียน'!R44="ย้าย","-",IF(VLOOKUP($A44,'6.คีย์ปลายภาค'!$A$6:$ET$50,134,FALSE)="","",VLOOKUP($A44,'6.คีย์ปลายภาค'!$A$6:$ET$50,134,FALSE)))</f>
        <v/>
      </c>
      <c r="E44" s="20" t="str">
        <f>IF('2.ชื่อนักเรียน'!R44="ย้าย","-",IF(VLOOKUP($A44,'6.คีย์ปลายภาค'!$A$6:$ET$50,135,FALSE)="","",VLOOKUP($A44,'6.คีย์ปลายภาค'!$A$6:$ET$50,135,FALSE)))</f>
        <v/>
      </c>
      <c r="F44" s="20" t="str">
        <f>IF('2.ชื่อนักเรียน'!R44="ย้าย","-",IF(VLOOKUP($A44,'6.คีย์ปลายภาค'!$A$6:$ET$50,136,FALSE)="","",VLOOKUP($A44,'6.คีย์ปลายภาค'!$A$6:$ET$50,136,FALSE)))</f>
        <v/>
      </c>
      <c r="G44" s="21" t="str">
        <f>IF('2.ชื่อนักเรียน'!R44="ย้าย","-",IF(VLOOKUP($A44,'6.คีย์ปลายภาค'!$A$6:$ET$50,137,FALSE)="","",VLOOKUP($A44,'6.คีย์ปลายภาค'!$A$6:$ET$50,137,FALSE)))</f>
        <v/>
      </c>
      <c r="H44" s="141" t="str">
        <f>IF(VLOOKUP($A44,'6.คีย์ปลายภาค'!$A$6:$ET$50,138,FALSE)="","",VLOOKUP($A44,'6.คีย์ปลายภาค'!$A$6:$ET$50,138,FALSE))</f>
        <v/>
      </c>
      <c r="I44" s="141" t="str">
        <f>IF(VLOOKUP($A44,'6.คีย์ปลายภาค'!$A$6:$ET$50,139,FALSE)="","",VLOOKUP($A44,'6.คีย์ปลายภาค'!$A$6:$ET$50,139,FALSE))</f>
        <v/>
      </c>
    </row>
    <row r="45" spans="1:9" s="29" customFormat="1" ht="16.5" customHeight="1" x14ac:dyDescent="0.25">
      <c r="A45" s="31">
        <v>35</v>
      </c>
      <c r="B45" s="43" t="str">
        <f>IF(Name35="","",Name35)</f>
        <v/>
      </c>
      <c r="C45" s="46" t="str">
        <f>IF(Surname35="","",Surname35)</f>
        <v/>
      </c>
      <c r="D45" s="131" t="str">
        <f>IF('2.ชื่อนักเรียน'!R45="ย้าย","-",IF(VLOOKUP($A45,'6.คีย์ปลายภาค'!$A$6:$ET$50,134,FALSE)="","",VLOOKUP($A45,'6.คีย์ปลายภาค'!$A$6:$ET$50,134,FALSE)))</f>
        <v/>
      </c>
      <c r="E45" s="20" t="str">
        <f>IF('2.ชื่อนักเรียน'!R45="ย้าย","-",IF(VLOOKUP($A45,'6.คีย์ปลายภาค'!$A$6:$ET$50,135,FALSE)="","",VLOOKUP($A45,'6.คีย์ปลายภาค'!$A$6:$ET$50,135,FALSE)))</f>
        <v/>
      </c>
      <c r="F45" s="20" t="str">
        <f>IF('2.ชื่อนักเรียน'!R45="ย้าย","-",IF(VLOOKUP($A45,'6.คีย์ปลายภาค'!$A$6:$ET$50,136,FALSE)="","",VLOOKUP($A45,'6.คีย์ปลายภาค'!$A$6:$ET$50,136,FALSE)))</f>
        <v/>
      </c>
      <c r="G45" s="21" t="str">
        <f>IF('2.ชื่อนักเรียน'!R45="ย้าย","-",IF(VLOOKUP($A45,'6.คีย์ปลายภาค'!$A$6:$ET$50,137,FALSE)="","",VLOOKUP($A45,'6.คีย์ปลายภาค'!$A$6:$ET$50,137,FALSE)))</f>
        <v/>
      </c>
      <c r="H45" s="141" t="str">
        <f>IF(VLOOKUP($A45,'6.คีย์ปลายภาค'!$A$6:$ET$50,138,FALSE)="","",VLOOKUP($A45,'6.คีย์ปลายภาค'!$A$6:$ET$50,138,FALSE))</f>
        <v/>
      </c>
      <c r="I45" s="141" t="str">
        <f>IF(VLOOKUP($A45,'6.คีย์ปลายภาค'!$A$6:$ET$50,139,FALSE)="","",VLOOKUP($A45,'6.คีย์ปลายภาค'!$A$6:$ET$50,139,FALSE))</f>
        <v/>
      </c>
    </row>
    <row r="46" spans="1:9" s="29" customFormat="1" ht="16.5" customHeight="1" x14ac:dyDescent="0.25">
      <c r="A46" s="31">
        <v>36</v>
      </c>
      <c r="B46" s="43" t="str">
        <f>IF(Name36="","",Name36)</f>
        <v/>
      </c>
      <c r="C46" s="46" t="str">
        <f>IF(Surname36="","",Surname36)</f>
        <v/>
      </c>
      <c r="D46" s="131" t="str">
        <f>IF('2.ชื่อนักเรียน'!R46="ย้าย","-",IF(VLOOKUP($A46,'6.คีย์ปลายภาค'!$A$6:$ET$50,134,FALSE)="","",VLOOKUP($A46,'6.คีย์ปลายภาค'!$A$6:$ET$50,134,FALSE)))</f>
        <v/>
      </c>
      <c r="E46" s="20" t="str">
        <f>IF('2.ชื่อนักเรียน'!R46="ย้าย","-",IF(VLOOKUP($A46,'6.คีย์ปลายภาค'!$A$6:$ET$50,135,FALSE)="","",VLOOKUP($A46,'6.คีย์ปลายภาค'!$A$6:$ET$50,135,FALSE)))</f>
        <v/>
      </c>
      <c r="F46" s="20" t="str">
        <f>IF('2.ชื่อนักเรียน'!R46="ย้าย","-",IF(VLOOKUP($A46,'6.คีย์ปลายภาค'!$A$6:$ET$50,136,FALSE)="","",VLOOKUP($A46,'6.คีย์ปลายภาค'!$A$6:$ET$50,136,FALSE)))</f>
        <v/>
      </c>
      <c r="G46" s="21" t="str">
        <f>IF('2.ชื่อนักเรียน'!R46="ย้าย","-",IF(VLOOKUP($A46,'6.คีย์ปลายภาค'!$A$6:$ET$50,137,FALSE)="","",VLOOKUP($A46,'6.คีย์ปลายภาค'!$A$6:$ET$50,137,FALSE)))</f>
        <v/>
      </c>
      <c r="H46" s="141" t="str">
        <f>IF(VLOOKUP($A46,'6.คีย์ปลายภาค'!$A$6:$ET$50,138,FALSE)="","",VLOOKUP($A46,'6.คีย์ปลายภาค'!$A$6:$ET$50,138,FALSE))</f>
        <v/>
      </c>
      <c r="I46" s="141" t="str">
        <f>IF(VLOOKUP($A46,'6.คีย์ปลายภาค'!$A$6:$ET$50,139,FALSE)="","",VLOOKUP($A46,'6.คีย์ปลายภาค'!$A$6:$ET$50,139,FALSE))</f>
        <v/>
      </c>
    </row>
    <row r="47" spans="1:9" s="29" customFormat="1" ht="16.5" customHeight="1" x14ac:dyDescent="0.25">
      <c r="A47" s="31">
        <v>37</v>
      </c>
      <c r="B47" s="43" t="str">
        <f>IF(Name37="","",Name37)</f>
        <v/>
      </c>
      <c r="C47" s="46" t="str">
        <f>IF(Surname37="","",Surname37)</f>
        <v/>
      </c>
      <c r="D47" s="131" t="str">
        <f>IF('2.ชื่อนักเรียน'!R47="ย้าย","-",IF(VLOOKUP($A47,'6.คีย์ปลายภาค'!$A$6:$ET$50,134,FALSE)="","",VLOOKUP($A47,'6.คีย์ปลายภาค'!$A$6:$ET$50,134,FALSE)))</f>
        <v/>
      </c>
      <c r="E47" s="20" t="str">
        <f>IF('2.ชื่อนักเรียน'!R47="ย้าย","-",IF(VLOOKUP($A47,'6.คีย์ปลายภาค'!$A$6:$ET$50,135,FALSE)="","",VLOOKUP($A47,'6.คีย์ปลายภาค'!$A$6:$ET$50,135,FALSE)))</f>
        <v/>
      </c>
      <c r="F47" s="20" t="str">
        <f>IF('2.ชื่อนักเรียน'!R47="ย้าย","-",IF(VLOOKUP($A47,'6.คีย์ปลายภาค'!$A$6:$ET$50,136,FALSE)="","",VLOOKUP($A47,'6.คีย์ปลายภาค'!$A$6:$ET$50,136,FALSE)))</f>
        <v/>
      </c>
      <c r="G47" s="21" t="str">
        <f>IF('2.ชื่อนักเรียน'!R47="ย้าย","-",IF(VLOOKUP($A47,'6.คีย์ปลายภาค'!$A$6:$ET$50,137,FALSE)="","",VLOOKUP($A47,'6.คีย์ปลายภาค'!$A$6:$ET$50,137,FALSE)))</f>
        <v/>
      </c>
      <c r="H47" s="141" t="str">
        <f>IF(VLOOKUP($A47,'6.คีย์ปลายภาค'!$A$6:$ET$50,138,FALSE)="","",VLOOKUP($A47,'6.คีย์ปลายภาค'!$A$6:$ET$50,138,FALSE))</f>
        <v/>
      </c>
      <c r="I47" s="141" t="str">
        <f>IF(VLOOKUP($A47,'6.คีย์ปลายภาค'!$A$6:$ET$50,139,FALSE)="","",VLOOKUP($A47,'6.คีย์ปลายภาค'!$A$6:$ET$50,139,FALSE))</f>
        <v/>
      </c>
    </row>
    <row r="48" spans="1:9" s="29" customFormat="1" ht="16.5" customHeight="1" x14ac:dyDescent="0.25">
      <c r="A48" s="31">
        <v>38</v>
      </c>
      <c r="B48" s="43" t="str">
        <f>IF(Name38="","",Name38)</f>
        <v/>
      </c>
      <c r="C48" s="46" t="str">
        <f>IF(Surname38="","",Surname38)</f>
        <v/>
      </c>
      <c r="D48" s="131" t="str">
        <f>IF('2.ชื่อนักเรียน'!R48="ย้าย","-",IF(VLOOKUP($A48,'6.คีย์ปลายภาค'!$A$6:$ET$50,134,FALSE)="","",VLOOKUP($A48,'6.คีย์ปลายภาค'!$A$6:$ET$50,134,FALSE)))</f>
        <v/>
      </c>
      <c r="E48" s="20" t="str">
        <f>IF('2.ชื่อนักเรียน'!R48="ย้าย","-",IF(VLOOKUP($A48,'6.คีย์ปลายภาค'!$A$6:$ET$50,135,FALSE)="","",VLOOKUP($A48,'6.คีย์ปลายภาค'!$A$6:$ET$50,135,FALSE)))</f>
        <v/>
      </c>
      <c r="F48" s="20" t="str">
        <f>IF('2.ชื่อนักเรียน'!R48="ย้าย","-",IF(VLOOKUP($A48,'6.คีย์ปลายภาค'!$A$6:$ET$50,136,FALSE)="","",VLOOKUP($A48,'6.คีย์ปลายภาค'!$A$6:$ET$50,136,FALSE)))</f>
        <v/>
      </c>
      <c r="G48" s="21" t="str">
        <f>IF('2.ชื่อนักเรียน'!R48="ย้าย","-",IF(VLOOKUP($A48,'6.คีย์ปลายภาค'!$A$6:$ET$50,137,FALSE)="","",VLOOKUP($A48,'6.คีย์ปลายภาค'!$A$6:$ET$50,137,FALSE)))</f>
        <v/>
      </c>
      <c r="H48" s="141" t="str">
        <f>IF(VLOOKUP($A48,'6.คีย์ปลายภาค'!$A$6:$ET$50,138,FALSE)="","",VLOOKUP($A48,'6.คีย์ปลายภาค'!$A$6:$ET$50,138,FALSE))</f>
        <v/>
      </c>
      <c r="I48" s="141" t="str">
        <f>IF(VLOOKUP($A48,'6.คีย์ปลายภาค'!$A$6:$ET$50,139,FALSE)="","",VLOOKUP($A48,'6.คีย์ปลายภาค'!$A$6:$ET$50,139,FALSE))</f>
        <v/>
      </c>
    </row>
    <row r="49" spans="1:9" s="29" customFormat="1" ht="16.5" customHeight="1" x14ac:dyDescent="0.25">
      <c r="A49" s="31">
        <v>39</v>
      </c>
      <c r="B49" s="43" t="str">
        <f>IF(Name39="","",Name39)</f>
        <v/>
      </c>
      <c r="C49" s="46" t="str">
        <f>IF(Surname39="","",Surname39)</f>
        <v/>
      </c>
      <c r="D49" s="131" t="str">
        <f>IF('2.ชื่อนักเรียน'!R49="ย้าย","-",IF(VLOOKUP($A49,'6.คีย์ปลายภาค'!$A$6:$ET$50,134,FALSE)="","",VLOOKUP($A49,'6.คีย์ปลายภาค'!$A$6:$ET$50,134,FALSE)))</f>
        <v/>
      </c>
      <c r="E49" s="20" t="str">
        <f>IF('2.ชื่อนักเรียน'!R49="ย้าย","-",IF(VLOOKUP($A49,'6.คีย์ปลายภาค'!$A$6:$ET$50,135,FALSE)="","",VLOOKUP($A49,'6.คีย์ปลายภาค'!$A$6:$ET$50,135,FALSE)))</f>
        <v/>
      </c>
      <c r="F49" s="20" t="str">
        <f>IF('2.ชื่อนักเรียน'!R49="ย้าย","-",IF(VLOOKUP($A49,'6.คีย์ปลายภาค'!$A$6:$ET$50,136,FALSE)="","",VLOOKUP($A49,'6.คีย์ปลายภาค'!$A$6:$ET$50,136,FALSE)))</f>
        <v/>
      </c>
      <c r="G49" s="21" t="str">
        <f>IF('2.ชื่อนักเรียน'!R49="ย้าย","-",IF(VLOOKUP($A49,'6.คีย์ปลายภาค'!$A$6:$ET$50,137,FALSE)="","",VLOOKUP($A49,'6.คีย์ปลายภาค'!$A$6:$ET$50,137,FALSE)))</f>
        <v/>
      </c>
      <c r="H49" s="141" t="str">
        <f>IF(VLOOKUP($A49,'6.คีย์ปลายภาค'!$A$6:$ET$50,138,FALSE)="","",VLOOKUP($A49,'6.คีย์ปลายภาค'!$A$6:$ET$50,138,FALSE))</f>
        <v/>
      </c>
      <c r="I49" s="141" t="str">
        <f>IF(VLOOKUP($A49,'6.คีย์ปลายภาค'!$A$6:$ET$50,139,FALSE)="","",VLOOKUP($A49,'6.คีย์ปลายภาค'!$A$6:$ET$50,139,FALSE))</f>
        <v/>
      </c>
    </row>
    <row r="50" spans="1:9" s="29" customFormat="1" ht="16.5" customHeight="1" x14ac:dyDescent="0.25">
      <c r="A50" s="31">
        <v>40</v>
      </c>
      <c r="B50" s="43" t="str">
        <f>IF(Name40="","",Name40)</f>
        <v/>
      </c>
      <c r="C50" s="46" t="str">
        <f>IF(Surname40="","",Surname40)</f>
        <v/>
      </c>
      <c r="D50" s="131" t="str">
        <f>IF('2.ชื่อนักเรียน'!R50="ย้าย","-",IF(VLOOKUP($A50,'6.คีย์ปลายภาค'!$A$6:$ET$50,134,FALSE)="","",VLOOKUP($A50,'6.คีย์ปลายภาค'!$A$6:$ET$50,134,FALSE)))</f>
        <v/>
      </c>
      <c r="E50" s="20" t="str">
        <f>IF('2.ชื่อนักเรียน'!R50="ย้าย","-",IF(VLOOKUP($A50,'6.คีย์ปลายภาค'!$A$6:$ET$50,135,FALSE)="","",VLOOKUP($A50,'6.คีย์ปลายภาค'!$A$6:$ET$50,135,FALSE)))</f>
        <v/>
      </c>
      <c r="F50" s="20" t="str">
        <f>IF('2.ชื่อนักเรียน'!R50="ย้าย","-",IF(VLOOKUP($A50,'6.คีย์ปลายภาค'!$A$6:$ET$50,136,FALSE)="","",VLOOKUP($A50,'6.คีย์ปลายภาค'!$A$6:$ET$50,136,FALSE)))</f>
        <v/>
      </c>
      <c r="G50" s="21" t="str">
        <f>IF('2.ชื่อนักเรียน'!R50="ย้าย","-",IF(VLOOKUP($A50,'6.คีย์ปลายภาค'!$A$6:$ET$50,137,FALSE)="","",VLOOKUP($A50,'6.คีย์ปลายภาค'!$A$6:$ET$50,137,FALSE)))</f>
        <v/>
      </c>
      <c r="H50" s="141" t="str">
        <f>IF(VLOOKUP($A50,'6.คีย์ปลายภาค'!$A$6:$ET$50,138,FALSE)="","",VLOOKUP($A50,'6.คีย์ปลายภาค'!$A$6:$ET$50,138,FALSE))</f>
        <v/>
      </c>
      <c r="I50" s="141" t="str">
        <f>IF(VLOOKUP($A50,'6.คีย์ปลายภาค'!$A$6:$ET$50,139,FALSE)="","",VLOOKUP($A50,'6.คีย์ปลายภาค'!$A$6:$ET$50,139,FALSE))</f>
        <v/>
      </c>
    </row>
    <row r="51" spans="1:9" s="29" customFormat="1" ht="16.5" customHeight="1" x14ac:dyDescent="0.25">
      <c r="A51" s="31">
        <v>41</v>
      </c>
      <c r="B51" s="43" t="str">
        <f>IF(Name41="","",Name41)</f>
        <v/>
      </c>
      <c r="C51" s="46" t="str">
        <f>IF(Surname41="","",Surname41)</f>
        <v/>
      </c>
      <c r="D51" s="131" t="str">
        <f>IF('2.ชื่อนักเรียน'!R51="ย้าย","-",IF(VLOOKUP($A51,'6.คีย์ปลายภาค'!$A$6:$ET$50,134,FALSE)="","",VLOOKUP($A51,'6.คีย์ปลายภาค'!$A$6:$ET$50,134,FALSE)))</f>
        <v/>
      </c>
      <c r="E51" s="20" t="str">
        <f>IF('2.ชื่อนักเรียน'!R51="ย้าย","-",IF(VLOOKUP($A51,'6.คีย์ปลายภาค'!$A$6:$ET$50,135,FALSE)="","",VLOOKUP($A51,'6.คีย์ปลายภาค'!$A$6:$ET$50,135,FALSE)))</f>
        <v/>
      </c>
      <c r="F51" s="20" t="str">
        <f>IF('2.ชื่อนักเรียน'!R51="ย้าย","-",IF(VLOOKUP($A51,'6.คีย์ปลายภาค'!$A$6:$ET$50,136,FALSE)="","",VLOOKUP($A51,'6.คีย์ปลายภาค'!$A$6:$ET$50,136,FALSE)))</f>
        <v/>
      </c>
      <c r="G51" s="21" t="str">
        <f>IF('2.ชื่อนักเรียน'!R51="ย้าย","-",IF(VLOOKUP($A51,'6.คีย์ปลายภาค'!$A$6:$ET$50,137,FALSE)="","",VLOOKUP($A51,'6.คีย์ปลายภาค'!$A$6:$ET$50,137,FALSE)))</f>
        <v/>
      </c>
      <c r="H51" s="141" t="str">
        <f>IF(VLOOKUP($A51,'6.คีย์ปลายภาค'!$A$6:$ET$50,138,FALSE)="","",VLOOKUP($A51,'6.คีย์ปลายภาค'!$A$6:$ET$50,138,FALSE))</f>
        <v/>
      </c>
      <c r="I51" s="141" t="str">
        <f>IF(VLOOKUP($A51,'6.คีย์ปลายภาค'!$A$6:$ET$50,139,FALSE)="","",VLOOKUP($A51,'6.คีย์ปลายภาค'!$A$6:$ET$50,139,FALSE))</f>
        <v/>
      </c>
    </row>
    <row r="52" spans="1:9" s="29" customFormat="1" ht="16.5" customHeight="1" x14ac:dyDescent="0.25">
      <c r="A52" s="31">
        <v>42</v>
      </c>
      <c r="B52" s="43" t="str">
        <f>IF(Name42="","",Name42)</f>
        <v/>
      </c>
      <c r="C52" s="46" t="str">
        <f>IF(Surname42="","",Surname42)</f>
        <v/>
      </c>
      <c r="D52" s="131" t="str">
        <f>IF('2.ชื่อนักเรียน'!R52="ย้าย","-",IF(VLOOKUP($A52,'6.คีย์ปลายภาค'!$A$6:$ET$50,134,FALSE)="","",VLOOKUP($A52,'6.คีย์ปลายภาค'!$A$6:$ET$50,134,FALSE)))</f>
        <v/>
      </c>
      <c r="E52" s="20" t="str">
        <f>IF('2.ชื่อนักเรียน'!R52="ย้าย","-",IF(VLOOKUP($A52,'6.คีย์ปลายภาค'!$A$6:$ET$50,135,FALSE)="","",VLOOKUP($A52,'6.คีย์ปลายภาค'!$A$6:$ET$50,135,FALSE)))</f>
        <v/>
      </c>
      <c r="F52" s="20" t="str">
        <f>IF('2.ชื่อนักเรียน'!R52="ย้าย","-",IF(VLOOKUP($A52,'6.คีย์ปลายภาค'!$A$6:$ET$50,136,FALSE)="","",VLOOKUP($A52,'6.คีย์ปลายภาค'!$A$6:$ET$50,136,FALSE)))</f>
        <v/>
      </c>
      <c r="G52" s="21" t="str">
        <f>IF('2.ชื่อนักเรียน'!R52="ย้าย","-",IF(VLOOKUP($A52,'6.คีย์ปลายภาค'!$A$6:$ET$50,137,FALSE)="","",VLOOKUP($A52,'6.คีย์ปลายภาค'!$A$6:$ET$50,137,FALSE)))</f>
        <v/>
      </c>
      <c r="H52" s="141" t="str">
        <f>IF(VLOOKUP($A52,'6.คีย์ปลายภาค'!$A$6:$ET$50,138,FALSE)="","",VLOOKUP($A52,'6.คีย์ปลายภาค'!$A$6:$ET$50,138,FALSE))</f>
        <v/>
      </c>
      <c r="I52" s="141" t="str">
        <f>IF(VLOOKUP($A52,'6.คีย์ปลายภาค'!$A$6:$ET$50,139,FALSE)="","",VLOOKUP($A52,'6.คีย์ปลายภาค'!$A$6:$ET$50,139,FALSE))</f>
        <v/>
      </c>
    </row>
    <row r="53" spans="1:9" s="29" customFormat="1" ht="16.5" customHeight="1" x14ac:dyDescent="0.25">
      <c r="A53" s="31">
        <v>43</v>
      </c>
      <c r="B53" s="43" t="str">
        <f>IF(Name43="","",Name43)</f>
        <v/>
      </c>
      <c r="C53" s="46" t="str">
        <f>IF(Surname43="","",Surname43)</f>
        <v/>
      </c>
      <c r="D53" s="131" t="str">
        <f>IF('2.ชื่อนักเรียน'!R53="ย้าย","-",IF(VLOOKUP($A53,'6.คีย์ปลายภาค'!$A$6:$ET$50,134,FALSE)="","",VLOOKUP($A53,'6.คีย์ปลายภาค'!$A$6:$ET$50,134,FALSE)))</f>
        <v/>
      </c>
      <c r="E53" s="20" t="str">
        <f>IF('2.ชื่อนักเรียน'!R53="ย้าย","-",IF(VLOOKUP($A53,'6.คีย์ปลายภาค'!$A$6:$ET$50,135,FALSE)="","",VLOOKUP($A53,'6.คีย์ปลายภาค'!$A$6:$ET$50,135,FALSE)))</f>
        <v/>
      </c>
      <c r="F53" s="20" t="str">
        <f>IF('2.ชื่อนักเรียน'!R53="ย้าย","-",IF(VLOOKUP($A53,'6.คีย์ปลายภาค'!$A$6:$ET$50,136,FALSE)="","",VLOOKUP($A53,'6.คีย์ปลายภาค'!$A$6:$ET$50,136,FALSE)))</f>
        <v/>
      </c>
      <c r="G53" s="21" t="str">
        <f>IF('2.ชื่อนักเรียน'!R53="ย้าย","-",IF(VLOOKUP($A53,'6.คีย์ปลายภาค'!$A$6:$ET$50,137,FALSE)="","",VLOOKUP($A53,'6.คีย์ปลายภาค'!$A$6:$ET$50,137,FALSE)))</f>
        <v/>
      </c>
      <c r="H53" s="141" t="str">
        <f>IF(VLOOKUP($A53,'6.คีย์ปลายภาค'!$A$6:$ET$50,138,FALSE)="","",VLOOKUP($A53,'6.คีย์ปลายภาค'!$A$6:$ET$50,138,FALSE))</f>
        <v/>
      </c>
      <c r="I53" s="141" t="str">
        <f>IF(VLOOKUP($A53,'6.คีย์ปลายภาค'!$A$6:$ET$50,139,FALSE)="","",VLOOKUP($A53,'6.คีย์ปลายภาค'!$A$6:$ET$50,139,FALSE))</f>
        <v/>
      </c>
    </row>
    <row r="54" spans="1:9" s="29" customFormat="1" ht="16.5" customHeight="1" x14ac:dyDescent="0.25">
      <c r="A54" s="31">
        <v>44</v>
      </c>
      <c r="B54" s="43" t="str">
        <f>IF(Name44="","",Name44)</f>
        <v/>
      </c>
      <c r="C54" s="46" t="str">
        <f>IF(Surname44="","",Surname44)</f>
        <v/>
      </c>
      <c r="D54" s="131" t="str">
        <f>IF('2.ชื่อนักเรียน'!R54="ย้าย","-",IF(VLOOKUP($A54,'6.คีย์ปลายภาค'!$A$6:$ET$50,134,FALSE)="","",VLOOKUP($A54,'6.คีย์ปลายภาค'!$A$6:$ET$50,134,FALSE)))</f>
        <v/>
      </c>
      <c r="E54" s="20" t="str">
        <f>IF('2.ชื่อนักเรียน'!R54="ย้าย","-",IF(VLOOKUP($A54,'6.คีย์ปลายภาค'!$A$6:$ET$50,135,FALSE)="","",VLOOKUP($A54,'6.คีย์ปลายภาค'!$A$6:$ET$50,135,FALSE)))</f>
        <v/>
      </c>
      <c r="F54" s="20" t="str">
        <f>IF('2.ชื่อนักเรียน'!R54="ย้าย","-",IF(VLOOKUP($A54,'6.คีย์ปลายภาค'!$A$6:$ET$50,136,FALSE)="","",VLOOKUP($A54,'6.คีย์ปลายภาค'!$A$6:$ET$50,136,FALSE)))</f>
        <v/>
      </c>
      <c r="G54" s="21" t="str">
        <f>IF('2.ชื่อนักเรียน'!R54="ย้าย","-",IF(VLOOKUP($A54,'6.คีย์ปลายภาค'!$A$6:$ET$50,137,FALSE)="","",VLOOKUP($A54,'6.คีย์ปลายภาค'!$A$6:$ET$50,137,FALSE)))</f>
        <v/>
      </c>
      <c r="H54" s="141" t="str">
        <f>IF(VLOOKUP($A54,'6.คีย์ปลายภาค'!$A$6:$ET$50,138,FALSE)="","",VLOOKUP($A54,'6.คีย์ปลายภาค'!$A$6:$ET$50,138,FALSE))</f>
        <v/>
      </c>
      <c r="I54" s="141" t="str">
        <f>IF(VLOOKUP($A54,'6.คีย์ปลายภาค'!$A$6:$ET$50,139,FALSE)="","",VLOOKUP($A54,'6.คีย์ปลายภาค'!$A$6:$ET$50,139,FALSE))</f>
        <v/>
      </c>
    </row>
    <row r="55" spans="1:9" s="29" customFormat="1" ht="16.5" customHeight="1" thickBot="1" x14ac:dyDescent="0.3">
      <c r="A55" s="32">
        <v>45</v>
      </c>
      <c r="B55" s="44" t="str">
        <f>IF(Name45="","",Name45)</f>
        <v/>
      </c>
      <c r="C55" s="48" t="str">
        <f>IF(Surname45="","",Surname45)</f>
        <v/>
      </c>
      <c r="D55" s="147" t="str">
        <f>IF('2.ชื่อนักเรียน'!R55="ย้าย","-",IF(VLOOKUP($A55,'6.คีย์ปลายภาค'!$A$6:$ET$50,134,FALSE)="","",VLOOKUP($A55,'6.คีย์ปลายภาค'!$A$6:$ET$50,134,FALSE)))</f>
        <v/>
      </c>
      <c r="E55" s="133" t="str">
        <f>IF('2.ชื่อนักเรียน'!R55="ย้าย","-",IF(VLOOKUP($A55,'6.คีย์ปลายภาค'!$A$6:$ET$50,135,FALSE)="","",VLOOKUP($A55,'6.คีย์ปลายภาค'!$A$6:$ET$50,135,FALSE)))</f>
        <v/>
      </c>
      <c r="F55" s="133" t="str">
        <f>IF('2.ชื่อนักเรียน'!R55="ย้าย","-",IF(VLOOKUP($A55,'6.คีย์ปลายภาค'!$A$6:$ET$50,136,FALSE)="","",VLOOKUP($A55,'6.คีย์ปลายภาค'!$A$6:$ET$50,136,FALSE)))</f>
        <v/>
      </c>
      <c r="G55" s="136" t="str">
        <f>IF('2.ชื่อนักเรียน'!R55="ย้าย","-",IF(VLOOKUP($A55,'6.คีย์ปลายภาค'!$A$6:$ET$50,137,FALSE)="","",VLOOKUP($A55,'6.คีย์ปลายภาค'!$A$6:$ET$50,137,FALSE)))</f>
        <v/>
      </c>
      <c r="H55" s="142" t="str">
        <f>IF(VLOOKUP($A55,'6.คีย์ปลายภาค'!$A$6:$ET$50,138,FALSE)="","",VLOOKUP($A55,'6.คีย์ปลายภาค'!$A$6:$ET$50,138,FALSE))</f>
        <v/>
      </c>
      <c r="I55" s="142" t="str">
        <f>IF(VLOOKUP($A55,'6.คีย์ปลายภาค'!$A$6:$ET$50,139,FALSE)="","",VLOOKUP($A55,'6.คีย์ปลายภาค'!$A$6:$ET$50,139,FALSE))</f>
        <v/>
      </c>
    </row>
    <row r="56" spans="1:9" s="35" customFormat="1" ht="16.5" customHeight="1" x14ac:dyDescent="0.25">
      <c r="A56" s="34"/>
      <c r="B56" s="36"/>
      <c r="C56" s="36"/>
      <c r="D56" s="34"/>
      <c r="E56" s="34"/>
    </row>
    <row r="57" spans="1:9" s="35" customFormat="1" ht="16.5" customHeight="1" x14ac:dyDescent="0.25">
      <c r="A57" s="34"/>
      <c r="B57" s="36"/>
      <c r="C57" s="36"/>
      <c r="D57" s="34"/>
      <c r="E57" s="34"/>
    </row>
    <row r="58" spans="1:9" s="35" customFormat="1" ht="16.5" customHeight="1" x14ac:dyDescent="0.25">
      <c r="A58" s="34"/>
      <c r="B58" s="36"/>
      <c r="C58" s="36"/>
      <c r="D58" s="34"/>
      <c r="E58" s="34"/>
    </row>
    <row r="59" spans="1:9" ht="16.5" customHeight="1" x14ac:dyDescent="0.4">
      <c r="A59" s="34"/>
      <c r="B59" s="36"/>
      <c r="C59" s="36"/>
      <c r="D59" s="37"/>
      <c r="E59" s="37"/>
    </row>
    <row r="60" spans="1:9" ht="16.5" customHeight="1" x14ac:dyDescent="0.4">
      <c r="A60" s="34"/>
      <c r="B60" s="36"/>
      <c r="C60" s="36"/>
      <c r="D60" s="37"/>
      <c r="E60" s="37"/>
    </row>
    <row r="61" spans="1:9" ht="12.75" customHeight="1" x14ac:dyDescent="0.4">
      <c r="A61" s="34"/>
      <c r="B61" s="36"/>
      <c r="C61" s="36"/>
      <c r="D61" s="34"/>
      <c r="E61" s="34"/>
    </row>
  </sheetData>
  <sheetProtection algorithmName="SHA-512" hashValue="elPykTzUG+2iJLWUHvvLJYBO4F1nc21y77yEYMyYLwXsi/sOUjK4fjQT1riUwbK0mAePYjU4IP26jGGYMvmLew==" saltValue="cZ7FmjKo213Lt53Nq3tDYQ==" spinCount="100000" sheet="1" objects="1" scenarios="1"/>
  <customSheetViews>
    <customSheetView guid="{D1BB6683-1C02-4800-8A34-4095A10BD8CF}" showPageBreaks="1" hiddenRows="1" view="pageBreakPreview" topLeftCell="A7">
      <selection activeCell="I28" sqref="I28:I55"/>
      <pageMargins left="0.23622047244094491" right="0.23622047244094491" top="0.74803149606299213" bottom="0.39370078740157483" header="0.31496062992125984" footer="0.31496062992125984"/>
      <printOptions horizontalCentered="1" verticalCentered="1"/>
      <pageSetup paperSize="5" orientation="portrait" horizontalDpi="4294967293" verticalDpi="300" r:id="rId1"/>
    </customSheetView>
  </customSheetViews>
  <mergeCells count="6">
    <mergeCell ref="A1:I1"/>
    <mergeCell ref="A2:I2"/>
    <mergeCell ref="H9:H10"/>
    <mergeCell ref="D9:G9"/>
    <mergeCell ref="A8:A10"/>
    <mergeCell ref="B8:C10"/>
  </mergeCells>
  <printOptions horizontalCentered="1" verticalCentered="1"/>
  <pageMargins left="0.23622047244094491" right="0.23622047244094491" top="0.74803149606299213" bottom="0.39370078740157483" header="0.31496062992125984" footer="0.31496062992125984"/>
  <pageSetup paperSize="5" orientation="portrait" horizontalDpi="4294967293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</sheetPr>
  <dimension ref="A1:I62"/>
  <sheetViews>
    <sheetView view="pageBreakPreview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L19" sqref="L19"/>
    </sheetView>
  </sheetViews>
  <sheetFormatPr defaultColWidth="9.33203125" defaultRowHeight="21" x14ac:dyDescent="0.4"/>
  <cols>
    <col min="1" max="1" width="3.44140625" style="80" customWidth="1"/>
    <col min="2" max="2" width="15.33203125" style="80" customWidth="1"/>
    <col min="3" max="3" width="13.44140625" style="80" customWidth="1"/>
    <col min="4" max="8" width="12.33203125" style="80" customWidth="1"/>
    <col min="9" max="9" width="9.33203125" style="80" customWidth="1"/>
    <col min="10" max="16384" width="9.33203125" style="80"/>
  </cols>
  <sheetData>
    <row r="1" spans="1:9" s="79" customFormat="1" ht="24.75" customHeight="1" x14ac:dyDescent="0.35">
      <c r="A1" s="816" t="s">
        <v>695</v>
      </c>
      <c r="B1" s="816"/>
      <c r="C1" s="816"/>
      <c r="D1" s="816"/>
      <c r="E1" s="816"/>
      <c r="F1" s="816"/>
      <c r="G1" s="816"/>
      <c r="H1" s="816"/>
      <c r="I1" s="816"/>
    </row>
    <row r="2" spans="1:9" s="79" customFormat="1" ht="24.75" customHeight="1" x14ac:dyDescent="0.35">
      <c r="A2" s="816" t="str">
        <f>IF(B11="","ปีการศึกษา...............ภาคเรียนที่........................ชั้นมัธยมศึกษาปีที่................",CONCATENATE(" ปีการศึกษา ",Year,"  ภาคเรียนที่ ",Semester,"  ชั้นมัธยมศึกษาปีที่ ",Class))</f>
        <v>ปีการศึกษา...............ภาคเรียนที่........................ชั้นมัธยมศึกษาปีที่................</v>
      </c>
      <c r="B2" s="816"/>
      <c r="C2" s="816"/>
      <c r="D2" s="816"/>
      <c r="E2" s="816"/>
      <c r="F2" s="816"/>
      <c r="G2" s="816"/>
      <c r="H2" s="816"/>
      <c r="I2" s="816"/>
    </row>
    <row r="3" spans="1:9" s="79" customFormat="1" ht="24.75" hidden="1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</row>
    <row r="4" spans="1:9" s="79" customFormat="1" ht="24.75" hidden="1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</row>
    <row r="5" spans="1:9" s="79" customFormat="1" ht="24.75" hidden="1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</row>
    <row r="6" spans="1:9" s="79" customFormat="1" ht="24.75" hidden="1" customHeight="1" x14ac:dyDescent="0.35">
      <c r="A6" s="154"/>
      <c r="B6" s="154"/>
      <c r="C6" s="154"/>
      <c r="D6" s="154"/>
      <c r="E6" s="154"/>
      <c r="F6" s="154"/>
      <c r="G6" s="154"/>
      <c r="H6" s="154"/>
      <c r="I6" s="154"/>
    </row>
    <row r="7" spans="1:9" ht="8.25" customHeight="1" thickBot="1" x14ac:dyDescent="0.45">
      <c r="E7" s="81"/>
    </row>
    <row r="8" spans="1:9" s="82" customFormat="1" ht="21" customHeight="1" x14ac:dyDescent="0.4">
      <c r="A8" s="817" t="s">
        <v>0</v>
      </c>
      <c r="B8" s="820" t="s">
        <v>1</v>
      </c>
      <c r="C8" s="821"/>
      <c r="D8" s="826" t="s">
        <v>59</v>
      </c>
      <c r="E8" s="827"/>
      <c r="F8" s="827"/>
      <c r="G8" s="827"/>
      <c r="H8" s="828"/>
      <c r="I8" s="829" t="s">
        <v>14</v>
      </c>
    </row>
    <row r="9" spans="1:9" ht="23.25" hidden="1" customHeight="1" x14ac:dyDescent="0.4">
      <c r="A9" s="818"/>
      <c r="B9" s="822"/>
      <c r="C9" s="823"/>
      <c r="D9" s="83"/>
      <c r="E9" s="84"/>
      <c r="F9" s="84"/>
      <c r="G9" s="84"/>
      <c r="H9" s="85"/>
      <c r="I9" s="830"/>
    </row>
    <row r="10" spans="1:9" ht="115.5" customHeight="1" thickBot="1" x14ac:dyDescent="0.45">
      <c r="A10" s="819"/>
      <c r="B10" s="824"/>
      <c r="C10" s="825"/>
      <c r="D10" s="103" t="s">
        <v>69</v>
      </c>
      <c r="E10" s="104" t="s">
        <v>70</v>
      </c>
      <c r="F10" s="104" t="s">
        <v>71</v>
      </c>
      <c r="G10" s="104" t="s">
        <v>72</v>
      </c>
      <c r="H10" s="105" t="s">
        <v>73</v>
      </c>
      <c r="I10" s="831"/>
    </row>
    <row r="11" spans="1:9" s="90" customFormat="1" ht="16.5" customHeight="1" x14ac:dyDescent="0.25">
      <c r="A11" s="86">
        <v>1</v>
      </c>
      <c r="B11" s="87" t="str">
        <f>IF('2.ชื่อนักเรียน'!C11="","",'2.ชื่อนักเรียน'!C11)</f>
        <v/>
      </c>
      <c r="C11" s="88" t="str">
        <f>IF('2.ชื่อนักเรียน'!D11="","",'2.ชื่อนักเรียน'!D11)</f>
        <v/>
      </c>
      <c r="D11" s="160"/>
      <c r="E11" s="161"/>
      <c r="F11" s="161"/>
      <c r="G11" s="161"/>
      <c r="H11" s="162"/>
      <c r="I11" s="89" t="str">
        <f>IF('2.ชื่อนักเรียน'!R11="มส","ไม่ผ่าน",IF('2.ชื่อนักเรียน'!R11="ย้าย","ย้าย",IF(COUNT(D11:H11)&lt;COUNTA($D$10:$H$10),"",IF(AVERAGE(D11:H11)&gt;=2.5,"ดีเยี่ยม",IF(AVERAGE(D11:H11)&gt;=1.5,"ดี",IF(AVERAGE(D11:H11)&gt;=1,"ผ่าน","ไม่ผ่าน"))))))</f>
        <v/>
      </c>
    </row>
    <row r="12" spans="1:9" s="90" customFormat="1" ht="16.5" customHeight="1" x14ac:dyDescent="0.25">
      <c r="A12" s="91">
        <v>2</v>
      </c>
      <c r="B12" s="92" t="str">
        <f>IF('2.ชื่อนักเรียน'!C12="","",'2.ชื่อนักเรียน'!C12)</f>
        <v/>
      </c>
      <c r="C12" s="93" t="str">
        <f>IF('2.ชื่อนักเรียน'!D12="","",'2.ชื่อนักเรียน'!D12)</f>
        <v/>
      </c>
      <c r="D12" s="163"/>
      <c r="E12" s="164"/>
      <c r="F12" s="164"/>
      <c r="G12" s="164"/>
      <c r="H12" s="165"/>
      <c r="I12" s="94" t="str">
        <f>IF('2.ชื่อนักเรียน'!R12="มส","ไม่ผ่าน",IF('2.ชื่อนักเรียน'!R12="ย้าย","ย้าย",IF(COUNT(D12:H12)&lt;COUNTA($D$10:$H$10),"",IF(AVERAGE(D12:H12)&gt;=2.5,"ดีเยี่ยม",IF(AVERAGE(D12:H12)&gt;=1.5,"ดี",IF(AVERAGE(D12:H12)&gt;=1,"ผ่าน","ไม่ผ่าน"))))))</f>
        <v/>
      </c>
    </row>
    <row r="13" spans="1:9" s="90" customFormat="1" ht="16.5" customHeight="1" x14ac:dyDescent="0.25">
      <c r="A13" s="91">
        <v>3</v>
      </c>
      <c r="B13" s="92" t="str">
        <f>IF('2.ชื่อนักเรียน'!C13="","",'2.ชื่อนักเรียน'!C13)</f>
        <v/>
      </c>
      <c r="C13" s="93" t="str">
        <f>IF('2.ชื่อนักเรียน'!D13="","",'2.ชื่อนักเรียน'!D13)</f>
        <v/>
      </c>
      <c r="D13" s="163"/>
      <c r="E13" s="164"/>
      <c r="F13" s="164"/>
      <c r="G13" s="164"/>
      <c r="H13" s="165"/>
      <c r="I13" s="94" t="str">
        <f>IF('2.ชื่อนักเรียน'!R13="มส","ไม่ผ่าน",IF('2.ชื่อนักเรียน'!R13="ย้าย","ย้าย",IF(COUNT(D13:H13)&lt;COUNTA($D$10:$H$10),"",IF(AVERAGE(D13:H13)&gt;=2.5,"ดีเยี่ยม",IF(AVERAGE(D13:H13)&gt;=1.5,"ดี",IF(AVERAGE(D13:H13)&gt;=1,"ผ่าน","ไม่ผ่าน"))))))</f>
        <v/>
      </c>
    </row>
    <row r="14" spans="1:9" s="90" customFormat="1" ht="16.5" customHeight="1" x14ac:dyDescent="0.25">
      <c r="A14" s="91">
        <v>4</v>
      </c>
      <c r="B14" s="92" t="str">
        <f>IF('2.ชื่อนักเรียน'!C14="","",'2.ชื่อนักเรียน'!C14)</f>
        <v/>
      </c>
      <c r="C14" s="93" t="str">
        <f>IF('2.ชื่อนักเรียน'!D14="","",'2.ชื่อนักเรียน'!D14)</f>
        <v/>
      </c>
      <c r="D14" s="163"/>
      <c r="E14" s="164"/>
      <c r="F14" s="164"/>
      <c r="G14" s="164"/>
      <c r="H14" s="165"/>
      <c r="I14" s="94" t="str">
        <f>IF('2.ชื่อนักเรียน'!R14="มส","ไม่ผ่าน",IF('2.ชื่อนักเรียน'!R14="ย้าย","ย้าย",IF(COUNT(D14:H14)&lt;COUNTA($D$10:$H$10),"",IF(AVERAGE(D14:H14)&gt;=2.5,"ดีเยี่ยม",IF(AVERAGE(D14:H14)&gt;=1.5,"ดี",IF(AVERAGE(D14:H14)&gt;=1,"ผ่าน","ไม่ผ่าน"))))))</f>
        <v/>
      </c>
    </row>
    <row r="15" spans="1:9" s="90" customFormat="1" ht="16.5" customHeight="1" x14ac:dyDescent="0.25">
      <c r="A15" s="91">
        <v>5</v>
      </c>
      <c r="B15" s="92" t="str">
        <f>IF('2.ชื่อนักเรียน'!C15="","",'2.ชื่อนักเรียน'!C15)</f>
        <v/>
      </c>
      <c r="C15" s="93" t="str">
        <f>IF('2.ชื่อนักเรียน'!D15="","",'2.ชื่อนักเรียน'!D15)</f>
        <v/>
      </c>
      <c r="D15" s="163"/>
      <c r="E15" s="164"/>
      <c r="F15" s="164"/>
      <c r="G15" s="164"/>
      <c r="H15" s="165"/>
      <c r="I15" s="94" t="str">
        <f>IF('2.ชื่อนักเรียน'!R15="มส","ไม่ผ่าน",IF('2.ชื่อนักเรียน'!R15="ย้าย","ย้าย",IF(COUNT(D15:H15)&lt;COUNTA($D$10:$H$10),"",IF(AVERAGE(D15:H15)&gt;=2.5,"ดีเยี่ยม",IF(AVERAGE(D15:H15)&gt;=1.5,"ดี",IF(AVERAGE(D15:H15)&gt;=1,"ผ่าน","ไม่ผ่าน"))))))</f>
        <v/>
      </c>
    </row>
    <row r="16" spans="1:9" s="90" customFormat="1" ht="16.5" customHeight="1" x14ac:dyDescent="0.25">
      <c r="A16" s="91">
        <v>6</v>
      </c>
      <c r="B16" s="92" t="str">
        <f>IF('2.ชื่อนักเรียน'!C16="","",'2.ชื่อนักเรียน'!C16)</f>
        <v/>
      </c>
      <c r="C16" s="93" t="str">
        <f>IF('2.ชื่อนักเรียน'!D16="","",'2.ชื่อนักเรียน'!D16)</f>
        <v/>
      </c>
      <c r="D16" s="163"/>
      <c r="E16" s="164"/>
      <c r="F16" s="164"/>
      <c r="G16" s="164"/>
      <c r="H16" s="165"/>
      <c r="I16" s="94" t="str">
        <f>IF('2.ชื่อนักเรียน'!R16="มส","ไม่ผ่าน",IF('2.ชื่อนักเรียน'!R16="ย้าย","ย้าย",IF(COUNT(D16:H16)&lt;COUNTA($D$10:$H$10),"",IF(AVERAGE(D16:H16)&gt;=2.5,"ดีเยี่ยม",IF(AVERAGE(D16:H16)&gt;=1.5,"ดี",IF(AVERAGE(D16:H16)&gt;=1,"ผ่าน","ไม่ผ่าน"))))))</f>
        <v/>
      </c>
    </row>
    <row r="17" spans="1:9" s="90" customFormat="1" ht="16.5" customHeight="1" x14ac:dyDescent="0.25">
      <c r="A17" s="91">
        <v>7</v>
      </c>
      <c r="B17" s="92" t="str">
        <f>IF('2.ชื่อนักเรียน'!C17="","",'2.ชื่อนักเรียน'!C17)</f>
        <v/>
      </c>
      <c r="C17" s="93" t="str">
        <f>IF('2.ชื่อนักเรียน'!D17="","",'2.ชื่อนักเรียน'!D17)</f>
        <v/>
      </c>
      <c r="D17" s="163"/>
      <c r="E17" s="164"/>
      <c r="F17" s="164"/>
      <c r="G17" s="164"/>
      <c r="H17" s="165"/>
      <c r="I17" s="94" t="str">
        <f>IF('2.ชื่อนักเรียน'!R17="มส","ไม่ผ่าน",IF('2.ชื่อนักเรียน'!R17="ย้าย","ย้าย",IF(COUNT(D17:H17)&lt;COUNTA($D$10:$H$10),"",IF(AVERAGE(D17:H17)&gt;=2.5,"ดีเยี่ยม",IF(AVERAGE(D17:H17)&gt;=1.5,"ดี",IF(AVERAGE(D17:H17)&gt;=1,"ผ่าน","ไม่ผ่าน"))))))</f>
        <v/>
      </c>
    </row>
    <row r="18" spans="1:9" s="90" customFormat="1" ht="16.5" customHeight="1" x14ac:dyDescent="0.25">
      <c r="A18" s="91">
        <v>8</v>
      </c>
      <c r="B18" s="92" t="str">
        <f>IF('2.ชื่อนักเรียน'!C18="","",'2.ชื่อนักเรียน'!C18)</f>
        <v/>
      </c>
      <c r="C18" s="93" t="str">
        <f>IF('2.ชื่อนักเรียน'!D18="","",'2.ชื่อนักเรียน'!D18)</f>
        <v/>
      </c>
      <c r="D18" s="163"/>
      <c r="E18" s="164"/>
      <c r="F18" s="164"/>
      <c r="G18" s="164"/>
      <c r="H18" s="165"/>
      <c r="I18" s="94" t="str">
        <f>IF('2.ชื่อนักเรียน'!R18="มส","ไม่ผ่าน",IF('2.ชื่อนักเรียน'!R18="ย้าย","ย้าย",IF(COUNT(D18:H18)&lt;COUNTA($D$10:$H$10),"",IF(AVERAGE(D18:H18)&gt;=2.5,"ดีเยี่ยม",IF(AVERAGE(D18:H18)&gt;=1.5,"ดี",IF(AVERAGE(D18:H18)&gt;=1,"ผ่าน","ไม่ผ่าน"))))))</f>
        <v/>
      </c>
    </row>
    <row r="19" spans="1:9" s="90" customFormat="1" ht="16.5" customHeight="1" x14ac:dyDescent="0.25">
      <c r="A19" s="91">
        <v>9</v>
      </c>
      <c r="B19" s="92" t="str">
        <f>IF('2.ชื่อนักเรียน'!C19="","",'2.ชื่อนักเรียน'!C19)</f>
        <v/>
      </c>
      <c r="C19" s="93" t="str">
        <f>IF('2.ชื่อนักเรียน'!D19="","",'2.ชื่อนักเรียน'!D19)</f>
        <v/>
      </c>
      <c r="D19" s="163"/>
      <c r="E19" s="164"/>
      <c r="F19" s="164"/>
      <c r="G19" s="164"/>
      <c r="H19" s="165"/>
      <c r="I19" s="94" t="str">
        <f>IF('2.ชื่อนักเรียน'!R19="มส","ไม่ผ่าน",IF('2.ชื่อนักเรียน'!R19="ย้าย","ย้าย",IF(COUNT(D19:H19)&lt;COUNTA($D$10:$H$10),"",IF(AVERAGE(D19:H19)&gt;=2.5,"ดีเยี่ยม",IF(AVERAGE(D19:H19)&gt;=1.5,"ดี",IF(AVERAGE(D19:H19)&gt;=1,"ผ่าน","ไม่ผ่าน"))))))</f>
        <v/>
      </c>
    </row>
    <row r="20" spans="1:9" s="90" customFormat="1" ht="16.5" customHeight="1" x14ac:dyDescent="0.25">
      <c r="A20" s="91">
        <v>10</v>
      </c>
      <c r="B20" s="92" t="str">
        <f>IF('2.ชื่อนักเรียน'!C20="","",'2.ชื่อนักเรียน'!C20)</f>
        <v/>
      </c>
      <c r="C20" s="93" t="str">
        <f>IF('2.ชื่อนักเรียน'!D20="","",'2.ชื่อนักเรียน'!D20)</f>
        <v/>
      </c>
      <c r="D20" s="163"/>
      <c r="E20" s="164"/>
      <c r="F20" s="164"/>
      <c r="G20" s="164"/>
      <c r="H20" s="165"/>
      <c r="I20" s="94" t="str">
        <f>IF('2.ชื่อนักเรียน'!R20="มส","ไม่ผ่าน",IF('2.ชื่อนักเรียน'!R20="ย้าย","ย้าย",IF(COUNT(D20:H20)&lt;COUNTA($D$10:$H$10),"",IF(AVERAGE(D20:H20)&gt;=2.5,"ดีเยี่ยม",IF(AVERAGE(D20:H20)&gt;=1.5,"ดี",IF(AVERAGE(D20:H20)&gt;=1,"ผ่าน","ไม่ผ่าน"))))))</f>
        <v/>
      </c>
    </row>
    <row r="21" spans="1:9" s="90" customFormat="1" ht="16.5" customHeight="1" x14ac:dyDescent="0.25">
      <c r="A21" s="91">
        <v>11</v>
      </c>
      <c r="B21" s="92" t="str">
        <f>IF('2.ชื่อนักเรียน'!C21="","",'2.ชื่อนักเรียน'!C21)</f>
        <v/>
      </c>
      <c r="C21" s="93" t="str">
        <f>IF('2.ชื่อนักเรียน'!D21="","",'2.ชื่อนักเรียน'!D21)</f>
        <v/>
      </c>
      <c r="D21" s="163"/>
      <c r="E21" s="164"/>
      <c r="F21" s="164"/>
      <c r="G21" s="164"/>
      <c r="H21" s="165"/>
      <c r="I21" s="94" t="str">
        <f>IF('2.ชื่อนักเรียน'!R21="มส","ไม่ผ่าน",IF('2.ชื่อนักเรียน'!R21="ย้าย","ย้าย",IF(COUNT(D21:H21)&lt;COUNTA($D$10:$H$10),"",IF(AVERAGE(D21:H21)&gt;=2.5,"ดีเยี่ยม",IF(AVERAGE(D21:H21)&gt;=1.5,"ดี",IF(AVERAGE(D21:H21)&gt;=1,"ผ่าน","ไม่ผ่าน"))))))</f>
        <v/>
      </c>
    </row>
    <row r="22" spans="1:9" s="90" customFormat="1" ht="16.5" customHeight="1" x14ac:dyDescent="0.25">
      <c r="A22" s="91">
        <v>12</v>
      </c>
      <c r="B22" s="92" t="str">
        <f>IF('2.ชื่อนักเรียน'!C22="","",'2.ชื่อนักเรียน'!C22)</f>
        <v/>
      </c>
      <c r="C22" s="93" t="str">
        <f>IF('2.ชื่อนักเรียน'!D22="","",'2.ชื่อนักเรียน'!D22)</f>
        <v/>
      </c>
      <c r="D22" s="163"/>
      <c r="E22" s="164"/>
      <c r="F22" s="164"/>
      <c r="G22" s="164"/>
      <c r="H22" s="165"/>
      <c r="I22" s="94" t="str">
        <f>IF('2.ชื่อนักเรียน'!R22="มส","ไม่ผ่าน",IF('2.ชื่อนักเรียน'!R22="ย้าย","ย้าย",IF(COUNT(D22:H22)&lt;COUNTA($D$10:$H$10),"",IF(AVERAGE(D22:H22)&gt;=2.5,"ดีเยี่ยม",IF(AVERAGE(D22:H22)&gt;=1.5,"ดี",IF(AVERAGE(D22:H22)&gt;=1,"ผ่าน","ไม่ผ่าน"))))))</f>
        <v/>
      </c>
    </row>
    <row r="23" spans="1:9" s="90" customFormat="1" ht="16.5" customHeight="1" x14ac:dyDescent="0.25">
      <c r="A23" s="91">
        <v>13</v>
      </c>
      <c r="B23" s="92" t="str">
        <f>IF('2.ชื่อนักเรียน'!C23="","",'2.ชื่อนักเรียน'!C23)</f>
        <v/>
      </c>
      <c r="C23" s="93" t="str">
        <f>IF('2.ชื่อนักเรียน'!D23="","",'2.ชื่อนักเรียน'!D23)</f>
        <v/>
      </c>
      <c r="D23" s="163"/>
      <c r="E23" s="164"/>
      <c r="F23" s="164"/>
      <c r="G23" s="164"/>
      <c r="H23" s="165"/>
      <c r="I23" s="94" t="str">
        <f>IF('2.ชื่อนักเรียน'!R23="มส","ไม่ผ่าน",IF('2.ชื่อนักเรียน'!R23="ย้าย","ย้าย",IF(COUNT(D23:H23)&lt;COUNTA($D$10:$H$10),"",IF(AVERAGE(D23:H23)&gt;=2.5,"ดีเยี่ยม",IF(AVERAGE(D23:H23)&gt;=1.5,"ดี",IF(AVERAGE(D23:H23)&gt;=1,"ผ่าน","ไม่ผ่าน"))))))</f>
        <v/>
      </c>
    </row>
    <row r="24" spans="1:9" s="90" customFormat="1" ht="16.5" customHeight="1" x14ac:dyDescent="0.25">
      <c r="A24" s="91">
        <v>14</v>
      </c>
      <c r="B24" s="92" t="str">
        <f>IF('2.ชื่อนักเรียน'!C24="","",'2.ชื่อนักเรียน'!C24)</f>
        <v/>
      </c>
      <c r="C24" s="93" t="str">
        <f>IF('2.ชื่อนักเรียน'!D24="","",'2.ชื่อนักเรียน'!D24)</f>
        <v/>
      </c>
      <c r="D24" s="163"/>
      <c r="E24" s="164"/>
      <c r="F24" s="164"/>
      <c r="G24" s="164"/>
      <c r="H24" s="165"/>
      <c r="I24" s="94" t="str">
        <f>IF('2.ชื่อนักเรียน'!R24="มส","ไม่ผ่าน",IF('2.ชื่อนักเรียน'!R24="ย้าย","ย้าย",IF(COUNT(D24:H24)&lt;COUNTA($D$10:$H$10),"",IF(AVERAGE(D24:H24)&gt;=2.5,"ดีเยี่ยม",IF(AVERAGE(D24:H24)&gt;=1.5,"ดี",IF(AVERAGE(D24:H24)&gt;=1,"ผ่าน","ไม่ผ่าน"))))))</f>
        <v/>
      </c>
    </row>
    <row r="25" spans="1:9" s="90" customFormat="1" ht="16.5" customHeight="1" x14ac:dyDescent="0.25">
      <c r="A25" s="91">
        <v>15</v>
      </c>
      <c r="B25" s="92" t="str">
        <f>IF('2.ชื่อนักเรียน'!C25="","",'2.ชื่อนักเรียน'!C25)</f>
        <v/>
      </c>
      <c r="C25" s="93" t="str">
        <f>IF('2.ชื่อนักเรียน'!D25="","",'2.ชื่อนักเรียน'!D25)</f>
        <v/>
      </c>
      <c r="D25" s="163"/>
      <c r="E25" s="164"/>
      <c r="F25" s="164"/>
      <c r="G25" s="164"/>
      <c r="H25" s="165"/>
      <c r="I25" s="94" t="str">
        <f>IF('2.ชื่อนักเรียน'!R25="มส","ไม่ผ่าน",IF('2.ชื่อนักเรียน'!R25="ย้าย","ย้าย",IF(COUNT(D25:H25)&lt;COUNTA($D$10:$H$10),"",IF(AVERAGE(D25:H25)&gt;=2.5,"ดีเยี่ยม",IF(AVERAGE(D25:H25)&gt;=1.5,"ดี",IF(AVERAGE(D25:H25)&gt;=1,"ผ่าน","ไม่ผ่าน"))))))</f>
        <v/>
      </c>
    </row>
    <row r="26" spans="1:9" s="90" customFormat="1" ht="16.5" customHeight="1" x14ac:dyDescent="0.25">
      <c r="A26" s="91">
        <v>16</v>
      </c>
      <c r="B26" s="92" t="str">
        <f>IF('2.ชื่อนักเรียน'!C26="","",'2.ชื่อนักเรียน'!C26)</f>
        <v/>
      </c>
      <c r="C26" s="93" t="str">
        <f>IF('2.ชื่อนักเรียน'!D26="","",'2.ชื่อนักเรียน'!D26)</f>
        <v/>
      </c>
      <c r="D26" s="163"/>
      <c r="E26" s="164"/>
      <c r="F26" s="164"/>
      <c r="G26" s="164"/>
      <c r="H26" s="165"/>
      <c r="I26" s="94" t="str">
        <f>IF('2.ชื่อนักเรียน'!R26="มส","ไม่ผ่าน",IF('2.ชื่อนักเรียน'!R26="ย้าย","ย้าย",IF(COUNT(D26:H26)&lt;COUNTA($D$10:$H$10),"",IF(AVERAGE(D26:H26)&gt;=2.5,"ดีเยี่ยม",IF(AVERAGE(D26:H26)&gt;=1.5,"ดี",IF(AVERAGE(D26:H26)&gt;=1,"ผ่าน","ไม่ผ่าน"))))))</f>
        <v/>
      </c>
    </row>
    <row r="27" spans="1:9" s="90" customFormat="1" ht="16.5" customHeight="1" x14ac:dyDescent="0.25">
      <c r="A27" s="91">
        <v>17</v>
      </c>
      <c r="B27" s="92" t="str">
        <f>IF('2.ชื่อนักเรียน'!C27="","",'2.ชื่อนักเรียน'!C27)</f>
        <v/>
      </c>
      <c r="C27" s="93" t="str">
        <f>IF('2.ชื่อนักเรียน'!D27="","",'2.ชื่อนักเรียน'!D27)</f>
        <v/>
      </c>
      <c r="D27" s="163"/>
      <c r="E27" s="164"/>
      <c r="F27" s="164"/>
      <c r="G27" s="164"/>
      <c r="H27" s="165"/>
      <c r="I27" s="94" t="str">
        <f>IF('2.ชื่อนักเรียน'!R27="มส","ไม่ผ่าน",IF('2.ชื่อนักเรียน'!R27="ย้าย","ย้าย",IF(COUNT(D27:H27)&lt;COUNTA($D$10:$H$10),"",IF(AVERAGE(D27:H27)&gt;=2.5,"ดีเยี่ยม",IF(AVERAGE(D27:H27)&gt;=1.5,"ดี",IF(AVERAGE(D27:H27)&gt;=1,"ผ่าน","ไม่ผ่าน"))))))</f>
        <v/>
      </c>
    </row>
    <row r="28" spans="1:9" s="90" customFormat="1" ht="16.5" customHeight="1" x14ac:dyDescent="0.25">
      <c r="A28" s="91">
        <v>18</v>
      </c>
      <c r="B28" s="92" t="str">
        <f>IF('2.ชื่อนักเรียน'!C28="","",'2.ชื่อนักเรียน'!C28)</f>
        <v/>
      </c>
      <c r="C28" s="93" t="str">
        <f>IF('2.ชื่อนักเรียน'!D28="","",'2.ชื่อนักเรียน'!D28)</f>
        <v/>
      </c>
      <c r="D28" s="163"/>
      <c r="E28" s="164"/>
      <c r="F28" s="164"/>
      <c r="G28" s="164"/>
      <c r="H28" s="165"/>
      <c r="I28" s="94" t="str">
        <f>IF('2.ชื่อนักเรียน'!R28="มส","ไม่ผ่าน",IF('2.ชื่อนักเรียน'!R28="ย้าย","ย้าย",IF(COUNT(D28:H28)&lt;COUNTA($D$10:$H$10),"",IF(AVERAGE(D28:H28)&gt;=2.5,"ดีเยี่ยม",IF(AVERAGE(D28:H28)&gt;=1.5,"ดี",IF(AVERAGE(D28:H28)&gt;=1,"ผ่าน","ไม่ผ่าน"))))))</f>
        <v/>
      </c>
    </row>
    <row r="29" spans="1:9" s="90" customFormat="1" ht="16.5" customHeight="1" x14ac:dyDescent="0.25">
      <c r="A29" s="91">
        <v>19</v>
      </c>
      <c r="B29" s="92" t="str">
        <f>IF('2.ชื่อนักเรียน'!C29="","",'2.ชื่อนักเรียน'!C29)</f>
        <v/>
      </c>
      <c r="C29" s="93" t="str">
        <f>IF('2.ชื่อนักเรียน'!D29="","",'2.ชื่อนักเรียน'!D29)</f>
        <v/>
      </c>
      <c r="D29" s="163"/>
      <c r="E29" s="164"/>
      <c r="F29" s="164"/>
      <c r="G29" s="164"/>
      <c r="H29" s="165"/>
      <c r="I29" s="94" t="str">
        <f>IF('2.ชื่อนักเรียน'!R29="มส","ไม่ผ่าน",IF('2.ชื่อนักเรียน'!R29="ย้าย","ย้าย",IF(COUNT(D29:H29)&lt;COUNTA($D$10:$H$10),"",IF(AVERAGE(D29:H29)&gt;=2.5,"ดีเยี่ยม",IF(AVERAGE(D29:H29)&gt;=1.5,"ดี",IF(AVERAGE(D29:H29)&gt;=1,"ผ่าน","ไม่ผ่าน"))))))</f>
        <v/>
      </c>
    </row>
    <row r="30" spans="1:9" s="90" customFormat="1" ht="16.5" customHeight="1" x14ac:dyDescent="0.25">
      <c r="A30" s="91">
        <v>20</v>
      </c>
      <c r="B30" s="92" t="str">
        <f>IF('2.ชื่อนักเรียน'!C30="","",'2.ชื่อนักเรียน'!C30)</f>
        <v/>
      </c>
      <c r="C30" s="93" t="str">
        <f>IF('2.ชื่อนักเรียน'!D30="","",'2.ชื่อนักเรียน'!D30)</f>
        <v/>
      </c>
      <c r="D30" s="163"/>
      <c r="E30" s="164"/>
      <c r="F30" s="164"/>
      <c r="G30" s="164"/>
      <c r="H30" s="165"/>
      <c r="I30" s="94" t="str">
        <f>IF('2.ชื่อนักเรียน'!R30="มส","ไม่ผ่าน",IF('2.ชื่อนักเรียน'!R30="ย้าย","ย้าย",IF(COUNT(D30:H30)&lt;COUNTA($D$10:$H$10),"",IF(AVERAGE(D30:H30)&gt;=2.5,"ดีเยี่ยม",IF(AVERAGE(D30:H30)&gt;=1.5,"ดี",IF(AVERAGE(D30:H30)&gt;=1,"ผ่าน","ไม่ผ่าน"))))))</f>
        <v/>
      </c>
    </row>
    <row r="31" spans="1:9" s="90" customFormat="1" ht="16.5" customHeight="1" x14ac:dyDescent="0.25">
      <c r="A31" s="91">
        <v>21</v>
      </c>
      <c r="B31" s="92" t="str">
        <f>IF('2.ชื่อนักเรียน'!C31="","",'2.ชื่อนักเรียน'!C31)</f>
        <v/>
      </c>
      <c r="C31" s="93" t="str">
        <f>IF('2.ชื่อนักเรียน'!D31="","",'2.ชื่อนักเรียน'!D31)</f>
        <v/>
      </c>
      <c r="D31" s="163"/>
      <c r="E31" s="164"/>
      <c r="F31" s="164"/>
      <c r="G31" s="164"/>
      <c r="H31" s="165"/>
      <c r="I31" s="94" t="str">
        <f>IF('2.ชื่อนักเรียน'!R31="มส","ไม่ผ่าน",IF('2.ชื่อนักเรียน'!R31="ย้าย","ย้าย",IF(COUNT(D31:H31)&lt;COUNTA($D$10:$H$10),"",IF(AVERAGE(D31:H31)&gt;=2.5,"ดีเยี่ยม",IF(AVERAGE(D31:H31)&gt;=1.5,"ดี",IF(AVERAGE(D31:H31)&gt;=1,"ผ่าน","ไม่ผ่าน"))))))</f>
        <v/>
      </c>
    </row>
    <row r="32" spans="1:9" s="90" customFormat="1" ht="16.5" customHeight="1" x14ac:dyDescent="0.25">
      <c r="A32" s="91">
        <v>22</v>
      </c>
      <c r="B32" s="92" t="str">
        <f>IF('2.ชื่อนักเรียน'!C32="","",'2.ชื่อนักเรียน'!C32)</f>
        <v/>
      </c>
      <c r="C32" s="95" t="str">
        <f>IF('2.ชื่อนักเรียน'!D32="","",'2.ชื่อนักเรียน'!D32)</f>
        <v/>
      </c>
      <c r="D32" s="163"/>
      <c r="E32" s="164"/>
      <c r="F32" s="164"/>
      <c r="G32" s="164"/>
      <c r="H32" s="165"/>
      <c r="I32" s="94" t="str">
        <f>IF('2.ชื่อนักเรียน'!R32="มส","ไม่ผ่าน",IF('2.ชื่อนักเรียน'!R32="ย้าย","ย้าย",IF(COUNT(D32:H32)&lt;COUNTA($D$10:$H$10),"",IF(AVERAGE(D32:H32)&gt;=2.5,"ดีเยี่ยม",IF(AVERAGE(D32:H32)&gt;=1.5,"ดี",IF(AVERAGE(D32:H32)&gt;=1,"ผ่าน","ไม่ผ่าน"))))))</f>
        <v/>
      </c>
    </row>
    <row r="33" spans="1:9" s="90" customFormat="1" ht="16.5" customHeight="1" x14ac:dyDescent="0.25">
      <c r="A33" s="91">
        <v>23</v>
      </c>
      <c r="B33" s="92" t="str">
        <f>IF('2.ชื่อนักเรียน'!C33="","",'2.ชื่อนักเรียน'!C33)</f>
        <v/>
      </c>
      <c r="C33" s="93" t="str">
        <f>IF('2.ชื่อนักเรียน'!D33="","",'2.ชื่อนักเรียน'!D33)</f>
        <v/>
      </c>
      <c r="D33" s="163"/>
      <c r="E33" s="164"/>
      <c r="F33" s="164"/>
      <c r="G33" s="164"/>
      <c r="H33" s="165"/>
      <c r="I33" s="94" t="str">
        <f>IF('2.ชื่อนักเรียน'!R33="มส","ไม่ผ่าน",IF('2.ชื่อนักเรียน'!R33="ย้าย","ย้าย",IF(COUNT(D33:H33)&lt;COUNTA($D$10:$H$10),"",IF(AVERAGE(D33:H33)&gt;=2.5,"ดีเยี่ยม",IF(AVERAGE(D33:H33)&gt;=1.5,"ดี",IF(AVERAGE(D33:H33)&gt;=1,"ผ่าน","ไม่ผ่าน"))))))</f>
        <v/>
      </c>
    </row>
    <row r="34" spans="1:9" s="90" customFormat="1" ht="16.5" customHeight="1" x14ac:dyDescent="0.25">
      <c r="A34" s="91">
        <v>24</v>
      </c>
      <c r="B34" s="92" t="str">
        <f>IF('2.ชื่อนักเรียน'!C34="","",'2.ชื่อนักเรียน'!C34)</f>
        <v/>
      </c>
      <c r="C34" s="93" t="str">
        <f>IF('2.ชื่อนักเรียน'!D34="","",'2.ชื่อนักเรียน'!D34)</f>
        <v/>
      </c>
      <c r="D34" s="163"/>
      <c r="E34" s="164"/>
      <c r="F34" s="164"/>
      <c r="G34" s="164"/>
      <c r="H34" s="165"/>
      <c r="I34" s="94" t="str">
        <f>IF('2.ชื่อนักเรียน'!R34="มส","ไม่ผ่าน",IF('2.ชื่อนักเรียน'!R34="ย้าย","ย้าย",IF(COUNT(D34:H34)&lt;COUNTA($D$10:$H$10),"",IF(AVERAGE(D34:H34)&gt;=2.5,"ดีเยี่ยม",IF(AVERAGE(D34:H34)&gt;=1.5,"ดี",IF(AVERAGE(D34:H34)&gt;=1,"ผ่าน","ไม่ผ่าน"))))))</f>
        <v/>
      </c>
    </row>
    <row r="35" spans="1:9" s="90" customFormat="1" ht="16.5" customHeight="1" x14ac:dyDescent="0.25">
      <c r="A35" s="91">
        <v>25</v>
      </c>
      <c r="B35" s="92" t="str">
        <f>IF('2.ชื่อนักเรียน'!C35="","",'2.ชื่อนักเรียน'!C35)</f>
        <v/>
      </c>
      <c r="C35" s="93" t="str">
        <f>IF('2.ชื่อนักเรียน'!D35="","",'2.ชื่อนักเรียน'!D35)</f>
        <v/>
      </c>
      <c r="D35" s="163"/>
      <c r="E35" s="164"/>
      <c r="F35" s="164"/>
      <c r="G35" s="164"/>
      <c r="H35" s="165"/>
      <c r="I35" s="94" t="str">
        <f>IF('2.ชื่อนักเรียน'!R35="มส","ไม่ผ่าน",IF('2.ชื่อนักเรียน'!R35="ย้าย","ย้าย",IF(COUNT(D35:H35)&lt;COUNTA($D$10:$H$10),"",IF(AVERAGE(D35:H35)&gt;=2.5,"ดีเยี่ยม",IF(AVERAGE(D35:H35)&gt;=1.5,"ดี",IF(AVERAGE(D35:H35)&gt;=1,"ผ่าน","ไม่ผ่าน"))))))</f>
        <v/>
      </c>
    </row>
    <row r="36" spans="1:9" s="90" customFormat="1" ht="16.5" customHeight="1" x14ac:dyDescent="0.25">
      <c r="A36" s="91">
        <v>26</v>
      </c>
      <c r="B36" s="92" t="str">
        <f>IF('2.ชื่อนักเรียน'!C36="","",'2.ชื่อนักเรียน'!C36)</f>
        <v/>
      </c>
      <c r="C36" s="93" t="str">
        <f>IF('2.ชื่อนักเรียน'!D36="","",'2.ชื่อนักเรียน'!D36)</f>
        <v/>
      </c>
      <c r="D36" s="163"/>
      <c r="E36" s="164"/>
      <c r="F36" s="164"/>
      <c r="G36" s="164"/>
      <c r="H36" s="165"/>
      <c r="I36" s="94" t="str">
        <f>IF('2.ชื่อนักเรียน'!R36="มส","ไม่ผ่าน",IF('2.ชื่อนักเรียน'!R36="ย้าย","ย้าย",IF(COUNT(D36:H36)&lt;COUNTA($D$10:$H$10),"",IF(AVERAGE(D36:H36)&gt;=2.5,"ดีเยี่ยม",IF(AVERAGE(D36:H36)&gt;=1.5,"ดี",IF(AVERAGE(D36:H36)&gt;=1,"ผ่าน","ไม่ผ่าน"))))))</f>
        <v/>
      </c>
    </row>
    <row r="37" spans="1:9" s="90" customFormat="1" ht="16.5" customHeight="1" x14ac:dyDescent="0.25">
      <c r="A37" s="91">
        <v>27</v>
      </c>
      <c r="B37" s="92" t="str">
        <f>IF('2.ชื่อนักเรียน'!C37="","",'2.ชื่อนักเรียน'!C37)</f>
        <v/>
      </c>
      <c r="C37" s="93" t="str">
        <f>IF('2.ชื่อนักเรียน'!D37="","",'2.ชื่อนักเรียน'!D37)</f>
        <v/>
      </c>
      <c r="D37" s="163"/>
      <c r="E37" s="164"/>
      <c r="F37" s="164"/>
      <c r="G37" s="164"/>
      <c r="H37" s="165"/>
      <c r="I37" s="94" t="str">
        <f>IF('2.ชื่อนักเรียน'!R37="มส","ไม่ผ่าน",IF('2.ชื่อนักเรียน'!R37="ย้าย","ย้าย",IF(COUNT(D37:H37)&lt;COUNTA($D$10:$H$10),"",IF(AVERAGE(D37:H37)&gt;=2.5,"ดีเยี่ยม",IF(AVERAGE(D37:H37)&gt;=1.5,"ดี",IF(AVERAGE(D37:H37)&gt;=1,"ผ่าน","ไม่ผ่าน"))))))</f>
        <v/>
      </c>
    </row>
    <row r="38" spans="1:9" s="90" customFormat="1" ht="16.5" customHeight="1" x14ac:dyDescent="0.25">
      <c r="A38" s="91">
        <v>28</v>
      </c>
      <c r="B38" s="92" t="str">
        <f>IF('2.ชื่อนักเรียน'!C38="","",'2.ชื่อนักเรียน'!C38)</f>
        <v/>
      </c>
      <c r="C38" s="93" t="str">
        <f>IF('2.ชื่อนักเรียน'!D38="","",'2.ชื่อนักเรียน'!D38)</f>
        <v/>
      </c>
      <c r="D38" s="163"/>
      <c r="E38" s="164"/>
      <c r="F38" s="164"/>
      <c r="G38" s="164"/>
      <c r="H38" s="165"/>
      <c r="I38" s="94" t="str">
        <f>IF('2.ชื่อนักเรียน'!R38="มส","ไม่ผ่าน",IF('2.ชื่อนักเรียน'!R38="ย้าย","ย้าย",IF(COUNT(D38:H38)&lt;COUNTA($D$10:$H$10),"",IF(AVERAGE(D38:H38)&gt;=2.5,"ดีเยี่ยม",IF(AVERAGE(D38:H38)&gt;=1.5,"ดี",IF(AVERAGE(D38:H38)&gt;=1,"ผ่าน","ไม่ผ่าน"))))))</f>
        <v/>
      </c>
    </row>
    <row r="39" spans="1:9" s="90" customFormat="1" ht="16.5" customHeight="1" x14ac:dyDescent="0.25">
      <c r="A39" s="91">
        <v>29</v>
      </c>
      <c r="B39" s="92" t="str">
        <f>IF('2.ชื่อนักเรียน'!C39="","",'2.ชื่อนักเรียน'!C39)</f>
        <v/>
      </c>
      <c r="C39" s="93" t="str">
        <f>IF('2.ชื่อนักเรียน'!D39="","",'2.ชื่อนักเรียน'!D39)</f>
        <v/>
      </c>
      <c r="D39" s="163"/>
      <c r="E39" s="164"/>
      <c r="F39" s="164"/>
      <c r="G39" s="164"/>
      <c r="H39" s="165"/>
      <c r="I39" s="94" t="str">
        <f>IF('2.ชื่อนักเรียน'!R39="มส","ไม่ผ่าน",IF('2.ชื่อนักเรียน'!R39="ย้าย","ย้าย",IF(COUNT(D39:H39)&lt;COUNTA($D$10:$H$10),"",IF(AVERAGE(D39:H39)&gt;=2.5,"ดีเยี่ยม",IF(AVERAGE(D39:H39)&gt;=1.5,"ดี",IF(AVERAGE(D39:H39)&gt;=1,"ผ่าน","ไม่ผ่าน"))))))</f>
        <v/>
      </c>
    </row>
    <row r="40" spans="1:9" s="90" customFormat="1" ht="16.5" customHeight="1" x14ac:dyDescent="0.25">
      <c r="A40" s="91">
        <v>30</v>
      </c>
      <c r="B40" s="92" t="str">
        <f>IF('2.ชื่อนักเรียน'!C40="","",'2.ชื่อนักเรียน'!C40)</f>
        <v/>
      </c>
      <c r="C40" s="93" t="str">
        <f>IF('2.ชื่อนักเรียน'!D40="","",'2.ชื่อนักเรียน'!D40)</f>
        <v/>
      </c>
      <c r="D40" s="163"/>
      <c r="E40" s="164"/>
      <c r="F40" s="164"/>
      <c r="G40" s="164"/>
      <c r="H40" s="165"/>
      <c r="I40" s="94" t="str">
        <f>IF('2.ชื่อนักเรียน'!R40="มส","ไม่ผ่าน",IF('2.ชื่อนักเรียน'!R40="ย้าย","ย้าย",IF(COUNT(D40:H40)&lt;COUNTA($D$10:$H$10),"",IF(AVERAGE(D40:H40)&gt;=2.5,"ดีเยี่ยม",IF(AVERAGE(D40:H40)&gt;=1.5,"ดี",IF(AVERAGE(D40:H40)&gt;=1,"ผ่าน","ไม่ผ่าน"))))))</f>
        <v/>
      </c>
    </row>
    <row r="41" spans="1:9" s="90" customFormat="1" ht="16.5" customHeight="1" x14ac:dyDescent="0.25">
      <c r="A41" s="91">
        <v>31</v>
      </c>
      <c r="B41" s="92" t="str">
        <f>IF('2.ชื่อนักเรียน'!C41="","",'2.ชื่อนักเรียน'!C41)</f>
        <v/>
      </c>
      <c r="C41" s="93" t="str">
        <f>IF('2.ชื่อนักเรียน'!D41="","",'2.ชื่อนักเรียน'!D41)</f>
        <v/>
      </c>
      <c r="D41" s="163"/>
      <c r="E41" s="164"/>
      <c r="F41" s="164"/>
      <c r="G41" s="164"/>
      <c r="H41" s="165"/>
      <c r="I41" s="94" t="str">
        <f>IF('2.ชื่อนักเรียน'!R41="มส","ไม่ผ่าน",IF('2.ชื่อนักเรียน'!R41="ย้าย","ย้าย",IF(COUNT(D41:H41)&lt;COUNTA($D$10:$H$10),"",IF(AVERAGE(D41:H41)&gt;=2.5,"ดีเยี่ยม",IF(AVERAGE(D41:H41)&gt;=1.5,"ดี",IF(AVERAGE(D41:H41)&gt;=1,"ผ่าน","ไม่ผ่าน"))))))</f>
        <v/>
      </c>
    </row>
    <row r="42" spans="1:9" s="90" customFormat="1" ht="16.5" customHeight="1" x14ac:dyDescent="0.25">
      <c r="A42" s="91">
        <v>32</v>
      </c>
      <c r="B42" s="92" t="str">
        <f>IF('2.ชื่อนักเรียน'!C42="","",'2.ชื่อนักเรียน'!C42)</f>
        <v/>
      </c>
      <c r="C42" s="93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5"/>
      <c r="I42" s="94" t="str">
        <f>IF('2.ชื่อนักเรียน'!R42="มส","ไม่ผ่าน",IF('2.ชื่อนักเรียน'!R42="ย้าย","ย้าย",IF(COUNT(D42:H42)&lt;COUNTA($D$10:$H$10),"",IF(AVERAGE(D42:H42)&gt;=2.5,"ดีเยี่ยม",IF(AVERAGE(D42:H42)&gt;=1.5,"ดี",IF(AVERAGE(D42:H42)&gt;=1,"ผ่าน","ไม่ผ่าน"))))))</f>
        <v/>
      </c>
    </row>
    <row r="43" spans="1:9" s="90" customFormat="1" ht="16.5" customHeight="1" x14ac:dyDescent="0.25">
      <c r="A43" s="91">
        <v>33</v>
      </c>
      <c r="B43" s="92" t="str">
        <f>IF('2.ชื่อนักเรียน'!C43="","",'2.ชื่อนักเรียน'!C43)</f>
        <v/>
      </c>
      <c r="C43" s="93" t="str">
        <f>IF('2.ชื่อนักเรียน'!D43="","",'2.ชื่อนักเรียน'!D43)</f>
        <v/>
      </c>
      <c r="D43" s="163"/>
      <c r="E43" s="164"/>
      <c r="F43" s="164"/>
      <c r="G43" s="164"/>
      <c r="H43" s="165"/>
      <c r="I43" s="94" t="str">
        <f>IF('2.ชื่อนักเรียน'!R43="มส","ไม่ผ่าน",IF('2.ชื่อนักเรียน'!R43="ย้าย","ย้าย",IF(COUNT(D43:H43)&lt;COUNTA($D$10:$H$10),"",IF(AVERAGE(D43:H43)&gt;=2.5,"ดีเยี่ยม",IF(AVERAGE(D43:H43)&gt;=1.5,"ดี",IF(AVERAGE(D43:H43)&gt;=1,"ผ่าน","ไม่ผ่าน"))))))</f>
        <v/>
      </c>
    </row>
    <row r="44" spans="1:9" s="90" customFormat="1" ht="16.5" customHeight="1" x14ac:dyDescent="0.25">
      <c r="A44" s="91">
        <v>34</v>
      </c>
      <c r="B44" s="92" t="str">
        <f>IF('2.ชื่อนักเรียน'!C44="","",'2.ชื่อนักเรียน'!C44)</f>
        <v/>
      </c>
      <c r="C44" s="93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5"/>
      <c r="I44" s="94" t="str">
        <f>IF('2.ชื่อนักเรียน'!R44="มส","ไม่ผ่าน",IF('2.ชื่อนักเรียน'!R44="ย้าย","ย้าย",IF(COUNT(D44:H44)&lt;COUNTA($D$10:$H$10),"",IF(AVERAGE(D44:H44)&gt;=2.5,"ดีเยี่ยม",IF(AVERAGE(D44:H44)&gt;=1.5,"ดี",IF(AVERAGE(D44:H44)&gt;=1,"ผ่าน","ไม่ผ่าน"))))))</f>
        <v/>
      </c>
    </row>
    <row r="45" spans="1:9" s="90" customFormat="1" ht="16.5" customHeight="1" x14ac:dyDescent="0.25">
      <c r="A45" s="91">
        <v>35</v>
      </c>
      <c r="B45" s="92" t="str">
        <f>IF('2.ชื่อนักเรียน'!C45="","",'2.ชื่อนักเรียน'!C45)</f>
        <v/>
      </c>
      <c r="C45" s="93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5"/>
      <c r="I45" s="94" t="str">
        <f>IF('2.ชื่อนักเรียน'!R45="มส","ไม่ผ่าน",IF('2.ชื่อนักเรียน'!R45="ย้าย","ย้าย",IF(COUNT(D45:H45)&lt;COUNTA($D$10:$H$10),"",IF(AVERAGE(D45:H45)&gt;=2.5,"ดีเยี่ยม",IF(AVERAGE(D45:H45)&gt;=1.5,"ดี",IF(AVERAGE(D45:H45)&gt;=1,"ผ่าน","ไม่ผ่าน"))))))</f>
        <v/>
      </c>
    </row>
    <row r="46" spans="1:9" s="90" customFormat="1" ht="16.5" customHeight="1" x14ac:dyDescent="0.25">
      <c r="A46" s="91">
        <v>36</v>
      </c>
      <c r="B46" s="92" t="str">
        <f>IF('2.ชื่อนักเรียน'!C46="","",'2.ชื่อนักเรียน'!C46)</f>
        <v/>
      </c>
      <c r="C46" s="93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5"/>
      <c r="I46" s="94" t="str">
        <f>IF('2.ชื่อนักเรียน'!R46="มส","ไม่ผ่าน",IF('2.ชื่อนักเรียน'!R46="ย้าย","ย้าย",IF(COUNT(D46:H46)&lt;COUNTA($D$10:$H$10),"",IF(AVERAGE(D46:H46)&gt;=2.5,"ดีเยี่ยม",IF(AVERAGE(D46:H46)&gt;=1.5,"ดี",IF(AVERAGE(D46:H46)&gt;=1,"ผ่าน","ไม่ผ่าน"))))))</f>
        <v/>
      </c>
    </row>
    <row r="47" spans="1:9" s="90" customFormat="1" ht="16.5" customHeight="1" x14ac:dyDescent="0.25">
      <c r="A47" s="91">
        <v>37</v>
      </c>
      <c r="B47" s="92" t="str">
        <f>IF('2.ชื่อนักเรียน'!C47="","",'2.ชื่อนักเรียน'!C47)</f>
        <v/>
      </c>
      <c r="C47" s="93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5"/>
      <c r="I47" s="94" t="str">
        <f>IF('2.ชื่อนักเรียน'!R47="มส","ไม่ผ่าน",IF('2.ชื่อนักเรียน'!R47="ย้าย","ย้าย",IF(COUNT(D47:H47)&lt;COUNTA($D$10:$H$10),"",IF(AVERAGE(D47:H47)&gt;=2.5,"ดีเยี่ยม",IF(AVERAGE(D47:H47)&gt;=1.5,"ดี",IF(AVERAGE(D47:H47)&gt;=1,"ผ่าน","ไม่ผ่าน"))))))</f>
        <v/>
      </c>
    </row>
    <row r="48" spans="1:9" s="90" customFormat="1" ht="16.5" customHeight="1" x14ac:dyDescent="0.25">
      <c r="A48" s="91">
        <v>38</v>
      </c>
      <c r="B48" s="92" t="str">
        <f>IF('2.ชื่อนักเรียน'!C48="","",'2.ชื่อนักเรียน'!C48)</f>
        <v/>
      </c>
      <c r="C48" s="93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5"/>
      <c r="I48" s="94" t="str">
        <f>IF('2.ชื่อนักเรียน'!R48="มส","ไม่ผ่าน",IF('2.ชื่อนักเรียน'!R48="ย้าย","ย้าย",IF(COUNT(D48:H48)&lt;COUNTA($D$10:$H$10),"",IF(AVERAGE(D48:H48)&gt;=2.5,"ดีเยี่ยม",IF(AVERAGE(D48:H48)&gt;=1.5,"ดี",IF(AVERAGE(D48:H48)&gt;=1,"ผ่าน","ไม่ผ่าน"))))))</f>
        <v/>
      </c>
    </row>
    <row r="49" spans="1:9" s="90" customFormat="1" ht="16.5" customHeight="1" x14ac:dyDescent="0.25">
      <c r="A49" s="91">
        <v>39</v>
      </c>
      <c r="B49" s="92" t="str">
        <f>IF('2.ชื่อนักเรียน'!C49="","",'2.ชื่อนักเรียน'!C49)</f>
        <v/>
      </c>
      <c r="C49" s="93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5"/>
      <c r="I49" s="94" t="str">
        <f>IF('2.ชื่อนักเรียน'!R49="มส","ไม่ผ่าน",IF('2.ชื่อนักเรียน'!R49="ย้าย","ย้าย",IF(COUNT(D49:H49)&lt;COUNTA($D$10:$H$10),"",IF(AVERAGE(D49:H49)&gt;=2.5,"ดีเยี่ยม",IF(AVERAGE(D49:H49)&gt;=1.5,"ดี",IF(AVERAGE(D49:H49)&gt;=1,"ผ่าน","ไม่ผ่าน"))))))</f>
        <v/>
      </c>
    </row>
    <row r="50" spans="1:9" s="90" customFormat="1" ht="16.5" customHeight="1" x14ac:dyDescent="0.25">
      <c r="A50" s="91">
        <v>40</v>
      </c>
      <c r="B50" s="92" t="str">
        <f>IF('2.ชื่อนักเรียน'!C50="","",'2.ชื่อนักเรียน'!C50)</f>
        <v/>
      </c>
      <c r="C50" s="93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5"/>
      <c r="I50" s="94" t="str">
        <f>IF('2.ชื่อนักเรียน'!R50="มส","ไม่ผ่าน",IF('2.ชื่อนักเรียน'!R50="ย้าย","ย้าย",IF(COUNT(D50:H50)&lt;COUNTA($D$10:$H$10),"",IF(AVERAGE(D50:H50)&gt;=2.5,"ดีเยี่ยม",IF(AVERAGE(D50:H50)&gt;=1.5,"ดี",IF(AVERAGE(D50:H50)&gt;=1,"ผ่าน","ไม่ผ่าน"))))))</f>
        <v/>
      </c>
    </row>
    <row r="51" spans="1:9" s="90" customFormat="1" ht="16.5" customHeight="1" x14ac:dyDescent="0.25">
      <c r="A51" s="91">
        <v>41</v>
      </c>
      <c r="B51" s="92" t="str">
        <f>IF('2.ชื่อนักเรียน'!C51="","",'2.ชื่อนักเรียน'!C51)</f>
        <v/>
      </c>
      <c r="C51" s="93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5"/>
      <c r="I51" s="94" t="str">
        <f>IF('2.ชื่อนักเรียน'!R51="มส","ไม่ผ่าน",IF('2.ชื่อนักเรียน'!R51="ย้าย","ย้าย",IF(COUNT(D51:H51)&lt;COUNTA($D$10:$H$10),"",IF(AVERAGE(D51:H51)&gt;=2.5,"ดีเยี่ยม",IF(AVERAGE(D51:H51)&gt;=1.5,"ดี",IF(AVERAGE(D51:H51)&gt;=1,"ผ่าน","ไม่ผ่าน"))))))</f>
        <v/>
      </c>
    </row>
    <row r="52" spans="1:9" s="90" customFormat="1" ht="16.5" customHeight="1" x14ac:dyDescent="0.25">
      <c r="A52" s="91">
        <v>42</v>
      </c>
      <c r="B52" s="92" t="str">
        <f>IF('2.ชื่อนักเรียน'!C52="","",'2.ชื่อนักเรียน'!C52)</f>
        <v/>
      </c>
      <c r="C52" s="93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5"/>
      <c r="I52" s="94" t="str">
        <f>IF('2.ชื่อนักเรียน'!R52="มส","ไม่ผ่าน",IF('2.ชื่อนักเรียน'!R52="ย้าย","ย้าย",IF(COUNT(D52:H52)&lt;COUNTA($D$10:$H$10),"",IF(AVERAGE(D52:H52)&gt;=2.5,"ดีเยี่ยม",IF(AVERAGE(D52:H52)&gt;=1.5,"ดี",IF(AVERAGE(D52:H52)&gt;=1,"ผ่าน","ไม่ผ่าน"))))))</f>
        <v/>
      </c>
    </row>
    <row r="53" spans="1:9" s="90" customFormat="1" ht="16.5" customHeight="1" x14ac:dyDescent="0.25">
      <c r="A53" s="91">
        <v>43</v>
      </c>
      <c r="B53" s="92" t="str">
        <f>IF('2.ชื่อนักเรียน'!C53="","",'2.ชื่อนักเรียน'!C53)</f>
        <v/>
      </c>
      <c r="C53" s="93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5"/>
      <c r="I53" s="94" t="str">
        <f>IF('2.ชื่อนักเรียน'!R53="มส","ไม่ผ่าน",IF('2.ชื่อนักเรียน'!R53="ย้าย","ย้าย",IF(COUNT(D53:H53)&lt;COUNTA($D$10:$H$10),"",IF(AVERAGE(D53:H53)&gt;=2.5,"ดีเยี่ยม",IF(AVERAGE(D53:H53)&gt;=1.5,"ดี",IF(AVERAGE(D53:H53)&gt;=1,"ผ่าน","ไม่ผ่าน"))))))</f>
        <v/>
      </c>
    </row>
    <row r="54" spans="1:9" s="90" customFormat="1" ht="16.5" customHeight="1" x14ac:dyDescent="0.25">
      <c r="A54" s="91">
        <v>44</v>
      </c>
      <c r="B54" s="92" t="str">
        <f>IF('2.ชื่อนักเรียน'!C54="","",'2.ชื่อนักเรียน'!C54)</f>
        <v/>
      </c>
      <c r="C54" s="93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5"/>
      <c r="I54" s="94" t="str">
        <f>IF('2.ชื่อนักเรียน'!R54="มส","ไม่ผ่าน",IF('2.ชื่อนักเรียน'!R54="ย้าย","ย้าย",IF(COUNT(D54:H54)&lt;COUNTA($D$10:$H$10),"",IF(AVERAGE(D54:H54)&gt;=2.5,"ดีเยี่ยม",IF(AVERAGE(D54:H54)&gt;=1.5,"ดี",IF(AVERAGE(D54:H54)&gt;=1,"ผ่าน","ไม่ผ่าน"))))))</f>
        <v/>
      </c>
    </row>
    <row r="55" spans="1:9" s="90" customFormat="1" ht="16.5" customHeight="1" x14ac:dyDescent="0.25">
      <c r="A55" s="91">
        <v>45</v>
      </c>
      <c r="B55" s="92" t="str">
        <f>IF('2.ชื่อนักเรียน'!C55="","",'2.ชื่อนักเรียน'!C55)</f>
        <v/>
      </c>
      <c r="C55" s="93" t="str">
        <f>IF('2.ชื่อนักเรียน'!D55="","",'2.ชื่อนักเรียน'!D55)</f>
        <v/>
      </c>
      <c r="D55" s="163"/>
      <c r="E55" s="164"/>
      <c r="F55" s="164"/>
      <c r="G55" s="164" t="s">
        <v>50</v>
      </c>
      <c r="H55" s="165"/>
      <c r="I55" s="94" t="str">
        <f>IF('2.ชื่อนักเรียน'!R55="มส","ไม่ผ่าน",IF('2.ชื่อนักเรียน'!R55="ย้าย","ย้าย",IF(COUNT(D55:H55)&lt;COUNTA($D$10:$H$10),"",IF(AVERAGE(D55:H55)&gt;=2.5,"ดีเยี่ยม",IF(AVERAGE(D55:H55)&gt;=1.5,"ดี",IF(AVERAGE(D55:H55)&gt;=1,"ผ่าน","ไม่ผ่าน"))))))</f>
        <v/>
      </c>
    </row>
    <row r="56" spans="1:9" s="98" customFormat="1" ht="9.75" customHeight="1" x14ac:dyDescent="0.25">
      <c r="A56" s="96"/>
      <c r="B56" s="97"/>
      <c r="C56" s="97"/>
      <c r="D56" s="96"/>
      <c r="E56" s="96"/>
      <c r="F56" s="96"/>
      <c r="G56" s="96"/>
      <c r="H56" s="96"/>
    </row>
    <row r="57" spans="1:9" s="100" customFormat="1" ht="16.5" customHeight="1" x14ac:dyDescent="0.25">
      <c r="A57" s="96"/>
      <c r="B57" s="99"/>
      <c r="C57" s="99"/>
      <c r="D57" s="96"/>
      <c r="E57" s="96"/>
    </row>
    <row r="58" spans="1:9" s="100" customFormat="1" ht="16.5" customHeight="1" x14ac:dyDescent="0.25">
      <c r="A58" s="96"/>
      <c r="B58" s="99"/>
      <c r="C58" s="99"/>
      <c r="D58" s="96"/>
      <c r="E58" s="96"/>
    </row>
    <row r="59" spans="1:9" s="100" customFormat="1" ht="16.5" customHeight="1" x14ac:dyDescent="0.25">
      <c r="A59" s="96"/>
      <c r="B59" s="99"/>
      <c r="C59" s="99"/>
      <c r="D59" s="96"/>
      <c r="E59" s="96"/>
    </row>
    <row r="60" spans="1:9" ht="16.5" customHeight="1" x14ac:dyDescent="0.4">
      <c r="A60" s="96"/>
      <c r="B60" s="99"/>
      <c r="C60" s="99"/>
      <c r="D60" s="101"/>
      <c r="E60" s="101"/>
    </row>
    <row r="61" spans="1:9" ht="16.5" customHeight="1" x14ac:dyDescent="0.4">
      <c r="A61" s="96"/>
      <c r="B61" s="99"/>
      <c r="C61" s="99"/>
      <c r="D61" s="101"/>
      <c r="E61" s="101"/>
    </row>
    <row r="62" spans="1:9" ht="12.75" customHeight="1" x14ac:dyDescent="0.4">
      <c r="A62" s="96"/>
      <c r="B62" s="99"/>
      <c r="C62" s="99"/>
      <c r="D62" s="96"/>
      <c r="E62" s="96"/>
    </row>
  </sheetData>
  <sheetProtection algorithmName="SHA-512" hashValue="jh+VquQ+j9Z2nXbftHiioBD8ee1usVeiCk2GJU40nodMtiJ2zifPOSkKceELNGlBMG2ReRv6ky9z3TcF3UR2RQ==" saltValue="RU1O/IYR7z/0p+5OwqfcVQ==" spinCount="100000" sheet="1" objects="1" scenarios="1"/>
  <customSheetViews>
    <customSheetView guid="{D1BB6683-1C02-4800-8A34-4095A10BD8CF}" showPageBreaks="1" hiddenRows="1" view="pageBreakPreview">
      <selection activeCell="D11" sqref="D11:H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6">
    <mergeCell ref="A1:I1"/>
    <mergeCell ref="A2:I2"/>
    <mergeCell ref="A8:A10"/>
    <mergeCell ref="B8:C10"/>
    <mergeCell ref="D8:H8"/>
    <mergeCell ref="I8:I10"/>
  </mergeCells>
  <dataValidations xWindow="295" yWindow="663" count="1">
    <dataValidation type="list" allowBlank="1" showInputMessage="1" showErrorMessage="1" error="พิมพ์ได้เฉพาะค่า 0,1,2,3" prompt="3=ดีเยี่ยม_x000a_2=ดี_x000a_1=ผ่าน_x000a_0=ไม่ผ่าน กรณีนรไม่มีตัว_x000a_- กรณี ย้าย" sqref="D11:H55" xr:uid="{00000000-0002-0000-09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98" orientation="portrait" horizontalDpi="4294967293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L62"/>
  <sheetViews>
    <sheetView view="pageBreakPreview" topLeftCell="A9" workbookViewId="0">
      <pane xSplit="3" ySplit="2" topLeftCell="D11" activePane="bottomRight" state="frozen"/>
      <selection activeCell="A9" sqref="A9"/>
      <selection pane="topRight" activeCell="D9" sqref="D9"/>
      <selection pane="bottomLeft" activeCell="A11" sqref="A11"/>
      <selection pane="bottomRight" activeCell="D11" sqref="D11:K43"/>
    </sheetView>
  </sheetViews>
  <sheetFormatPr defaultColWidth="9.33203125" defaultRowHeight="21" x14ac:dyDescent="0.4"/>
  <cols>
    <col min="1" max="1" width="3.44140625" style="80" customWidth="1"/>
    <col min="2" max="2" width="14" style="80" customWidth="1"/>
    <col min="3" max="3" width="12.6640625" style="80" customWidth="1"/>
    <col min="4" max="11" width="7.6640625" style="80" customWidth="1"/>
    <col min="12" max="12" width="8.6640625" style="80" customWidth="1"/>
    <col min="13" max="16384" width="9.33203125" style="80"/>
  </cols>
  <sheetData>
    <row r="1" spans="1:12" s="79" customFormat="1" ht="24.75" customHeight="1" x14ac:dyDescent="0.35">
      <c r="A1" s="816" t="s">
        <v>696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</row>
    <row r="2" spans="1:12" s="79" customFormat="1" ht="24.75" customHeight="1" x14ac:dyDescent="0.35">
      <c r="A2" s="816" t="str">
        <f>IF(B11="","ปีการศึกษา...............ภาคเรียนที่........................ชั้นมัธยมศึกษาปีที่...................",CONCATENATE(" ปีการศึกษา ",'1.ข้อมูลเบื้องต้น'!M2,"  ภาคเรียนที่ ",'1.ข้อมูลเบื้องต้น'!M4,"  ชั้นมัธยมศึกษาปีที่ ",'1.ข้อมูลเบื้องต้น'!K2))</f>
        <v>ปีการศึกษา...............ภาคเรียนที่........................ชั้นมัธยมศึกษาปีที่...................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</row>
    <row r="3" spans="1:12" s="79" customFormat="1" ht="24.75" hidden="1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79" customFormat="1" ht="24.75" hidden="1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s="79" customFormat="1" ht="24.75" hidden="1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s="79" customFormat="1" ht="24.75" hidden="1" customHeight="1" x14ac:dyDescent="0.3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s="79" customFormat="1" ht="24.75" hidden="1" customHeight="1" x14ac:dyDescent="0.3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s="79" customFormat="1" ht="24.75" hidden="1" customHeight="1" x14ac:dyDescent="0.3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 ht="21" customHeight="1" thickBot="1" x14ac:dyDescent="0.45">
      <c r="E9" s="81"/>
    </row>
    <row r="10" spans="1:12" s="102" customFormat="1" ht="57.75" customHeight="1" thickBot="1" x14ac:dyDescent="0.4">
      <c r="A10" s="189" t="s">
        <v>0</v>
      </c>
      <c r="B10" s="832" t="s">
        <v>60</v>
      </c>
      <c r="C10" s="833"/>
      <c r="D10" s="190" t="s">
        <v>61</v>
      </c>
      <c r="E10" s="191" t="s">
        <v>62</v>
      </c>
      <c r="F10" s="191" t="s">
        <v>63</v>
      </c>
      <c r="G10" s="191" t="s">
        <v>64</v>
      </c>
      <c r="H10" s="191" t="s">
        <v>65</v>
      </c>
      <c r="I10" s="191" t="s">
        <v>66</v>
      </c>
      <c r="J10" s="191" t="s">
        <v>67</v>
      </c>
      <c r="K10" s="192" t="s">
        <v>68</v>
      </c>
      <c r="L10" s="193" t="s">
        <v>14</v>
      </c>
    </row>
    <row r="11" spans="1:12" s="90" customFormat="1" ht="16.5" customHeight="1" x14ac:dyDescent="0.25">
      <c r="A11" s="86">
        <v>1</v>
      </c>
      <c r="B11" s="87" t="str">
        <f>IF('2.ชื่อนักเรียน'!C11="","",'2.ชื่อนักเรียน'!C11)</f>
        <v/>
      </c>
      <c r="C11" s="194" t="str">
        <f>IF('2.ชื่อนักเรียน'!D11="","",'2.ชื่อนักเรียน'!D11)</f>
        <v/>
      </c>
      <c r="D11" s="195"/>
      <c r="E11" s="196"/>
      <c r="F11" s="196"/>
      <c r="G11" s="196"/>
      <c r="H11" s="196"/>
      <c r="I11" s="196"/>
      <c r="J11" s="196"/>
      <c r="K11" s="197"/>
      <c r="L11" s="198" t="str">
        <f>IF('2.ชื่อนักเรียน'!R11="มส","ไม่ผ่าน",IF('2.ชื่อนักเรียน'!R11="ย้าย","ย้าย",IF(COUNT(D11:K11)&lt;COUNTA($D$10:$K$10),"",IF(AVERAGE(D11:K11)&gt;=2.5,"ดีเยี่ยม",IF(AVERAGE(D11:K11)&gt;=1.5,"ดี",IF(AVERAGE(D11:K11)&gt;=1,"ผ่าน","ไม่ผ่าน"))))))</f>
        <v/>
      </c>
    </row>
    <row r="12" spans="1:12" s="90" customFormat="1" ht="16.5" customHeight="1" x14ac:dyDescent="0.25">
      <c r="A12" s="91">
        <v>2</v>
      </c>
      <c r="B12" s="92" t="str">
        <f>IF('2.ชื่อนักเรียน'!C12="","",'2.ชื่อนักเรียน'!C12)</f>
        <v/>
      </c>
      <c r="C12" s="199" t="str">
        <f>IF('2.ชื่อนักเรียน'!D12="","",'2.ชื่อนักเรียน'!D12)</f>
        <v/>
      </c>
      <c r="D12" s="195"/>
      <c r="E12" s="196"/>
      <c r="F12" s="196"/>
      <c r="G12" s="196"/>
      <c r="H12" s="196"/>
      <c r="I12" s="196"/>
      <c r="J12" s="196"/>
      <c r="K12" s="197"/>
      <c r="L12" s="198" t="str">
        <f>IF('2.ชื่อนักเรียน'!R12="มส","ไม่ผ่าน",IF('2.ชื่อนักเรียน'!R12="ย้าย","ย้าย",IF(COUNT(D12:K12)&lt;COUNTA($D$10:$K$10),"",IF(AVERAGE(D12:K12)&gt;=2.5,"ดีเยี่ยม",IF(AVERAGE(D12:K12)&gt;=1.5,"ดี",IF(AVERAGE(D12:K12)&gt;=1,"ผ่าน","ไม่ผ่าน"))))))</f>
        <v/>
      </c>
    </row>
    <row r="13" spans="1:12" s="90" customFormat="1" ht="16.5" customHeight="1" x14ac:dyDescent="0.25">
      <c r="A13" s="91">
        <v>3</v>
      </c>
      <c r="B13" s="92" t="str">
        <f>IF('2.ชื่อนักเรียน'!C13="","",'2.ชื่อนักเรียน'!C13)</f>
        <v/>
      </c>
      <c r="C13" s="199" t="str">
        <f>IF('2.ชื่อนักเรียน'!D13="","",'2.ชื่อนักเรียน'!D13)</f>
        <v/>
      </c>
      <c r="D13" s="195"/>
      <c r="E13" s="196"/>
      <c r="F13" s="196"/>
      <c r="G13" s="196"/>
      <c r="H13" s="196"/>
      <c r="I13" s="196"/>
      <c r="J13" s="196"/>
      <c r="K13" s="197"/>
      <c r="L13" s="198" t="str">
        <f>IF('2.ชื่อนักเรียน'!R13="มส","ไม่ผ่าน",IF('2.ชื่อนักเรียน'!R13="ย้าย","ย้าย",IF(COUNT(D13:K13)&lt;COUNTA($D$10:$K$10),"",IF(AVERAGE(D13:K13)&gt;=2.5,"ดีเยี่ยม",IF(AVERAGE(D13:K13)&gt;=1.5,"ดี",IF(AVERAGE(D13:K13)&gt;=1,"ผ่าน","ไม่ผ่าน"))))))</f>
        <v/>
      </c>
    </row>
    <row r="14" spans="1:12" s="90" customFormat="1" ht="16.5" customHeight="1" x14ac:dyDescent="0.25">
      <c r="A14" s="91">
        <v>4</v>
      </c>
      <c r="B14" s="92" t="str">
        <f>IF('2.ชื่อนักเรียน'!C14="","",'2.ชื่อนักเรียน'!C14)</f>
        <v/>
      </c>
      <c r="C14" s="199" t="str">
        <f>IF('2.ชื่อนักเรียน'!D14="","",'2.ชื่อนักเรียน'!D14)</f>
        <v/>
      </c>
      <c r="D14" s="195"/>
      <c r="E14" s="196"/>
      <c r="F14" s="196"/>
      <c r="G14" s="196"/>
      <c r="H14" s="196"/>
      <c r="I14" s="196"/>
      <c r="J14" s="196"/>
      <c r="K14" s="197"/>
      <c r="L14" s="198" t="str">
        <f>IF('2.ชื่อนักเรียน'!R14="มส","ไม่ผ่าน",IF('2.ชื่อนักเรียน'!R14="ย้าย","ย้าย",IF(COUNT(D14:K14)&lt;COUNTA($D$10:$K$10),"",IF(AVERAGE(D14:K14)&gt;=2.5,"ดีเยี่ยม",IF(AVERAGE(D14:K14)&gt;=1.5,"ดี",IF(AVERAGE(D14:K14)&gt;=1,"ผ่าน","ไม่ผ่าน"))))))</f>
        <v/>
      </c>
    </row>
    <row r="15" spans="1:12" s="90" customFormat="1" ht="16.5" customHeight="1" x14ac:dyDescent="0.25">
      <c r="A15" s="91">
        <v>5</v>
      </c>
      <c r="B15" s="92" t="str">
        <f>IF('2.ชื่อนักเรียน'!C15="","",'2.ชื่อนักเรียน'!C15)</f>
        <v/>
      </c>
      <c r="C15" s="199" t="str">
        <f>IF('2.ชื่อนักเรียน'!D15="","",'2.ชื่อนักเรียน'!D15)</f>
        <v/>
      </c>
      <c r="D15" s="195"/>
      <c r="E15" s="196"/>
      <c r="F15" s="196"/>
      <c r="G15" s="196"/>
      <c r="H15" s="196"/>
      <c r="I15" s="196"/>
      <c r="J15" s="196"/>
      <c r="K15" s="197"/>
      <c r="L15" s="201" t="str">
        <f>IF('2.ชื่อนักเรียน'!R15="มส","ไม่ผ่าน",IF('2.ชื่อนักเรียน'!R15="ย้าย","ย้าย",IF(COUNT(D15:K15)&lt;COUNTA($D$10:$K$10),"",IF(AVERAGE(D15:K15)&gt;=2.5,"ดีเยี่ยม",IF(AVERAGE(D15:K15)&gt;=1.5,"ดี",IF(AVERAGE(D15:K15)&gt;=1,"ผ่าน","ไม่ผ่าน"))))))</f>
        <v/>
      </c>
    </row>
    <row r="16" spans="1:12" s="90" customFormat="1" ht="16.5" customHeight="1" x14ac:dyDescent="0.25">
      <c r="A16" s="91">
        <v>6</v>
      </c>
      <c r="B16" s="92" t="str">
        <f>IF('2.ชื่อนักเรียน'!C16="","",'2.ชื่อนักเรียน'!C16)</f>
        <v/>
      </c>
      <c r="C16" s="199" t="str">
        <f>IF('2.ชื่อนักเรียน'!D16="","",'2.ชื่อนักเรียน'!D16)</f>
        <v/>
      </c>
      <c r="D16" s="195"/>
      <c r="E16" s="196"/>
      <c r="F16" s="196"/>
      <c r="G16" s="196"/>
      <c r="H16" s="196"/>
      <c r="I16" s="196"/>
      <c r="J16" s="196"/>
      <c r="K16" s="197"/>
      <c r="L16" s="201" t="str">
        <f>IF('2.ชื่อนักเรียน'!R16="มส","ไม่ผ่าน",IF('2.ชื่อนักเรียน'!R16="ย้าย","ย้าย",IF(COUNT(D16:K16)&lt;COUNTA($D$10:$K$10),"",IF(AVERAGE(D16:K16)&gt;=2.5,"ดีเยี่ยม",IF(AVERAGE(D16:K16)&gt;=1.5,"ดี",IF(AVERAGE(D16:K16)&gt;=1,"ผ่าน","ไม่ผ่าน"))))))</f>
        <v/>
      </c>
    </row>
    <row r="17" spans="1:12" s="90" customFormat="1" ht="16.5" customHeight="1" x14ac:dyDescent="0.25">
      <c r="A17" s="91">
        <v>7</v>
      </c>
      <c r="B17" s="92" t="str">
        <f>IF('2.ชื่อนักเรียน'!C17="","",'2.ชื่อนักเรียน'!C17)</f>
        <v/>
      </c>
      <c r="C17" s="199" t="str">
        <f>IF('2.ชื่อนักเรียน'!D17="","",'2.ชื่อนักเรียน'!D17)</f>
        <v/>
      </c>
      <c r="D17" s="195"/>
      <c r="E17" s="196"/>
      <c r="F17" s="196"/>
      <c r="G17" s="196"/>
      <c r="H17" s="196"/>
      <c r="I17" s="196"/>
      <c r="J17" s="196"/>
      <c r="K17" s="197"/>
      <c r="L17" s="201" t="str">
        <f>IF('2.ชื่อนักเรียน'!R17="มส","ไม่ผ่าน",IF('2.ชื่อนักเรียน'!R17="ย้าย","ย้าย",IF(COUNT(D17:K17)&lt;COUNTA($D$10:$K$10),"",IF(AVERAGE(D17:K17)&gt;=2.5,"ดีเยี่ยม",IF(AVERAGE(D17:K17)&gt;=1.5,"ดี",IF(AVERAGE(D17:K17)&gt;=1,"ผ่าน","ไม่ผ่าน"))))))</f>
        <v/>
      </c>
    </row>
    <row r="18" spans="1:12" s="90" customFormat="1" ht="16.5" customHeight="1" x14ac:dyDescent="0.25">
      <c r="A18" s="91">
        <v>8</v>
      </c>
      <c r="B18" s="92" t="str">
        <f>IF('2.ชื่อนักเรียน'!C18="","",'2.ชื่อนักเรียน'!C18)</f>
        <v/>
      </c>
      <c r="C18" s="199" t="str">
        <f>IF('2.ชื่อนักเรียน'!D18="","",'2.ชื่อนักเรียน'!D18)</f>
        <v/>
      </c>
      <c r="D18" s="195"/>
      <c r="E18" s="196"/>
      <c r="F18" s="196"/>
      <c r="G18" s="196"/>
      <c r="H18" s="196"/>
      <c r="I18" s="196"/>
      <c r="J18" s="196"/>
      <c r="K18" s="197"/>
      <c r="L18" s="201" t="str">
        <f>IF('2.ชื่อนักเรียน'!R18="มส","ไม่ผ่าน",IF('2.ชื่อนักเรียน'!R18="ย้าย","ย้าย",IF(COUNT(D18:K18)&lt;COUNTA($D$10:$K$10),"",IF(AVERAGE(D18:K18)&gt;=2.5,"ดีเยี่ยม",IF(AVERAGE(D18:K18)&gt;=1.5,"ดี",IF(AVERAGE(D18:K18)&gt;=1,"ผ่าน","ไม่ผ่าน"))))))</f>
        <v/>
      </c>
    </row>
    <row r="19" spans="1:12" s="90" customFormat="1" ht="16.5" customHeight="1" x14ac:dyDescent="0.25">
      <c r="A19" s="91">
        <v>9</v>
      </c>
      <c r="B19" s="92" t="str">
        <f>IF('2.ชื่อนักเรียน'!C19="","",'2.ชื่อนักเรียน'!C19)</f>
        <v/>
      </c>
      <c r="C19" s="199" t="str">
        <f>IF('2.ชื่อนักเรียน'!D19="","",'2.ชื่อนักเรียน'!D19)</f>
        <v/>
      </c>
      <c r="D19" s="195"/>
      <c r="E19" s="196"/>
      <c r="F19" s="196"/>
      <c r="G19" s="196"/>
      <c r="H19" s="196"/>
      <c r="I19" s="196"/>
      <c r="J19" s="196"/>
      <c r="K19" s="197"/>
      <c r="L19" s="201" t="str">
        <f>IF('2.ชื่อนักเรียน'!R19="มส","ไม่ผ่าน",IF('2.ชื่อนักเรียน'!R19="ย้าย","ย้าย",IF(COUNT(D19:K19)&lt;COUNTA($D$10:$K$10),"",IF(AVERAGE(D19:K19)&gt;=2.5,"ดีเยี่ยม",IF(AVERAGE(D19:K19)&gt;=1.5,"ดี",IF(AVERAGE(D19:K19)&gt;=1,"ผ่าน","ไม่ผ่าน"))))))</f>
        <v/>
      </c>
    </row>
    <row r="20" spans="1:12" s="90" customFormat="1" ht="16.5" customHeight="1" x14ac:dyDescent="0.25">
      <c r="A20" s="91">
        <v>10</v>
      </c>
      <c r="B20" s="92" t="str">
        <f>IF('2.ชื่อนักเรียน'!C20="","",'2.ชื่อนักเรียน'!C20)</f>
        <v/>
      </c>
      <c r="C20" s="199" t="str">
        <f>IF('2.ชื่อนักเรียน'!D20="","",'2.ชื่อนักเรียน'!D20)</f>
        <v/>
      </c>
      <c r="D20" s="195"/>
      <c r="E20" s="196"/>
      <c r="F20" s="196"/>
      <c r="G20" s="196"/>
      <c r="H20" s="196"/>
      <c r="I20" s="196"/>
      <c r="J20" s="196"/>
      <c r="K20" s="197"/>
      <c r="L20" s="201" t="str">
        <f>IF('2.ชื่อนักเรียน'!R20="มส","ไม่ผ่าน",IF('2.ชื่อนักเรียน'!R20="ย้าย","ย้าย",IF(COUNT(D20:K20)&lt;COUNTA($D$10:$K$10),"",IF(AVERAGE(D20:K20)&gt;=2.5,"ดีเยี่ยม",IF(AVERAGE(D20:K20)&gt;=1.5,"ดี",IF(AVERAGE(D20:K20)&gt;=1,"ผ่าน","ไม่ผ่าน"))))))</f>
        <v/>
      </c>
    </row>
    <row r="21" spans="1:12" s="90" customFormat="1" ht="16.5" customHeight="1" x14ac:dyDescent="0.25">
      <c r="A21" s="91">
        <v>11</v>
      </c>
      <c r="B21" s="92" t="str">
        <f>IF('2.ชื่อนักเรียน'!C21="","",'2.ชื่อนักเรียน'!C21)</f>
        <v/>
      </c>
      <c r="C21" s="199" t="str">
        <f>IF('2.ชื่อนักเรียน'!D21="","",'2.ชื่อนักเรียน'!D21)</f>
        <v/>
      </c>
      <c r="D21" s="195"/>
      <c r="E21" s="196"/>
      <c r="F21" s="196"/>
      <c r="G21" s="196"/>
      <c r="H21" s="196"/>
      <c r="I21" s="196"/>
      <c r="J21" s="196"/>
      <c r="K21" s="197"/>
      <c r="L21" s="201" t="str">
        <f>IF('2.ชื่อนักเรียน'!R21="มส","ไม่ผ่าน",IF('2.ชื่อนักเรียน'!R21="ย้าย","ย้าย",IF(COUNT(D21:K21)&lt;COUNTA($D$10:$K$10),"",IF(AVERAGE(D21:K21)&gt;=2.5,"ดีเยี่ยม",IF(AVERAGE(D21:K21)&gt;=1.5,"ดี",IF(AVERAGE(D21:K21)&gt;=1,"ผ่าน","ไม่ผ่าน"))))))</f>
        <v/>
      </c>
    </row>
    <row r="22" spans="1:12" s="90" customFormat="1" ht="16.5" customHeight="1" x14ac:dyDescent="0.25">
      <c r="A22" s="91">
        <v>12</v>
      </c>
      <c r="B22" s="92" t="str">
        <f>IF('2.ชื่อนักเรียน'!C22="","",'2.ชื่อนักเรียน'!C22)</f>
        <v/>
      </c>
      <c r="C22" s="199" t="str">
        <f>IF('2.ชื่อนักเรียน'!D22="","",'2.ชื่อนักเรียน'!D22)</f>
        <v/>
      </c>
      <c r="D22" s="195"/>
      <c r="E22" s="196"/>
      <c r="F22" s="196"/>
      <c r="G22" s="196"/>
      <c r="H22" s="196"/>
      <c r="I22" s="196"/>
      <c r="J22" s="196"/>
      <c r="K22" s="197"/>
      <c r="L22" s="201" t="str">
        <f>IF('2.ชื่อนักเรียน'!R22="มส","ไม่ผ่าน",IF('2.ชื่อนักเรียน'!R22="ย้าย","ย้าย",IF(COUNT(D22:K22)&lt;COUNTA($D$10:$K$10),"",IF(AVERAGE(D22:K22)&gt;=2.5,"ดีเยี่ยม",IF(AVERAGE(D22:K22)&gt;=1.5,"ดี",IF(AVERAGE(D22:K22)&gt;=1,"ผ่าน","ไม่ผ่าน"))))))</f>
        <v/>
      </c>
    </row>
    <row r="23" spans="1:12" s="90" customFormat="1" ht="16.5" customHeight="1" x14ac:dyDescent="0.25">
      <c r="A23" s="91">
        <v>13</v>
      </c>
      <c r="B23" s="92" t="str">
        <f>IF('2.ชื่อนักเรียน'!C23="","",'2.ชื่อนักเรียน'!C23)</f>
        <v/>
      </c>
      <c r="C23" s="199" t="str">
        <f>IF('2.ชื่อนักเรียน'!D23="","",'2.ชื่อนักเรียน'!D23)</f>
        <v/>
      </c>
      <c r="D23" s="195"/>
      <c r="E23" s="196"/>
      <c r="F23" s="196"/>
      <c r="G23" s="196"/>
      <c r="H23" s="196"/>
      <c r="I23" s="196"/>
      <c r="J23" s="196"/>
      <c r="K23" s="197"/>
      <c r="L23" s="201" t="str">
        <f>IF('2.ชื่อนักเรียน'!R23="มส","ไม่ผ่าน",IF('2.ชื่อนักเรียน'!R23="ย้าย","ย้าย",IF(COUNT(D23:K23)&lt;COUNTA($D$10:$K$10),"",IF(AVERAGE(D23:K23)&gt;=2.5,"ดีเยี่ยม",IF(AVERAGE(D23:K23)&gt;=1.5,"ดี",IF(AVERAGE(D23:K23)&gt;=1,"ผ่าน","ไม่ผ่าน"))))))</f>
        <v/>
      </c>
    </row>
    <row r="24" spans="1:12" s="90" customFormat="1" ht="16.5" customHeight="1" x14ac:dyDescent="0.25">
      <c r="A24" s="91">
        <v>14</v>
      </c>
      <c r="B24" s="92" t="str">
        <f>IF('2.ชื่อนักเรียน'!C24="","",'2.ชื่อนักเรียน'!C24)</f>
        <v/>
      </c>
      <c r="C24" s="199" t="str">
        <f>IF('2.ชื่อนักเรียน'!D24="","",'2.ชื่อนักเรียน'!D24)</f>
        <v/>
      </c>
      <c r="D24" s="195"/>
      <c r="E24" s="196"/>
      <c r="F24" s="196"/>
      <c r="G24" s="196"/>
      <c r="H24" s="196"/>
      <c r="I24" s="196"/>
      <c r="J24" s="196"/>
      <c r="K24" s="197"/>
      <c r="L24" s="201" t="str">
        <f>IF('2.ชื่อนักเรียน'!R24="มส","ไม่ผ่าน",IF('2.ชื่อนักเรียน'!R24="ย้าย","ย้าย",IF(COUNT(D24:K24)&lt;COUNTA($D$10:$K$10),"",IF(AVERAGE(D24:K24)&gt;=2.5,"ดีเยี่ยม",IF(AVERAGE(D24:K24)&gt;=1.5,"ดี",IF(AVERAGE(D24:K24)&gt;=1,"ผ่าน","ไม่ผ่าน"))))))</f>
        <v/>
      </c>
    </row>
    <row r="25" spans="1:12" s="90" customFormat="1" ht="16.5" customHeight="1" x14ac:dyDescent="0.25">
      <c r="A25" s="91">
        <v>15</v>
      </c>
      <c r="B25" s="92" t="str">
        <f>IF('2.ชื่อนักเรียน'!C25="","",'2.ชื่อนักเรียน'!C25)</f>
        <v/>
      </c>
      <c r="C25" s="199" t="str">
        <f>IF('2.ชื่อนักเรียน'!D25="","",'2.ชื่อนักเรียน'!D25)</f>
        <v/>
      </c>
      <c r="D25" s="195"/>
      <c r="E25" s="196"/>
      <c r="F25" s="196"/>
      <c r="G25" s="196"/>
      <c r="H25" s="196"/>
      <c r="I25" s="196"/>
      <c r="J25" s="196"/>
      <c r="K25" s="197"/>
      <c r="L25" s="201" t="str">
        <f>IF('2.ชื่อนักเรียน'!R25="มส","ไม่ผ่าน",IF('2.ชื่อนักเรียน'!R25="ย้าย","ย้าย",IF(COUNT(D25:K25)&lt;COUNTA($D$10:$K$10),"",IF(AVERAGE(D25:K25)&gt;=2.5,"ดีเยี่ยม",IF(AVERAGE(D25:K25)&gt;=1.5,"ดี",IF(AVERAGE(D25:K25)&gt;=1,"ผ่าน","ไม่ผ่าน"))))))</f>
        <v/>
      </c>
    </row>
    <row r="26" spans="1:12" s="90" customFormat="1" ht="16.5" customHeight="1" x14ac:dyDescent="0.25">
      <c r="A26" s="91">
        <v>16</v>
      </c>
      <c r="B26" s="92" t="str">
        <f>IF('2.ชื่อนักเรียน'!C26="","",'2.ชื่อนักเรียน'!C26)</f>
        <v/>
      </c>
      <c r="C26" s="199" t="str">
        <f>IF('2.ชื่อนักเรียน'!D26="","",'2.ชื่อนักเรียน'!D26)</f>
        <v/>
      </c>
      <c r="D26" s="195"/>
      <c r="E26" s="196"/>
      <c r="F26" s="196"/>
      <c r="G26" s="196"/>
      <c r="H26" s="196"/>
      <c r="I26" s="196"/>
      <c r="J26" s="196"/>
      <c r="K26" s="197"/>
      <c r="L26" s="201" t="str">
        <f>IF('2.ชื่อนักเรียน'!R26="มส","ไม่ผ่าน",IF('2.ชื่อนักเรียน'!R26="ย้าย","ย้าย",IF(COUNT(D26:K26)&lt;COUNTA($D$10:$K$10),"",IF(AVERAGE(D26:K26)&gt;=2.5,"ดีเยี่ยม",IF(AVERAGE(D26:K26)&gt;=1.5,"ดี",IF(AVERAGE(D26:K26)&gt;=1,"ผ่าน","ไม่ผ่าน"))))))</f>
        <v/>
      </c>
    </row>
    <row r="27" spans="1:12" s="90" customFormat="1" ht="16.5" customHeight="1" x14ac:dyDescent="0.25">
      <c r="A27" s="91">
        <v>17</v>
      </c>
      <c r="B27" s="92" t="str">
        <f>IF('2.ชื่อนักเรียน'!C27="","",'2.ชื่อนักเรียน'!C27)</f>
        <v/>
      </c>
      <c r="C27" s="199" t="str">
        <f>IF('2.ชื่อนักเรียน'!D27="","",'2.ชื่อนักเรียน'!D27)</f>
        <v/>
      </c>
      <c r="D27" s="195"/>
      <c r="E27" s="196"/>
      <c r="F27" s="196"/>
      <c r="G27" s="196"/>
      <c r="H27" s="196"/>
      <c r="I27" s="196"/>
      <c r="J27" s="196"/>
      <c r="K27" s="197"/>
      <c r="L27" s="201" t="str">
        <f>IF('2.ชื่อนักเรียน'!R27="มส","ไม่ผ่าน",IF('2.ชื่อนักเรียน'!R27="ย้าย","ย้าย",IF(COUNT(D27:K27)&lt;COUNTA($D$10:$K$10),"",IF(AVERAGE(D27:K27)&gt;=2.5,"ดีเยี่ยม",IF(AVERAGE(D27:K27)&gt;=1.5,"ดี",IF(AVERAGE(D27:K27)&gt;=1,"ผ่าน","ไม่ผ่าน"))))))</f>
        <v/>
      </c>
    </row>
    <row r="28" spans="1:12" s="90" customFormat="1" ht="16.5" customHeight="1" x14ac:dyDescent="0.25">
      <c r="A28" s="91">
        <v>18</v>
      </c>
      <c r="B28" s="92" t="str">
        <f>IF('2.ชื่อนักเรียน'!C28="","",'2.ชื่อนักเรียน'!C28)</f>
        <v/>
      </c>
      <c r="C28" s="199" t="str">
        <f>IF('2.ชื่อนักเรียน'!D28="","",'2.ชื่อนักเรียน'!D28)</f>
        <v/>
      </c>
      <c r="D28" s="195"/>
      <c r="E28" s="196"/>
      <c r="F28" s="196"/>
      <c r="G28" s="196"/>
      <c r="H28" s="196"/>
      <c r="I28" s="196"/>
      <c r="J28" s="196"/>
      <c r="K28" s="197"/>
      <c r="L28" s="201" t="str">
        <f>IF('2.ชื่อนักเรียน'!R28="มส","ไม่ผ่าน",IF('2.ชื่อนักเรียน'!R28="ย้าย","ย้าย",IF(COUNT(D28:K28)&lt;COUNTA($D$10:$K$10),"",IF(AVERAGE(D28:K28)&gt;=2.5,"ดีเยี่ยม",IF(AVERAGE(D28:K28)&gt;=1.5,"ดี",IF(AVERAGE(D28:K28)&gt;=1,"ผ่าน","ไม่ผ่าน"))))))</f>
        <v/>
      </c>
    </row>
    <row r="29" spans="1:12" s="90" customFormat="1" ht="16.5" customHeight="1" x14ac:dyDescent="0.25">
      <c r="A29" s="91">
        <v>19</v>
      </c>
      <c r="B29" s="92" t="str">
        <f>IF('2.ชื่อนักเรียน'!C29="","",'2.ชื่อนักเรียน'!C29)</f>
        <v/>
      </c>
      <c r="C29" s="199" t="str">
        <f>IF('2.ชื่อนักเรียน'!D29="","",'2.ชื่อนักเรียน'!D29)</f>
        <v/>
      </c>
      <c r="D29" s="195"/>
      <c r="E29" s="196"/>
      <c r="F29" s="196"/>
      <c r="G29" s="196"/>
      <c r="H29" s="196"/>
      <c r="I29" s="196"/>
      <c r="J29" s="196"/>
      <c r="K29" s="197"/>
      <c r="L29" s="201" t="str">
        <f>IF('2.ชื่อนักเรียน'!R29="มส","ไม่ผ่าน",IF('2.ชื่อนักเรียน'!R29="ย้าย","ย้าย",IF(COUNT(D29:K29)&lt;COUNTA($D$10:$K$10),"",IF(AVERAGE(D29:K29)&gt;=2.5,"ดีเยี่ยม",IF(AVERAGE(D29:K29)&gt;=1.5,"ดี",IF(AVERAGE(D29:K29)&gt;=1,"ผ่าน","ไม่ผ่าน"))))))</f>
        <v/>
      </c>
    </row>
    <row r="30" spans="1:12" s="90" customFormat="1" ht="16.5" customHeight="1" x14ac:dyDescent="0.25">
      <c r="A30" s="91">
        <v>20</v>
      </c>
      <c r="B30" s="92" t="str">
        <f>IF('2.ชื่อนักเรียน'!C30="","",'2.ชื่อนักเรียน'!C30)</f>
        <v/>
      </c>
      <c r="C30" s="199" t="str">
        <f>IF('2.ชื่อนักเรียน'!D30="","",'2.ชื่อนักเรียน'!D30)</f>
        <v/>
      </c>
      <c r="D30" s="195"/>
      <c r="E30" s="196"/>
      <c r="F30" s="196"/>
      <c r="G30" s="196"/>
      <c r="H30" s="196"/>
      <c r="I30" s="196"/>
      <c r="J30" s="196"/>
      <c r="K30" s="197"/>
      <c r="L30" s="201" t="str">
        <f>IF('2.ชื่อนักเรียน'!R30="มส","ไม่ผ่าน",IF('2.ชื่อนักเรียน'!R30="ย้าย","ย้าย",IF(COUNT(D30:K30)&lt;COUNTA($D$10:$K$10),"",IF(AVERAGE(D30:K30)&gt;=2.5,"ดีเยี่ยม",IF(AVERAGE(D30:K30)&gt;=1.5,"ดี",IF(AVERAGE(D30:K30)&gt;=1,"ผ่าน","ไม่ผ่าน"))))))</f>
        <v/>
      </c>
    </row>
    <row r="31" spans="1:12" s="90" customFormat="1" ht="16.5" customHeight="1" x14ac:dyDescent="0.25">
      <c r="A31" s="91">
        <v>21</v>
      </c>
      <c r="B31" s="92" t="str">
        <f>IF('2.ชื่อนักเรียน'!C31="","",'2.ชื่อนักเรียน'!C31)</f>
        <v/>
      </c>
      <c r="C31" s="199" t="str">
        <f>IF('2.ชื่อนักเรียน'!D31="","",'2.ชื่อนักเรียน'!D31)</f>
        <v/>
      </c>
      <c r="D31" s="195"/>
      <c r="E31" s="196"/>
      <c r="F31" s="196"/>
      <c r="G31" s="196"/>
      <c r="H31" s="196"/>
      <c r="I31" s="196"/>
      <c r="J31" s="196"/>
      <c r="K31" s="197"/>
      <c r="L31" s="201" t="str">
        <f>IF('2.ชื่อนักเรียน'!R31="มส","ไม่ผ่าน",IF('2.ชื่อนักเรียน'!R31="ย้าย","ย้าย",IF(COUNT(D31:K31)&lt;COUNTA($D$10:$K$10),"",IF(AVERAGE(D31:K31)&gt;=2.5,"ดีเยี่ยม",IF(AVERAGE(D31:K31)&gt;=1.5,"ดี",IF(AVERAGE(D31:K31)&gt;=1,"ผ่าน","ไม่ผ่าน"))))))</f>
        <v/>
      </c>
    </row>
    <row r="32" spans="1:12" s="90" customFormat="1" ht="16.5" customHeight="1" x14ac:dyDescent="0.25">
      <c r="A32" s="91">
        <v>22</v>
      </c>
      <c r="B32" s="92" t="str">
        <f>IF('2.ชื่อนักเรียน'!C32="","",'2.ชื่อนักเรียน'!C32)</f>
        <v/>
      </c>
      <c r="C32" s="202" t="str">
        <f>IF('2.ชื่อนักเรียน'!D32="","",'2.ชื่อนักเรียน'!D32)</f>
        <v/>
      </c>
      <c r="D32" s="195"/>
      <c r="E32" s="196"/>
      <c r="F32" s="196"/>
      <c r="G32" s="196"/>
      <c r="H32" s="196"/>
      <c r="I32" s="196"/>
      <c r="J32" s="196"/>
      <c r="K32" s="197"/>
      <c r="L32" s="201" t="str">
        <f>IF('2.ชื่อนักเรียน'!R32="มส","ไม่ผ่าน",IF('2.ชื่อนักเรียน'!R32="ย้าย","ย้าย",IF(COUNT(D32:K32)&lt;COUNTA($D$10:$K$10),"",IF(AVERAGE(D32:K32)&gt;=2.5,"ดีเยี่ยม",IF(AVERAGE(D32:K32)&gt;=1.5,"ดี",IF(AVERAGE(D32:K32)&gt;=1,"ผ่าน","ไม่ผ่าน"))))))</f>
        <v/>
      </c>
    </row>
    <row r="33" spans="1:12" s="90" customFormat="1" ht="16.5" customHeight="1" x14ac:dyDescent="0.25">
      <c r="A33" s="91">
        <v>23</v>
      </c>
      <c r="B33" s="92" t="str">
        <f>IF('2.ชื่อนักเรียน'!C33="","",'2.ชื่อนักเรียน'!C33)</f>
        <v/>
      </c>
      <c r="C33" s="199" t="str">
        <f>IF('2.ชื่อนักเรียน'!D33="","",'2.ชื่อนักเรียน'!D33)</f>
        <v/>
      </c>
      <c r="D33" s="195"/>
      <c r="E33" s="196"/>
      <c r="F33" s="196"/>
      <c r="G33" s="196"/>
      <c r="H33" s="196"/>
      <c r="I33" s="196"/>
      <c r="J33" s="196"/>
      <c r="K33" s="197"/>
      <c r="L33" s="201" t="str">
        <f>IF('2.ชื่อนักเรียน'!R33="มส","ไม่ผ่าน",IF('2.ชื่อนักเรียน'!R33="ย้าย","ย้าย",IF(COUNT(D33:K33)&lt;COUNTA($D$10:$K$10),"",IF(AVERAGE(D33:K33)&gt;=2.5,"ดีเยี่ยม",IF(AVERAGE(D33:K33)&gt;=1.5,"ดี",IF(AVERAGE(D33:K33)&gt;=1,"ผ่าน","ไม่ผ่าน"))))))</f>
        <v/>
      </c>
    </row>
    <row r="34" spans="1:12" s="90" customFormat="1" ht="16.5" customHeight="1" x14ac:dyDescent="0.25">
      <c r="A34" s="91">
        <v>24</v>
      </c>
      <c r="B34" s="92" t="str">
        <f>IF('2.ชื่อนักเรียน'!C34="","",'2.ชื่อนักเรียน'!C34)</f>
        <v/>
      </c>
      <c r="C34" s="199" t="str">
        <f>IF('2.ชื่อนักเรียน'!D34="","",'2.ชื่อนักเรียน'!D34)</f>
        <v/>
      </c>
      <c r="D34" s="195"/>
      <c r="E34" s="196"/>
      <c r="F34" s="196"/>
      <c r="G34" s="196"/>
      <c r="H34" s="196"/>
      <c r="I34" s="196"/>
      <c r="J34" s="196"/>
      <c r="K34" s="197"/>
      <c r="L34" s="201" t="str">
        <f>IF('2.ชื่อนักเรียน'!R34="มส","ไม่ผ่าน",IF('2.ชื่อนักเรียน'!R34="ย้าย","ย้าย",IF(COUNT(D34:K34)&lt;COUNTA($D$10:$K$10),"",IF(AVERAGE(D34:K34)&gt;=2.5,"ดีเยี่ยม",IF(AVERAGE(D34:K34)&gt;=1.5,"ดี",IF(AVERAGE(D34:K34)&gt;=1,"ผ่าน","ไม่ผ่าน"))))))</f>
        <v/>
      </c>
    </row>
    <row r="35" spans="1:12" s="90" customFormat="1" ht="16.5" customHeight="1" x14ac:dyDescent="0.25">
      <c r="A35" s="91">
        <v>25</v>
      </c>
      <c r="B35" s="92" t="str">
        <f>IF('2.ชื่อนักเรียน'!C35="","",'2.ชื่อนักเรียน'!C35)</f>
        <v/>
      </c>
      <c r="C35" s="199" t="str">
        <f>IF('2.ชื่อนักเรียน'!D35="","",'2.ชื่อนักเรียน'!D35)</f>
        <v/>
      </c>
      <c r="D35" s="195"/>
      <c r="E35" s="196"/>
      <c r="F35" s="196"/>
      <c r="G35" s="196"/>
      <c r="H35" s="196"/>
      <c r="I35" s="196"/>
      <c r="J35" s="196"/>
      <c r="K35" s="197"/>
      <c r="L35" s="201" t="str">
        <f>IF('2.ชื่อนักเรียน'!R35="มส","ไม่ผ่าน",IF('2.ชื่อนักเรียน'!R35="ย้าย","ย้าย",IF(COUNT(D35:K35)&lt;COUNTA($D$10:$K$10),"",IF(AVERAGE(D35:K35)&gt;=2.5,"ดีเยี่ยม",IF(AVERAGE(D35:K35)&gt;=1.5,"ดี",IF(AVERAGE(D35:K35)&gt;=1,"ผ่าน","ไม่ผ่าน"))))))</f>
        <v/>
      </c>
    </row>
    <row r="36" spans="1:12" s="90" customFormat="1" ht="16.5" customHeight="1" x14ac:dyDescent="0.25">
      <c r="A36" s="91">
        <v>26</v>
      </c>
      <c r="B36" s="92" t="str">
        <f>IF('2.ชื่อนักเรียน'!C36="","",'2.ชื่อนักเรียน'!C36)</f>
        <v/>
      </c>
      <c r="C36" s="199" t="str">
        <f>IF('2.ชื่อนักเรียน'!D36="","",'2.ชื่อนักเรียน'!D36)</f>
        <v/>
      </c>
      <c r="D36" s="195"/>
      <c r="E36" s="196"/>
      <c r="F36" s="196"/>
      <c r="G36" s="196"/>
      <c r="H36" s="196"/>
      <c r="I36" s="196"/>
      <c r="J36" s="196"/>
      <c r="K36" s="197"/>
      <c r="L36" s="201" t="str">
        <f>IF('2.ชื่อนักเรียน'!R36="มส","ไม่ผ่าน",IF('2.ชื่อนักเรียน'!R36="ย้าย","ย้าย",IF(COUNT(D36:K36)&lt;COUNTA($D$10:$K$10),"",IF(AVERAGE(D36:K36)&gt;=2.5,"ดีเยี่ยม",IF(AVERAGE(D36:K36)&gt;=1.5,"ดี",IF(AVERAGE(D36:K36)&gt;=1,"ผ่าน","ไม่ผ่าน"))))))</f>
        <v/>
      </c>
    </row>
    <row r="37" spans="1:12" s="90" customFormat="1" ht="16.5" customHeight="1" x14ac:dyDescent="0.25">
      <c r="A37" s="91">
        <v>27</v>
      </c>
      <c r="B37" s="92" t="str">
        <f>IF('2.ชื่อนักเรียน'!C37="","",'2.ชื่อนักเรียน'!C37)</f>
        <v/>
      </c>
      <c r="C37" s="199" t="str">
        <f>IF('2.ชื่อนักเรียน'!D37="","",'2.ชื่อนักเรียน'!D37)</f>
        <v/>
      </c>
      <c r="D37" s="195"/>
      <c r="E37" s="196"/>
      <c r="F37" s="196"/>
      <c r="G37" s="196"/>
      <c r="H37" s="196"/>
      <c r="I37" s="196"/>
      <c r="J37" s="196"/>
      <c r="K37" s="197"/>
      <c r="L37" s="201" t="str">
        <f>IF('2.ชื่อนักเรียน'!R37="มส","ไม่ผ่าน",IF('2.ชื่อนักเรียน'!R37="ย้าย","ย้าย",IF(COUNT(D37:K37)&lt;COUNTA($D$10:$K$10),"",IF(AVERAGE(D37:K37)&gt;=2.5,"ดีเยี่ยม",IF(AVERAGE(D37:K37)&gt;=1.5,"ดี",IF(AVERAGE(D37:K37)&gt;=1,"ผ่าน","ไม่ผ่าน"))))))</f>
        <v/>
      </c>
    </row>
    <row r="38" spans="1:12" s="90" customFormat="1" ht="16.5" customHeight="1" x14ac:dyDescent="0.25">
      <c r="A38" s="91">
        <v>28</v>
      </c>
      <c r="B38" s="92" t="str">
        <f>IF('2.ชื่อนักเรียน'!C38="","",'2.ชื่อนักเรียน'!C38)</f>
        <v/>
      </c>
      <c r="C38" s="199" t="str">
        <f>IF('2.ชื่อนักเรียน'!D38="","",'2.ชื่อนักเรียน'!D38)</f>
        <v/>
      </c>
      <c r="D38" s="195"/>
      <c r="E38" s="196"/>
      <c r="F38" s="196"/>
      <c r="G38" s="196"/>
      <c r="H38" s="196"/>
      <c r="I38" s="196"/>
      <c r="J38" s="196"/>
      <c r="K38" s="197"/>
      <c r="L38" s="201" t="str">
        <f>IF('2.ชื่อนักเรียน'!R38="มส","ไม่ผ่าน",IF('2.ชื่อนักเรียน'!R38="ย้าย","ย้าย",IF(COUNT(D38:K38)&lt;COUNTA($D$10:$K$10),"",IF(AVERAGE(D38:K38)&gt;=2.5,"ดีเยี่ยม",IF(AVERAGE(D38:K38)&gt;=1.5,"ดี",IF(AVERAGE(D38:K38)&gt;=1,"ผ่าน","ไม่ผ่าน"))))))</f>
        <v/>
      </c>
    </row>
    <row r="39" spans="1:12" s="90" customFormat="1" ht="16.5" customHeight="1" x14ac:dyDescent="0.25">
      <c r="A39" s="91">
        <v>29</v>
      </c>
      <c r="B39" s="92" t="str">
        <f>IF('2.ชื่อนักเรียน'!C39="","",'2.ชื่อนักเรียน'!C39)</f>
        <v/>
      </c>
      <c r="C39" s="199" t="str">
        <f>IF('2.ชื่อนักเรียน'!D39="","",'2.ชื่อนักเรียน'!D39)</f>
        <v/>
      </c>
      <c r="D39" s="163"/>
      <c r="E39" s="164"/>
      <c r="F39" s="164"/>
      <c r="G39" s="164"/>
      <c r="H39" s="164"/>
      <c r="I39" s="164"/>
      <c r="J39" s="164"/>
      <c r="K39" s="200"/>
      <c r="L39" s="201" t="str">
        <f>IF('2.ชื่อนักเรียน'!R39="มส","ไม่ผ่าน",IF('2.ชื่อนักเรียน'!R39="ย้าย","ย้าย",IF(COUNT(D39:K39)&lt;COUNTA($D$10:$K$10),"",IF(AVERAGE(D39:K39)&gt;=2.5,"ดีเยี่ยม",IF(AVERAGE(D39:K39)&gt;=1.5,"ดี",IF(AVERAGE(D39:K39)&gt;=1,"ผ่าน","ไม่ผ่าน"))))))</f>
        <v/>
      </c>
    </row>
    <row r="40" spans="1:12" s="90" customFormat="1" ht="16.5" customHeight="1" x14ac:dyDescent="0.25">
      <c r="A40" s="91">
        <v>30</v>
      </c>
      <c r="B40" s="92" t="str">
        <f>IF('2.ชื่อนักเรียน'!C40="","",'2.ชื่อนักเรียน'!C40)</f>
        <v/>
      </c>
      <c r="C40" s="199" t="str">
        <f>IF('2.ชื่อนักเรียน'!D40="","",'2.ชื่อนักเรียน'!D40)</f>
        <v/>
      </c>
      <c r="D40" s="163"/>
      <c r="E40" s="164"/>
      <c r="F40" s="164"/>
      <c r="G40" s="164"/>
      <c r="H40" s="164"/>
      <c r="I40" s="164"/>
      <c r="J40" s="164"/>
      <c r="K40" s="200"/>
      <c r="L40" s="201" t="str">
        <f>IF('2.ชื่อนักเรียน'!R40="มส","ไม่ผ่าน",IF('2.ชื่อนักเรียน'!R40="ย้าย","ย้าย",IF(COUNT(D40:K40)&lt;COUNTA($D$10:$K$10),"",IF(AVERAGE(D40:K40)&gt;=2.5,"ดีเยี่ยม",IF(AVERAGE(D40:K40)&gt;=1.5,"ดี",IF(AVERAGE(D40:K40)&gt;=1,"ผ่าน","ไม่ผ่าน"))))))</f>
        <v/>
      </c>
    </row>
    <row r="41" spans="1:12" s="90" customFormat="1" ht="16.5" customHeight="1" x14ac:dyDescent="0.25">
      <c r="A41" s="91">
        <v>31</v>
      </c>
      <c r="B41" s="92" t="str">
        <f>IF('2.ชื่อนักเรียน'!C41="","",'2.ชื่อนักเรียน'!C41)</f>
        <v/>
      </c>
      <c r="C41" s="199" t="str">
        <f>IF('2.ชื่อนักเรียน'!D41="","",'2.ชื่อนักเรียน'!D41)</f>
        <v/>
      </c>
      <c r="D41" s="163"/>
      <c r="E41" s="164"/>
      <c r="F41" s="164"/>
      <c r="G41" s="164"/>
      <c r="H41" s="164"/>
      <c r="I41" s="164"/>
      <c r="J41" s="164"/>
      <c r="K41" s="200"/>
      <c r="L41" s="201" t="str">
        <f>IF('2.ชื่อนักเรียน'!R41="มส","ไม่ผ่าน",IF('2.ชื่อนักเรียน'!R41="ย้าย","ย้าย",IF(COUNT(D41:K41)&lt;COUNTA($D$10:$K$10),"",IF(AVERAGE(D41:K41)&gt;=2.5,"ดีเยี่ยม",IF(AVERAGE(D41:K41)&gt;=1.5,"ดี",IF(AVERAGE(D41:K41)&gt;=1,"ผ่าน","ไม่ผ่าน"))))))</f>
        <v/>
      </c>
    </row>
    <row r="42" spans="1:12" s="90" customFormat="1" ht="16.5" customHeight="1" x14ac:dyDescent="0.25">
      <c r="A42" s="91">
        <v>32</v>
      </c>
      <c r="B42" s="92" t="str">
        <f>IF('2.ชื่อนักเรียน'!C42="","",'2.ชื่อนักเรียน'!C42)</f>
        <v/>
      </c>
      <c r="C42" s="199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4"/>
      <c r="I42" s="164"/>
      <c r="J42" s="164"/>
      <c r="K42" s="200"/>
      <c r="L42" s="201" t="str">
        <f>IF('2.ชื่อนักเรียน'!R42="มส","ไม่ผ่าน",IF('2.ชื่อนักเรียน'!R42="ย้าย","ย้าย",IF(COUNT(D42:K42)&lt;COUNTA($D$10:$K$10),"",IF(AVERAGE(D42:K42)&gt;=2.5,"ดีเยี่ยม",IF(AVERAGE(D42:K42)&gt;=1.5,"ดี",IF(AVERAGE(D42:K42)&gt;=1,"ผ่าน","ไม่ผ่าน"))))))</f>
        <v/>
      </c>
    </row>
    <row r="43" spans="1:12" s="90" customFormat="1" ht="16.5" customHeight="1" x14ac:dyDescent="0.25">
      <c r="A43" s="91">
        <v>33</v>
      </c>
      <c r="B43" s="92" t="str">
        <f>IF('2.ชื่อนักเรียน'!C43="","",'2.ชื่อนักเรียน'!C43)</f>
        <v/>
      </c>
      <c r="C43" s="199" t="str">
        <f>IF('2.ชื่อนักเรียน'!D43="","",'2.ชื่อนักเรียน'!D43)</f>
        <v/>
      </c>
      <c r="D43" s="163"/>
      <c r="E43" s="164"/>
      <c r="F43" s="164"/>
      <c r="G43" s="164"/>
      <c r="H43" s="164"/>
      <c r="I43" s="164"/>
      <c r="J43" s="164"/>
      <c r="K43" s="200"/>
      <c r="L43" s="201" t="str">
        <f>IF('2.ชื่อนักเรียน'!R43="มส","ไม่ผ่าน",IF('2.ชื่อนักเรียน'!R43="ย้าย","ย้าย",IF(COUNT(D43:K43)&lt;COUNTA($D$10:$K$10),"",IF(AVERAGE(D43:K43)&gt;=2.5,"ดีเยี่ยม",IF(AVERAGE(D43:K43)&gt;=1.5,"ดี",IF(AVERAGE(D43:K43)&gt;=1,"ผ่าน","ไม่ผ่าน"))))))</f>
        <v/>
      </c>
    </row>
    <row r="44" spans="1:12" s="90" customFormat="1" ht="16.5" customHeight="1" x14ac:dyDescent="0.25">
      <c r="A44" s="91">
        <v>34</v>
      </c>
      <c r="B44" s="92" t="str">
        <f>IF('2.ชื่อนักเรียน'!C44="","",'2.ชื่อนักเรียน'!C44)</f>
        <v/>
      </c>
      <c r="C44" s="199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4"/>
      <c r="I44" s="164"/>
      <c r="J44" s="164"/>
      <c r="K44" s="200"/>
      <c r="L44" s="201" t="str">
        <f>IF('2.ชื่อนักเรียน'!R44="มส","ไม่ผ่าน",IF('2.ชื่อนักเรียน'!R44="ย้าย","ย้าย",IF(COUNT(D44:K44)&lt;COUNTA($D$10:$K$10),"",IF(AVERAGE(D44:K44)&gt;=2.5,"ดีเยี่ยม",IF(AVERAGE(D44:K44)&gt;=1.5,"ดี",IF(AVERAGE(D44:K44)&gt;=1,"ผ่าน","ไม่ผ่าน"))))))</f>
        <v/>
      </c>
    </row>
    <row r="45" spans="1:12" s="90" customFormat="1" ht="16.5" customHeight="1" x14ac:dyDescent="0.25">
      <c r="A45" s="91">
        <v>35</v>
      </c>
      <c r="B45" s="92" t="str">
        <f>IF('2.ชื่อนักเรียน'!C45="","",'2.ชื่อนักเรียน'!C45)</f>
        <v/>
      </c>
      <c r="C45" s="199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4"/>
      <c r="I45" s="164"/>
      <c r="J45" s="164"/>
      <c r="K45" s="200"/>
      <c r="L45" s="201" t="str">
        <f>IF('2.ชื่อนักเรียน'!R45="มส","ไม่ผ่าน",IF('2.ชื่อนักเรียน'!R45="ย้าย","ย้าย",IF(COUNT(D45:K45)&lt;COUNTA($D$10:$K$10),"",IF(AVERAGE(D45:K45)&gt;=2.5,"ดีเยี่ยม",IF(AVERAGE(D45:K45)&gt;=1.5,"ดี",IF(AVERAGE(D45:K45)&gt;=1,"ผ่าน","ไม่ผ่าน"))))))</f>
        <v/>
      </c>
    </row>
    <row r="46" spans="1:12" s="90" customFormat="1" ht="16.5" customHeight="1" x14ac:dyDescent="0.25">
      <c r="A46" s="91">
        <v>36</v>
      </c>
      <c r="B46" s="92" t="str">
        <f>IF('2.ชื่อนักเรียน'!C46="","",'2.ชื่อนักเรียน'!C46)</f>
        <v/>
      </c>
      <c r="C46" s="199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4"/>
      <c r="I46" s="164"/>
      <c r="J46" s="164"/>
      <c r="K46" s="200"/>
      <c r="L46" s="201" t="str">
        <f>IF('2.ชื่อนักเรียน'!R46="มส","ไม่ผ่าน",IF('2.ชื่อนักเรียน'!R46="ย้าย","ย้าย",IF(COUNT(D46:K46)&lt;COUNTA($D$10:$K$10),"",IF(AVERAGE(D46:K46)&gt;=2.5,"ดีเยี่ยม",IF(AVERAGE(D46:K46)&gt;=1.5,"ดี",IF(AVERAGE(D46:K46)&gt;=1,"ผ่าน","ไม่ผ่าน"))))))</f>
        <v/>
      </c>
    </row>
    <row r="47" spans="1:12" s="90" customFormat="1" ht="16.5" customHeight="1" x14ac:dyDescent="0.25">
      <c r="A47" s="91">
        <v>37</v>
      </c>
      <c r="B47" s="92" t="str">
        <f>IF('2.ชื่อนักเรียน'!C47="","",'2.ชื่อนักเรียน'!C47)</f>
        <v/>
      </c>
      <c r="C47" s="199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4"/>
      <c r="I47" s="164"/>
      <c r="J47" s="164"/>
      <c r="K47" s="200"/>
      <c r="L47" s="201" t="str">
        <f>IF('2.ชื่อนักเรียน'!R47="มส","ไม่ผ่าน",IF('2.ชื่อนักเรียน'!R47="ย้าย","ย้าย",IF(COUNT(D47:K47)&lt;COUNTA($D$10:$K$10),"",IF(AVERAGE(D47:K47)&gt;=2.5,"ดีเยี่ยม",IF(AVERAGE(D47:K47)&gt;=1.5,"ดี",IF(AVERAGE(D47:K47)&gt;=1,"ผ่าน","ไม่ผ่าน"))))))</f>
        <v/>
      </c>
    </row>
    <row r="48" spans="1:12" s="90" customFormat="1" ht="16.5" customHeight="1" x14ac:dyDescent="0.25">
      <c r="A48" s="91">
        <v>38</v>
      </c>
      <c r="B48" s="92" t="str">
        <f>IF('2.ชื่อนักเรียน'!C48="","",'2.ชื่อนักเรียน'!C48)</f>
        <v/>
      </c>
      <c r="C48" s="199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4"/>
      <c r="I48" s="164"/>
      <c r="J48" s="164"/>
      <c r="K48" s="200"/>
      <c r="L48" s="201" t="str">
        <f>IF('2.ชื่อนักเรียน'!R48="มส","ไม่ผ่าน",IF('2.ชื่อนักเรียน'!R48="ย้าย","ย้าย",IF(COUNT(D48:K48)&lt;COUNTA($D$10:$K$10),"",IF(AVERAGE(D48:K48)&gt;=2.5,"ดีเยี่ยม",IF(AVERAGE(D48:K48)&gt;=1.5,"ดี",IF(AVERAGE(D48:K48)&gt;=1,"ผ่าน","ไม่ผ่าน"))))))</f>
        <v/>
      </c>
    </row>
    <row r="49" spans="1:12" s="90" customFormat="1" ht="16.5" customHeight="1" x14ac:dyDescent="0.25">
      <c r="A49" s="91">
        <v>39</v>
      </c>
      <c r="B49" s="92" t="str">
        <f>IF('2.ชื่อนักเรียน'!C49="","",'2.ชื่อนักเรียน'!C49)</f>
        <v/>
      </c>
      <c r="C49" s="199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4"/>
      <c r="I49" s="164"/>
      <c r="J49" s="164"/>
      <c r="K49" s="200"/>
      <c r="L49" s="201" t="str">
        <f>IF('2.ชื่อนักเรียน'!R49="มส","ไม่ผ่าน",IF('2.ชื่อนักเรียน'!R49="ย้าย","ย้าย",IF(COUNT(D49:K49)&lt;COUNTA($D$10:$K$10),"",IF(AVERAGE(D49:K49)&gt;=2.5,"ดีเยี่ยม",IF(AVERAGE(D49:K49)&gt;=1.5,"ดี",IF(AVERAGE(D49:K49)&gt;=1,"ผ่าน","ไม่ผ่าน"))))))</f>
        <v/>
      </c>
    </row>
    <row r="50" spans="1:12" s="90" customFormat="1" ht="16.5" customHeight="1" x14ac:dyDescent="0.25">
      <c r="A50" s="91">
        <v>40</v>
      </c>
      <c r="B50" s="92" t="str">
        <f>IF('2.ชื่อนักเรียน'!C50="","",'2.ชื่อนักเรียน'!C50)</f>
        <v/>
      </c>
      <c r="C50" s="199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4"/>
      <c r="I50" s="164"/>
      <c r="J50" s="164"/>
      <c r="K50" s="200"/>
      <c r="L50" s="201" t="str">
        <f>IF('2.ชื่อนักเรียน'!R50="มส","ไม่ผ่าน",IF('2.ชื่อนักเรียน'!R50="ย้าย","ย้าย",IF(COUNT(D50:K50)&lt;COUNTA($D$10:$K$10),"",IF(AVERAGE(D50:K50)&gt;=2.5,"ดีเยี่ยม",IF(AVERAGE(D50:K50)&gt;=1.5,"ดี",IF(AVERAGE(D50:K50)&gt;=1,"ผ่าน","ไม่ผ่าน"))))))</f>
        <v/>
      </c>
    </row>
    <row r="51" spans="1:12" s="90" customFormat="1" ht="16.5" customHeight="1" x14ac:dyDescent="0.25">
      <c r="A51" s="91">
        <v>41</v>
      </c>
      <c r="B51" s="92" t="str">
        <f>IF('2.ชื่อนักเรียน'!C51="","",'2.ชื่อนักเรียน'!C51)</f>
        <v/>
      </c>
      <c r="C51" s="199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4"/>
      <c r="I51" s="164"/>
      <c r="J51" s="164"/>
      <c r="K51" s="200"/>
      <c r="L51" s="201" t="str">
        <f>IF('2.ชื่อนักเรียน'!R51="มส","ไม่ผ่าน",IF('2.ชื่อนักเรียน'!R51="ย้าย","ย้าย",IF(COUNT(D51:K51)&lt;COUNTA($D$10:$K$10),"",IF(AVERAGE(D51:K51)&gt;=2.5,"ดีเยี่ยม",IF(AVERAGE(D51:K51)&gt;=1.5,"ดี",IF(AVERAGE(D51:K51)&gt;=1,"ผ่าน","ไม่ผ่าน"))))))</f>
        <v/>
      </c>
    </row>
    <row r="52" spans="1:12" s="90" customFormat="1" ht="16.5" customHeight="1" x14ac:dyDescent="0.25">
      <c r="A52" s="91">
        <v>42</v>
      </c>
      <c r="B52" s="92" t="str">
        <f>IF('2.ชื่อนักเรียน'!C52="","",'2.ชื่อนักเรียน'!C52)</f>
        <v/>
      </c>
      <c r="C52" s="199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4"/>
      <c r="I52" s="164"/>
      <c r="J52" s="164"/>
      <c r="K52" s="200"/>
      <c r="L52" s="201" t="str">
        <f>IF('2.ชื่อนักเรียน'!R52="มส","ไม่ผ่าน",IF('2.ชื่อนักเรียน'!R52="ย้าย","ย้าย",IF(COUNT(D52:K52)&lt;COUNTA($D$10:$K$10),"",IF(AVERAGE(D52:K52)&gt;=2.5,"ดีเยี่ยม",IF(AVERAGE(D52:K52)&gt;=1.5,"ดี",IF(AVERAGE(D52:K52)&gt;=1,"ผ่าน","ไม่ผ่าน"))))))</f>
        <v/>
      </c>
    </row>
    <row r="53" spans="1:12" s="90" customFormat="1" ht="16.5" customHeight="1" x14ac:dyDescent="0.25">
      <c r="A53" s="91">
        <v>43</v>
      </c>
      <c r="B53" s="92" t="str">
        <f>IF('2.ชื่อนักเรียน'!C53="","",'2.ชื่อนักเรียน'!C53)</f>
        <v/>
      </c>
      <c r="C53" s="199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4"/>
      <c r="I53" s="164"/>
      <c r="J53" s="164"/>
      <c r="K53" s="200"/>
      <c r="L53" s="201" t="str">
        <f>IF('2.ชื่อนักเรียน'!R53="มส","ไม่ผ่าน",IF('2.ชื่อนักเรียน'!R53="ย้าย","ย้าย",IF(COUNT(D53:K53)&lt;COUNTA($D$10:$K$10),"",IF(AVERAGE(D53:K53)&gt;=2.5,"ดีเยี่ยม",IF(AVERAGE(D53:K53)&gt;=1.5,"ดี",IF(AVERAGE(D53:K53)&gt;=1,"ผ่าน","ไม่ผ่าน"))))))</f>
        <v/>
      </c>
    </row>
    <row r="54" spans="1:12" s="90" customFormat="1" ht="16.5" customHeight="1" x14ac:dyDescent="0.25">
      <c r="A54" s="91">
        <v>44</v>
      </c>
      <c r="B54" s="92" t="str">
        <f>IF('2.ชื่อนักเรียน'!C54="","",'2.ชื่อนักเรียน'!C54)</f>
        <v/>
      </c>
      <c r="C54" s="199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4"/>
      <c r="I54" s="164"/>
      <c r="J54" s="164"/>
      <c r="K54" s="200"/>
      <c r="L54" s="201" t="str">
        <f>IF('2.ชื่อนักเรียน'!R54="มส","ไม่ผ่าน",IF('2.ชื่อนักเรียน'!R54="ย้าย","ย้าย",IF(COUNT(D54:K54)&lt;COUNTA($D$10:$K$10),"",IF(AVERAGE(D54:K54)&gt;=2.5,"ดีเยี่ยม",IF(AVERAGE(D54:K54)&gt;=1.5,"ดี",IF(AVERAGE(D54:K54)&gt;=1,"ผ่าน","ไม่ผ่าน"))))))</f>
        <v/>
      </c>
    </row>
    <row r="55" spans="1:12" s="90" customFormat="1" ht="16.5" customHeight="1" thickBot="1" x14ac:dyDescent="0.3">
      <c r="A55" s="203">
        <v>45</v>
      </c>
      <c r="B55" s="204" t="str">
        <f>IF('2.ชื่อนักเรียน'!C55="","",'2.ชื่อนักเรียน'!C55)</f>
        <v/>
      </c>
      <c r="C55" s="205" t="str">
        <f>IF('2.ชื่อนักเรียน'!D55="","",'2.ชื่อนักเรียน'!D55)</f>
        <v/>
      </c>
      <c r="D55" s="206"/>
      <c r="E55" s="207"/>
      <c r="F55" s="207"/>
      <c r="G55" s="207" t="s">
        <v>50</v>
      </c>
      <c r="H55" s="207"/>
      <c r="I55" s="207"/>
      <c r="J55" s="207"/>
      <c r="K55" s="208"/>
      <c r="L55" s="209" t="str">
        <f>IF('2.ชื่อนักเรียน'!R55="มส","ไม่ผ่าน",IF('2.ชื่อนักเรียน'!R55="ย้าย","ย้าย",IF(COUNT(D55:K55)&lt;COUNTA($D$10:$K$10),"",IF(AVERAGE(D55:K55)&gt;=2.5,"ดีเยี่ยม",IF(AVERAGE(D55:K55)&gt;=1.5,"ดี",IF(AVERAGE(D55:K55)&gt;=1,"ผ่าน","ไม่ผ่าน"))))))</f>
        <v/>
      </c>
    </row>
    <row r="56" spans="1:12" s="98" customFormat="1" ht="9.75" customHeight="1" x14ac:dyDescent="0.25">
      <c r="A56" s="96"/>
      <c r="B56" s="97"/>
      <c r="C56" s="97"/>
      <c r="D56" s="96"/>
      <c r="E56" s="96"/>
      <c r="F56" s="96"/>
      <c r="G56" s="96"/>
      <c r="H56" s="96"/>
      <c r="I56" s="96"/>
    </row>
    <row r="57" spans="1:12" s="100" customFormat="1" ht="16.5" customHeight="1" x14ac:dyDescent="0.25">
      <c r="A57" s="96"/>
      <c r="B57" s="99"/>
      <c r="C57" s="99"/>
      <c r="D57" s="96"/>
      <c r="E57" s="96"/>
    </row>
    <row r="58" spans="1:12" s="100" customFormat="1" ht="16.5" customHeight="1" x14ac:dyDescent="0.25">
      <c r="A58" s="96"/>
      <c r="B58" s="99"/>
      <c r="C58" s="99"/>
      <c r="D58" s="96"/>
      <c r="E58" s="96"/>
    </row>
    <row r="59" spans="1:12" s="100" customFormat="1" ht="16.5" customHeight="1" x14ac:dyDescent="0.25">
      <c r="A59" s="96"/>
      <c r="B59" s="99"/>
      <c r="C59" s="99"/>
      <c r="D59" s="96"/>
      <c r="E59" s="96"/>
    </row>
    <row r="60" spans="1:12" ht="16.5" customHeight="1" x14ac:dyDescent="0.4">
      <c r="A60" s="96"/>
      <c r="B60" s="99"/>
      <c r="C60" s="99"/>
      <c r="D60" s="101"/>
      <c r="E60" s="101"/>
    </row>
    <row r="61" spans="1:12" ht="16.5" customHeight="1" x14ac:dyDescent="0.4">
      <c r="A61" s="96"/>
      <c r="B61" s="99"/>
      <c r="C61" s="99"/>
      <c r="D61" s="101"/>
      <c r="E61" s="101"/>
    </row>
    <row r="62" spans="1:12" ht="12.75" customHeight="1" x14ac:dyDescent="0.4">
      <c r="A62" s="96"/>
      <c r="B62" s="99"/>
      <c r="C62" s="99"/>
      <c r="D62" s="96"/>
      <c r="E62" s="96"/>
    </row>
  </sheetData>
  <sheetProtection algorithmName="SHA-512" hashValue="lD7zKrv5hSZA2daMoj8yLHxByZ0WJggB2tYNosb2Nr5e5wzS9ujKLfNS+c4sRactG1xyrWMAVGe67SnqjB9spQ==" saltValue="dZCHFt+06ef5qxKZRb9BYQ==" spinCount="100000" sheet="1" objects="1" scenarios="1"/>
  <customSheetViews>
    <customSheetView guid="{D1BB6683-1C02-4800-8A34-4095A10BD8CF}" showPageBreaks="1" hiddenRows="1" view="pageBreakPreview" topLeftCell="A30">
      <selection activeCell="D11" sqref="D11:K38"/>
      <pageMargins left="0.39370078740157483" right="0.19685039370078741" top="0.19685039370078741" bottom="0.19685039370078741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3">
    <mergeCell ref="A1:L1"/>
    <mergeCell ref="A2:L2"/>
    <mergeCell ref="B10:C10"/>
  </mergeCells>
  <dataValidations count="1">
    <dataValidation type="list" allowBlank="1" showInputMessage="1" showErrorMessage="1" error="พิมพ์ได้เฉพาะค่า 0,1,2,3" prompt="3=ดีเยี่ยม_x000a_2=ดี_x000a_1=ผ่าน_x000a_0=ไม่ผ่าน หรือกรณีนรไม่มีตัว_x000a_- กรณี ย้าย" sqref="D11:K55" xr:uid="{00000000-0002-0000-0A00-000000000000}">
      <formula1>"0,1,2,3,-"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orientation="portrait" horizontalDpi="4294967293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33203125" defaultRowHeight="21" x14ac:dyDescent="0.4"/>
  <cols>
    <col min="1" max="1" width="3.44140625" style="80" customWidth="1"/>
    <col min="2" max="2" width="14" style="80" customWidth="1"/>
    <col min="3" max="3" width="11.6640625" style="80" customWidth="1"/>
    <col min="4" max="4" width="9.33203125" style="80" customWidth="1"/>
    <col min="5" max="5" width="10" style="80" customWidth="1"/>
    <col min="6" max="7" width="7" style="80" customWidth="1"/>
    <col min="8" max="8" width="9.6640625" style="82" customWidth="1"/>
    <col min="9" max="10" width="7" style="80" customWidth="1"/>
    <col min="11" max="11" width="10.33203125" style="82" customWidth="1"/>
    <col min="12" max="13" width="7" style="80" customWidth="1"/>
    <col min="14" max="14" width="9.44140625" style="82" customWidth="1"/>
    <col min="15" max="16" width="7" style="80" customWidth="1"/>
    <col min="17" max="18" width="0" style="80" hidden="1" customWidth="1"/>
    <col min="19" max="16384" width="9.33203125" style="80"/>
  </cols>
  <sheetData>
    <row r="1" spans="1:23" s="79" customFormat="1" ht="24.75" customHeight="1" x14ac:dyDescent="0.35">
      <c r="A1" s="816" t="s">
        <v>569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</row>
    <row r="2" spans="1:23" s="79" customFormat="1" ht="24.75" customHeight="1" x14ac:dyDescent="0.35">
      <c r="A2" s="816" t="s">
        <v>626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R2" s="834" t="s">
        <v>594</v>
      </c>
      <c r="S2" s="834"/>
      <c r="T2" s="834"/>
      <c r="U2" s="834"/>
      <c r="V2" s="834"/>
      <c r="W2" s="834"/>
    </row>
    <row r="3" spans="1:23" s="79" customFormat="1" ht="24.75" hidden="1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R3" s="834"/>
      <c r="S3" s="834"/>
      <c r="T3" s="834"/>
      <c r="U3" s="834"/>
      <c r="V3" s="834"/>
      <c r="W3" s="834"/>
    </row>
    <row r="4" spans="1:23" s="79" customFormat="1" ht="24.75" hidden="1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R4" s="834"/>
      <c r="S4" s="834"/>
      <c r="T4" s="834"/>
      <c r="U4" s="834"/>
      <c r="V4" s="834"/>
      <c r="W4" s="834"/>
    </row>
    <row r="5" spans="1:23" s="79" customFormat="1" ht="24.75" hidden="1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R5" s="834"/>
      <c r="S5" s="834"/>
      <c r="T5" s="834"/>
      <c r="U5" s="834"/>
      <c r="V5" s="834"/>
      <c r="W5" s="834"/>
    </row>
    <row r="6" spans="1:23" s="79" customFormat="1" ht="24.75" hidden="1" customHeight="1" x14ac:dyDescent="0.3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R6" s="834"/>
      <c r="S6" s="834"/>
      <c r="T6" s="834"/>
      <c r="U6" s="834"/>
      <c r="V6" s="834"/>
      <c r="W6" s="834"/>
    </row>
    <row r="7" spans="1:23" s="79" customFormat="1" ht="24.75" hidden="1" customHeight="1" x14ac:dyDescent="0.3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R7" s="834"/>
      <c r="S7" s="834"/>
      <c r="T7" s="834"/>
      <c r="U7" s="834"/>
      <c r="V7" s="834"/>
      <c r="W7" s="834"/>
    </row>
    <row r="8" spans="1:23" s="79" customFormat="1" ht="20.25" customHeight="1" thickBot="1" x14ac:dyDescent="0.4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R8" s="834"/>
      <c r="S8" s="834"/>
      <c r="T8" s="834"/>
      <c r="U8" s="834"/>
      <c r="V8" s="834"/>
      <c r="W8" s="834"/>
    </row>
    <row r="9" spans="1:23" ht="21" customHeight="1" x14ac:dyDescent="0.4">
      <c r="A9" s="835" t="s">
        <v>0</v>
      </c>
      <c r="B9" s="837" t="s">
        <v>60</v>
      </c>
      <c r="C9" s="838"/>
      <c r="D9" s="841" t="s">
        <v>570</v>
      </c>
      <c r="E9" s="843">
        <v>43616</v>
      </c>
      <c r="F9" s="844"/>
      <c r="G9" s="844"/>
      <c r="H9" s="844">
        <v>43708</v>
      </c>
      <c r="I9" s="844"/>
      <c r="J9" s="844"/>
      <c r="K9" s="844">
        <v>43799</v>
      </c>
      <c r="L9" s="844"/>
      <c r="M9" s="844"/>
      <c r="N9" s="844">
        <v>43889</v>
      </c>
      <c r="O9" s="844"/>
      <c r="P9" s="845"/>
      <c r="R9" s="834"/>
      <c r="S9" s="834"/>
      <c r="T9" s="834"/>
      <c r="U9" s="834"/>
      <c r="V9" s="834"/>
      <c r="W9" s="834"/>
    </row>
    <row r="10" spans="1:23" s="102" customFormat="1" ht="17.25" customHeight="1" thickBot="1" x14ac:dyDescent="0.4">
      <c r="A10" s="836"/>
      <c r="B10" s="839"/>
      <c r="C10" s="840"/>
      <c r="D10" s="842"/>
      <c r="E10" s="266" t="s">
        <v>571</v>
      </c>
      <c r="F10" s="267" t="s">
        <v>572</v>
      </c>
      <c r="G10" s="267" t="s">
        <v>573</v>
      </c>
      <c r="H10" s="267" t="s">
        <v>571</v>
      </c>
      <c r="I10" s="267" t="s">
        <v>572</v>
      </c>
      <c r="J10" s="267" t="s">
        <v>573</v>
      </c>
      <c r="K10" s="267" t="s">
        <v>571</v>
      </c>
      <c r="L10" s="267" t="s">
        <v>572</v>
      </c>
      <c r="M10" s="267" t="s">
        <v>573</v>
      </c>
      <c r="N10" s="267" t="s">
        <v>571</v>
      </c>
      <c r="O10" s="267" t="s">
        <v>572</v>
      </c>
      <c r="P10" s="268" t="s">
        <v>573</v>
      </c>
      <c r="R10" s="834"/>
      <c r="S10" s="834"/>
      <c r="T10" s="834"/>
      <c r="U10" s="834"/>
      <c r="V10" s="834"/>
      <c r="W10" s="834"/>
    </row>
    <row r="11" spans="1:23" s="90" customFormat="1" ht="16.5" customHeight="1" x14ac:dyDescent="0.65">
      <c r="A11" s="86">
        <v>1</v>
      </c>
      <c r="B11" s="87" t="str">
        <f>IF('2.ชื่อนักเรียน'!C11="","",'2.ชื่อนักเรียน'!C11)</f>
        <v/>
      </c>
      <c r="C11" s="194" t="str">
        <f>IF('2.ชื่อนักเรียน'!D11="","",'2.ชื่อนักเรียน'!D11)</f>
        <v/>
      </c>
      <c r="D11" s="259">
        <v>38039</v>
      </c>
      <c r="E11" s="265" t="str">
        <f>DATEDIF(D11,$E$9,"y")&amp;" ปี "&amp;DATEDIF(D11,$E$9,"ym")&amp;" เดือน "</f>
        <v xml:space="preserve">15 ปี 3 เดือน </v>
      </c>
      <c r="F11" s="243" t="s">
        <v>164</v>
      </c>
      <c r="G11" s="243" t="s">
        <v>164</v>
      </c>
      <c r="H11" s="256" t="str">
        <f>DATEDIF(D11,$H$9,"y")&amp;" ปี "&amp;DATEDIF(D11,$H$9,"ym")&amp;" เดือน "</f>
        <v xml:space="preserve">15 ปี 6 เดือน </v>
      </c>
      <c r="I11" s="243" t="s">
        <v>164</v>
      </c>
      <c r="J11" s="243" t="s">
        <v>164</v>
      </c>
      <c r="K11" s="256" t="str">
        <f>DATEDIF(D11,$K$9,"y")&amp;" ปี "&amp;DATEDIF(D11,$K$9,"ym")&amp;" เดือน "</f>
        <v xml:space="preserve">15 ปี 9 เดือน </v>
      </c>
      <c r="L11" s="243" t="s">
        <v>164</v>
      </c>
      <c r="M11" s="243" t="s">
        <v>164</v>
      </c>
      <c r="N11" s="256" t="str">
        <f>DATEDIF(D11,$N$9,"y")&amp;" ปี "&amp;DATEDIF(D11,$N$9,"ym")&amp;" เดือน "</f>
        <v xml:space="preserve">16 ปี 0 เดือน </v>
      </c>
      <c r="O11" s="243" t="s">
        <v>164</v>
      </c>
      <c r="P11" s="244" t="s">
        <v>164</v>
      </c>
      <c r="R11" s="255"/>
      <c r="S11" s="255"/>
      <c r="T11" s="255"/>
      <c r="U11" s="255"/>
      <c r="V11" s="255"/>
      <c r="W11" s="255"/>
    </row>
    <row r="12" spans="1:23" s="90" customFormat="1" ht="16.5" customHeight="1" x14ac:dyDescent="0.25">
      <c r="A12" s="91">
        <v>2</v>
      </c>
      <c r="B12" s="92" t="str">
        <f>IF('2.ชื่อนักเรียน'!C12="","",'2.ชื่อนักเรียน'!C12)</f>
        <v/>
      </c>
      <c r="C12" s="199" t="str">
        <f>IF('2.ชื่อนักเรียน'!D12="","",'2.ชื่อนักเรียน'!D12)</f>
        <v/>
      </c>
      <c r="D12" s="260">
        <v>38835</v>
      </c>
      <c r="E12" s="263" t="str">
        <f t="shared" ref="E12:E46" si="0">DATEDIF(D12,$E$9,"y")&amp;" ปี "&amp;DATEDIF(D12,$E$9,"ym")&amp;" เดือน "</f>
        <v xml:space="preserve">13 ปี 1 เดือน </v>
      </c>
      <c r="F12" s="245">
        <v>56.4</v>
      </c>
      <c r="G12" s="245">
        <v>171</v>
      </c>
      <c r="H12" s="257" t="str">
        <f t="shared" ref="H12:H46" si="1">DATEDIF(D12,$H$9,"y")&amp;" ปี "&amp;DATEDIF(D12,$H$9,"ym")&amp;" เดือน "</f>
        <v xml:space="preserve">13 ปี 4 เดือน </v>
      </c>
      <c r="I12" s="245">
        <v>56</v>
      </c>
      <c r="J12" s="245">
        <v>171</v>
      </c>
      <c r="K12" s="257" t="str">
        <f t="shared" ref="K12:K46" si="2">DATEDIF(D12,$K$9,"y")&amp;" ปี "&amp;DATEDIF(D12,$K$9,"ym")&amp;" เดือน "</f>
        <v xml:space="preserve">13 ปี 7 เดือน </v>
      </c>
      <c r="L12" s="245">
        <v>54</v>
      </c>
      <c r="M12" s="245">
        <v>173</v>
      </c>
      <c r="N12" s="257" t="str">
        <f t="shared" ref="N12:N46" si="3">DATEDIF(D12,$N$9,"y")&amp;" ปี "&amp;DATEDIF(D12,$N$9,"ym")&amp;" เดือน "</f>
        <v xml:space="preserve">13 ปี 10 เดือน </v>
      </c>
      <c r="O12" s="245">
        <v>58</v>
      </c>
      <c r="P12" s="246">
        <v>173</v>
      </c>
      <c r="R12" s="834"/>
      <c r="S12" s="834"/>
      <c r="T12" s="834"/>
      <c r="U12" s="834"/>
      <c r="V12" s="834"/>
      <c r="W12" s="834"/>
    </row>
    <row r="13" spans="1:23" s="90" customFormat="1" ht="16.5" customHeight="1" x14ac:dyDescent="0.25">
      <c r="A13" s="91">
        <v>3</v>
      </c>
      <c r="B13" s="92" t="str">
        <f>IF('2.ชื่อนักเรียน'!C13="","",'2.ชื่อนักเรียน'!C13)</f>
        <v/>
      </c>
      <c r="C13" s="199" t="str">
        <f>IF('2.ชื่อนักเรียน'!D13="","",'2.ชื่อนักเรียน'!D13)</f>
        <v/>
      </c>
      <c r="D13" s="260">
        <v>39007</v>
      </c>
      <c r="E13" s="263" t="str">
        <f t="shared" si="0"/>
        <v xml:space="preserve">12 ปี 7 เดือน </v>
      </c>
      <c r="F13" s="245">
        <v>93.8</v>
      </c>
      <c r="G13" s="245">
        <v>172</v>
      </c>
      <c r="H13" s="257" t="str">
        <f t="shared" si="1"/>
        <v xml:space="preserve">12 ปี 10 เดือน </v>
      </c>
      <c r="I13" s="245">
        <v>91</v>
      </c>
      <c r="J13" s="245">
        <v>174</v>
      </c>
      <c r="K13" s="257" t="str">
        <f t="shared" si="2"/>
        <v xml:space="preserve">13 ปี 1 เดือน </v>
      </c>
      <c r="L13" s="245">
        <v>84</v>
      </c>
      <c r="M13" s="245">
        <v>176</v>
      </c>
      <c r="N13" s="257" t="str">
        <f t="shared" si="3"/>
        <v xml:space="preserve">13 ปี 4 เดือน </v>
      </c>
      <c r="O13" s="245">
        <v>84</v>
      </c>
      <c r="P13" s="246">
        <v>180</v>
      </c>
      <c r="R13" s="834"/>
      <c r="S13" s="834"/>
      <c r="T13" s="834"/>
      <c r="U13" s="834"/>
      <c r="V13" s="834"/>
      <c r="W13" s="834"/>
    </row>
    <row r="14" spans="1:23" s="90" customFormat="1" ht="16.5" customHeight="1" x14ac:dyDescent="0.25">
      <c r="A14" s="91">
        <v>4</v>
      </c>
      <c r="B14" s="92" t="str">
        <f>IF('2.ชื่อนักเรียน'!C14="","",'2.ชื่อนักเรียน'!C14)</f>
        <v/>
      </c>
      <c r="C14" s="199" t="str">
        <f>IF('2.ชื่อนักเรียน'!D14="","",'2.ชื่อนักเรียน'!D14)</f>
        <v/>
      </c>
      <c r="D14" s="260">
        <v>39073</v>
      </c>
      <c r="E14" s="263" t="str">
        <f t="shared" si="0"/>
        <v xml:space="preserve">12 ปี 5 เดือน </v>
      </c>
      <c r="F14" s="245">
        <v>39.5</v>
      </c>
      <c r="G14" s="245">
        <v>146</v>
      </c>
      <c r="H14" s="257" t="str">
        <f t="shared" si="1"/>
        <v xml:space="preserve">12 ปี 8 เดือน </v>
      </c>
      <c r="I14" s="245">
        <v>40</v>
      </c>
      <c r="J14" s="245">
        <v>145</v>
      </c>
      <c r="K14" s="257" t="str">
        <f t="shared" si="2"/>
        <v xml:space="preserve">12 ปี 11 เดือน </v>
      </c>
      <c r="L14" s="245">
        <v>39</v>
      </c>
      <c r="M14" s="245">
        <v>148</v>
      </c>
      <c r="N14" s="257" t="str">
        <f t="shared" si="3"/>
        <v xml:space="preserve">13 ปี 2 เดือน </v>
      </c>
      <c r="O14" s="245">
        <v>41</v>
      </c>
      <c r="P14" s="246">
        <v>150</v>
      </c>
      <c r="R14" s="834"/>
      <c r="S14" s="834"/>
      <c r="T14" s="834"/>
      <c r="U14" s="834"/>
      <c r="V14" s="834"/>
      <c r="W14" s="834"/>
    </row>
    <row r="15" spans="1:23" s="90" customFormat="1" ht="16.5" customHeight="1" x14ac:dyDescent="0.25">
      <c r="A15" s="91">
        <v>5</v>
      </c>
      <c r="B15" s="92" t="str">
        <f>IF('2.ชื่อนักเรียน'!C15="","",'2.ชื่อนักเรียน'!C15)</f>
        <v/>
      </c>
      <c r="C15" s="199" t="str">
        <f>IF('2.ชื่อนักเรียน'!D15="","",'2.ชื่อนักเรียน'!D15)</f>
        <v/>
      </c>
      <c r="D15" s="260">
        <v>39229</v>
      </c>
      <c r="E15" s="263" t="str">
        <f t="shared" si="0"/>
        <v xml:space="preserve">12 ปี 0 เดือน </v>
      </c>
      <c r="F15" s="245">
        <v>65.5</v>
      </c>
      <c r="G15" s="245">
        <v>161</v>
      </c>
      <c r="H15" s="257" t="str">
        <f t="shared" si="1"/>
        <v xml:space="preserve">12 ปี 3 เดือน </v>
      </c>
      <c r="I15" s="245">
        <v>66</v>
      </c>
      <c r="J15" s="245">
        <v>165</v>
      </c>
      <c r="K15" s="257" t="str">
        <f t="shared" si="2"/>
        <v xml:space="preserve">12 ปี 6 เดือน </v>
      </c>
      <c r="L15" s="245">
        <v>65</v>
      </c>
      <c r="M15" s="245">
        <v>164</v>
      </c>
      <c r="N15" s="257" t="str">
        <f t="shared" si="3"/>
        <v xml:space="preserve">12 ปี 9 เดือน </v>
      </c>
      <c r="O15" s="245">
        <v>66</v>
      </c>
      <c r="P15" s="246">
        <v>167</v>
      </c>
    </row>
    <row r="16" spans="1:23" s="90" customFormat="1" ht="16.5" customHeight="1" x14ac:dyDescent="0.25">
      <c r="A16" s="91">
        <v>6</v>
      </c>
      <c r="B16" s="92" t="str">
        <f>IF('2.ชื่อนักเรียน'!C16="","",'2.ชื่อนักเรียน'!C16)</f>
        <v/>
      </c>
      <c r="C16" s="199" t="str">
        <f>IF('2.ชื่อนักเรียน'!D16="","",'2.ชื่อนักเรียน'!D16)</f>
        <v/>
      </c>
      <c r="D16" s="260">
        <v>39098</v>
      </c>
      <c r="E16" s="263" t="str">
        <f t="shared" si="0"/>
        <v xml:space="preserve">12 ปี 4 เดือน </v>
      </c>
      <c r="F16" s="245">
        <v>36.1</v>
      </c>
      <c r="G16" s="245">
        <v>148</v>
      </c>
      <c r="H16" s="257" t="str">
        <f t="shared" si="1"/>
        <v xml:space="preserve">12 ปี 7 เดือน </v>
      </c>
      <c r="I16" s="245">
        <v>39</v>
      </c>
      <c r="J16" s="245">
        <v>150</v>
      </c>
      <c r="K16" s="257" t="str">
        <f t="shared" si="2"/>
        <v xml:space="preserve">12 ปี 10 เดือน </v>
      </c>
      <c r="L16" s="245">
        <v>39</v>
      </c>
      <c r="M16" s="245">
        <v>155</v>
      </c>
      <c r="N16" s="257" t="str">
        <f t="shared" si="3"/>
        <v xml:space="preserve">13 ปี 1 เดือน </v>
      </c>
      <c r="O16" s="245">
        <v>44</v>
      </c>
      <c r="P16" s="246">
        <v>156</v>
      </c>
    </row>
    <row r="17" spans="1:16" s="90" customFormat="1" ht="16.5" customHeight="1" x14ac:dyDescent="0.25">
      <c r="A17" s="91">
        <v>7</v>
      </c>
      <c r="B17" s="92" t="str">
        <f>IF('2.ชื่อนักเรียน'!C17="","",'2.ชื่อนักเรียน'!C17)</f>
        <v/>
      </c>
      <c r="C17" s="199" t="str">
        <f>IF('2.ชื่อนักเรียน'!D17="","",'2.ชื่อนักเรียน'!D17)</f>
        <v/>
      </c>
      <c r="D17" s="260">
        <v>38905</v>
      </c>
      <c r="E17" s="263" t="str">
        <f t="shared" si="0"/>
        <v xml:space="preserve">12 ปี 10 เดือน </v>
      </c>
      <c r="F17" s="245">
        <v>41.2</v>
      </c>
      <c r="G17" s="245">
        <v>151</v>
      </c>
      <c r="H17" s="257" t="str">
        <f t="shared" si="1"/>
        <v xml:space="preserve">13 ปี 1 เดือน </v>
      </c>
      <c r="I17" s="245">
        <v>42</v>
      </c>
      <c r="J17" s="245">
        <v>153</v>
      </c>
      <c r="K17" s="257" t="str">
        <f t="shared" si="2"/>
        <v xml:space="preserve">13 ปี 4 เดือน </v>
      </c>
      <c r="L17" s="245">
        <v>42</v>
      </c>
      <c r="M17" s="245">
        <v>157</v>
      </c>
      <c r="N17" s="257" t="str">
        <f t="shared" si="3"/>
        <v xml:space="preserve">13 ปี 7 เดือน </v>
      </c>
      <c r="O17" s="245">
        <v>45</v>
      </c>
      <c r="P17" s="246">
        <v>159</v>
      </c>
    </row>
    <row r="18" spans="1:16" s="90" customFormat="1" ht="16.5" customHeight="1" x14ac:dyDescent="0.25">
      <c r="A18" s="91">
        <v>8</v>
      </c>
      <c r="B18" s="92" t="str">
        <f>IF('2.ชื่อนักเรียน'!C18="","",'2.ชื่อนักเรียน'!C18)</f>
        <v/>
      </c>
      <c r="C18" s="199" t="str">
        <f>IF('2.ชื่อนักเรียน'!D18="","",'2.ชื่อนักเรียน'!D18)</f>
        <v/>
      </c>
      <c r="D18" s="260">
        <v>39193</v>
      </c>
      <c r="E18" s="263" t="str">
        <f t="shared" si="0"/>
        <v xml:space="preserve">12 ปี 1 เดือน </v>
      </c>
      <c r="F18" s="245">
        <v>54.9</v>
      </c>
      <c r="G18" s="245">
        <v>150</v>
      </c>
      <c r="H18" s="257" t="str">
        <f t="shared" si="1"/>
        <v xml:space="preserve">12 ปี 4 เดือน </v>
      </c>
      <c r="I18" s="245">
        <v>55</v>
      </c>
      <c r="J18" s="245">
        <v>151</v>
      </c>
      <c r="K18" s="257" t="str">
        <f t="shared" si="2"/>
        <v xml:space="preserve">12 ปี 7 เดือน </v>
      </c>
      <c r="L18" s="245">
        <v>52</v>
      </c>
      <c r="M18" s="245">
        <v>152</v>
      </c>
      <c r="N18" s="257" t="str">
        <f t="shared" si="3"/>
        <v xml:space="preserve">12 ปี 10 เดือน </v>
      </c>
      <c r="O18" s="245">
        <v>55</v>
      </c>
      <c r="P18" s="246">
        <v>154</v>
      </c>
    </row>
    <row r="19" spans="1:16" s="90" customFormat="1" ht="16.5" customHeight="1" x14ac:dyDescent="0.25">
      <c r="A19" s="91">
        <v>9</v>
      </c>
      <c r="B19" s="92" t="str">
        <f>IF('2.ชื่อนักเรียน'!C19="","",'2.ชื่อนักเรียน'!C19)</f>
        <v/>
      </c>
      <c r="C19" s="199" t="str">
        <f>IF('2.ชื่อนักเรียน'!D19="","",'2.ชื่อนักเรียน'!D19)</f>
        <v/>
      </c>
      <c r="D19" s="260">
        <v>38927</v>
      </c>
      <c r="E19" s="263" t="str">
        <f t="shared" si="0"/>
        <v xml:space="preserve">12 ปี 10 เดือน </v>
      </c>
      <c r="F19" s="245">
        <v>67.599999999999994</v>
      </c>
      <c r="G19" s="245">
        <v>165</v>
      </c>
      <c r="H19" s="257" t="str">
        <f t="shared" si="1"/>
        <v xml:space="preserve">13 ปี 1 เดือน </v>
      </c>
      <c r="I19" s="245">
        <v>70</v>
      </c>
      <c r="J19" s="245">
        <v>165</v>
      </c>
      <c r="K19" s="257" t="str">
        <f t="shared" si="2"/>
        <v xml:space="preserve">13 ปี 4 เดือน </v>
      </c>
      <c r="L19" s="245">
        <v>70</v>
      </c>
      <c r="M19" s="245">
        <v>165</v>
      </c>
      <c r="N19" s="257" t="str">
        <f t="shared" si="3"/>
        <v xml:space="preserve">13 ปี 6 เดือน </v>
      </c>
      <c r="O19" s="245">
        <v>70</v>
      </c>
      <c r="P19" s="246">
        <v>165</v>
      </c>
    </row>
    <row r="20" spans="1:16" s="90" customFormat="1" ht="16.5" customHeight="1" x14ac:dyDescent="0.25">
      <c r="A20" s="91">
        <v>10</v>
      </c>
      <c r="B20" s="92" t="str">
        <f>IF('2.ชื่อนักเรียน'!C20="","",'2.ชื่อนักเรียน'!C20)</f>
        <v/>
      </c>
      <c r="C20" s="199" t="str">
        <f>IF('2.ชื่อนักเรียน'!D20="","",'2.ชื่อนักเรียน'!D20)</f>
        <v/>
      </c>
      <c r="D20" s="260">
        <v>38205</v>
      </c>
      <c r="E20" s="263" t="str">
        <f t="shared" si="0"/>
        <v xml:space="preserve">14 ปี 9 เดือน </v>
      </c>
      <c r="F20" s="245" t="s">
        <v>164</v>
      </c>
      <c r="G20" s="245" t="s">
        <v>164</v>
      </c>
      <c r="H20" s="257" t="str">
        <f t="shared" si="1"/>
        <v xml:space="preserve">15 ปี 0 เดือน </v>
      </c>
      <c r="I20" s="245" t="s">
        <v>164</v>
      </c>
      <c r="J20" s="245" t="s">
        <v>164</v>
      </c>
      <c r="K20" s="257" t="str">
        <f t="shared" si="2"/>
        <v xml:space="preserve">15 ปี 3 เดือน </v>
      </c>
      <c r="L20" s="245" t="s">
        <v>164</v>
      </c>
      <c r="M20" s="245" t="s">
        <v>164</v>
      </c>
      <c r="N20" s="257" t="str">
        <f t="shared" si="3"/>
        <v xml:space="preserve">15 ปี 6 เดือน </v>
      </c>
      <c r="O20" s="245" t="s">
        <v>164</v>
      </c>
      <c r="P20" s="246" t="s">
        <v>164</v>
      </c>
    </row>
    <row r="21" spans="1:16" s="90" customFormat="1" ht="16.5" customHeight="1" x14ac:dyDescent="0.25">
      <c r="A21" s="91">
        <v>11</v>
      </c>
      <c r="B21" s="92" t="str">
        <f>IF('2.ชื่อนักเรียน'!C21="","",'2.ชื่อนักเรียน'!C21)</f>
        <v/>
      </c>
      <c r="C21" s="199" t="str">
        <f>IF('2.ชื่อนักเรียน'!D21="","",'2.ชื่อนักเรียน'!D21)</f>
        <v/>
      </c>
      <c r="D21" s="260">
        <v>38917</v>
      </c>
      <c r="E21" s="263" t="str">
        <f t="shared" si="0"/>
        <v xml:space="preserve">12 ปี 10 เดือน </v>
      </c>
      <c r="F21" s="245">
        <v>32.5</v>
      </c>
      <c r="G21" s="245">
        <v>150</v>
      </c>
      <c r="H21" s="257" t="str">
        <f t="shared" si="1"/>
        <v xml:space="preserve">13 ปี 1 เดือน </v>
      </c>
      <c r="I21" s="245">
        <v>34</v>
      </c>
      <c r="J21" s="245">
        <v>151</v>
      </c>
      <c r="K21" s="257" t="str">
        <f t="shared" si="2"/>
        <v xml:space="preserve">13 ปี 4 เดือน </v>
      </c>
      <c r="L21" s="245">
        <v>36</v>
      </c>
      <c r="M21" s="245">
        <v>154</v>
      </c>
      <c r="N21" s="257" t="str">
        <f t="shared" si="3"/>
        <v xml:space="preserve">13 ปี 7 เดือน </v>
      </c>
      <c r="O21" s="245">
        <v>37</v>
      </c>
      <c r="P21" s="246">
        <v>157</v>
      </c>
    </row>
    <row r="22" spans="1:16" s="90" customFormat="1" ht="16.5" customHeight="1" x14ac:dyDescent="0.25">
      <c r="A22" s="91">
        <v>12</v>
      </c>
      <c r="B22" s="92" t="str">
        <f>IF('2.ชื่อนักเรียน'!C22="","",'2.ชื่อนักเรียน'!C22)</f>
        <v/>
      </c>
      <c r="C22" s="199" t="str">
        <f>IF('2.ชื่อนักเรียน'!D22="","",'2.ชื่อนักเรียน'!D22)</f>
        <v/>
      </c>
      <c r="D22" s="260">
        <v>38877</v>
      </c>
      <c r="E22" s="263" t="str">
        <f t="shared" si="0"/>
        <v xml:space="preserve">12 ปี 11 เดือน </v>
      </c>
      <c r="F22" s="245">
        <v>34.5</v>
      </c>
      <c r="G22" s="245">
        <v>152</v>
      </c>
      <c r="H22" s="257" t="str">
        <f t="shared" si="1"/>
        <v xml:space="preserve">13 ปี 2 เดือน </v>
      </c>
      <c r="I22" s="245">
        <v>36</v>
      </c>
      <c r="J22" s="245">
        <v>153</v>
      </c>
      <c r="K22" s="257" t="str">
        <f t="shared" si="2"/>
        <v xml:space="preserve">13 ปี 5 เดือน </v>
      </c>
      <c r="L22" s="245">
        <v>37</v>
      </c>
      <c r="M22" s="245">
        <v>155</v>
      </c>
      <c r="N22" s="257" t="str">
        <f t="shared" si="3"/>
        <v xml:space="preserve">13 ปี 8 เดือน </v>
      </c>
      <c r="O22" s="245">
        <v>39</v>
      </c>
      <c r="P22" s="246">
        <v>158</v>
      </c>
    </row>
    <row r="23" spans="1:16" s="90" customFormat="1" ht="16.5" customHeight="1" x14ac:dyDescent="0.25">
      <c r="A23" s="91">
        <v>13</v>
      </c>
      <c r="B23" s="92" t="str">
        <f>IF('2.ชื่อนักเรียน'!C23="","",'2.ชื่อนักเรียน'!C23)</f>
        <v/>
      </c>
      <c r="C23" s="199" t="str">
        <f>IF('2.ชื่อนักเรียน'!D23="","",'2.ชื่อนักเรียน'!D23)</f>
        <v/>
      </c>
      <c r="D23" s="260">
        <v>38912</v>
      </c>
      <c r="E23" s="263" t="str">
        <f t="shared" si="0"/>
        <v xml:space="preserve">12 ปี 10 เดือน </v>
      </c>
      <c r="F23" s="245">
        <v>35.6</v>
      </c>
      <c r="G23" s="245">
        <v>146</v>
      </c>
      <c r="H23" s="257" t="str">
        <f t="shared" si="1"/>
        <v xml:space="preserve">13 ปี 1 เดือน </v>
      </c>
      <c r="I23" s="245">
        <v>35</v>
      </c>
      <c r="J23" s="245">
        <v>145</v>
      </c>
      <c r="K23" s="257" t="str">
        <f t="shared" si="2"/>
        <v xml:space="preserve">13 ปี 4 เดือน </v>
      </c>
      <c r="L23" s="245">
        <v>38</v>
      </c>
      <c r="M23" s="245">
        <v>148</v>
      </c>
      <c r="N23" s="257" t="str">
        <f t="shared" si="3"/>
        <v xml:space="preserve">13 ปี 7 เดือน </v>
      </c>
      <c r="O23" s="245">
        <v>40</v>
      </c>
      <c r="P23" s="246">
        <v>150</v>
      </c>
    </row>
    <row r="24" spans="1:16" s="90" customFormat="1" ht="16.5" customHeight="1" x14ac:dyDescent="0.25">
      <c r="A24" s="91">
        <v>14</v>
      </c>
      <c r="B24" s="92" t="str">
        <f>IF('2.ชื่อนักเรียน'!C24="","",'2.ชื่อนักเรียน'!C24)</f>
        <v/>
      </c>
      <c r="C24" s="199" t="str">
        <f>IF('2.ชื่อนักเรียน'!D24="","",'2.ชื่อนักเรียน'!D24)</f>
        <v/>
      </c>
      <c r="D24" s="260">
        <v>38908</v>
      </c>
      <c r="E24" s="263" t="str">
        <f t="shared" si="0"/>
        <v xml:space="preserve">12 ปี 10 เดือน </v>
      </c>
      <c r="F24" s="245">
        <v>60</v>
      </c>
      <c r="G24" s="245">
        <v>167</v>
      </c>
      <c r="H24" s="257" t="str">
        <f t="shared" si="1"/>
        <v xml:space="preserve">13 ปี 1 เดือน </v>
      </c>
      <c r="I24" s="245">
        <v>61</v>
      </c>
      <c r="J24" s="245">
        <v>169</v>
      </c>
      <c r="K24" s="257" t="str">
        <f t="shared" si="2"/>
        <v xml:space="preserve">13 ปี 4 เดือน </v>
      </c>
      <c r="L24" s="245">
        <v>65</v>
      </c>
      <c r="M24" s="245">
        <v>171</v>
      </c>
      <c r="N24" s="257" t="str">
        <f t="shared" si="3"/>
        <v xml:space="preserve">13 ปี 7 เดือน </v>
      </c>
      <c r="O24" s="245">
        <v>63</v>
      </c>
      <c r="P24" s="246">
        <v>171</v>
      </c>
    </row>
    <row r="25" spans="1:16" s="90" customFormat="1" ht="16.5" customHeight="1" x14ac:dyDescent="0.25">
      <c r="A25" s="91">
        <v>15</v>
      </c>
      <c r="B25" s="92" t="str">
        <f>IF('2.ชื่อนักเรียน'!C25="","",'2.ชื่อนักเรียน'!C25)</f>
        <v/>
      </c>
      <c r="C25" s="199" t="str">
        <f>IF('2.ชื่อนักเรียน'!D25="","",'2.ชื่อนักเรียน'!D25)</f>
        <v/>
      </c>
      <c r="D25" s="260">
        <v>39108</v>
      </c>
      <c r="E25" s="263" t="str">
        <f t="shared" si="0"/>
        <v xml:space="preserve">12 ปี 4 เดือน </v>
      </c>
      <c r="F25" s="245">
        <v>29.1</v>
      </c>
      <c r="G25" s="245">
        <v>148</v>
      </c>
      <c r="H25" s="257" t="str">
        <f t="shared" si="1"/>
        <v xml:space="preserve">12 ปี 7 เดือน </v>
      </c>
      <c r="I25" s="245">
        <v>30</v>
      </c>
      <c r="J25" s="245">
        <v>148</v>
      </c>
      <c r="K25" s="257" t="str">
        <f t="shared" si="2"/>
        <v xml:space="preserve">12 ปี 10 เดือน </v>
      </c>
      <c r="L25" s="245">
        <v>29</v>
      </c>
      <c r="M25" s="245">
        <v>148</v>
      </c>
      <c r="N25" s="257" t="str">
        <f t="shared" si="3"/>
        <v xml:space="preserve">13 ปี 1 เดือน </v>
      </c>
      <c r="O25" s="245">
        <v>31</v>
      </c>
      <c r="P25" s="246">
        <v>151</v>
      </c>
    </row>
    <row r="26" spans="1:16" s="90" customFormat="1" ht="16.5" customHeight="1" x14ac:dyDescent="0.25">
      <c r="A26" s="91">
        <v>16</v>
      </c>
      <c r="B26" s="92" t="str">
        <f>IF('2.ชื่อนักเรียน'!C26="","",'2.ชื่อนักเรียน'!C26)</f>
        <v/>
      </c>
      <c r="C26" s="199" t="str">
        <f>IF('2.ชื่อนักเรียน'!D26="","",'2.ชื่อนักเรียน'!D26)</f>
        <v/>
      </c>
      <c r="D26" s="260">
        <v>38757</v>
      </c>
      <c r="E26" s="263" t="str">
        <f t="shared" si="0"/>
        <v xml:space="preserve">13 ปี 3 เดือน </v>
      </c>
      <c r="F26" s="245">
        <v>70</v>
      </c>
      <c r="G26" s="245">
        <v>150</v>
      </c>
      <c r="H26" s="257" t="str">
        <f t="shared" si="1"/>
        <v xml:space="preserve">13 ปี 6 เดือน </v>
      </c>
      <c r="I26" s="245">
        <v>69</v>
      </c>
      <c r="J26" s="245">
        <v>150</v>
      </c>
      <c r="K26" s="257" t="str">
        <f t="shared" si="2"/>
        <v xml:space="preserve">13 ปี 9 เดือน </v>
      </c>
      <c r="L26" s="245">
        <v>70</v>
      </c>
      <c r="M26" s="245">
        <v>151</v>
      </c>
      <c r="N26" s="257" t="str">
        <f t="shared" si="3"/>
        <v xml:space="preserve">14 ปี 0 เดือน </v>
      </c>
      <c r="O26" s="245">
        <v>68</v>
      </c>
      <c r="P26" s="246">
        <v>151</v>
      </c>
    </row>
    <row r="27" spans="1:16" s="90" customFormat="1" ht="16.5" customHeight="1" x14ac:dyDescent="0.25">
      <c r="A27" s="91">
        <v>17</v>
      </c>
      <c r="B27" s="92" t="str">
        <f>IF('2.ชื่อนักเรียน'!C27="","",'2.ชื่อนักเรียน'!C27)</f>
        <v/>
      </c>
      <c r="C27" s="199" t="str">
        <f>IF('2.ชื่อนักเรียน'!D27="","",'2.ชื่อนักเรียน'!D27)</f>
        <v/>
      </c>
      <c r="D27" s="260">
        <v>38725</v>
      </c>
      <c r="E27" s="263" t="str">
        <f t="shared" si="0"/>
        <v xml:space="preserve">13 ปี 4 เดือน </v>
      </c>
      <c r="F27" s="245">
        <v>42.5</v>
      </c>
      <c r="G27" s="245">
        <v>153</v>
      </c>
      <c r="H27" s="257" t="str">
        <f t="shared" si="1"/>
        <v xml:space="preserve">13 ปี 7 เดือน </v>
      </c>
      <c r="I27" s="245">
        <v>44</v>
      </c>
      <c r="J27" s="245">
        <v>156</v>
      </c>
      <c r="K27" s="257" t="str">
        <f t="shared" si="2"/>
        <v xml:space="preserve">13 ปี 10 เดือน </v>
      </c>
      <c r="L27" s="245">
        <v>42</v>
      </c>
      <c r="M27" s="245">
        <v>159</v>
      </c>
      <c r="N27" s="257" t="str">
        <f t="shared" si="3"/>
        <v xml:space="preserve">14 ปี 1 เดือน </v>
      </c>
      <c r="O27" s="245"/>
      <c r="P27" s="246"/>
    </row>
    <row r="28" spans="1:16" s="90" customFormat="1" ht="16.5" customHeight="1" x14ac:dyDescent="0.25">
      <c r="A28" s="91">
        <v>18</v>
      </c>
      <c r="B28" s="92" t="str">
        <f>IF('2.ชื่อนักเรียน'!C28="","",'2.ชื่อนักเรียน'!C28)</f>
        <v/>
      </c>
      <c r="C28" s="199" t="str">
        <f>IF('2.ชื่อนักเรียน'!D28="","",'2.ชื่อนักเรียน'!D28)</f>
        <v/>
      </c>
      <c r="D28" s="260">
        <v>39076</v>
      </c>
      <c r="E28" s="263" t="str">
        <f t="shared" si="0"/>
        <v xml:space="preserve">12 ปี 5 เดือน </v>
      </c>
      <c r="F28" s="245">
        <v>38.700000000000003</v>
      </c>
      <c r="G28" s="245">
        <v>156</v>
      </c>
      <c r="H28" s="257" t="str">
        <f t="shared" si="1"/>
        <v xml:space="preserve">12 ปี 8 เดือน </v>
      </c>
      <c r="I28" s="245">
        <v>40</v>
      </c>
      <c r="J28" s="245">
        <v>156</v>
      </c>
      <c r="K28" s="257" t="str">
        <f t="shared" si="2"/>
        <v xml:space="preserve">12 ปี 11 เดือน </v>
      </c>
      <c r="L28" s="245">
        <v>38</v>
      </c>
      <c r="M28" s="245">
        <v>158</v>
      </c>
      <c r="N28" s="257" t="str">
        <f t="shared" si="3"/>
        <v xml:space="preserve">13 ปี 2 เดือน </v>
      </c>
      <c r="O28" s="245">
        <v>40</v>
      </c>
      <c r="P28" s="246">
        <v>160</v>
      </c>
    </row>
    <row r="29" spans="1:16" s="90" customFormat="1" ht="16.5" customHeight="1" x14ac:dyDescent="0.25">
      <c r="A29" s="91">
        <v>19</v>
      </c>
      <c r="B29" s="92" t="str">
        <f>IF('2.ชื่อนักเรียน'!C29="","",'2.ชื่อนักเรียน'!C29)</f>
        <v/>
      </c>
      <c r="C29" s="199" t="str">
        <f>IF('2.ชื่อนักเรียน'!D29="","",'2.ชื่อนักเรียน'!D29)</f>
        <v/>
      </c>
      <c r="D29" s="260">
        <v>38563</v>
      </c>
      <c r="E29" s="263" t="str">
        <f t="shared" si="0"/>
        <v xml:space="preserve">13 ปี 10 เดือน </v>
      </c>
      <c r="F29" s="245">
        <v>45</v>
      </c>
      <c r="G29" s="245">
        <v>155</v>
      </c>
      <c r="H29" s="257" t="str">
        <f t="shared" si="1"/>
        <v xml:space="preserve">14 ปี 1 เดือน </v>
      </c>
      <c r="I29" s="245">
        <v>45</v>
      </c>
      <c r="J29" s="245">
        <v>155</v>
      </c>
      <c r="K29" s="257" t="str">
        <f t="shared" si="2"/>
        <v xml:space="preserve">14 ปี 4 เดือน </v>
      </c>
      <c r="L29" s="245">
        <v>49</v>
      </c>
      <c r="M29" s="245">
        <v>159</v>
      </c>
      <c r="N29" s="257" t="str">
        <f t="shared" si="3"/>
        <v xml:space="preserve">14 ปี 6 เดือน </v>
      </c>
      <c r="O29" s="245">
        <v>44</v>
      </c>
      <c r="P29" s="246">
        <v>161</v>
      </c>
    </row>
    <row r="30" spans="1:16" s="90" customFormat="1" ht="16.5" customHeight="1" x14ac:dyDescent="0.25">
      <c r="A30" s="91">
        <v>20</v>
      </c>
      <c r="B30" s="92" t="str">
        <f>IF('2.ชื่อนักเรียน'!C30="","",'2.ชื่อนักเรียน'!C30)</f>
        <v/>
      </c>
      <c r="C30" s="199" t="str">
        <f>IF('2.ชื่อนักเรียน'!D30="","",'2.ชื่อนักเรียน'!D30)</f>
        <v/>
      </c>
      <c r="D30" s="260">
        <v>37799</v>
      </c>
      <c r="E30" s="263" t="str">
        <f t="shared" si="0"/>
        <v xml:space="preserve">15 ปี 11 เดือน </v>
      </c>
      <c r="F30" s="245" t="s">
        <v>164</v>
      </c>
      <c r="G30" s="245" t="s">
        <v>164</v>
      </c>
      <c r="H30" s="257" t="str">
        <f t="shared" si="1"/>
        <v xml:space="preserve">16 ปี 2 เดือน </v>
      </c>
      <c r="I30" s="245" t="s">
        <v>164</v>
      </c>
      <c r="J30" s="245" t="s">
        <v>164</v>
      </c>
      <c r="K30" s="257" t="str">
        <f t="shared" si="2"/>
        <v xml:space="preserve">16 ปี 5 เดือน </v>
      </c>
      <c r="L30" s="245" t="s">
        <v>164</v>
      </c>
      <c r="M30" s="245" t="s">
        <v>164</v>
      </c>
      <c r="N30" s="257" t="str">
        <f t="shared" si="3"/>
        <v xml:space="preserve">16 ปี 8 เดือน </v>
      </c>
      <c r="O30" s="245" t="s">
        <v>164</v>
      </c>
      <c r="P30" s="246" t="s">
        <v>164</v>
      </c>
    </row>
    <row r="31" spans="1:16" s="90" customFormat="1" ht="16.5" customHeight="1" x14ac:dyDescent="0.25">
      <c r="A31" s="91">
        <v>21</v>
      </c>
      <c r="B31" s="92" t="str">
        <f>IF('2.ชื่อนักเรียน'!C31="","",'2.ชื่อนักเรียน'!C31)</f>
        <v/>
      </c>
      <c r="C31" s="199" t="str">
        <f>IF('2.ชื่อนักเรียน'!D31="","",'2.ชื่อนักเรียน'!D31)</f>
        <v/>
      </c>
      <c r="D31" s="260">
        <v>39203</v>
      </c>
      <c r="E31" s="263" t="str">
        <f t="shared" si="0"/>
        <v xml:space="preserve">12 ปี 0 เดือน </v>
      </c>
      <c r="F31" s="245">
        <v>31.4</v>
      </c>
      <c r="G31" s="245">
        <v>143</v>
      </c>
      <c r="H31" s="257" t="str">
        <f t="shared" si="1"/>
        <v xml:space="preserve">12 ปี 3 เดือน </v>
      </c>
      <c r="I31" s="245">
        <v>33</v>
      </c>
      <c r="J31" s="245">
        <v>145</v>
      </c>
      <c r="K31" s="257" t="str">
        <f t="shared" si="2"/>
        <v xml:space="preserve">12 ปี 6 เดือน </v>
      </c>
      <c r="L31" s="245">
        <v>32</v>
      </c>
      <c r="M31" s="245">
        <v>146</v>
      </c>
      <c r="N31" s="257" t="str">
        <f t="shared" si="3"/>
        <v xml:space="preserve">12 ปี 9 เดือน </v>
      </c>
      <c r="O31" s="245">
        <v>35</v>
      </c>
      <c r="P31" s="246">
        <v>146</v>
      </c>
    </row>
    <row r="32" spans="1:16" s="90" customFormat="1" ht="16.5" customHeight="1" x14ac:dyDescent="0.25">
      <c r="A32" s="91">
        <v>22</v>
      </c>
      <c r="B32" s="92" t="str">
        <f>IF('2.ชื่อนักเรียน'!C32="","",'2.ชื่อนักเรียน'!C32)</f>
        <v/>
      </c>
      <c r="C32" s="202" t="str">
        <f>IF('2.ชื่อนักเรียน'!D32="","",'2.ชื่อนักเรียน'!D32)</f>
        <v/>
      </c>
      <c r="D32" s="261">
        <v>38946</v>
      </c>
      <c r="E32" s="263" t="str">
        <f t="shared" si="0"/>
        <v xml:space="preserve">12 ปี 9 เดือน </v>
      </c>
      <c r="F32" s="245">
        <v>44.4</v>
      </c>
      <c r="G32" s="245">
        <v>160</v>
      </c>
      <c r="H32" s="257" t="str">
        <f t="shared" si="1"/>
        <v xml:space="preserve">13 ปี 0 เดือน </v>
      </c>
      <c r="I32" s="245">
        <v>45</v>
      </c>
      <c r="J32" s="245">
        <v>160</v>
      </c>
      <c r="K32" s="257" t="str">
        <f t="shared" si="2"/>
        <v xml:space="preserve">13 ปี 3 เดือน </v>
      </c>
      <c r="L32" s="245">
        <v>46</v>
      </c>
      <c r="M32" s="245">
        <v>159</v>
      </c>
      <c r="N32" s="257" t="str">
        <f t="shared" si="3"/>
        <v xml:space="preserve">13 ปี 6 เดือน </v>
      </c>
      <c r="O32" s="245">
        <v>47</v>
      </c>
      <c r="P32" s="246">
        <v>160</v>
      </c>
    </row>
    <row r="33" spans="1:16" s="90" customFormat="1" ht="16.5" customHeight="1" x14ac:dyDescent="0.25">
      <c r="A33" s="91">
        <v>23</v>
      </c>
      <c r="B33" s="92" t="str">
        <f>IF('2.ชื่อนักเรียน'!C33="","",'2.ชื่อนักเรียน'!C33)</f>
        <v/>
      </c>
      <c r="C33" s="199" t="str">
        <f>IF('2.ชื่อนักเรียน'!D33="","",'2.ชื่อนักเรียน'!D33)</f>
        <v/>
      </c>
      <c r="D33" s="260">
        <v>38794</v>
      </c>
      <c r="E33" s="263" t="str">
        <f t="shared" si="0"/>
        <v xml:space="preserve">13 ปี 2 เดือน </v>
      </c>
      <c r="F33" s="245">
        <v>68.900000000000006</v>
      </c>
      <c r="G33" s="245">
        <v>156</v>
      </c>
      <c r="H33" s="257" t="str">
        <f t="shared" si="1"/>
        <v xml:space="preserve">13 ปี 5 เดือน </v>
      </c>
      <c r="I33" s="245">
        <v>67</v>
      </c>
      <c r="J33" s="245">
        <v>156</v>
      </c>
      <c r="K33" s="257" t="str">
        <f t="shared" si="2"/>
        <v xml:space="preserve">13 ปี 8 เดือน </v>
      </c>
      <c r="L33" s="245">
        <v>67</v>
      </c>
      <c r="M33" s="245">
        <v>156</v>
      </c>
      <c r="N33" s="257" t="str">
        <f t="shared" si="3"/>
        <v xml:space="preserve">13 ปี 11 เดือน </v>
      </c>
      <c r="O33" s="245">
        <v>61</v>
      </c>
      <c r="P33" s="246">
        <v>156</v>
      </c>
    </row>
    <row r="34" spans="1:16" s="90" customFormat="1" ht="16.5" customHeight="1" x14ac:dyDescent="0.25">
      <c r="A34" s="91">
        <v>24</v>
      </c>
      <c r="B34" s="92" t="str">
        <f>IF('2.ชื่อนักเรียน'!C34="","",'2.ชื่อนักเรียน'!C34)</f>
        <v/>
      </c>
      <c r="C34" s="199" t="str">
        <f>IF('2.ชื่อนักเรียน'!D34="","",'2.ชื่อนักเรียน'!D34)</f>
        <v/>
      </c>
      <c r="D34" s="260">
        <v>39002</v>
      </c>
      <c r="E34" s="263" t="str">
        <f t="shared" si="0"/>
        <v xml:space="preserve">12 ปี 7 เดือน </v>
      </c>
      <c r="F34" s="245">
        <v>50.4</v>
      </c>
      <c r="G34" s="245">
        <v>153</v>
      </c>
      <c r="H34" s="257" t="str">
        <f t="shared" si="1"/>
        <v xml:space="preserve">12 ปี 10 เดือน </v>
      </c>
      <c r="I34" s="245">
        <v>49</v>
      </c>
      <c r="J34" s="245">
        <v>154</v>
      </c>
      <c r="K34" s="257" t="str">
        <f t="shared" si="2"/>
        <v xml:space="preserve">13 ปี 1 เดือน </v>
      </c>
      <c r="L34" s="245">
        <v>47</v>
      </c>
      <c r="M34" s="245">
        <v>155</v>
      </c>
      <c r="N34" s="257" t="str">
        <f t="shared" si="3"/>
        <v xml:space="preserve">13 ปี 4 เดือน </v>
      </c>
      <c r="O34" s="245">
        <v>49</v>
      </c>
      <c r="P34" s="246">
        <v>155</v>
      </c>
    </row>
    <row r="35" spans="1:16" s="90" customFormat="1" ht="16.5" customHeight="1" x14ac:dyDescent="0.25">
      <c r="A35" s="91">
        <v>25</v>
      </c>
      <c r="B35" s="92" t="str">
        <f>IF('2.ชื่อนักเรียน'!C35="","",'2.ชื่อนักเรียน'!C35)</f>
        <v/>
      </c>
      <c r="C35" s="199" t="str">
        <f>IF('2.ชื่อนักเรียน'!D35="","",'2.ชื่อนักเรียน'!D35)</f>
        <v/>
      </c>
      <c r="D35" s="260">
        <v>37832</v>
      </c>
      <c r="E35" s="263" t="str">
        <f t="shared" si="0"/>
        <v xml:space="preserve">15 ปี 10 เดือน </v>
      </c>
      <c r="F35" s="245" t="s">
        <v>164</v>
      </c>
      <c r="G35" s="245" t="s">
        <v>164</v>
      </c>
      <c r="H35" s="257" t="str">
        <f t="shared" si="1"/>
        <v xml:space="preserve">16 ปี 1 เดือน </v>
      </c>
      <c r="I35" s="245" t="s">
        <v>164</v>
      </c>
      <c r="J35" s="245" t="s">
        <v>164</v>
      </c>
      <c r="K35" s="257" t="str">
        <f t="shared" si="2"/>
        <v xml:space="preserve">16 ปี 4 เดือน </v>
      </c>
      <c r="L35" s="245" t="s">
        <v>164</v>
      </c>
      <c r="M35" s="245"/>
      <c r="N35" s="257" t="str">
        <f>DATEDIF(D35,$N$9,"y")&amp;" ปี "&amp;DATEDIF(D35,$N$9,"ym")&amp;" เดือน "</f>
        <v xml:space="preserve">16 ปี 6 เดือน </v>
      </c>
      <c r="O35" s="245" t="s">
        <v>164</v>
      </c>
      <c r="P35" s="246" t="s">
        <v>164</v>
      </c>
    </row>
    <row r="36" spans="1:16" s="90" customFormat="1" ht="16.5" customHeight="1" x14ac:dyDescent="0.25">
      <c r="A36" s="91">
        <v>26</v>
      </c>
      <c r="B36" s="92" t="str">
        <f>IF('2.ชื่อนักเรียน'!C36="","",'2.ชื่อนักเรียน'!C36)</f>
        <v/>
      </c>
      <c r="C36" s="199" t="str">
        <f>IF('2.ชื่อนักเรียน'!D36="","",'2.ชื่อนักเรียน'!D36)</f>
        <v/>
      </c>
      <c r="D36" s="260">
        <v>39143</v>
      </c>
      <c r="E36" s="263" t="str">
        <f t="shared" si="0"/>
        <v xml:space="preserve">12 ปี 2 เดือน </v>
      </c>
      <c r="F36" s="245">
        <v>45.1</v>
      </c>
      <c r="G36" s="245">
        <v>155</v>
      </c>
      <c r="H36" s="257" t="str">
        <f t="shared" si="1"/>
        <v xml:space="preserve">12 ปี 5 เดือน </v>
      </c>
      <c r="I36" s="245">
        <v>44</v>
      </c>
      <c r="J36" s="245">
        <v>155</v>
      </c>
      <c r="K36" s="257" t="str">
        <f t="shared" si="2"/>
        <v xml:space="preserve">12 ปี 8 เดือน </v>
      </c>
      <c r="L36" s="245">
        <v>46</v>
      </c>
      <c r="M36" s="245">
        <v>155</v>
      </c>
      <c r="N36" s="257" t="str">
        <f t="shared" si="3"/>
        <v xml:space="preserve">12 ปี 11 เดือน </v>
      </c>
      <c r="O36" s="245">
        <v>44</v>
      </c>
      <c r="P36" s="246">
        <v>157</v>
      </c>
    </row>
    <row r="37" spans="1:16" s="90" customFormat="1" ht="16.5" customHeight="1" x14ac:dyDescent="0.25">
      <c r="A37" s="91">
        <v>27</v>
      </c>
      <c r="B37" s="92" t="str">
        <f>IF('2.ชื่อนักเรียน'!C37="","",'2.ชื่อนักเรียน'!C37)</f>
        <v/>
      </c>
      <c r="C37" s="199" t="str">
        <f>IF('2.ชื่อนักเรียน'!D37="","",'2.ชื่อนักเรียน'!D37)</f>
        <v/>
      </c>
      <c r="D37" s="260">
        <v>38969</v>
      </c>
      <c r="E37" s="263" t="str">
        <f t="shared" si="0"/>
        <v xml:space="preserve">12 ปี 8 เดือน </v>
      </c>
      <c r="F37" s="245">
        <v>55.8</v>
      </c>
      <c r="G37" s="245">
        <v>160</v>
      </c>
      <c r="H37" s="257" t="str">
        <f t="shared" si="1"/>
        <v xml:space="preserve">12 ปี 11 เดือน </v>
      </c>
      <c r="I37" s="245">
        <v>54</v>
      </c>
      <c r="J37" s="245">
        <v>162</v>
      </c>
      <c r="K37" s="257" t="str">
        <f t="shared" si="2"/>
        <v xml:space="preserve">13 ปี 2 เดือน </v>
      </c>
      <c r="L37" s="245" t="s">
        <v>164</v>
      </c>
      <c r="M37" s="245" t="s">
        <v>164</v>
      </c>
      <c r="N37" s="257" t="str">
        <f t="shared" si="3"/>
        <v xml:space="preserve">13 ปี 5 เดือน </v>
      </c>
      <c r="O37" s="245" t="s">
        <v>164</v>
      </c>
      <c r="P37" s="246" t="s">
        <v>164</v>
      </c>
    </row>
    <row r="38" spans="1:16" s="90" customFormat="1" ht="16.5" customHeight="1" x14ac:dyDescent="0.25">
      <c r="A38" s="91">
        <v>28</v>
      </c>
      <c r="B38" s="92" t="str">
        <f>IF('2.ชื่อนักเรียน'!C38="","",'2.ชื่อนักเรียน'!C38)</f>
        <v/>
      </c>
      <c r="C38" s="199" t="str">
        <f>IF('2.ชื่อนักเรียน'!D38="","",'2.ชื่อนักเรียน'!D38)</f>
        <v/>
      </c>
      <c r="D38" s="260">
        <v>38313</v>
      </c>
      <c r="E38" s="263" t="str">
        <f t="shared" si="0"/>
        <v xml:space="preserve">14 ปี 6 เดือน </v>
      </c>
      <c r="F38" s="245" t="s">
        <v>164</v>
      </c>
      <c r="G38" s="245" t="s">
        <v>164</v>
      </c>
      <c r="H38" s="257" t="str">
        <f t="shared" si="1"/>
        <v xml:space="preserve">14 ปี 9 เดือน </v>
      </c>
      <c r="I38" s="245" t="s">
        <v>164</v>
      </c>
      <c r="J38" s="245" t="s">
        <v>164</v>
      </c>
      <c r="K38" s="257" t="str">
        <f t="shared" si="2"/>
        <v xml:space="preserve">15 ปี 0 เดือน </v>
      </c>
      <c r="L38" s="245" t="s">
        <v>164</v>
      </c>
      <c r="M38" s="245" t="s">
        <v>164</v>
      </c>
      <c r="N38" s="257" t="str">
        <f t="shared" si="3"/>
        <v xml:space="preserve">15 ปี 3 เดือน </v>
      </c>
      <c r="O38" s="245" t="s">
        <v>164</v>
      </c>
      <c r="P38" s="246" t="s">
        <v>164</v>
      </c>
    </row>
    <row r="39" spans="1:16" s="90" customFormat="1" ht="16.5" customHeight="1" x14ac:dyDescent="0.25">
      <c r="A39" s="91">
        <v>29</v>
      </c>
      <c r="B39" s="92" t="str">
        <f>IF('2.ชื่อนักเรียน'!C39="","",'2.ชื่อนักเรียน'!C39)</f>
        <v/>
      </c>
      <c r="C39" s="199" t="str">
        <f>IF('2.ชื่อนักเรียน'!D39="","",'2.ชื่อนักเรียน'!D39)</f>
        <v/>
      </c>
      <c r="D39" s="260">
        <v>39050</v>
      </c>
      <c r="E39" s="263" t="str">
        <f t="shared" si="0"/>
        <v xml:space="preserve">12 ปี 6 เดือน </v>
      </c>
      <c r="F39" s="245">
        <v>42.7</v>
      </c>
      <c r="G39" s="245">
        <v>155</v>
      </c>
      <c r="H39" s="257" t="str">
        <f t="shared" si="1"/>
        <v xml:space="preserve">12 ปี 9 เดือน </v>
      </c>
      <c r="I39" s="245">
        <v>45</v>
      </c>
      <c r="J39" s="245">
        <v>155</v>
      </c>
      <c r="K39" s="257" t="str">
        <f t="shared" si="2"/>
        <v xml:space="preserve">13 ปี 0 เดือน </v>
      </c>
      <c r="L39" s="245">
        <v>43</v>
      </c>
      <c r="M39" s="245">
        <v>156</v>
      </c>
      <c r="N39" s="257" t="str">
        <f t="shared" si="3"/>
        <v xml:space="preserve">13 ปี 2 เดือน </v>
      </c>
      <c r="O39" s="245">
        <v>48</v>
      </c>
      <c r="P39" s="246">
        <v>157</v>
      </c>
    </row>
    <row r="40" spans="1:16" s="90" customFormat="1" ht="16.5" customHeight="1" x14ac:dyDescent="0.25">
      <c r="A40" s="91">
        <v>30</v>
      </c>
      <c r="B40" s="92" t="str">
        <f>IF('2.ชื่อนักเรียน'!C40="","",'2.ชื่อนักเรียน'!C40)</f>
        <v/>
      </c>
      <c r="C40" s="199" t="str">
        <f>IF('2.ชื่อนักเรียน'!D40="","",'2.ชื่อนักเรียน'!D40)</f>
        <v/>
      </c>
      <c r="D40" s="260">
        <v>39079</v>
      </c>
      <c r="E40" s="263" t="str">
        <f t="shared" si="0"/>
        <v xml:space="preserve">12 ปี 5 เดือน </v>
      </c>
      <c r="F40" s="245">
        <v>31.1</v>
      </c>
      <c r="G40" s="245">
        <v>140</v>
      </c>
      <c r="H40" s="257" t="str">
        <f t="shared" si="1"/>
        <v xml:space="preserve">12 ปี 8 เดือน </v>
      </c>
      <c r="I40" s="245">
        <v>32</v>
      </c>
      <c r="J40" s="245">
        <v>141</v>
      </c>
      <c r="K40" s="257" t="str">
        <f t="shared" si="2"/>
        <v xml:space="preserve">12 ปี 11 เดือน </v>
      </c>
      <c r="L40" s="245">
        <v>34</v>
      </c>
      <c r="M40" s="245">
        <v>143</v>
      </c>
      <c r="N40" s="257" t="str">
        <f t="shared" si="3"/>
        <v xml:space="preserve">13 ปี 2 เดือน </v>
      </c>
      <c r="O40" s="245">
        <v>37</v>
      </c>
      <c r="P40" s="246">
        <v>145</v>
      </c>
    </row>
    <row r="41" spans="1:16" s="90" customFormat="1" ht="16.5" customHeight="1" x14ac:dyDescent="0.25">
      <c r="A41" s="91">
        <v>31</v>
      </c>
      <c r="B41" s="92" t="str">
        <f>IF('2.ชื่อนักเรียน'!C41="","",'2.ชื่อนักเรียน'!C41)</f>
        <v/>
      </c>
      <c r="C41" s="199" t="str">
        <f>IF('2.ชื่อนักเรียน'!D41="","",'2.ชื่อนักเรียน'!D41)</f>
        <v/>
      </c>
      <c r="D41" s="260">
        <v>39095</v>
      </c>
      <c r="E41" s="263" t="str">
        <f t="shared" si="0"/>
        <v xml:space="preserve">12 ปี 4 เดือน </v>
      </c>
      <c r="F41" s="245">
        <v>50.2</v>
      </c>
      <c r="G41" s="245">
        <v>149</v>
      </c>
      <c r="H41" s="257" t="str">
        <f t="shared" si="1"/>
        <v xml:space="preserve">12 ปี 7 เดือน </v>
      </c>
      <c r="I41" s="245">
        <v>49</v>
      </c>
      <c r="J41" s="245">
        <v>152</v>
      </c>
      <c r="K41" s="257" t="str">
        <f t="shared" si="2"/>
        <v xml:space="preserve">12 ปี 10 เดือน </v>
      </c>
      <c r="L41" s="245">
        <v>47</v>
      </c>
      <c r="M41" s="245">
        <v>155</v>
      </c>
      <c r="N41" s="257" t="str">
        <f t="shared" si="3"/>
        <v xml:space="preserve">13 ปี 1 เดือน </v>
      </c>
      <c r="O41" s="245">
        <v>50</v>
      </c>
      <c r="P41" s="246">
        <v>155</v>
      </c>
    </row>
    <row r="42" spans="1:16" s="90" customFormat="1" ht="16.5" customHeight="1" x14ac:dyDescent="0.25">
      <c r="A42" s="91">
        <v>32</v>
      </c>
      <c r="B42" s="92" t="str">
        <f>IF('2.ชื่อนักเรียน'!C42="","",'2.ชื่อนักเรียน'!C42)</f>
        <v/>
      </c>
      <c r="C42" s="199" t="str">
        <f>IF('2.ชื่อนักเรียน'!D42="","",'2.ชื่อนักเรียน'!D42)</f>
        <v/>
      </c>
      <c r="D42" s="260">
        <v>38957</v>
      </c>
      <c r="E42" s="263" t="str">
        <f t="shared" si="0"/>
        <v xml:space="preserve">12 ปี 9 เดือน </v>
      </c>
      <c r="F42" s="245">
        <v>53.2</v>
      </c>
      <c r="G42" s="245">
        <v>152</v>
      </c>
      <c r="H42" s="257" t="str">
        <f t="shared" si="1"/>
        <v xml:space="preserve">13 ปี 0 เดือน </v>
      </c>
      <c r="I42" s="245">
        <v>52</v>
      </c>
      <c r="J42" s="245">
        <v>152</v>
      </c>
      <c r="K42" s="257" t="str">
        <f t="shared" si="2"/>
        <v xml:space="preserve">13 ปี 3 เดือน </v>
      </c>
      <c r="L42" s="245">
        <v>49</v>
      </c>
      <c r="M42" s="245">
        <v>152</v>
      </c>
      <c r="N42" s="257" t="str">
        <f t="shared" si="3"/>
        <v xml:space="preserve">13 ปี 6 เดือน </v>
      </c>
      <c r="O42" s="245">
        <v>51</v>
      </c>
      <c r="P42" s="246">
        <v>152</v>
      </c>
    </row>
    <row r="43" spans="1:16" s="90" customFormat="1" ht="16.5" customHeight="1" x14ac:dyDescent="0.25">
      <c r="A43" s="91">
        <v>33</v>
      </c>
      <c r="B43" s="92" t="str">
        <f>IF('2.ชื่อนักเรียน'!C43="","",'2.ชื่อนักเรียน'!C43)</f>
        <v/>
      </c>
      <c r="C43" s="199" t="str">
        <f>IF('2.ชื่อนักเรียน'!D43="","",'2.ชื่อนักเรียน'!D43)</f>
        <v/>
      </c>
      <c r="D43" s="260">
        <v>38932</v>
      </c>
      <c r="E43" s="263" t="str">
        <f t="shared" si="0"/>
        <v xml:space="preserve">12 ปี 9 เดือน </v>
      </c>
      <c r="F43" s="245">
        <v>39.700000000000003</v>
      </c>
      <c r="G43" s="245">
        <v>155</v>
      </c>
      <c r="H43" s="257" t="str">
        <f t="shared" si="1"/>
        <v xml:space="preserve">13 ปี 0 เดือน </v>
      </c>
      <c r="I43" s="245">
        <v>40</v>
      </c>
      <c r="J43" s="245">
        <v>156</v>
      </c>
      <c r="K43" s="257" t="str">
        <f t="shared" si="2"/>
        <v xml:space="preserve">13 ปี 3 เดือน </v>
      </c>
      <c r="L43" s="245">
        <v>41</v>
      </c>
      <c r="M43" s="245">
        <v>156</v>
      </c>
      <c r="N43" s="257" t="str">
        <f t="shared" si="3"/>
        <v xml:space="preserve">13 ปี 6 เดือน </v>
      </c>
      <c r="O43" s="245">
        <v>40</v>
      </c>
      <c r="P43" s="246">
        <v>157</v>
      </c>
    </row>
    <row r="44" spans="1:16" s="90" customFormat="1" ht="16.5" customHeight="1" x14ac:dyDescent="0.25">
      <c r="A44" s="91">
        <v>34</v>
      </c>
      <c r="B44" s="92" t="str">
        <f>IF('2.ชื่อนักเรียน'!C44="","",'2.ชื่อนักเรียน'!C44)</f>
        <v/>
      </c>
      <c r="C44" s="199" t="str">
        <f>IF('2.ชื่อนักเรียน'!D44="","",'2.ชื่อนักเรียน'!D44)</f>
        <v/>
      </c>
      <c r="D44" s="260">
        <v>38757</v>
      </c>
      <c r="E44" s="263" t="str">
        <f t="shared" si="0"/>
        <v xml:space="preserve">13 ปี 3 เดือน </v>
      </c>
      <c r="F44" s="245">
        <v>45.1</v>
      </c>
      <c r="G44" s="245">
        <v>162</v>
      </c>
      <c r="H44" s="257" t="str">
        <f t="shared" si="1"/>
        <v xml:space="preserve">13 ปี 6 เดือน </v>
      </c>
      <c r="I44" s="245">
        <v>44</v>
      </c>
      <c r="J44" s="245">
        <v>162</v>
      </c>
      <c r="K44" s="257" t="str">
        <f t="shared" si="2"/>
        <v xml:space="preserve">13 ปี 9 เดือน </v>
      </c>
      <c r="L44" s="245" t="s">
        <v>164</v>
      </c>
      <c r="M44" s="245" t="s">
        <v>164</v>
      </c>
      <c r="N44" s="257" t="str">
        <f t="shared" si="3"/>
        <v xml:space="preserve">14 ปี 0 เดือน </v>
      </c>
      <c r="O44" s="245" t="s">
        <v>164</v>
      </c>
      <c r="P44" s="246" t="s">
        <v>164</v>
      </c>
    </row>
    <row r="45" spans="1:16" s="90" customFormat="1" ht="16.5" customHeight="1" x14ac:dyDescent="0.25">
      <c r="A45" s="91">
        <v>35</v>
      </c>
      <c r="B45" s="92" t="str">
        <f>IF('2.ชื่อนักเรียน'!C45="","",'2.ชื่อนักเรียน'!C45)</f>
        <v/>
      </c>
      <c r="C45" s="199" t="str">
        <f>IF('2.ชื่อนักเรียน'!D45="","",'2.ชื่อนักเรียน'!D45)</f>
        <v/>
      </c>
      <c r="D45" s="260">
        <v>39225</v>
      </c>
      <c r="E45" s="263" t="str">
        <f t="shared" si="0"/>
        <v xml:space="preserve">12 ปี 0 เดือน </v>
      </c>
      <c r="F45" s="245" t="s">
        <v>164</v>
      </c>
      <c r="G45" s="245" t="s">
        <v>164</v>
      </c>
      <c r="H45" s="257" t="str">
        <f t="shared" si="1"/>
        <v xml:space="preserve">12 ปี 3 เดือน </v>
      </c>
      <c r="I45" s="245" t="s">
        <v>164</v>
      </c>
      <c r="J45" s="245" t="s">
        <v>164</v>
      </c>
      <c r="K45" s="257" t="str">
        <f t="shared" si="2"/>
        <v xml:space="preserve">12 ปี 6 เดือน </v>
      </c>
      <c r="L45" s="245">
        <v>57</v>
      </c>
      <c r="M45" s="245">
        <v>169</v>
      </c>
      <c r="N45" s="257" t="str">
        <f t="shared" si="3"/>
        <v xml:space="preserve">12 ปี 9 เดือน </v>
      </c>
      <c r="O45" s="245">
        <v>56</v>
      </c>
      <c r="P45" s="246">
        <v>170</v>
      </c>
    </row>
    <row r="46" spans="1:16" s="90" customFormat="1" ht="16.5" customHeight="1" x14ac:dyDescent="0.25">
      <c r="A46" s="91">
        <v>36</v>
      </c>
      <c r="B46" s="92" t="str">
        <f>IF('2.ชื่อนักเรียน'!C46="","",'2.ชื่อนักเรียน'!C46)</f>
        <v/>
      </c>
      <c r="C46" s="199" t="str">
        <f>IF('2.ชื่อนักเรียน'!D46="","",'2.ชื่อนักเรียน'!D46)</f>
        <v/>
      </c>
      <c r="D46" s="260">
        <v>39107</v>
      </c>
      <c r="E46" s="263" t="str">
        <f t="shared" si="0"/>
        <v xml:space="preserve">12 ปี 4 เดือน </v>
      </c>
      <c r="F46" s="245" t="s">
        <v>164</v>
      </c>
      <c r="G46" s="245" t="s">
        <v>164</v>
      </c>
      <c r="H46" s="257" t="str">
        <f t="shared" si="1"/>
        <v xml:space="preserve">12 ปี 7 เดือน </v>
      </c>
      <c r="I46" s="245" t="s">
        <v>164</v>
      </c>
      <c r="J46" s="245" t="s">
        <v>164</v>
      </c>
      <c r="K46" s="257" t="str">
        <f t="shared" si="2"/>
        <v xml:space="preserve">12 ปี 10 เดือน </v>
      </c>
      <c r="L46" s="245" t="s">
        <v>164</v>
      </c>
      <c r="M46" s="245" t="s">
        <v>164</v>
      </c>
      <c r="N46" s="257" t="str">
        <f t="shared" si="3"/>
        <v xml:space="preserve">13 ปี 1 เดือน </v>
      </c>
      <c r="O46" s="245" t="s">
        <v>164</v>
      </c>
      <c r="P46" s="246" t="s">
        <v>164</v>
      </c>
    </row>
    <row r="47" spans="1:16" s="90" customFormat="1" ht="16.5" customHeight="1" x14ac:dyDescent="0.25">
      <c r="A47" s="91">
        <v>37</v>
      </c>
      <c r="B47" s="92" t="str">
        <f>IF('2.ชื่อนักเรียน'!C47="","",'2.ชื่อนักเรียน'!C47)</f>
        <v/>
      </c>
      <c r="C47" s="199" t="str">
        <f>IF('2.ชื่อนักเรียน'!D47="","",'2.ชื่อนักเรียน'!D47)</f>
        <v/>
      </c>
      <c r="D47" s="260"/>
      <c r="E47" s="263"/>
      <c r="F47" s="245"/>
      <c r="G47" s="245"/>
      <c r="H47" s="257"/>
      <c r="I47" s="245"/>
      <c r="J47" s="245"/>
      <c r="K47" s="257"/>
      <c r="L47" s="245"/>
      <c r="M47" s="245"/>
      <c r="N47" s="257"/>
      <c r="O47" s="245"/>
      <c r="P47" s="246"/>
    </row>
    <row r="48" spans="1:16" s="90" customFormat="1" ht="16.5" customHeight="1" x14ac:dyDescent="0.25">
      <c r="A48" s="91">
        <v>38</v>
      </c>
      <c r="B48" s="92" t="str">
        <f>IF('2.ชื่อนักเรียน'!C48="","",'2.ชื่อนักเรียน'!C48)</f>
        <v/>
      </c>
      <c r="C48" s="199" t="str">
        <f>IF('2.ชื่อนักเรียน'!D48="","",'2.ชื่อนักเรียน'!D48)</f>
        <v/>
      </c>
      <c r="D48" s="260"/>
      <c r="E48" s="263"/>
      <c r="F48" s="245"/>
      <c r="G48" s="245"/>
      <c r="H48" s="257"/>
      <c r="I48" s="245"/>
      <c r="J48" s="245"/>
      <c r="K48" s="257"/>
      <c r="L48" s="245"/>
      <c r="M48" s="245"/>
      <c r="N48" s="257"/>
      <c r="O48" s="245"/>
      <c r="P48" s="246"/>
    </row>
    <row r="49" spans="1:16" s="90" customFormat="1" ht="16.5" customHeight="1" x14ac:dyDescent="0.25">
      <c r="A49" s="91">
        <v>39</v>
      </c>
      <c r="B49" s="92" t="str">
        <f>IF('2.ชื่อนักเรียน'!C49="","",'2.ชื่อนักเรียน'!C49)</f>
        <v/>
      </c>
      <c r="C49" s="199" t="str">
        <f>IF('2.ชื่อนักเรียน'!D49="","",'2.ชื่อนักเรียน'!D49)</f>
        <v/>
      </c>
      <c r="D49" s="260"/>
      <c r="E49" s="263"/>
      <c r="F49" s="245"/>
      <c r="G49" s="245"/>
      <c r="H49" s="257"/>
      <c r="I49" s="245"/>
      <c r="J49" s="245"/>
      <c r="K49" s="257"/>
      <c r="L49" s="245"/>
      <c r="M49" s="245"/>
      <c r="N49" s="257"/>
      <c r="O49" s="245"/>
      <c r="P49" s="246"/>
    </row>
    <row r="50" spans="1:16" s="90" customFormat="1" ht="16.5" customHeight="1" x14ac:dyDescent="0.25">
      <c r="A50" s="91">
        <v>40</v>
      </c>
      <c r="B50" s="92" t="str">
        <f>IF('2.ชื่อนักเรียน'!C50="","",'2.ชื่อนักเรียน'!C50)</f>
        <v/>
      </c>
      <c r="C50" s="199" t="str">
        <f>IF('2.ชื่อนักเรียน'!D50="","",'2.ชื่อนักเรียน'!D50)</f>
        <v/>
      </c>
      <c r="D50" s="260"/>
      <c r="E50" s="263"/>
      <c r="F50" s="245"/>
      <c r="G50" s="245"/>
      <c r="H50" s="257"/>
      <c r="I50" s="245"/>
      <c r="J50" s="245"/>
      <c r="K50" s="257"/>
      <c r="L50" s="245"/>
      <c r="M50" s="245"/>
      <c r="N50" s="257"/>
      <c r="O50" s="245"/>
      <c r="P50" s="246"/>
    </row>
    <row r="51" spans="1:16" s="90" customFormat="1" ht="16.5" customHeight="1" x14ac:dyDescent="0.25">
      <c r="A51" s="91">
        <v>41</v>
      </c>
      <c r="B51" s="92" t="str">
        <f>IF('2.ชื่อนักเรียน'!C51="","",'2.ชื่อนักเรียน'!C51)</f>
        <v/>
      </c>
      <c r="C51" s="199" t="str">
        <f>IF('2.ชื่อนักเรียน'!D51="","",'2.ชื่อนักเรียน'!D51)</f>
        <v/>
      </c>
      <c r="D51" s="260"/>
      <c r="E51" s="263"/>
      <c r="F51" s="245"/>
      <c r="G51" s="245"/>
      <c r="H51" s="257"/>
      <c r="I51" s="245"/>
      <c r="J51" s="245"/>
      <c r="K51" s="257"/>
      <c r="L51" s="245"/>
      <c r="M51" s="245"/>
      <c r="N51" s="257"/>
      <c r="O51" s="245"/>
      <c r="P51" s="246"/>
    </row>
    <row r="52" spans="1:16" s="90" customFormat="1" ht="16.5" customHeight="1" x14ac:dyDescent="0.25">
      <c r="A52" s="91">
        <v>42</v>
      </c>
      <c r="B52" s="92" t="str">
        <f>IF('2.ชื่อนักเรียน'!C52="","",'2.ชื่อนักเรียน'!C52)</f>
        <v/>
      </c>
      <c r="C52" s="199" t="str">
        <f>IF('2.ชื่อนักเรียน'!D52="","",'2.ชื่อนักเรียน'!D52)</f>
        <v/>
      </c>
      <c r="D52" s="260"/>
      <c r="E52" s="263"/>
      <c r="F52" s="245"/>
      <c r="G52" s="245"/>
      <c r="H52" s="257"/>
      <c r="I52" s="245"/>
      <c r="J52" s="245"/>
      <c r="K52" s="257"/>
      <c r="L52" s="245"/>
      <c r="M52" s="245"/>
      <c r="N52" s="257"/>
      <c r="O52" s="245"/>
      <c r="P52" s="246"/>
    </row>
    <row r="53" spans="1:16" s="90" customFormat="1" ht="16.5" customHeight="1" x14ac:dyDescent="0.25">
      <c r="A53" s="91">
        <v>43</v>
      </c>
      <c r="B53" s="92" t="str">
        <f>IF('2.ชื่อนักเรียน'!C53="","",'2.ชื่อนักเรียน'!C53)</f>
        <v/>
      </c>
      <c r="C53" s="199" t="str">
        <f>IF('2.ชื่อนักเรียน'!D53="","",'2.ชื่อนักเรียน'!D53)</f>
        <v/>
      </c>
      <c r="D53" s="260"/>
      <c r="E53" s="263"/>
      <c r="F53" s="245"/>
      <c r="G53" s="245"/>
      <c r="H53" s="257"/>
      <c r="I53" s="245"/>
      <c r="J53" s="245"/>
      <c r="K53" s="257"/>
      <c r="L53" s="245"/>
      <c r="M53" s="245"/>
      <c r="N53" s="257"/>
      <c r="O53" s="245"/>
      <c r="P53" s="246"/>
    </row>
    <row r="54" spans="1:16" s="90" customFormat="1" ht="16.5" customHeight="1" x14ac:dyDescent="0.25">
      <c r="A54" s="91">
        <v>44</v>
      </c>
      <c r="B54" s="92" t="str">
        <f>IF('2.ชื่อนักเรียน'!C54="","",'2.ชื่อนักเรียน'!C54)</f>
        <v/>
      </c>
      <c r="C54" s="199" t="str">
        <f>IF('2.ชื่อนักเรียน'!D54="","",'2.ชื่อนักเรียน'!D54)</f>
        <v/>
      </c>
      <c r="D54" s="260"/>
      <c r="E54" s="263"/>
      <c r="F54" s="245"/>
      <c r="G54" s="245"/>
      <c r="H54" s="257"/>
      <c r="I54" s="245"/>
      <c r="J54" s="245"/>
      <c r="K54" s="257"/>
      <c r="L54" s="245"/>
      <c r="M54" s="245"/>
      <c r="N54" s="257"/>
      <c r="O54" s="245"/>
      <c r="P54" s="246"/>
    </row>
    <row r="55" spans="1:16" s="90" customFormat="1" ht="16.5" customHeight="1" thickBot="1" x14ac:dyDescent="0.3">
      <c r="A55" s="203">
        <v>45</v>
      </c>
      <c r="B55" s="204" t="str">
        <f>IF('2.ชื่อนักเรียน'!C55="","",'2.ชื่อนักเรียน'!C55)</f>
        <v/>
      </c>
      <c r="C55" s="205" t="str">
        <f>IF('2.ชื่อนักเรียน'!D55="","",'2.ชื่อนักเรียน'!D55)</f>
        <v/>
      </c>
      <c r="D55" s="262"/>
      <c r="E55" s="264"/>
      <c r="F55" s="247"/>
      <c r="G55" s="247"/>
      <c r="H55" s="258"/>
      <c r="I55" s="247"/>
      <c r="J55" s="247"/>
      <c r="K55" s="258"/>
      <c r="L55" s="247"/>
      <c r="M55" s="247"/>
      <c r="N55" s="258"/>
      <c r="O55" s="247"/>
      <c r="P55" s="248"/>
    </row>
    <row r="56" spans="1:16" s="98" customFormat="1" ht="9.75" customHeight="1" x14ac:dyDescent="0.25">
      <c r="A56" s="96"/>
      <c r="B56" s="97"/>
      <c r="C56" s="97"/>
      <c r="D56" s="97"/>
      <c r="E56" s="97"/>
      <c r="F56" s="96"/>
      <c r="G56" s="96"/>
      <c r="H56" s="96"/>
      <c r="I56" s="96"/>
      <c r="J56" s="96"/>
      <c r="K56" s="96"/>
      <c r="L56" s="96"/>
      <c r="M56" s="96"/>
      <c r="N56" s="96"/>
    </row>
    <row r="57" spans="1:16" s="100" customFormat="1" ht="16.5" customHeight="1" x14ac:dyDescent="0.25">
      <c r="A57" s="96"/>
      <c r="B57" s="99"/>
      <c r="C57" s="99"/>
      <c r="D57" s="99"/>
      <c r="E57" s="99"/>
      <c r="F57" s="96"/>
      <c r="G57" s="96"/>
      <c r="H57" s="96"/>
      <c r="K57" s="249"/>
      <c r="N57" s="249"/>
    </row>
    <row r="58" spans="1:16" s="100" customFormat="1" ht="16.5" customHeight="1" x14ac:dyDescent="0.25">
      <c r="A58" s="96"/>
      <c r="B58" s="99"/>
      <c r="C58" s="99"/>
      <c r="D58" s="99"/>
      <c r="E58" s="99"/>
      <c r="F58" s="96"/>
      <c r="G58" s="96"/>
      <c r="H58" s="96"/>
      <c r="K58" s="249"/>
      <c r="N58" s="249"/>
    </row>
    <row r="59" spans="1:16" s="100" customFormat="1" ht="16.5" customHeight="1" x14ac:dyDescent="0.25">
      <c r="A59" s="96"/>
      <c r="B59" s="99"/>
      <c r="C59" s="99"/>
      <c r="D59" s="99"/>
      <c r="E59" s="99"/>
      <c r="F59" s="96"/>
      <c r="G59" s="96"/>
      <c r="H59" s="96"/>
      <c r="K59" s="249"/>
      <c r="N59" s="249"/>
    </row>
    <row r="60" spans="1:16" ht="16.5" customHeight="1" x14ac:dyDescent="0.4">
      <c r="A60" s="96"/>
      <c r="B60" s="99"/>
      <c r="C60" s="99"/>
      <c r="D60" s="99"/>
      <c r="E60" s="99"/>
      <c r="F60" s="101"/>
      <c r="G60" s="101"/>
      <c r="H60" s="101"/>
    </row>
    <row r="61" spans="1:16" ht="16.5" customHeight="1" x14ac:dyDescent="0.4">
      <c r="A61" s="96"/>
      <c r="B61" s="99"/>
      <c r="C61" s="99"/>
      <c r="D61" s="99"/>
      <c r="E61" s="99"/>
      <c r="F61" s="101"/>
      <c r="G61" s="101"/>
      <c r="H61" s="101"/>
    </row>
    <row r="62" spans="1:16" ht="12.75" customHeight="1" x14ac:dyDescent="0.4">
      <c r="A62" s="96"/>
      <c r="B62" s="99"/>
      <c r="C62" s="99"/>
      <c r="D62" s="99"/>
      <c r="E62" s="99"/>
      <c r="F62" s="96"/>
      <c r="G62" s="96"/>
      <c r="H62" s="96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B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33203125" defaultRowHeight="21" x14ac:dyDescent="0.4"/>
  <cols>
    <col min="1" max="1" width="3.44140625" style="80" customWidth="1"/>
    <col min="2" max="2" width="14" style="80" customWidth="1"/>
    <col min="3" max="3" width="12.6640625" style="80" customWidth="1"/>
    <col min="4" max="10" width="7.6640625" style="80" customWidth="1"/>
    <col min="11" max="11" width="44" style="80" customWidth="1"/>
    <col min="12" max="18" width="7.6640625" style="80" customWidth="1"/>
    <col min="19" max="19" width="44" style="254" customWidth="1"/>
    <col min="20" max="16384" width="9.33203125" style="80"/>
  </cols>
  <sheetData>
    <row r="1" spans="1:20" s="79" customFormat="1" ht="24.75" customHeight="1" x14ac:dyDescent="0.35">
      <c r="A1" s="816" t="s">
        <v>574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</row>
    <row r="2" spans="1:20" s="79" customFormat="1" ht="24.75" customHeight="1" x14ac:dyDescent="0.35">
      <c r="A2" s="816" t="s">
        <v>627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</row>
    <row r="3" spans="1:20" s="79" customFormat="1" ht="24.75" hidden="1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250"/>
    </row>
    <row r="4" spans="1:20" s="79" customFormat="1" ht="24.75" hidden="1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250"/>
    </row>
    <row r="5" spans="1:20" s="79" customFormat="1" ht="24.75" hidden="1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250"/>
    </row>
    <row r="6" spans="1:20" s="79" customFormat="1" ht="24.75" hidden="1" customHeight="1" x14ac:dyDescent="0.3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250"/>
    </row>
    <row r="7" spans="1:20" s="79" customFormat="1" ht="24.75" hidden="1" customHeight="1" x14ac:dyDescent="0.3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250"/>
    </row>
    <row r="8" spans="1:20" s="79" customFormat="1" ht="24.75" hidden="1" customHeight="1" x14ac:dyDescent="0.3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250"/>
    </row>
    <row r="9" spans="1:20" ht="21" customHeight="1" x14ac:dyDescent="0.4">
      <c r="A9" s="846" t="s">
        <v>0</v>
      </c>
      <c r="B9" s="846" t="s">
        <v>60</v>
      </c>
      <c r="C9" s="846"/>
      <c r="D9" s="847" t="s">
        <v>575</v>
      </c>
      <c r="E9" s="848"/>
      <c r="F9" s="848"/>
      <c r="G9" s="848"/>
      <c r="H9" s="848"/>
      <c r="I9" s="848"/>
      <c r="J9" s="848"/>
      <c r="K9" s="848"/>
      <c r="L9" s="847" t="s">
        <v>576</v>
      </c>
      <c r="M9" s="848"/>
      <c r="N9" s="848"/>
      <c r="O9" s="848"/>
      <c r="P9" s="848"/>
      <c r="Q9" s="848"/>
      <c r="R9" s="848"/>
      <c r="S9" s="848"/>
    </row>
    <row r="10" spans="1:20" s="102" customFormat="1" ht="72.75" customHeight="1" thickBot="1" x14ac:dyDescent="0.4">
      <c r="A10" s="846"/>
      <c r="B10" s="846"/>
      <c r="C10" s="846"/>
      <c r="D10" s="241" t="s">
        <v>577</v>
      </c>
      <c r="E10" s="242" t="s">
        <v>578</v>
      </c>
      <c r="F10" s="242" t="s">
        <v>579</v>
      </c>
      <c r="G10" s="242" t="s">
        <v>580</v>
      </c>
      <c r="H10" s="242" t="s">
        <v>581</v>
      </c>
      <c r="I10" s="242" t="s">
        <v>582</v>
      </c>
      <c r="J10" s="242" t="s">
        <v>583</v>
      </c>
      <c r="K10" s="251" t="s">
        <v>584</v>
      </c>
      <c r="L10" s="241" t="s">
        <v>577</v>
      </c>
      <c r="M10" s="242" t="s">
        <v>578</v>
      </c>
      <c r="N10" s="242" t="s">
        <v>579</v>
      </c>
      <c r="O10" s="242" t="s">
        <v>580</v>
      </c>
      <c r="P10" s="242" t="s">
        <v>581</v>
      </c>
      <c r="Q10" s="242" t="s">
        <v>582</v>
      </c>
      <c r="R10" s="242" t="s">
        <v>583</v>
      </c>
      <c r="S10" s="251" t="s">
        <v>584</v>
      </c>
    </row>
    <row r="11" spans="1:20" s="90" customFormat="1" ht="35.25" customHeight="1" x14ac:dyDescent="0.3">
      <c r="A11" s="86">
        <v>1</v>
      </c>
      <c r="B11" s="87" t="str">
        <f>IF('2.ชื่อนักเรียน'!C11="","",'2.ชื่อนักเรียน'!C11)</f>
        <v/>
      </c>
      <c r="C11" s="194" t="str">
        <f>IF('2.ชื่อนักเรียน'!D11="","",'2.ชื่อนักเรียน'!D11)</f>
        <v/>
      </c>
      <c r="D11" s="195"/>
      <c r="E11" s="196"/>
      <c r="F11" s="196"/>
      <c r="G11" s="196"/>
      <c r="H11" s="196"/>
      <c r="I11" s="196"/>
      <c r="J11" s="196"/>
      <c r="K11" s="269" t="s">
        <v>164</v>
      </c>
      <c r="L11" s="195">
        <v>5</v>
      </c>
      <c r="M11" s="196">
        <v>5</v>
      </c>
      <c r="N11" s="196">
        <v>5</v>
      </c>
      <c r="O11" s="196">
        <v>5</v>
      </c>
      <c r="P11" s="196">
        <v>5</v>
      </c>
      <c r="Q11" s="196">
        <v>5</v>
      </c>
      <c r="R11" s="196">
        <v>5</v>
      </c>
      <c r="S11" s="270" t="s">
        <v>164</v>
      </c>
      <c r="T11" s="90" t="s">
        <v>54</v>
      </c>
    </row>
    <row r="12" spans="1:20" s="90" customFormat="1" ht="35.25" customHeight="1" x14ac:dyDescent="0.3">
      <c r="A12" s="91">
        <v>2</v>
      </c>
      <c r="B12" s="92" t="str">
        <f>IF('2.ชื่อนักเรียน'!C12="","",'2.ชื่อนักเรียน'!C12)</f>
        <v/>
      </c>
      <c r="C12" s="199" t="str">
        <f>IF('2.ชื่อนักเรียน'!D12="","",'2.ชื่อนักเรียน'!D12)</f>
        <v/>
      </c>
      <c r="D12" s="163">
        <v>3</v>
      </c>
      <c r="E12" s="164">
        <v>2</v>
      </c>
      <c r="F12" s="164">
        <v>3</v>
      </c>
      <c r="G12" s="164">
        <v>2</v>
      </c>
      <c r="H12" s="164">
        <v>5</v>
      </c>
      <c r="I12" s="164">
        <v>4</v>
      </c>
      <c r="J12" s="164">
        <v>4</v>
      </c>
      <c r="K12" s="270" t="s">
        <v>585</v>
      </c>
      <c r="L12" s="163">
        <v>3</v>
      </c>
      <c r="M12" s="164">
        <v>2</v>
      </c>
      <c r="N12" s="164">
        <v>3</v>
      </c>
      <c r="O12" s="164">
        <v>2</v>
      </c>
      <c r="P12" s="164">
        <v>5</v>
      </c>
      <c r="Q12" s="164">
        <v>4</v>
      </c>
      <c r="R12" s="164">
        <v>4</v>
      </c>
      <c r="S12" s="270" t="s">
        <v>586</v>
      </c>
      <c r="T12" s="90" t="s">
        <v>50</v>
      </c>
    </row>
    <row r="13" spans="1:20" s="90" customFormat="1" ht="35.25" customHeight="1" x14ac:dyDescent="0.3">
      <c r="A13" s="91">
        <v>3</v>
      </c>
      <c r="B13" s="92" t="str">
        <f>IF('2.ชื่อนักเรียน'!C13="","",'2.ชื่อนักเรียน'!C13)</f>
        <v/>
      </c>
      <c r="C13" s="199" t="str">
        <f>IF('2.ชื่อนักเรียน'!D13="","",'2.ชื่อนักเรียน'!D13)</f>
        <v/>
      </c>
      <c r="D13" s="163">
        <v>2</v>
      </c>
      <c r="E13" s="164">
        <v>2</v>
      </c>
      <c r="F13" s="164">
        <v>3</v>
      </c>
      <c r="G13" s="164">
        <v>2</v>
      </c>
      <c r="H13" s="164">
        <v>5</v>
      </c>
      <c r="I13" s="164">
        <v>4</v>
      </c>
      <c r="J13" s="164">
        <v>4</v>
      </c>
      <c r="K13" s="270" t="s">
        <v>587</v>
      </c>
      <c r="L13" s="163">
        <v>2</v>
      </c>
      <c r="M13" s="164">
        <v>2</v>
      </c>
      <c r="N13" s="164">
        <v>3</v>
      </c>
      <c r="O13" s="164">
        <v>2</v>
      </c>
      <c r="P13" s="164">
        <v>5</v>
      </c>
      <c r="Q13" s="164">
        <v>4</v>
      </c>
      <c r="R13" s="164">
        <v>4</v>
      </c>
      <c r="S13" s="270" t="s">
        <v>588</v>
      </c>
      <c r="T13" s="90" t="s">
        <v>50</v>
      </c>
    </row>
    <row r="14" spans="1:20" s="90" customFormat="1" ht="35.25" customHeight="1" x14ac:dyDescent="0.3">
      <c r="A14" s="91">
        <v>4</v>
      </c>
      <c r="B14" s="92" t="str">
        <f>IF('2.ชื่อนักเรียน'!C14="","",'2.ชื่อนักเรียน'!C14)</f>
        <v/>
      </c>
      <c r="C14" s="199" t="str">
        <f>IF('2.ชื่อนักเรียน'!D14="","",'2.ชื่อนักเรียน'!D14)</f>
        <v/>
      </c>
      <c r="D14" s="163">
        <v>4</v>
      </c>
      <c r="E14" s="164">
        <v>3</v>
      </c>
      <c r="F14" s="164">
        <v>3</v>
      </c>
      <c r="G14" s="164">
        <v>3</v>
      </c>
      <c r="H14" s="164">
        <v>5</v>
      </c>
      <c r="I14" s="164">
        <v>4</v>
      </c>
      <c r="J14" s="164">
        <v>4</v>
      </c>
      <c r="K14" s="270" t="s">
        <v>585</v>
      </c>
      <c r="L14" s="163">
        <v>4</v>
      </c>
      <c r="M14" s="164">
        <v>3</v>
      </c>
      <c r="N14" s="164">
        <v>3</v>
      </c>
      <c r="O14" s="164">
        <v>3</v>
      </c>
      <c r="P14" s="164">
        <v>5</v>
      </c>
      <c r="Q14" s="164">
        <v>4</v>
      </c>
      <c r="R14" s="164">
        <v>4</v>
      </c>
      <c r="S14" s="270" t="s">
        <v>586</v>
      </c>
      <c r="T14" s="90" t="s">
        <v>50</v>
      </c>
    </row>
    <row r="15" spans="1:20" s="90" customFormat="1" ht="35.25" customHeight="1" x14ac:dyDescent="0.3">
      <c r="A15" s="91">
        <v>5</v>
      </c>
      <c r="B15" s="92" t="str">
        <f>IF('2.ชื่อนักเรียน'!C15="","",'2.ชื่อนักเรียน'!C15)</f>
        <v/>
      </c>
      <c r="C15" s="199" t="str">
        <f>IF('2.ชื่อนักเรียน'!D15="","",'2.ชื่อนักเรียน'!D15)</f>
        <v/>
      </c>
      <c r="D15" s="163">
        <v>2</v>
      </c>
      <c r="E15" s="164">
        <v>2</v>
      </c>
      <c r="F15" s="164">
        <v>3</v>
      </c>
      <c r="G15" s="164">
        <v>2</v>
      </c>
      <c r="H15" s="164">
        <v>5</v>
      </c>
      <c r="I15" s="164">
        <v>4</v>
      </c>
      <c r="J15" s="164">
        <v>4</v>
      </c>
      <c r="K15" s="270" t="s">
        <v>585</v>
      </c>
      <c r="L15" s="163">
        <v>2</v>
      </c>
      <c r="M15" s="164">
        <v>2</v>
      </c>
      <c r="N15" s="164">
        <v>3</v>
      </c>
      <c r="O15" s="164">
        <v>2</v>
      </c>
      <c r="P15" s="164">
        <v>5</v>
      </c>
      <c r="Q15" s="164">
        <v>4</v>
      </c>
      <c r="R15" s="164">
        <v>4</v>
      </c>
      <c r="S15" s="270" t="s">
        <v>586</v>
      </c>
      <c r="T15" s="90" t="s">
        <v>50</v>
      </c>
    </row>
    <row r="16" spans="1:20" s="90" customFormat="1" ht="35.25" customHeight="1" x14ac:dyDescent="0.3">
      <c r="A16" s="91">
        <v>6</v>
      </c>
      <c r="B16" s="92" t="str">
        <f>IF('2.ชื่อนักเรียน'!C16="","",'2.ชื่อนักเรียน'!C16)</f>
        <v/>
      </c>
      <c r="C16" s="199" t="str">
        <f>IF('2.ชื่อนักเรียน'!D16="","",'2.ชื่อนักเรียน'!D16)</f>
        <v/>
      </c>
      <c r="D16" s="163">
        <v>4</v>
      </c>
      <c r="E16" s="164">
        <v>3</v>
      </c>
      <c r="F16" s="164">
        <v>3</v>
      </c>
      <c r="G16" s="164">
        <v>3</v>
      </c>
      <c r="H16" s="164">
        <v>5</v>
      </c>
      <c r="I16" s="164">
        <v>4</v>
      </c>
      <c r="J16" s="164">
        <v>4</v>
      </c>
      <c r="K16" s="270" t="s">
        <v>585</v>
      </c>
      <c r="L16" s="163">
        <v>4</v>
      </c>
      <c r="M16" s="164">
        <v>3</v>
      </c>
      <c r="N16" s="164">
        <v>3</v>
      </c>
      <c r="O16" s="164">
        <v>3</v>
      </c>
      <c r="P16" s="164">
        <v>5</v>
      </c>
      <c r="Q16" s="164">
        <v>4</v>
      </c>
      <c r="R16" s="164">
        <v>4</v>
      </c>
      <c r="S16" s="270" t="s">
        <v>586</v>
      </c>
      <c r="T16" s="90" t="s">
        <v>50</v>
      </c>
    </row>
    <row r="17" spans="1:20" s="90" customFormat="1" ht="35.25" customHeight="1" x14ac:dyDescent="0.3">
      <c r="A17" s="91">
        <v>7</v>
      </c>
      <c r="B17" s="92" t="str">
        <f>IF('2.ชื่อนักเรียน'!C17="","",'2.ชื่อนักเรียน'!C17)</f>
        <v/>
      </c>
      <c r="C17" s="199" t="str">
        <f>IF('2.ชื่อนักเรียน'!D17="","",'2.ชื่อนักเรียน'!D17)</f>
        <v/>
      </c>
      <c r="D17" s="163">
        <v>3</v>
      </c>
      <c r="E17" s="164">
        <v>4</v>
      </c>
      <c r="F17" s="164">
        <v>3</v>
      </c>
      <c r="G17" s="164">
        <v>4</v>
      </c>
      <c r="H17" s="164">
        <v>5</v>
      </c>
      <c r="I17" s="164">
        <v>5</v>
      </c>
      <c r="J17" s="164">
        <v>5</v>
      </c>
      <c r="K17" s="270" t="s">
        <v>589</v>
      </c>
      <c r="L17" s="163">
        <v>3</v>
      </c>
      <c r="M17" s="164">
        <v>4</v>
      </c>
      <c r="N17" s="164">
        <v>3</v>
      </c>
      <c r="O17" s="164">
        <v>4</v>
      </c>
      <c r="P17" s="164">
        <v>5</v>
      </c>
      <c r="Q17" s="164">
        <v>5</v>
      </c>
      <c r="R17" s="164">
        <v>5</v>
      </c>
      <c r="S17" s="270" t="s">
        <v>590</v>
      </c>
      <c r="T17" s="90" t="s">
        <v>50</v>
      </c>
    </row>
    <row r="18" spans="1:20" s="90" customFormat="1" ht="35.25" customHeight="1" x14ac:dyDescent="0.3">
      <c r="A18" s="91">
        <v>8</v>
      </c>
      <c r="B18" s="92" t="str">
        <f>IF('2.ชื่อนักเรียน'!C18="","",'2.ชื่อนักเรียน'!C18)</f>
        <v/>
      </c>
      <c r="C18" s="199" t="str">
        <f>IF('2.ชื่อนักเรียน'!D18="","",'2.ชื่อนักเรียน'!D18)</f>
        <v/>
      </c>
      <c r="D18" s="163">
        <v>3</v>
      </c>
      <c r="E18" s="164">
        <v>3</v>
      </c>
      <c r="F18" s="164">
        <v>3</v>
      </c>
      <c r="G18" s="164">
        <v>3</v>
      </c>
      <c r="H18" s="164">
        <v>5</v>
      </c>
      <c r="I18" s="164">
        <v>5</v>
      </c>
      <c r="J18" s="164">
        <v>5</v>
      </c>
      <c r="K18" s="270" t="s">
        <v>585</v>
      </c>
      <c r="L18" s="163">
        <v>3</v>
      </c>
      <c r="M18" s="164">
        <v>3</v>
      </c>
      <c r="N18" s="164">
        <v>3</v>
      </c>
      <c r="O18" s="164">
        <v>3</v>
      </c>
      <c r="P18" s="164">
        <v>5</v>
      </c>
      <c r="Q18" s="164">
        <v>5</v>
      </c>
      <c r="R18" s="164">
        <v>5</v>
      </c>
      <c r="S18" s="270" t="s">
        <v>586</v>
      </c>
      <c r="T18" s="90" t="s">
        <v>50</v>
      </c>
    </row>
    <row r="19" spans="1:20" s="90" customFormat="1" ht="35.25" customHeight="1" x14ac:dyDescent="0.3">
      <c r="A19" s="91">
        <v>9</v>
      </c>
      <c r="B19" s="92" t="str">
        <f>IF('2.ชื่อนักเรียน'!C19="","",'2.ชื่อนักเรียน'!C19)</f>
        <v/>
      </c>
      <c r="C19" s="199" t="str">
        <f>IF('2.ชื่อนักเรียน'!D19="","",'2.ชื่อนักเรียน'!D19)</f>
        <v/>
      </c>
      <c r="D19" s="163">
        <v>4</v>
      </c>
      <c r="E19" s="164">
        <v>2</v>
      </c>
      <c r="F19" s="164">
        <v>3</v>
      </c>
      <c r="G19" s="164">
        <v>3</v>
      </c>
      <c r="H19" s="164">
        <v>5</v>
      </c>
      <c r="I19" s="164">
        <v>5</v>
      </c>
      <c r="J19" s="164">
        <v>5</v>
      </c>
      <c r="K19" s="270" t="s">
        <v>585</v>
      </c>
      <c r="L19" s="163">
        <v>4</v>
      </c>
      <c r="M19" s="164">
        <v>3</v>
      </c>
      <c r="N19" s="164">
        <v>3</v>
      </c>
      <c r="O19" s="164">
        <v>3</v>
      </c>
      <c r="P19" s="164">
        <v>5</v>
      </c>
      <c r="Q19" s="164">
        <v>5</v>
      </c>
      <c r="R19" s="164">
        <v>5</v>
      </c>
      <c r="S19" s="270" t="s">
        <v>586</v>
      </c>
      <c r="T19" s="90" t="s">
        <v>50</v>
      </c>
    </row>
    <row r="20" spans="1:20" s="90" customFormat="1" ht="35.25" customHeight="1" x14ac:dyDescent="0.3">
      <c r="A20" s="91">
        <v>10</v>
      </c>
      <c r="B20" s="92" t="str">
        <f>IF('2.ชื่อนักเรียน'!C20="","",'2.ชื่อนักเรียน'!C20)</f>
        <v/>
      </c>
      <c r="C20" s="199" t="str">
        <f>IF('2.ชื่อนักเรียน'!D20="","",'2.ชื่อนักเรียน'!D20)</f>
        <v/>
      </c>
      <c r="D20" s="163"/>
      <c r="E20" s="164"/>
      <c r="F20" s="164"/>
      <c r="G20" s="164"/>
      <c r="H20" s="164"/>
      <c r="I20" s="164"/>
      <c r="J20" s="164"/>
      <c r="K20" s="269" t="s">
        <v>164</v>
      </c>
      <c r="L20" s="163"/>
      <c r="M20" s="164"/>
      <c r="N20" s="164"/>
      <c r="O20" s="164"/>
      <c r="P20" s="164"/>
      <c r="Q20" s="164"/>
      <c r="R20" s="164"/>
      <c r="S20" s="270"/>
      <c r="T20" s="90" t="s">
        <v>54</v>
      </c>
    </row>
    <row r="21" spans="1:20" s="90" customFormat="1" ht="35.25" customHeight="1" x14ac:dyDescent="0.3">
      <c r="A21" s="91">
        <v>11</v>
      </c>
      <c r="B21" s="92" t="str">
        <f>IF('2.ชื่อนักเรียน'!C21="","",'2.ชื่อนักเรียน'!C21)</f>
        <v/>
      </c>
      <c r="C21" s="199" t="str">
        <f>IF('2.ชื่อนักเรียน'!D21="","",'2.ชื่อนักเรียน'!D21)</f>
        <v/>
      </c>
      <c r="D21" s="163">
        <v>3</v>
      </c>
      <c r="E21" s="164">
        <v>3</v>
      </c>
      <c r="F21" s="164">
        <v>3</v>
      </c>
      <c r="G21" s="164">
        <v>3</v>
      </c>
      <c r="H21" s="164">
        <v>5</v>
      </c>
      <c r="I21" s="164">
        <v>5</v>
      </c>
      <c r="J21" s="164">
        <v>5</v>
      </c>
      <c r="K21" s="270" t="s">
        <v>585</v>
      </c>
      <c r="L21" s="163">
        <v>3</v>
      </c>
      <c r="M21" s="164">
        <v>3</v>
      </c>
      <c r="N21" s="164">
        <v>3</v>
      </c>
      <c r="O21" s="164">
        <v>3</v>
      </c>
      <c r="P21" s="164">
        <v>5</v>
      </c>
      <c r="Q21" s="164">
        <v>5</v>
      </c>
      <c r="R21" s="164">
        <v>5</v>
      </c>
      <c r="S21" s="270" t="s">
        <v>586</v>
      </c>
      <c r="T21" s="90" t="s">
        <v>50</v>
      </c>
    </row>
    <row r="22" spans="1:20" s="90" customFormat="1" ht="35.25" customHeight="1" x14ac:dyDescent="0.3">
      <c r="A22" s="91">
        <v>12</v>
      </c>
      <c r="B22" s="92" t="str">
        <f>IF('2.ชื่อนักเรียน'!C22="","",'2.ชื่อนักเรียน'!C22)</f>
        <v/>
      </c>
      <c r="C22" s="199" t="str">
        <f>IF('2.ชื่อนักเรียน'!D22="","",'2.ชื่อนักเรียน'!D22)</f>
        <v/>
      </c>
      <c r="D22" s="163">
        <v>3</v>
      </c>
      <c r="E22" s="164">
        <v>2</v>
      </c>
      <c r="F22" s="164">
        <v>3</v>
      </c>
      <c r="G22" s="164">
        <v>2</v>
      </c>
      <c r="H22" s="164">
        <v>5</v>
      </c>
      <c r="I22" s="164">
        <v>5</v>
      </c>
      <c r="J22" s="164">
        <v>5</v>
      </c>
      <c r="K22" s="270" t="s">
        <v>585</v>
      </c>
      <c r="L22" s="163">
        <v>3</v>
      </c>
      <c r="M22" s="164">
        <v>2</v>
      </c>
      <c r="N22" s="164">
        <v>3</v>
      </c>
      <c r="O22" s="164">
        <v>2</v>
      </c>
      <c r="P22" s="164">
        <v>5</v>
      </c>
      <c r="Q22" s="164">
        <v>5</v>
      </c>
      <c r="R22" s="164">
        <v>5</v>
      </c>
      <c r="S22" s="270" t="s">
        <v>586</v>
      </c>
      <c r="T22" s="90" t="s">
        <v>50</v>
      </c>
    </row>
    <row r="23" spans="1:20" s="90" customFormat="1" ht="35.25" customHeight="1" x14ac:dyDescent="0.3">
      <c r="A23" s="91">
        <v>13</v>
      </c>
      <c r="B23" s="92" t="str">
        <f>IF('2.ชื่อนักเรียน'!C23="","",'2.ชื่อนักเรียน'!C23)</f>
        <v/>
      </c>
      <c r="C23" s="199" t="str">
        <f>IF('2.ชื่อนักเรียน'!D23="","",'2.ชื่อนักเรียน'!D23)</f>
        <v/>
      </c>
      <c r="D23" s="163">
        <v>4</v>
      </c>
      <c r="E23" s="164">
        <v>3</v>
      </c>
      <c r="F23" s="164">
        <v>3</v>
      </c>
      <c r="G23" s="164">
        <v>3</v>
      </c>
      <c r="H23" s="164">
        <v>5</v>
      </c>
      <c r="I23" s="164">
        <v>4</v>
      </c>
      <c r="J23" s="164">
        <v>4</v>
      </c>
      <c r="K23" s="270" t="s">
        <v>585</v>
      </c>
      <c r="L23" s="163">
        <v>4</v>
      </c>
      <c r="M23" s="164">
        <v>3</v>
      </c>
      <c r="N23" s="164">
        <v>3</v>
      </c>
      <c r="O23" s="164">
        <v>3</v>
      </c>
      <c r="P23" s="164">
        <v>5</v>
      </c>
      <c r="Q23" s="164">
        <v>4</v>
      </c>
      <c r="R23" s="164">
        <v>4</v>
      </c>
      <c r="S23" s="270" t="s">
        <v>586</v>
      </c>
      <c r="T23" s="90" t="s">
        <v>50</v>
      </c>
    </row>
    <row r="24" spans="1:20" s="90" customFormat="1" ht="35.25" customHeight="1" x14ac:dyDescent="0.3">
      <c r="A24" s="91">
        <v>14</v>
      </c>
      <c r="B24" s="92" t="str">
        <f>IF('2.ชื่อนักเรียน'!C24="","",'2.ชื่อนักเรียน'!C24)</f>
        <v/>
      </c>
      <c r="C24" s="199" t="str">
        <f>IF('2.ชื่อนักเรียน'!D24="","",'2.ชื่อนักเรียน'!D24)</f>
        <v/>
      </c>
      <c r="D24" s="163">
        <v>5</v>
      </c>
      <c r="E24" s="164">
        <v>3</v>
      </c>
      <c r="F24" s="164">
        <v>3</v>
      </c>
      <c r="G24" s="164">
        <v>3</v>
      </c>
      <c r="H24" s="164">
        <v>5</v>
      </c>
      <c r="I24" s="164">
        <v>4</v>
      </c>
      <c r="J24" s="164">
        <v>4</v>
      </c>
      <c r="K24" s="270" t="s">
        <v>585</v>
      </c>
      <c r="L24" s="163">
        <v>5</v>
      </c>
      <c r="M24" s="164">
        <v>3</v>
      </c>
      <c r="N24" s="164">
        <v>3</v>
      </c>
      <c r="O24" s="164">
        <v>3</v>
      </c>
      <c r="P24" s="164">
        <v>5</v>
      </c>
      <c r="Q24" s="164">
        <v>4</v>
      </c>
      <c r="R24" s="164">
        <v>4</v>
      </c>
      <c r="S24" s="270" t="s">
        <v>586</v>
      </c>
      <c r="T24" s="90" t="s">
        <v>50</v>
      </c>
    </row>
    <row r="25" spans="1:20" s="90" customFormat="1" ht="35.25" customHeight="1" x14ac:dyDescent="0.3">
      <c r="A25" s="91">
        <v>15</v>
      </c>
      <c r="B25" s="92" t="str">
        <f>IF('2.ชื่อนักเรียน'!C25="","",'2.ชื่อนักเรียน'!C25)</f>
        <v/>
      </c>
      <c r="C25" s="199" t="str">
        <f>IF('2.ชื่อนักเรียน'!D25="","",'2.ชื่อนักเรียน'!D25)</f>
        <v/>
      </c>
      <c r="D25" s="163">
        <v>4</v>
      </c>
      <c r="E25" s="164">
        <v>4</v>
      </c>
      <c r="F25" s="164">
        <v>3</v>
      </c>
      <c r="G25" s="164">
        <v>4</v>
      </c>
      <c r="H25" s="164">
        <v>5</v>
      </c>
      <c r="I25" s="164">
        <v>4</v>
      </c>
      <c r="J25" s="164">
        <v>4</v>
      </c>
      <c r="K25" s="270" t="s">
        <v>591</v>
      </c>
      <c r="L25" s="163">
        <v>4</v>
      </c>
      <c r="M25" s="164">
        <v>4</v>
      </c>
      <c r="N25" s="164">
        <v>3</v>
      </c>
      <c r="O25" s="164">
        <v>4</v>
      </c>
      <c r="P25" s="164">
        <v>5</v>
      </c>
      <c r="Q25" s="164">
        <v>4</v>
      </c>
      <c r="R25" s="164">
        <v>4</v>
      </c>
      <c r="S25" s="270" t="s">
        <v>590</v>
      </c>
      <c r="T25" s="90" t="s">
        <v>50</v>
      </c>
    </row>
    <row r="26" spans="1:20" s="90" customFormat="1" ht="35.25" customHeight="1" x14ac:dyDescent="0.3">
      <c r="A26" s="91">
        <v>16</v>
      </c>
      <c r="B26" s="92" t="str">
        <f>IF('2.ชื่อนักเรียน'!C26="","",'2.ชื่อนักเรียน'!C26)</f>
        <v/>
      </c>
      <c r="C26" s="199" t="str">
        <f>IF('2.ชื่อนักเรียน'!D26="","",'2.ชื่อนักเรียน'!D26)</f>
        <v/>
      </c>
      <c r="D26" s="163">
        <v>3</v>
      </c>
      <c r="E26" s="164">
        <v>2</v>
      </c>
      <c r="F26" s="164">
        <v>3</v>
      </c>
      <c r="G26" s="164">
        <v>2</v>
      </c>
      <c r="H26" s="164">
        <v>5</v>
      </c>
      <c r="I26" s="164">
        <v>4</v>
      </c>
      <c r="J26" s="164">
        <v>4</v>
      </c>
      <c r="K26" s="270" t="s">
        <v>585</v>
      </c>
      <c r="L26" s="163">
        <v>3</v>
      </c>
      <c r="M26" s="164">
        <v>2</v>
      </c>
      <c r="N26" s="164">
        <v>3</v>
      </c>
      <c r="O26" s="164">
        <v>2</v>
      </c>
      <c r="P26" s="164">
        <v>5</v>
      </c>
      <c r="Q26" s="164">
        <v>4</v>
      </c>
      <c r="R26" s="164">
        <v>4</v>
      </c>
      <c r="S26" s="270" t="s">
        <v>586</v>
      </c>
      <c r="T26" s="90" t="s">
        <v>50</v>
      </c>
    </row>
    <row r="27" spans="1:20" s="90" customFormat="1" ht="35.25" customHeight="1" x14ac:dyDescent="0.3">
      <c r="A27" s="91">
        <v>17</v>
      </c>
      <c r="B27" s="92" t="str">
        <f>IF('2.ชื่อนักเรียน'!C27="","",'2.ชื่อนักเรียน'!C27)</f>
        <v/>
      </c>
      <c r="C27" s="199" t="str">
        <f>IF('2.ชื่อนักเรียน'!D27="","",'2.ชื่อนักเรียน'!D27)</f>
        <v/>
      </c>
      <c r="D27" s="163"/>
      <c r="E27" s="164"/>
      <c r="F27" s="164"/>
      <c r="G27" s="164"/>
      <c r="H27" s="164"/>
      <c r="I27" s="164"/>
      <c r="J27" s="164"/>
      <c r="K27" s="269" t="s">
        <v>164</v>
      </c>
      <c r="L27" s="163"/>
      <c r="M27" s="164"/>
      <c r="N27" s="164"/>
      <c r="O27" s="164"/>
      <c r="P27" s="164"/>
      <c r="Q27" s="164"/>
      <c r="R27" s="164"/>
      <c r="S27" s="270" t="s">
        <v>586</v>
      </c>
      <c r="T27" s="90" t="s">
        <v>54</v>
      </c>
    </row>
    <row r="28" spans="1:20" s="90" customFormat="1" ht="35.25" customHeight="1" x14ac:dyDescent="0.3">
      <c r="A28" s="91">
        <v>18</v>
      </c>
      <c r="B28" s="92" t="str">
        <f>IF('2.ชื่อนักเรียน'!C28="","",'2.ชื่อนักเรียน'!C28)</f>
        <v/>
      </c>
      <c r="C28" s="199" t="str">
        <f>IF('2.ชื่อนักเรียน'!D28="","",'2.ชื่อนักเรียน'!D28)</f>
        <v/>
      </c>
      <c r="D28" s="163">
        <v>3</v>
      </c>
      <c r="E28" s="164">
        <v>2</v>
      </c>
      <c r="F28" s="164">
        <v>3</v>
      </c>
      <c r="G28" s="164">
        <v>2</v>
      </c>
      <c r="H28" s="164">
        <v>5</v>
      </c>
      <c r="I28" s="164">
        <v>4</v>
      </c>
      <c r="J28" s="164">
        <v>4</v>
      </c>
      <c r="K28" s="270" t="s">
        <v>585</v>
      </c>
      <c r="L28" s="163">
        <v>3</v>
      </c>
      <c r="M28" s="164">
        <v>2</v>
      </c>
      <c r="N28" s="164">
        <v>3</v>
      </c>
      <c r="O28" s="164">
        <v>2</v>
      </c>
      <c r="P28" s="164">
        <v>5</v>
      </c>
      <c r="Q28" s="164">
        <v>4</v>
      </c>
      <c r="R28" s="164">
        <v>4</v>
      </c>
      <c r="S28" s="270" t="s">
        <v>586</v>
      </c>
      <c r="T28" s="90" t="s">
        <v>50</v>
      </c>
    </row>
    <row r="29" spans="1:20" s="90" customFormat="1" ht="35.25" customHeight="1" x14ac:dyDescent="0.3">
      <c r="A29" s="91">
        <v>19</v>
      </c>
      <c r="B29" s="92" t="str">
        <f>IF('2.ชื่อนักเรียน'!C29="","",'2.ชื่อนักเรียน'!C29)</f>
        <v/>
      </c>
      <c r="C29" s="199" t="str">
        <f>IF('2.ชื่อนักเรียน'!D29="","",'2.ชื่อนักเรียน'!D29)</f>
        <v/>
      </c>
      <c r="D29" s="163">
        <v>3</v>
      </c>
      <c r="E29" s="164">
        <v>3</v>
      </c>
      <c r="F29" s="164">
        <v>3</v>
      </c>
      <c r="G29" s="164">
        <v>3</v>
      </c>
      <c r="H29" s="164">
        <v>5</v>
      </c>
      <c r="I29" s="164">
        <v>4</v>
      </c>
      <c r="J29" s="164">
        <v>4</v>
      </c>
      <c r="K29" s="270" t="s">
        <v>585</v>
      </c>
      <c r="L29" s="163">
        <v>3</v>
      </c>
      <c r="M29" s="164">
        <v>3</v>
      </c>
      <c r="N29" s="164">
        <v>3</v>
      </c>
      <c r="O29" s="164">
        <v>3</v>
      </c>
      <c r="P29" s="164">
        <v>5</v>
      </c>
      <c r="Q29" s="164">
        <v>4</v>
      </c>
      <c r="R29" s="164">
        <v>4</v>
      </c>
      <c r="S29" s="270" t="s">
        <v>586</v>
      </c>
      <c r="T29" s="90" t="s">
        <v>50</v>
      </c>
    </row>
    <row r="30" spans="1:20" s="90" customFormat="1" ht="35.25" customHeight="1" x14ac:dyDescent="0.3">
      <c r="A30" s="91">
        <v>20</v>
      </c>
      <c r="B30" s="92" t="str">
        <f>IF('2.ชื่อนักเรียน'!C30="","",'2.ชื่อนักเรียน'!C30)</f>
        <v/>
      </c>
      <c r="C30" s="199" t="str">
        <f>IF('2.ชื่อนักเรียน'!D30="","",'2.ชื่อนักเรียน'!D30)</f>
        <v/>
      </c>
      <c r="D30" s="163"/>
      <c r="E30" s="164"/>
      <c r="F30" s="164"/>
      <c r="G30" s="164"/>
      <c r="H30" s="164"/>
      <c r="I30" s="164"/>
      <c r="J30" s="164"/>
      <c r="K30" s="269" t="s">
        <v>164</v>
      </c>
      <c r="L30" s="163"/>
      <c r="M30" s="164"/>
      <c r="N30" s="164"/>
      <c r="O30" s="164"/>
      <c r="P30" s="164"/>
      <c r="Q30" s="164"/>
      <c r="R30" s="164"/>
      <c r="S30" s="270"/>
      <c r="T30" s="90" t="s">
        <v>54</v>
      </c>
    </row>
    <row r="31" spans="1:20" s="90" customFormat="1" ht="35.25" customHeight="1" x14ac:dyDescent="0.3">
      <c r="A31" s="91">
        <v>21</v>
      </c>
      <c r="B31" s="92" t="str">
        <f>IF('2.ชื่อนักเรียน'!C31="","",'2.ชื่อนักเรียน'!C31)</f>
        <v/>
      </c>
      <c r="C31" s="199" t="str">
        <f>IF('2.ชื่อนักเรียน'!D31="","",'2.ชื่อนักเรียน'!D31)</f>
        <v/>
      </c>
      <c r="D31" s="163">
        <v>3</v>
      </c>
      <c r="E31" s="164">
        <v>2</v>
      </c>
      <c r="F31" s="164">
        <v>3</v>
      </c>
      <c r="G31" s="164">
        <v>2</v>
      </c>
      <c r="H31" s="164">
        <v>4</v>
      </c>
      <c r="I31" s="164">
        <v>4</v>
      </c>
      <c r="J31" s="164">
        <v>4</v>
      </c>
      <c r="K31" s="270" t="s">
        <v>585</v>
      </c>
      <c r="L31" s="163">
        <v>3</v>
      </c>
      <c r="M31" s="164">
        <v>2</v>
      </c>
      <c r="N31" s="164">
        <v>3</v>
      </c>
      <c r="O31" s="164">
        <v>2</v>
      </c>
      <c r="P31" s="164">
        <v>4</v>
      </c>
      <c r="Q31" s="164">
        <v>4</v>
      </c>
      <c r="R31" s="164">
        <v>4</v>
      </c>
      <c r="S31" s="270" t="s">
        <v>586</v>
      </c>
      <c r="T31" s="90" t="s">
        <v>50</v>
      </c>
    </row>
    <row r="32" spans="1:20" s="90" customFormat="1" ht="35.25" customHeight="1" x14ac:dyDescent="0.3">
      <c r="A32" s="91">
        <v>22</v>
      </c>
      <c r="B32" s="92" t="str">
        <f>IF('2.ชื่อนักเรียน'!C32="","",'2.ชื่อนักเรียน'!C32)</f>
        <v/>
      </c>
      <c r="C32" s="202" t="str">
        <f>IF('2.ชื่อนักเรียน'!D32="","",'2.ชื่อนักเรียน'!D32)</f>
        <v/>
      </c>
      <c r="D32" s="163">
        <v>3</v>
      </c>
      <c r="E32" s="164">
        <v>3</v>
      </c>
      <c r="F32" s="164">
        <v>3</v>
      </c>
      <c r="G32" s="164">
        <v>3</v>
      </c>
      <c r="H32" s="164">
        <v>4</v>
      </c>
      <c r="I32" s="164">
        <v>4</v>
      </c>
      <c r="J32" s="164">
        <v>4</v>
      </c>
      <c r="K32" s="270" t="s">
        <v>591</v>
      </c>
      <c r="L32" s="163">
        <v>3</v>
      </c>
      <c r="M32" s="164">
        <v>3</v>
      </c>
      <c r="N32" s="164">
        <v>3</v>
      </c>
      <c r="O32" s="164">
        <v>3</v>
      </c>
      <c r="P32" s="164">
        <v>4</v>
      </c>
      <c r="Q32" s="164">
        <v>4</v>
      </c>
      <c r="R32" s="164">
        <v>4</v>
      </c>
      <c r="S32" s="270" t="s">
        <v>590</v>
      </c>
      <c r="T32" s="90" t="s">
        <v>50</v>
      </c>
    </row>
    <row r="33" spans="1:20" s="90" customFormat="1" ht="35.25" customHeight="1" x14ac:dyDescent="0.3">
      <c r="A33" s="91">
        <v>23</v>
      </c>
      <c r="B33" s="92" t="str">
        <f>IF('2.ชื่อนักเรียน'!C33="","",'2.ชื่อนักเรียน'!C33)</f>
        <v/>
      </c>
      <c r="C33" s="199" t="str">
        <f>IF('2.ชื่อนักเรียน'!D33="","",'2.ชื่อนักเรียน'!D33)</f>
        <v/>
      </c>
      <c r="D33" s="163">
        <v>2</v>
      </c>
      <c r="E33" s="164">
        <v>2</v>
      </c>
      <c r="F33" s="164">
        <v>3</v>
      </c>
      <c r="G33" s="164">
        <v>2</v>
      </c>
      <c r="H33" s="164">
        <v>4</v>
      </c>
      <c r="I33" s="164">
        <v>4</v>
      </c>
      <c r="J33" s="164">
        <v>4</v>
      </c>
      <c r="K33" s="270" t="s">
        <v>585</v>
      </c>
      <c r="L33" s="163">
        <v>2</v>
      </c>
      <c r="M33" s="164">
        <v>2</v>
      </c>
      <c r="N33" s="164">
        <v>3</v>
      </c>
      <c r="O33" s="164">
        <v>2</v>
      </c>
      <c r="P33" s="164">
        <v>4</v>
      </c>
      <c r="Q33" s="164">
        <v>4</v>
      </c>
      <c r="R33" s="164">
        <v>4</v>
      </c>
      <c r="S33" s="270" t="s">
        <v>586</v>
      </c>
      <c r="T33" s="90" t="s">
        <v>50</v>
      </c>
    </row>
    <row r="34" spans="1:20" s="90" customFormat="1" ht="35.25" customHeight="1" x14ac:dyDescent="0.3">
      <c r="A34" s="91">
        <v>24</v>
      </c>
      <c r="B34" s="92" t="str">
        <f>IF('2.ชื่อนักเรียน'!C34="","",'2.ชื่อนักเรียน'!C34)</f>
        <v/>
      </c>
      <c r="C34" s="199" t="str">
        <f>IF('2.ชื่อนักเรียน'!D34="","",'2.ชื่อนักเรียน'!D34)</f>
        <v/>
      </c>
      <c r="D34" s="163">
        <v>4</v>
      </c>
      <c r="E34" s="164">
        <v>4</v>
      </c>
      <c r="F34" s="164">
        <v>5</v>
      </c>
      <c r="G34" s="164">
        <v>4</v>
      </c>
      <c r="H34" s="164">
        <v>5</v>
      </c>
      <c r="I34" s="164">
        <v>5</v>
      </c>
      <c r="J34" s="164">
        <v>5</v>
      </c>
      <c r="K34" s="270" t="s">
        <v>591</v>
      </c>
      <c r="L34" s="163">
        <v>4</v>
      </c>
      <c r="M34" s="164">
        <v>4</v>
      </c>
      <c r="N34" s="164">
        <v>5</v>
      </c>
      <c r="O34" s="164">
        <v>4</v>
      </c>
      <c r="P34" s="164">
        <v>5</v>
      </c>
      <c r="Q34" s="164">
        <v>5</v>
      </c>
      <c r="R34" s="164">
        <v>5</v>
      </c>
      <c r="S34" s="270" t="s">
        <v>590</v>
      </c>
      <c r="T34" s="90" t="s">
        <v>50</v>
      </c>
    </row>
    <row r="35" spans="1:20" s="90" customFormat="1" ht="35.25" customHeight="1" x14ac:dyDescent="0.3">
      <c r="A35" s="91">
        <v>25</v>
      </c>
      <c r="B35" s="92" t="str">
        <f>IF('2.ชื่อนักเรียน'!C35="","",'2.ชื่อนักเรียน'!C35)</f>
        <v/>
      </c>
      <c r="C35" s="199" t="str">
        <f>IF('2.ชื่อนักเรียน'!D35="","",'2.ชื่อนักเรียน'!D35)</f>
        <v/>
      </c>
      <c r="D35" s="163"/>
      <c r="E35" s="164"/>
      <c r="F35" s="164"/>
      <c r="G35" s="164"/>
      <c r="H35" s="164"/>
      <c r="I35" s="164"/>
      <c r="J35" s="164"/>
      <c r="K35" s="269" t="s">
        <v>164</v>
      </c>
      <c r="L35" s="163"/>
      <c r="M35" s="164"/>
      <c r="N35" s="164"/>
      <c r="O35" s="164"/>
      <c r="P35" s="164"/>
      <c r="Q35" s="164"/>
      <c r="R35" s="164"/>
      <c r="S35" s="270"/>
      <c r="T35" s="90" t="s">
        <v>54</v>
      </c>
    </row>
    <row r="36" spans="1:20" s="90" customFormat="1" ht="35.25" customHeight="1" x14ac:dyDescent="0.3">
      <c r="A36" s="91">
        <v>26</v>
      </c>
      <c r="B36" s="92" t="str">
        <f>IF('2.ชื่อนักเรียน'!C36="","",'2.ชื่อนักเรียน'!C36)</f>
        <v/>
      </c>
      <c r="C36" s="199" t="str">
        <f>IF('2.ชื่อนักเรียน'!D36="","",'2.ชื่อนักเรียน'!D36)</f>
        <v/>
      </c>
      <c r="D36" s="163">
        <v>5</v>
      </c>
      <c r="E36" s="164">
        <v>3</v>
      </c>
      <c r="F36" s="164">
        <v>5</v>
      </c>
      <c r="G36" s="164">
        <v>3</v>
      </c>
      <c r="H36" s="164">
        <v>5</v>
      </c>
      <c r="I36" s="164">
        <v>4</v>
      </c>
      <c r="J36" s="164">
        <v>4</v>
      </c>
      <c r="K36" s="270" t="s">
        <v>591</v>
      </c>
      <c r="L36" s="163">
        <v>5</v>
      </c>
      <c r="M36" s="164">
        <v>3</v>
      </c>
      <c r="N36" s="164">
        <v>5</v>
      </c>
      <c r="O36" s="164">
        <v>3</v>
      </c>
      <c r="P36" s="164">
        <v>5</v>
      </c>
      <c r="Q36" s="164">
        <v>4</v>
      </c>
      <c r="R36" s="164">
        <v>4</v>
      </c>
      <c r="S36" s="270" t="s">
        <v>586</v>
      </c>
      <c r="T36" s="90" t="s">
        <v>50</v>
      </c>
    </row>
    <row r="37" spans="1:20" s="90" customFormat="1" ht="35.25" customHeight="1" x14ac:dyDescent="0.3">
      <c r="A37" s="91">
        <v>27</v>
      </c>
      <c r="B37" s="92" t="str">
        <f>IF('2.ชื่อนักเรียน'!C37="","",'2.ชื่อนักเรียน'!C37)</f>
        <v/>
      </c>
      <c r="C37" s="199" t="str">
        <f>IF('2.ชื่อนักเรียน'!D37="","",'2.ชื่อนักเรียน'!D37)</f>
        <v/>
      </c>
      <c r="D37" s="163"/>
      <c r="E37" s="164"/>
      <c r="F37" s="164"/>
      <c r="G37" s="164"/>
      <c r="H37" s="164"/>
      <c r="I37" s="164"/>
      <c r="J37" s="164"/>
      <c r="K37" s="269" t="s">
        <v>164</v>
      </c>
      <c r="L37" s="163"/>
      <c r="M37" s="164"/>
      <c r="N37" s="164"/>
      <c r="O37" s="164"/>
      <c r="P37" s="164"/>
      <c r="Q37" s="164"/>
      <c r="R37" s="164"/>
      <c r="S37" s="270"/>
      <c r="T37" s="90" t="s">
        <v>54</v>
      </c>
    </row>
    <row r="38" spans="1:20" s="90" customFormat="1" ht="35.25" customHeight="1" x14ac:dyDescent="0.3">
      <c r="A38" s="91">
        <v>28</v>
      </c>
      <c r="B38" s="92" t="str">
        <f>IF('2.ชื่อนักเรียน'!C38="","",'2.ชื่อนักเรียน'!C38)</f>
        <v/>
      </c>
      <c r="C38" s="199" t="str">
        <f>IF('2.ชื่อนักเรียน'!D38="","",'2.ชื่อนักเรียน'!D38)</f>
        <v/>
      </c>
      <c r="D38" s="163"/>
      <c r="E38" s="164"/>
      <c r="F38" s="164"/>
      <c r="G38" s="164"/>
      <c r="H38" s="164"/>
      <c r="I38" s="164"/>
      <c r="J38" s="164"/>
      <c r="K38" s="269" t="s">
        <v>164</v>
      </c>
      <c r="L38" s="163"/>
      <c r="M38" s="164"/>
      <c r="N38" s="164"/>
      <c r="O38" s="164"/>
      <c r="P38" s="164"/>
      <c r="Q38" s="164"/>
      <c r="R38" s="164"/>
      <c r="S38" s="270"/>
      <c r="T38" s="90" t="s">
        <v>54</v>
      </c>
    </row>
    <row r="39" spans="1:20" s="90" customFormat="1" ht="35.25" customHeight="1" x14ac:dyDescent="0.3">
      <c r="A39" s="91">
        <v>29</v>
      </c>
      <c r="B39" s="92" t="str">
        <f>IF('2.ชื่อนักเรียน'!C39="","",'2.ชื่อนักเรียน'!C39)</f>
        <v/>
      </c>
      <c r="C39" s="199" t="str">
        <f>IF('2.ชื่อนักเรียน'!D39="","",'2.ชื่อนักเรียน'!D39)</f>
        <v/>
      </c>
      <c r="D39" s="163">
        <v>5</v>
      </c>
      <c r="E39" s="164">
        <v>4</v>
      </c>
      <c r="F39" s="164">
        <v>5</v>
      </c>
      <c r="G39" s="164">
        <v>4</v>
      </c>
      <c r="H39" s="164">
        <v>5</v>
      </c>
      <c r="I39" s="164">
        <v>5</v>
      </c>
      <c r="J39" s="164">
        <v>5</v>
      </c>
      <c r="K39" s="270" t="s">
        <v>591</v>
      </c>
      <c r="L39" s="163">
        <v>5</v>
      </c>
      <c r="M39" s="164">
        <v>4</v>
      </c>
      <c r="N39" s="164">
        <v>5</v>
      </c>
      <c r="O39" s="164">
        <v>4</v>
      </c>
      <c r="P39" s="164">
        <v>5</v>
      </c>
      <c r="Q39" s="164">
        <v>5</v>
      </c>
      <c r="R39" s="164">
        <v>5</v>
      </c>
      <c r="S39" s="270" t="s">
        <v>592</v>
      </c>
      <c r="T39" s="90" t="s">
        <v>50</v>
      </c>
    </row>
    <row r="40" spans="1:20" s="90" customFormat="1" ht="35.25" customHeight="1" x14ac:dyDescent="0.3">
      <c r="A40" s="91">
        <v>30</v>
      </c>
      <c r="B40" s="92" t="str">
        <f>IF('2.ชื่อนักเรียน'!C40="","",'2.ชื่อนักเรียน'!C40)</f>
        <v/>
      </c>
      <c r="C40" s="199" t="str">
        <f>IF('2.ชื่อนักเรียน'!D40="","",'2.ชื่อนักเรียน'!D40)</f>
        <v/>
      </c>
      <c r="D40" s="163">
        <v>3</v>
      </c>
      <c r="E40" s="164">
        <v>3</v>
      </c>
      <c r="F40" s="164">
        <v>3</v>
      </c>
      <c r="G40" s="164">
        <v>3</v>
      </c>
      <c r="H40" s="164">
        <v>4</v>
      </c>
      <c r="I40" s="164">
        <v>4</v>
      </c>
      <c r="J40" s="164">
        <v>4</v>
      </c>
      <c r="K40" s="270" t="s">
        <v>585</v>
      </c>
      <c r="L40" s="163">
        <v>3</v>
      </c>
      <c r="M40" s="164">
        <v>3</v>
      </c>
      <c r="N40" s="164">
        <v>3</v>
      </c>
      <c r="O40" s="164">
        <v>3</v>
      </c>
      <c r="P40" s="164">
        <v>4</v>
      </c>
      <c r="Q40" s="164">
        <v>4</v>
      </c>
      <c r="R40" s="164">
        <v>4</v>
      </c>
      <c r="S40" s="270" t="s">
        <v>586</v>
      </c>
      <c r="T40" s="90" t="s">
        <v>50</v>
      </c>
    </row>
    <row r="41" spans="1:20" s="90" customFormat="1" ht="35.25" customHeight="1" x14ac:dyDescent="0.3">
      <c r="A41" s="91">
        <v>31</v>
      </c>
      <c r="B41" s="92" t="str">
        <f>IF('2.ชื่อนักเรียน'!C41="","",'2.ชื่อนักเรียน'!C41)</f>
        <v/>
      </c>
      <c r="C41" s="199" t="str">
        <f>IF('2.ชื่อนักเรียน'!D41="","",'2.ชื่อนักเรียน'!D41)</f>
        <v/>
      </c>
      <c r="D41" s="163">
        <v>2</v>
      </c>
      <c r="E41" s="164">
        <v>2</v>
      </c>
      <c r="F41" s="164">
        <v>3</v>
      </c>
      <c r="G41" s="164">
        <v>2</v>
      </c>
      <c r="H41" s="164">
        <v>3</v>
      </c>
      <c r="I41" s="164">
        <v>2</v>
      </c>
      <c r="J41" s="164">
        <v>2</v>
      </c>
      <c r="K41" s="270" t="s">
        <v>593</v>
      </c>
      <c r="L41" s="163">
        <v>2</v>
      </c>
      <c r="M41" s="164">
        <v>2</v>
      </c>
      <c r="N41" s="164">
        <v>3</v>
      </c>
      <c r="O41" s="164">
        <v>2</v>
      </c>
      <c r="P41" s="164">
        <v>3</v>
      </c>
      <c r="Q41" s="164">
        <v>2</v>
      </c>
      <c r="R41" s="164">
        <v>2</v>
      </c>
      <c r="S41" s="270" t="s">
        <v>593</v>
      </c>
      <c r="T41" s="90" t="s">
        <v>50</v>
      </c>
    </row>
    <row r="42" spans="1:20" s="90" customFormat="1" ht="35.25" customHeight="1" x14ac:dyDescent="0.3">
      <c r="A42" s="91">
        <v>32</v>
      </c>
      <c r="B42" s="92" t="str">
        <f>IF('2.ชื่อนักเรียน'!C42="","",'2.ชื่อนักเรียน'!C42)</f>
        <v/>
      </c>
      <c r="C42" s="199" t="str">
        <f>IF('2.ชื่อนักเรียน'!D42="","",'2.ชื่อนักเรียน'!D42)</f>
        <v/>
      </c>
      <c r="D42" s="163"/>
      <c r="E42" s="164"/>
      <c r="F42" s="164"/>
      <c r="G42" s="164"/>
      <c r="H42" s="164"/>
      <c r="I42" s="164"/>
      <c r="J42" s="164"/>
      <c r="K42" s="269" t="s">
        <v>164</v>
      </c>
      <c r="L42" s="163"/>
      <c r="M42" s="164"/>
      <c r="N42" s="164"/>
      <c r="O42" s="164"/>
      <c r="P42" s="164"/>
      <c r="Q42" s="164"/>
      <c r="R42" s="164"/>
      <c r="S42" s="270"/>
      <c r="T42" s="90" t="s">
        <v>163</v>
      </c>
    </row>
    <row r="43" spans="1:20" s="90" customFormat="1" ht="35.25" customHeight="1" x14ac:dyDescent="0.3">
      <c r="A43" s="91">
        <v>33</v>
      </c>
      <c r="B43" s="92" t="str">
        <f>IF('2.ชื่อนักเรียน'!C43="","",'2.ชื่อนักเรียน'!C43)</f>
        <v/>
      </c>
      <c r="C43" s="199" t="str">
        <f>IF('2.ชื่อนักเรียน'!D43="","",'2.ชื่อนักเรียน'!D43)</f>
        <v/>
      </c>
      <c r="D43" s="163">
        <v>3</v>
      </c>
      <c r="E43" s="164">
        <v>2</v>
      </c>
      <c r="F43" s="164">
        <v>3</v>
      </c>
      <c r="G43" s="164">
        <v>2</v>
      </c>
      <c r="H43" s="164">
        <v>3</v>
      </c>
      <c r="I43" s="164">
        <v>2</v>
      </c>
      <c r="J43" s="164">
        <v>2</v>
      </c>
      <c r="K43" s="270" t="s">
        <v>585</v>
      </c>
      <c r="L43" s="163">
        <v>3</v>
      </c>
      <c r="M43" s="164">
        <v>2</v>
      </c>
      <c r="N43" s="164">
        <v>3</v>
      </c>
      <c r="O43" s="164">
        <v>2</v>
      </c>
      <c r="P43" s="164">
        <v>3</v>
      </c>
      <c r="Q43" s="164">
        <v>2</v>
      </c>
      <c r="R43" s="164">
        <v>2</v>
      </c>
      <c r="S43" s="270" t="s">
        <v>586</v>
      </c>
      <c r="T43" s="90" t="s">
        <v>50</v>
      </c>
    </row>
    <row r="44" spans="1:20" s="90" customFormat="1" ht="35.25" customHeight="1" x14ac:dyDescent="0.3">
      <c r="A44" s="91">
        <v>34</v>
      </c>
      <c r="B44" s="92" t="str">
        <f>IF('2.ชื่อนักเรียน'!C44="","",'2.ชื่อนักเรียน'!C44)</f>
        <v/>
      </c>
      <c r="C44" s="199" t="str">
        <f>IF('2.ชื่อนักเรียน'!D44="","",'2.ชื่อนักเรียน'!D44)</f>
        <v/>
      </c>
      <c r="D44" s="163"/>
      <c r="E44" s="164"/>
      <c r="F44" s="164"/>
      <c r="G44" s="164"/>
      <c r="H44" s="164"/>
      <c r="I44" s="164"/>
      <c r="J44" s="164"/>
      <c r="K44" s="269" t="s">
        <v>164</v>
      </c>
      <c r="L44" s="163"/>
      <c r="M44" s="164"/>
      <c r="N44" s="164"/>
      <c r="O44" s="164"/>
      <c r="P44" s="164"/>
      <c r="Q44" s="164"/>
      <c r="R44" s="164"/>
      <c r="S44" s="270"/>
      <c r="T44" s="90" t="s">
        <v>54</v>
      </c>
    </row>
    <row r="45" spans="1:20" s="90" customFormat="1" ht="35.25" customHeight="1" x14ac:dyDescent="0.3">
      <c r="A45" s="91">
        <v>35</v>
      </c>
      <c r="B45" s="92" t="str">
        <f>IF('2.ชื่อนักเรียน'!C45="","",'2.ชื่อนักเรียน'!C45)</f>
        <v/>
      </c>
      <c r="C45" s="199" t="str">
        <f>IF('2.ชื่อนักเรียน'!D45="","",'2.ชื่อนักเรียน'!D45)</f>
        <v/>
      </c>
      <c r="D45" s="163"/>
      <c r="E45" s="164"/>
      <c r="F45" s="164"/>
      <c r="G45" s="164"/>
      <c r="H45" s="164"/>
      <c r="I45" s="164"/>
      <c r="J45" s="164"/>
      <c r="K45" s="269" t="s">
        <v>164</v>
      </c>
      <c r="L45" s="163">
        <v>4</v>
      </c>
      <c r="M45" s="164">
        <v>3</v>
      </c>
      <c r="N45" s="164">
        <v>5</v>
      </c>
      <c r="O45" s="164">
        <v>3</v>
      </c>
      <c r="P45" s="164">
        <v>5</v>
      </c>
      <c r="Q45" s="164">
        <v>5</v>
      </c>
      <c r="R45" s="164">
        <v>5</v>
      </c>
      <c r="S45" s="270" t="s">
        <v>590</v>
      </c>
      <c r="T45" s="90" t="s">
        <v>50</v>
      </c>
    </row>
    <row r="46" spans="1:20" s="90" customFormat="1" ht="35.25" customHeight="1" x14ac:dyDescent="0.3">
      <c r="A46" s="91">
        <v>36</v>
      </c>
      <c r="B46" s="92" t="str">
        <f>IF('2.ชื่อนักเรียน'!C46="","",'2.ชื่อนักเรียน'!C46)</f>
        <v/>
      </c>
      <c r="C46" s="199" t="str">
        <f>IF('2.ชื่อนักเรียน'!D46="","",'2.ชื่อนักเรียน'!D46)</f>
        <v/>
      </c>
      <c r="D46" s="163"/>
      <c r="E46" s="164"/>
      <c r="F46" s="164"/>
      <c r="G46" s="164"/>
      <c r="H46" s="164"/>
      <c r="I46" s="164"/>
      <c r="J46" s="164"/>
      <c r="K46" s="269" t="s">
        <v>164</v>
      </c>
      <c r="L46" s="163"/>
      <c r="M46" s="164"/>
      <c r="N46" s="164"/>
      <c r="O46" s="164"/>
      <c r="P46" s="164"/>
      <c r="Q46" s="164"/>
      <c r="R46" s="164"/>
      <c r="S46" s="270"/>
      <c r="T46" s="90" t="s">
        <v>54</v>
      </c>
    </row>
    <row r="47" spans="1:20" s="90" customFormat="1" ht="35.25" customHeight="1" x14ac:dyDescent="0.3">
      <c r="A47" s="91">
        <v>37</v>
      </c>
      <c r="B47" s="92" t="str">
        <f>IF('2.ชื่อนักเรียน'!C47="","",'2.ชื่อนักเรียน'!C47)</f>
        <v/>
      </c>
      <c r="C47" s="199" t="str">
        <f>IF('2.ชื่อนักเรียน'!D47="","",'2.ชื่อนักเรียน'!D47)</f>
        <v/>
      </c>
      <c r="D47" s="163"/>
      <c r="E47" s="164"/>
      <c r="F47" s="164"/>
      <c r="G47" s="164"/>
      <c r="H47" s="164"/>
      <c r="I47" s="164"/>
      <c r="J47" s="164"/>
      <c r="K47" s="269"/>
      <c r="L47" s="163"/>
      <c r="M47" s="164"/>
      <c r="N47" s="164"/>
      <c r="O47" s="164"/>
      <c r="P47" s="164"/>
      <c r="Q47" s="164"/>
      <c r="R47" s="164"/>
      <c r="S47" s="270"/>
      <c r="T47" s="90" t="s">
        <v>50</v>
      </c>
    </row>
    <row r="48" spans="1:20" s="90" customFormat="1" ht="35.25" customHeight="1" x14ac:dyDescent="0.3">
      <c r="A48" s="91">
        <v>38</v>
      </c>
      <c r="B48" s="92" t="str">
        <f>IF('2.ชื่อนักเรียน'!C48="","",'2.ชื่อนักเรียน'!C48)</f>
        <v/>
      </c>
      <c r="C48" s="199" t="str">
        <f>IF('2.ชื่อนักเรียน'!D48="","",'2.ชื่อนักเรียน'!D48)</f>
        <v/>
      </c>
      <c r="D48" s="163"/>
      <c r="E48" s="164"/>
      <c r="F48" s="164"/>
      <c r="G48" s="164"/>
      <c r="H48" s="164"/>
      <c r="I48" s="164"/>
      <c r="J48" s="164"/>
      <c r="K48" s="269"/>
      <c r="L48" s="163"/>
      <c r="M48" s="164"/>
      <c r="N48" s="164"/>
      <c r="O48" s="164"/>
      <c r="P48" s="164"/>
      <c r="Q48" s="164"/>
      <c r="R48" s="164"/>
      <c r="S48" s="270"/>
      <c r="T48" s="90" t="s">
        <v>50</v>
      </c>
    </row>
    <row r="49" spans="1:20" s="90" customFormat="1" ht="35.25" customHeight="1" x14ac:dyDescent="0.3">
      <c r="A49" s="91">
        <v>39</v>
      </c>
      <c r="B49" s="92" t="str">
        <f>IF('2.ชื่อนักเรียน'!C49="","",'2.ชื่อนักเรียน'!C49)</f>
        <v/>
      </c>
      <c r="C49" s="199" t="str">
        <f>IF('2.ชื่อนักเรียน'!D49="","",'2.ชื่อนักเรียน'!D49)</f>
        <v/>
      </c>
      <c r="D49" s="163"/>
      <c r="E49" s="164"/>
      <c r="F49" s="164"/>
      <c r="G49" s="164"/>
      <c r="H49" s="164"/>
      <c r="I49" s="164"/>
      <c r="J49" s="164"/>
      <c r="K49" s="269"/>
      <c r="L49" s="163"/>
      <c r="M49" s="164"/>
      <c r="N49" s="164"/>
      <c r="O49" s="164"/>
      <c r="P49" s="164"/>
      <c r="Q49" s="164"/>
      <c r="R49" s="164"/>
      <c r="S49" s="270"/>
      <c r="T49" s="90" t="s">
        <v>50</v>
      </c>
    </row>
    <row r="50" spans="1:20" s="90" customFormat="1" ht="35.25" customHeight="1" x14ac:dyDescent="0.3">
      <c r="A50" s="91">
        <v>40</v>
      </c>
      <c r="B50" s="92" t="str">
        <f>IF('2.ชื่อนักเรียน'!C50="","",'2.ชื่อนักเรียน'!C50)</f>
        <v/>
      </c>
      <c r="C50" s="199" t="str">
        <f>IF('2.ชื่อนักเรียน'!D50="","",'2.ชื่อนักเรียน'!D50)</f>
        <v/>
      </c>
      <c r="D50" s="163"/>
      <c r="E50" s="164"/>
      <c r="F50" s="164"/>
      <c r="G50" s="164"/>
      <c r="H50" s="164"/>
      <c r="I50" s="164"/>
      <c r="J50" s="164"/>
      <c r="K50" s="269"/>
      <c r="L50" s="163"/>
      <c r="M50" s="164"/>
      <c r="N50" s="164"/>
      <c r="O50" s="164"/>
      <c r="P50" s="164"/>
      <c r="Q50" s="164"/>
      <c r="R50" s="164"/>
      <c r="S50" s="270"/>
      <c r="T50" s="90" t="s">
        <v>50</v>
      </c>
    </row>
    <row r="51" spans="1:20" s="90" customFormat="1" ht="35.25" customHeight="1" x14ac:dyDescent="0.3">
      <c r="A51" s="91">
        <v>41</v>
      </c>
      <c r="B51" s="92" t="str">
        <f>IF('2.ชื่อนักเรียน'!C51="","",'2.ชื่อนักเรียน'!C51)</f>
        <v/>
      </c>
      <c r="C51" s="199" t="str">
        <f>IF('2.ชื่อนักเรียน'!D51="","",'2.ชื่อนักเรียน'!D51)</f>
        <v/>
      </c>
      <c r="D51" s="163"/>
      <c r="E51" s="164"/>
      <c r="F51" s="164"/>
      <c r="G51" s="164"/>
      <c r="H51" s="164"/>
      <c r="I51" s="164"/>
      <c r="J51" s="164"/>
      <c r="K51" s="269"/>
      <c r="L51" s="163"/>
      <c r="M51" s="164"/>
      <c r="N51" s="164"/>
      <c r="O51" s="164"/>
      <c r="P51" s="164"/>
      <c r="Q51" s="164"/>
      <c r="R51" s="164"/>
      <c r="S51" s="270"/>
      <c r="T51" s="90" t="s">
        <v>50</v>
      </c>
    </row>
    <row r="52" spans="1:20" s="90" customFormat="1" ht="35.25" customHeight="1" x14ac:dyDescent="0.3">
      <c r="A52" s="91">
        <v>42</v>
      </c>
      <c r="B52" s="92" t="str">
        <f>IF('2.ชื่อนักเรียน'!C52="","",'2.ชื่อนักเรียน'!C52)</f>
        <v/>
      </c>
      <c r="C52" s="199" t="str">
        <f>IF('2.ชื่อนักเรียน'!D52="","",'2.ชื่อนักเรียน'!D52)</f>
        <v/>
      </c>
      <c r="D52" s="163"/>
      <c r="E52" s="164"/>
      <c r="F52" s="164"/>
      <c r="G52" s="164"/>
      <c r="H52" s="164"/>
      <c r="I52" s="164"/>
      <c r="J52" s="164"/>
      <c r="K52" s="269"/>
      <c r="L52" s="163"/>
      <c r="M52" s="164"/>
      <c r="N52" s="164"/>
      <c r="O52" s="164"/>
      <c r="P52" s="164"/>
      <c r="Q52" s="164"/>
      <c r="R52" s="164"/>
      <c r="S52" s="270"/>
      <c r="T52" s="90" t="s">
        <v>50</v>
      </c>
    </row>
    <row r="53" spans="1:20" s="90" customFormat="1" ht="35.25" customHeight="1" x14ac:dyDescent="0.3">
      <c r="A53" s="91">
        <v>43</v>
      </c>
      <c r="B53" s="92" t="str">
        <f>IF('2.ชื่อนักเรียน'!C53="","",'2.ชื่อนักเรียน'!C53)</f>
        <v/>
      </c>
      <c r="C53" s="199" t="str">
        <f>IF('2.ชื่อนักเรียน'!D53="","",'2.ชื่อนักเรียน'!D53)</f>
        <v/>
      </c>
      <c r="D53" s="163"/>
      <c r="E53" s="164"/>
      <c r="F53" s="164"/>
      <c r="G53" s="164"/>
      <c r="H53" s="164"/>
      <c r="I53" s="164"/>
      <c r="J53" s="164"/>
      <c r="K53" s="269"/>
      <c r="L53" s="163"/>
      <c r="M53" s="164"/>
      <c r="N53" s="164"/>
      <c r="O53" s="164"/>
      <c r="P53" s="164"/>
      <c r="Q53" s="164"/>
      <c r="R53" s="164"/>
      <c r="S53" s="270"/>
      <c r="T53" s="90" t="s">
        <v>50</v>
      </c>
    </row>
    <row r="54" spans="1:20" s="90" customFormat="1" ht="35.25" customHeight="1" x14ac:dyDescent="0.3">
      <c r="A54" s="91">
        <v>44</v>
      </c>
      <c r="B54" s="92" t="str">
        <f>IF('2.ชื่อนักเรียน'!C54="","",'2.ชื่อนักเรียน'!C54)</f>
        <v/>
      </c>
      <c r="C54" s="199" t="str">
        <f>IF('2.ชื่อนักเรียน'!D54="","",'2.ชื่อนักเรียน'!D54)</f>
        <v/>
      </c>
      <c r="D54" s="163"/>
      <c r="E54" s="164"/>
      <c r="F54" s="164"/>
      <c r="G54" s="164"/>
      <c r="H54" s="164"/>
      <c r="I54" s="164"/>
      <c r="J54" s="164"/>
      <c r="K54" s="269"/>
      <c r="L54" s="163"/>
      <c r="M54" s="164"/>
      <c r="N54" s="164"/>
      <c r="O54" s="164"/>
      <c r="P54" s="164"/>
      <c r="Q54" s="164"/>
      <c r="R54" s="164"/>
      <c r="S54" s="270"/>
      <c r="T54" s="90" t="s">
        <v>50</v>
      </c>
    </row>
    <row r="55" spans="1:20" s="90" customFormat="1" ht="35.25" customHeight="1" thickBot="1" x14ac:dyDescent="0.35">
      <c r="A55" s="203">
        <v>45</v>
      </c>
      <c r="B55" s="204" t="str">
        <f>IF('2.ชื่อนักเรียน'!C55="","",'2.ชื่อนักเรียน'!C55)</f>
        <v/>
      </c>
      <c r="C55" s="205" t="str">
        <f>IF('2.ชื่อนักเรียน'!D55="","",'2.ชื่อนักเรียน'!D55)</f>
        <v/>
      </c>
      <c r="D55" s="206"/>
      <c r="E55" s="207"/>
      <c r="F55" s="207"/>
      <c r="G55" s="207"/>
      <c r="H55" s="207"/>
      <c r="I55" s="207"/>
      <c r="J55" s="207"/>
      <c r="K55" s="269"/>
      <c r="L55" s="206"/>
      <c r="M55" s="207"/>
      <c r="N55" s="207"/>
      <c r="O55" s="207"/>
      <c r="P55" s="207"/>
      <c r="Q55" s="207"/>
      <c r="R55" s="207"/>
      <c r="S55" s="270"/>
      <c r="T55" s="90" t="s">
        <v>50</v>
      </c>
    </row>
    <row r="56" spans="1:20" s="98" customFormat="1" ht="9.75" customHeight="1" x14ac:dyDescent="0.25">
      <c r="A56" s="96"/>
      <c r="B56" s="97"/>
      <c r="C56" s="97"/>
      <c r="D56" s="96"/>
      <c r="E56" s="96"/>
      <c r="F56" s="96"/>
      <c r="G56" s="96"/>
      <c r="H56" s="96"/>
      <c r="I56" s="96"/>
      <c r="L56" s="96"/>
      <c r="M56" s="96"/>
      <c r="N56" s="96"/>
      <c r="O56" s="96"/>
      <c r="P56" s="96"/>
      <c r="Q56" s="96"/>
      <c r="S56" s="252"/>
    </row>
    <row r="57" spans="1:20" s="100" customFormat="1" ht="16.5" customHeight="1" x14ac:dyDescent="0.25">
      <c r="A57" s="96"/>
      <c r="B57" s="99"/>
      <c r="C57" s="99"/>
      <c r="D57" s="96"/>
      <c r="E57" s="96"/>
      <c r="L57" s="96"/>
      <c r="M57" s="96"/>
      <c r="S57" s="253"/>
    </row>
    <row r="58" spans="1:20" s="100" customFormat="1" ht="16.5" customHeight="1" x14ac:dyDescent="0.25">
      <c r="A58" s="96"/>
      <c r="B58" s="99"/>
      <c r="C58" s="99"/>
      <c r="D58" s="96"/>
      <c r="E58" s="96"/>
      <c r="L58" s="96"/>
      <c r="M58" s="96"/>
      <c r="S58" s="253"/>
    </row>
    <row r="59" spans="1:20" s="100" customFormat="1" ht="16.5" customHeight="1" x14ac:dyDescent="0.25">
      <c r="A59" s="96"/>
      <c r="B59" s="99"/>
      <c r="C59" s="99"/>
      <c r="D59" s="96"/>
      <c r="E59" s="96"/>
      <c r="L59" s="96"/>
      <c r="M59" s="96"/>
      <c r="S59" s="253"/>
    </row>
    <row r="60" spans="1:20" ht="16.5" customHeight="1" x14ac:dyDescent="0.4">
      <c r="A60" s="96"/>
      <c r="B60" s="99"/>
      <c r="C60" s="99"/>
      <c r="D60" s="101"/>
      <c r="E60" s="101"/>
      <c r="L60" s="101"/>
      <c r="M60" s="101"/>
    </row>
    <row r="61" spans="1:20" ht="16.5" customHeight="1" x14ac:dyDescent="0.4">
      <c r="A61" s="96"/>
      <c r="B61" s="99"/>
      <c r="C61" s="99"/>
      <c r="D61" s="101"/>
      <c r="E61" s="101"/>
      <c r="L61" s="101"/>
      <c r="M61" s="101"/>
    </row>
    <row r="62" spans="1:20" ht="12.75" customHeight="1" x14ac:dyDescent="0.4">
      <c r="A62" s="96"/>
      <c r="B62" s="99"/>
      <c r="C62" s="99"/>
      <c r="D62" s="96"/>
      <c r="E62" s="96"/>
      <c r="L62" s="96"/>
      <c r="M62" s="96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C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4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33203125" defaultRowHeight="21" x14ac:dyDescent="0.4"/>
  <cols>
    <col min="1" max="1" width="3.44140625" style="80" customWidth="1"/>
    <col min="2" max="2" width="14" style="80" customWidth="1"/>
    <col min="3" max="3" width="11.6640625" style="80" customWidth="1"/>
    <col min="4" max="4" width="9.33203125" style="80" customWidth="1"/>
    <col min="5" max="5" width="10" style="80" customWidth="1"/>
    <col min="6" max="7" width="7" style="80" customWidth="1"/>
    <col min="8" max="8" width="9.6640625" style="82" customWidth="1"/>
    <col min="9" max="10" width="7" style="80" customWidth="1"/>
    <col min="11" max="11" width="10.33203125" style="82" customWidth="1"/>
    <col min="12" max="13" width="7" style="80" customWidth="1"/>
    <col min="14" max="14" width="9.44140625" style="82" customWidth="1"/>
    <col min="15" max="16" width="7" style="80" customWidth="1"/>
    <col min="17" max="16384" width="9.33203125" style="80"/>
  </cols>
  <sheetData>
    <row r="1" spans="1:16" s="79" customFormat="1" ht="24.75" customHeight="1" x14ac:dyDescent="0.35">
      <c r="A1" s="816" t="s">
        <v>569</v>
      </c>
      <c r="B1" s="816"/>
      <c r="C1" s="816"/>
      <c r="D1" s="816"/>
      <c r="E1" s="816"/>
      <c r="F1" s="816"/>
      <c r="G1" s="816"/>
      <c r="H1" s="816"/>
      <c r="I1" s="816"/>
      <c r="J1" s="816"/>
      <c r="K1" s="475"/>
      <c r="L1" s="475"/>
      <c r="M1" s="475"/>
      <c r="N1" s="475"/>
      <c r="O1" s="475"/>
      <c r="P1" s="475"/>
    </row>
    <row r="2" spans="1:16" s="79" customFormat="1" ht="24.75" customHeight="1" x14ac:dyDescent="0.35">
      <c r="A2" s="816" t="s">
        <v>626</v>
      </c>
      <c r="B2" s="816"/>
      <c r="C2" s="816"/>
      <c r="D2" s="816"/>
      <c r="E2" s="816"/>
      <c r="F2" s="816"/>
      <c r="G2" s="816"/>
      <c r="H2" s="816"/>
      <c r="I2" s="816"/>
      <c r="J2" s="816"/>
      <c r="K2" s="475"/>
      <c r="L2" s="475"/>
      <c r="M2" s="475"/>
      <c r="N2" s="475"/>
      <c r="O2" s="475"/>
      <c r="P2" s="475"/>
    </row>
    <row r="3" spans="1:16" s="79" customFormat="1" ht="24.75" hidden="1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s="79" customFormat="1" ht="24.75" hidden="1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s="79" customFormat="1" ht="24.75" hidden="1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s="79" customFormat="1" ht="24.75" hidden="1" customHeight="1" x14ac:dyDescent="0.3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s="79" customFormat="1" ht="24.75" hidden="1" customHeight="1" x14ac:dyDescent="0.3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s="79" customFormat="1" ht="20.25" customHeight="1" thickBot="1" x14ac:dyDescent="0.4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21" customHeight="1" x14ac:dyDescent="0.4">
      <c r="A9" s="835" t="s">
        <v>0</v>
      </c>
      <c r="B9" s="837" t="s">
        <v>60</v>
      </c>
      <c r="C9" s="838"/>
      <c r="D9" s="841" t="s">
        <v>570</v>
      </c>
      <c r="E9" s="849">
        <v>44196</v>
      </c>
      <c r="F9" s="850"/>
      <c r="G9" s="851"/>
      <c r="H9" s="849">
        <v>44227</v>
      </c>
      <c r="I9" s="850"/>
      <c r="J9" s="851"/>
      <c r="K9" s="849">
        <v>44255</v>
      </c>
      <c r="L9" s="850"/>
      <c r="M9" s="851"/>
      <c r="N9" s="849">
        <v>44286</v>
      </c>
      <c r="O9" s="850"/>
      <c r="P9" s="851"/>
    </row>
    <row r="10" spans="1:16" s="102" customFormat="1" ht="17.25" customHeight="1" thickBot="1" x14ac:dyDescent="0.4">
      <c r="A10" s="836"/>
      <c r="B10" s="839"/>
      <c r="C10" s="840"/>
      <c r="D10" s="842"/>
      <c r="E10" s="266" t="s">
        <v>571</v>
      </c>
      <c r="F10" s="267" t="s">
        <v>572</v>
      </c>
      <c r="G10" s="268" t="s">
        <v>573</v>
      </c>
      <c r="H10" s="266" t="s">
        <v>571</v>
      </c>
      <c r="I10" s="267" t="s">
        <v>572</v>
      </c>
      <c r="J10" s="268" t="s">
        <v>573</v>
      </c>
      <c r="K10" s="266" t="s">
        <v>571</v>
      </c>
      <c r="L10" s="267" t="s">
        <v>572</v>
      </c>
      <c r="M10" s="268" t="s">
        <v>573</v>
      </c>
      <c r="N10" s="266" t="s">
        <v>571</v>
      </c>
      <c r="O10" s="267" t="s">
        <v>572</v>
      </c>
      <c r="P10" s="268" t="s">
        <v>573</v>
      </c>
    </row>
    <row r="11" spans="1:16" s="90" customFormat="1" ht="16.5" customHeight="1" x14ac:dyDescent="0.25">
      <c r="A11" s="86">
        <v>1</v>
      </c>
      <c r="B11" s="87" t="str">
        <f>IF(Name1="","",Name1)</f>
        <v/>
      </c>
      <c r="C11" s="194" t="str">
        <f>IF(Surname1="","",Surname1)</f>
        <v/>
      </c>
      <c r="D11" s="259"/>
      <c r="E11" s="265" t="str">
        <f>IF(D11="","",DATEDIF(D11,$E$9,"y")&amp;" ปี "&amp;DATEDIF(D11,$E$9,"ym")&amp;" เดือน ")</f>
        <v/>
      </c>
      <c r="F11" s="243"/>
      <c r="G11" s="244"/>
      <c r="H11" s="472" t="str">
        <f>IF(D11="","",DATEDIF(D11,$H$9,"y")&amp;" ปี "&amp;DATEDIF(D11,$H$9,"ym")&amp;" เดือน ")</f>
        <v/>
      </c>
      <c r="I11" s="243"/>
      <c r="J11" s="244"/>
      <c r="K11" s="472" t="str">
        <f>IF(D11="","",DATEDIF(D11,$K$9,"y")&amp;" ปี "&amp;DATEDIF(D11,$K$9,"ym")&amp;" เดือน ")</f>
        <v/>
      </c>
      <c r="L11" s="243"/>
      <c r="M11" s="244"/>
      <c r="N11" s="472" t="str">
        <f>IF(D11="","",DATEDIF(D11,$N$9,"y")&amp;" ปี "&amp;DATEDIF(D11,$N$9,"ym")&amp;" เดือน ")</f>
        <v/>
      </c>
      <c r="O11" s="243"/>
      <c r="P11" s="244"/>
    </row>
    <row r="12" spans="1:16" s="90" customFormat="1" ht="16.5" customHeight="1" x14ac:dyDescent="0.25">
      <c r="A12" s="91">
        <v>2</v>
      </c>
      <c r="B12" s="92" t="str">
        <f>IF(Name2="","",Name2)</f>
        <v/>
      </c>
      <c r="C12" s="199" t="str">
        <f>IF(Surname2="","",Surname2)</f>
        <v/>
      </c>
      <c r="D12" s="260"/>
      <c r="E12" s="263" t="str">
        <f t="shared" ref="E12:E55" si="0">IF(D12="","",DATEDIF(D12,$E$9,"y")&amp;" ปี "&amp;DATEDIF(D12,$E$9,"ym")&amp;" เดือน ")</f>
        <v/>
      </c>
      <c r="F12" s="245"/>
      <c r="G12" s="246"/>
      <c r="H12" s="473" t="str">
        <f t="shared" ref="H12:H55" si="1">IF(D12="","",DATEDIF(D12,$H$9,"y")&amp;" ปี "&amp;DATEDIF(D12,$H$9,"ym")&amp;" เดือน ")</f>
        <v/>
      </c>
      <c r="I12" s="245"/>
      <c r="J12" s="246"/>
      <c r="K12" s="473" t="str">
        <f t="shared" ref="K12:K55" si="2">IF(D12="","",DATEDIF(D12,$K$9,"y")&amp;" ปี "&amp;DATEDIF(D12,$K$9,"ym")&amp;" เดือน ")</f>
        <v/>
      </c>
      <c r="L12" s="245"/>
      <c r="M12" s="246"/>
      <c r="N12" s="473" t="str">
        <f t="shared" ref="N12:N55" si="3">IF(D12="","",DATEDIF(D12,$N$9,"y")&amp;" ปี "&amp;DATEDIF(D12,$N$9,"ym")&amp;" เดือน ")</f>
        <v/>
      </c>
      <c r="O12" s="245"/>
      <c r="P12" s="246"/>
    </row>
    <row r="13" spans="1:16" s="90" customFormat="1" ht="16.5" customHeight="1" x14ac:dyDescent="0.25">
      <c r="A13" s="91">
        <v>3</v>
      </c>
      <c r="B13" s="92" t="str">
        <f>IF(Name3="","",Name3)</f>
        <v/>
      </c>
      <c r="C13" s="199" t="str">
        <f>IF(Surname3="","",Surname3)</f>
        <v/>
      </c>
      <c r="D13" s="260"/>
      <c r="E13" s="263" t="str">
        <f t="shared" si="0"/>
        <v/>
      </c>
      <c r="F13" s="245"/>
      <c r="G13" s="246"/>
      <c r="H13" s="473" t="str">
        <f t="shared" si="1"/>
        <v/>
      </c>
      <c r="I13" s="245"/>
      <c r="J13" s="246"/>
      <c r="K13" s="473" t="str">
        <f t="shared" si="2"/>
        <v/>
      </c>
      <c r="L13" s="245"/>
      <c r="M13" s="246"/>
      <c r="N13" s="473" t="str">
        <f t="shared" si="3"/>
        <v/>
      </c>
      <c r="O13" s="245"/>
      <c r="P13" s="246"/>
    </row>
    <row r="14" spans="1:16" s="90" customFormat="1" ht="16.5" customHeight="1" x14ac:dyDescent="0.25">
      <c r="A14" s="91">
        <v>4</v>
      </c>
      <c r="B14" s="92" t="str">
        <f>IF(Name4="","",Name4)</f>
        <v/>
      </c>
      <c r="C14" s="199" t="str">
        <f>IF(Surname4="","",Surname4)</f>
        <v/>
      </c>
      <c r="D14" s="260"/>
      <c r="E14" s="263" t="str">
        <f t="shared" si="0"/>
        <v/>
      </c>
      <c r="F14" s="245"/>
      <c r="G14" s="246"/>
      <c r="H14" s="473" t="str">
        <f t="shared" si="1"/>
        <v/>
      </c>
      <c r="I14" s="245"/>
      <c r="J14" s="246"/>
      <c r="K14" s="473" t="str">
        <f t="shared" si="2"/>
        <v/>
      </c>
      <c r="L14" s="245"/>
      <c r="M14" s="246"/>
      <c r="N14" s="473" t="str">
        <f t="shared" si="3"/>
        <v/>
      </c>
      <c r="O14" s="245"/>
      <c r="P14" s="246"/>
    </row>
    <row r="15" spans="1:16" s="90" customFormat="1" ht="16.5" customHeight="1" x14ac:dyDescent="0.25">
      <c r="A15" s="91">
        <v>5</v>
      </c>
      <c r="B15" s="92" t="str">
        <f>IF(Name5="","",Name5)</f>
        <v/>
      </c>
      <c r="C15" s="199" t="str">
        <f>IF(Surname5="","",Surname5)</f>
        <v/>
      </c>
      <c r="D15" s="260"/>
      <c r="E15" s="263" t="str">
        <f t="shared" si="0"/>
        <v/>
      </c>
      <c r="F15" s="245"/>
      <c r="G15" s="246"/>
      <c r="H15" s="473" t="str">
        <f t="shared" si="1"/>
        <v/>
      </c>
      <c r="I15" s="245"/>
      <c r="J15" s="246"/>
      <c r="K15" s="473" t="str">
        <f t="shared" si="2"/>
        <v/>
      </c>
      <c r="L15" s="245"/>
      <c r="M15" s="246"/>
      <c r="N15" s="473" t="str">
        <f t="shared" si="3"/>
        <v/>
      </c>
      <c r="O15" s="245"/>
      <c r="P15" s="246"/>
    </row>
    <row r="16" spans="1:16" s="90" customFormat="1" ht="16.5" customHeight="1" x14ac:dyDescent="0.25">
      <c r="A16" s="91">
        <v>6</v>
      </c>
      <c r="B16" s="92" t="str">
        <f>IF(Name6="","",Name6)</f>
        <v/>
      </c>
      <c r="C16" s="199" t="str">
        <f>IF(Surname6="","",Surname6)</f>
        <v/>
      </c>
      <c r="D16" s="260"/>
      <c r="E16" s="263" t="str">
        <f t="shared" si="0"/>
        <v/>
      </c>
      <c r="F16" s="245"/>
      <c r="G16" s="246"/>
      <c r="H16" s="473" t="str">
        <f t="shared" si="1"/>
        <v/>
      </c>
      <c r="I16" s="245"/>
      <c r="J16" s="246"/>
      <c r="K16" s="473" t="str">
        <f t="shared" si="2"/>
        <v/>
      </c>
      <c r="L16" s="245"/>
      <c r="M16" s="246"/>
      <c r="N16" s="473" t="str">
        <f t="shared" si="3"/>
        <v/>
      </c>
      <c r="O16" s="245"/>
      <c r="P16" s="246"/>
    </row>
    <row r="17" spans="1:16" s="90" customFormat="1" ht="16.5" customHeight="1" x14ac:dyDescent="0.25">
      <c r="A17" s="91">
        <v>7</v>
      </c>
      <c r="B17" s="92" t="str">
        <f>IF(Name7="","",Name7)</f>
        <v/>
      </c>
      <c r="C17" s="199" t="str">
        <f>IF(Surname7="","",Surname7)</f>
        <v/>
      </c>
      <c r="D17" s="260"/>
      <c r="E17" s="263" t="str">
        <f t="shared" si="0"/>
        <v/>
      </c>
      <c r="F17" s="245"/>
      <c r="G17" s="246"/>
      <c r="H17" s="473" t="str">
        <f t="shared" si="1"/>
        <v/>
      </c>
      <c r="I17" s="245"/>
      <c r="J17" s="246"/>
      <c r="K17" s="473" t="str">
        <f t="shared" si="2"/>
        <v/>
      </c>
      <c r="L17" s="245"/>
      <c r="M17" s="246"/>
      <c r="N17" s="473" t="str">
        <f t="shared" si="3"/>
        <v/>
      </c>
      <c r="O17" s="245"/>
      <c r="P17" s="246"/>
    </row>
    <row r="18" spans="1:16" s="90" customFormat="1" ht="16.5" customHeight="1" x14ac:dyDescent="0.25">
      <c r="A18" s="91">
        <v>8</v>
      </c>
      <c r="B18" s="92" t="str">
        <f>IF(Name8="","",Name8)</f>
        <v/>
      </c>
      <c r="C18" s="199" t="str">
        <f>IF(Surname8="","",Surname8)</f>
        <v/>
      </c>
      <c r="D18" s="260"/>
      <c r="E18" s="263" t="str">
        <f t="shared" si="0"/>
        <v/>
      </c>
      <c r="F18" s="245"/>
      <c r="G18" s="246"/>
      <c r="H18" s="473" t="str">
        <f t="shared" si="1"/>
        <v/>
      </c>
      <c r="I18" s="245"/>
      <c r="J18" s="246"/>
      <c r="K18" s="473" t="str">
        <f t="shared" si="2"/>
        <v/>
      </c>
      <c r="L18" s="245"/>
      <c r="M18" s="246"/>
      <c r="N18" s="473" t="str">
        <f t="shared" si="3"/>
        <v/>
      </c>
      <c r="O18" s="245"/>
      <c r="P18" s="246"/>
    </row>
    <row r="19" spans="1:16" s="90" customFormat="1" ht="16.5" customHeight="1" x14ac:dyDescent="0.25">
      <c r="A19" s="91">
        <v>9</v>
      </c>
      <c r="B19" s="92" t="str">
        <f>IF(Name9="","",Name9)</f>
        <v/>
      </c>
      <c r="C19" s="199" t="str">
        <f>IF(Surname9="","",Surname9)</f>
        <v/>
      </c>
      <c r="D19" s="260"/>
      <c r="E19" s="263" t="str">
        <f t="shared" si="0"/>
        <v/>
      </c>
      <c r="F19" s="245"/>
      <c r="G19" s="246"/>
      <c r="H19" s="473" t="str">
        <f t="shared" si="1"/>
        <v/>
      </c>
      <c r="I19" s="245"/>
      <c r="J19" s="246"/>
      <c r="K19" s="473" t="str">
        <f t="shared" si="2"/>
        <v/>
      </c>
      <c r="L19" s="245"/>
      <c r="M19" s="246"/>
      <c r="N19" s="473" t="str">
        <f t="shared" si="3"/>
        <v/>
      </c>
      <c r="O19" s="245"/>
      <c r="P19" s="246"/>
    </row>
    <row r="20" spans="1:16" s="90" customFormat="1" ht="16.5" customHeight="1" x14ac:dyDescent="0.25">
      <c r="A20" s="91">
        <v>10</v>
      </c>
      <c r="B20" s="92" t="str">
        <f>IF(Name10="","",Name10)</f>
        <v/>
      </c>
      <c r="C20" s="199" t="str">
        <f>IF(Surname10="","",Surname10)</f>
        <v/>
      </c>
      <c r="D20" s="260"/>
      <c r="E20" s="263" t="str">
        <f t="shared" si="0"/>
        <v/>
      </c>
      <c r="F20" s="245"/>
      <c r="G20" s="246"/>
      <c r="H20" s="473" t="str">
        <f t="shared" si="1"/>
        <v/>
      </c>
      <c r="I20" s="245"/>
      <c r="J20" s="246"/>
      <c r="K20" s="473" t="str">
        <f t="shared" si="2"/>
        <v/>
      </c>
      <c r="L20" s="245"/>
      <c r="M20" s="246"/>
      <c r="N20" s="473" t="str">
        <f t="shared" si="3"/>
        <v/>
      </c>
      <c r="O20" s="245"/>
      <c r="P20" s="246"/>
    </row>
    <row r="21" spans="1:16" s="90" customFormat="1" ht="16.5" customHeight="1" x14ac:dyDescent="0.25">
      <c r="A21" s="91">
        <v>11</v>
      </c>
      <c r="B21" s="92" t="str">
        <f>IF(Name11="","",Name11)</f>
        <v/>
      </c>
      <c r="C21" s="199" t="str">
        <f>IF(Surname11="","",Surname11)</f>
        <v/>
      </c>
      <c r="D21" s="260"/>
      <c r="E21" s="263" t="str">
        <f t="shared" si="0"/>
        <v/>
      </c>
      <c r="F21" s="245"/>
      <c r="G21" s="246"/>
      <c r="H21" s="473" t="str">
        <f t="shared" si="1"/>
        <v/>
      </c>
      <c r="I21" s="245"/>
      <c r="J21" s="246"/>
      <c r="K21" s="473" t="str">
        <f t="shared" si="2"/>
        <v/>
      </c>
      <c r="L21" s="245"/>
      <c r="M21" s="246"/>
      <c r="N21" s="473" t="str">
        <f t="shared" si="3"/>
        <v/>
      </c>
      <c r="O21" s="245"/>
      <c r="P21" s="246"/>
    </row>
    <row r="22" spans="1:16" s="90" customFormat="1" ht="16.5" customHeight="1" x14ac:dyDescent="0.25">
      <c r="A22" s="91">
        <v>12</v>
      </c>
      <c r="B22" s="92" t="str">
        <f>IF(Name12="","",Name12)</f>
        <v/>
      </c>
      <c r="C22" s="199" t="str">
        <f>IF(Surname12="","",Surname12)</f>
        <v/>
      </c>
      <c r="D22" s="260"/>
      <c r="E22" s="263" t="str">
        <f t="shared" si="0"/>
        <v/>
      </c>
      <c r="F22" s="245"/>
      <c r="G22" s="246"/>
      <c r="H22" s="473" t="str">
        <f t="shared" si="1"/>
        <v/>
      </c>
      <c r="I22" s="245"/>
      <c r="J22" s="246"/>
      <c r="K22" s="473" t="str">
        <f t="shared" si="2"/>
        <v/>
      </c>
      <c r="L22" s="245"/>
      <c r="M22" s="246"/>
      <c r="N22" s="473" t="str">
        <f t="shared" si="3"/>
        <v/>
      </c>
      <c r="O22" s="245"/>
      <c r="P22" s="246"/>
    </row>
    <row r="23" spans="1:16" s="90" customFormat="1" ht="16.5" customHeight="1" x14ac:dyDescent="0.25">
      <c r="A23" s="91">
        <v>13</v>
      </c>
      <c r="B23" s="92" t="str">
        <f>IF(Name13="","",Name13)</f>
        <v/>
      </c>
      <c r="C23" s="199" t="str">
        <f>IF(Surname13="","",Surname13)</f>
        <v/>
      </c>
      <c r="D23" s="260"/>
      <c r="E23" s="263" t="str">
        <f t="shared" si="0"/>
        <v/>
      </c>
      <c r="F23" s="245"/>
      <c r="G23" s="246"/>
      <c r="H23" s="473" t="str">
        <f t="shared" si="1"/>
        <v/>
      </c>
      <c r="I23" s="245"/>
      <c r="J23" s="246"/>
      <c r="K23" s="473" t="str">
        <f t="shared" si="2"/>
        <v/>
      </c>
      <c r="L23" s="245"/>
      <c r="M23" s="246"/>
      <c r="N23" s="473" t="str">
        <f t="shared" si="3"/>
        <v/>
      </c>
      <c r="O23" s="245"/>
      <c r="P23" s="246"/>
    </row>
    <row r="24" spans="1:16" s="90" customFormat="1" ht="16.5" customHeight="1" x14ac:dyDescent="0.25">
      <c r="A24" s="91">
        <v>14</v>
      </c>
      <c r="B24" s="92" t="str">
        <f>IF(Name14="","",Name14)</f>
        <v/>
      </c>
      <c r="C24" s="199" t="str">
        <f>IF(Surname14="","",Surname14)</f>
        <v/>
      </c>
      <c r="D24" s="260"/>
      <c r="E24" s="263" t="str">
        <f t="shared" si="0"/>
        <v/>
      </c>
      <c r="F24" s="245"/>
      <c r="G24" s="246"/>
      <c r="H24" s="473" t="str">
        <f t="shared" si="1"/>
        <v/>
      </c>
      <c r="I24" s="245"/>
      <c r="J24" s="246"/>
      <c r="K24" s="473" t="str">
        <f t="shared" si="2"/>
        <v/>
      </c>
      <c r="L24" s="245"/>
      <c r="M24" s="246"/>
      <c r="N24" s="473" t="str">
        <f t="shared" si="3"/>
        <v/>
      </c>
      <c r="O24" s="245"/>
      <c r="P24" s="246"/>
    </row>
    <row r="25" spans="1:16" s="90" customFormat="1" ht="16.5" customHeight="1" x14ac:dyDescent="0.25">
      <c r="A25" s="91">
        <v>15</v>
      </c>
      <c r="B25" s="92" t="str">
        <f>IF(Name15="","",Name15)</f>
        <v/>
      </c>
      <c r="C25" s="199" t="str">
        <f>IF(Surname15="","",Surname15)</f>
        <v/>
      </c>
      <c r="D25" s="260"/>
      <c r="E25" s="263" t="str">
        <f t="shared" si="0"/>
        <v/>
      </c>
      <c r="F25" s="245"/>
      <c r="G25" s="246"/>
      <c r="H25" s="473" t="str">
        <f t="shared" si="1"/>
        <v/>
      </c>
      <c r="I25" s="245"/>
      <c r="J25" s="246"/>
      <c r="K25" s="473" t="str">
        <f t="shared" si="2"/>
        <v/>
      </c>
      <c r="L25" s="245"/>
      <c r="M25" s="246"/>
      <c r="N25" s="473" t="str">
        <f t="shared" si="3"/>
        <v/>
      </c>
      <c r="O25" s="245"/>
      <c r="P25" s="246"/>
    </row>
    <row r="26" spans="1:16" s="90" customFormat="1" ht="16.5" customHeight="1" x14ac:dyDescent="0.25">
      <c r="A26" s="91">
        <v>16</v>
      </c>
      <c r="B26" s="92" t="str">
        <f>IF(Name16="","",Name16)</f>
        <v/>
      </c>
      <c r="C26" s="199" t="str">
        <f>IF(Surname16="","",Surname16)</f>
        <v/>
      </c>
      <c r="D26" s="260"/>
      <c r="E26" s="263" t="str">
        <f t="shared" si="0"/>
        <v/>
      </c>
      <c r="F26" s="245"/>
      <c r="G26" s="246"/>
      <c r="H26" s="473" t="str">
        <f t="shared" si="1"/>
        <v/>
      </c>
      <c r="I26" s="245"/>
      <c r="J26" s="246"/>
      <c r="K26" s="473" t="str">
        <f t="shared" si="2"/>
        <v/>
      </c>
      <c r="L26" s="245"/>
      <c r="M26" s="246"/>
      <c r="N26" s="473" t="str">
        <f t="shared" si="3"/>
        <v/>
      </c>
      <c r="O26" s="245"/>
      <c r="P26" s="246"/>
    </row>
    <row r="27" spans="1:16" s="90" customFormat="1" ht="16.5" customHeight="1" x14ac:dyDescent="0.25">
      <c r="A27" s="91">
        <v>17</v>
      </c>
      <c r="B27" s="92" t="str">
        <f>IF(Name17="","",Name17)</f>
        <v/>
      </c>
      <c r="C27" s="199" t="str">
        <f>IF(Surname17="","",Surname17)</f>
        <v/>
      </c>
      <c r="D27" s="260"/>
      <c r="E27" s="263" t="str">
        <f t="shared" si="0"/>
        <v/>
      </c>
      <c r="F27" s="245"/>
      <c r="G27" s="246"/>
      <c r="H27" s="473" t="str">
        <f t="shared" si="1"/>
        <v/>
      </c>
      <c r="I27" s="245"/>
      <c r="J27" s="246"/>
      <c r="K27" s="473" t="str">
        <f t="shared" si="2"/>
        <v/>
      </c>
      <c r="L27" s="245"/>
      <c r="M27" s="246"/>
      <c r="N27" s="473" t="str">
        <f t="shared" si="3"/>
        <v/>
      </c>
      <c r="O27" s="245"/>
      <c r="P27" s="246"/>
    </row>
    <row r="28" spans="1:16" s="90" customFormat="1" ht="16.5" customHeight="1" x14ac:dyDescent="0.25">
      <c r="A28" s="91">
        <v>18</v>
      </c>
      <c r="B28" s="92" t="str">
        <f>IF(Name18="","",Name18)</f>
        <v/>
      </c>
      <c r="C28" s="199" t="str">
        <f>IF(Surname18="","",Surname18)</f>
        <v/>
      </c>
      <c r="D28" s="260"/>
      <c r="E28" s="263" t="str">
        <f t="shared" si="0"/>
        <v/>
      </c>
      <c r="F28" s="245"/>
      <c r="G28" s="246"/>
      <c r="H28" s="473" t="str">
        <f t="shared" si="1"/>
        <v/>
      </c>
      <c r="I28" s="245"/>
      <c r="J28" s="246"/>
      <c r="K28" s="473" t="str">
        <f t="shared" si="2"/>
        <v/>
      </c>
      <c r="L28" s="245"/>
      <c r="M28" s="246"/>
      <c r="N28" s="473" t="str">
        <f t="shared" si="3"/>
        <v/>
      </c>
      <c r="O28" s="245"/>
      <c r="P28" s="246"/>
    </row>
    <row r="29" spans="1:16" s="90" customFormat="1" ht="16.5" customHeight="1" x14ac:dyDescent="0.25">
      <c r="A29" s="91">
        <v>19</v>
      </c>
      <c r="B29" s="92" t="str">
        <f>IF(Name19="","",Name19)</f>
        <v/>
      </c>
      <c r="C29" s="199" t="str">
        <f>IF(Surname19="","",Surname19)</f>
        <v/>
      </c>
      <c r="D29" s="260"/>
      <c r="E29" s="263" t="str">
        <f t="shared" si="0"/>
        <v/>
      </c>
      <c r="F29" s="245"/>
      <c r="G29" s="246"/>
      <c r="H29" s="473" t="str">
        <f t="shared" si="1"/>
        <v/>
      </c>
      <c r="I29" s="245"/>
      <c r="J29" s="246"/>
      <c r="K29" s="473" t="str">
        <f t="shared" si="2"/>
        <v/>
      </c>
      <c r="L29" s="245"/>
      <c r="M29" s="246"/>
      <c r="N29" s="473" t="str">
        <f t="shared" si="3"/>
        <v/>
      </c>
      <c r="O29" s="245"/>
      <c r="P29" s="246"/>
    </row>
    <row r="30" spans="1:16" s="90" customFormat="1" ht="16.5" customHeight="1" x14ac:dyDescent="0.25">
      <c r="A30" s="91">
        <v>20</v>
      </c>
      <c r="B30" s="92" t="str">
        <f>IF(Name20="","",Name20)</f>
        <v/>
      </c>
      <c r="C30" s="199" t="str">
        <f>IF(Surname20="","",Surname20)</f>
        <v/>
      </c>
      <c r="D30" s="260"/>
      <c r="E30" s="263" t="str">
        <f t="shared" si="0"/>
        <v/>
      </c>
      <c r="F30" s="245"/>
      <c r="G30" s="246"/>
      <c r="H30" s="473" t="str">
        <f t="shared" si="1"/>
        <v/>
      </c>
      <c r="I30" s="245"/>
      <c r="J30" s="246"/>
      <c r="K30" s="473" t="str">
        <f t="shared" si="2"/>
        <v/>
      </c>
      <c r="L30" s="245"/>
      <c r="M30" s="246"/>
      <c r="N30" s="473" t="str">
        <f t="shared" si="3"/>
        <v/>
      </c>
      <c r="O30" s="245"/>
      <c r="P30" s="246"/>
    </row>
    <row r="31" spans="1:16" s="90" customFormat="1" ht="16.5" customHeight="1" x14ac:dyDescent="0.25">
      <c r="A31" s="91">
        <v>21</v>
      </c>
      <c r="B31" s="92" t="str">
        <f>IF(Name21="","",Name21)</f>
        <v/>
      </c>
      <c r="C31" s="199" t="str">
        <f>IF(Surname21="","",Surname21)</f>
        <v/>
      </c>
      <c r="D31" s="260"/>
      <c r="E31" s="263" t="str">
        <f t="shared" si="0"/>
        <v/>
      </c>
      <c r="F31" s="245"/>
      <c r="G31" s="246"/>
      <c r="H31" s="473" t="str">
        <f t="shared" si="1"/>
        <v/>
      </c>
      <c r="I31" s="245"/>
      <c r="J31" s="246"/>
      <c r="K31" s="473" t="str">
        <f t="shared" si="2"/>
        <v/>
      </c>
      <c r="L31" s="245"/>
      <c r="M31" s="246"/>
      <c r="N31" s="473" t="str">
        <f t="shared" si="3"/>
        <v/>
      </c>
      <c r="O31" s="245"/>
      <c r="P31" s="246"/>
    </row>
    <row r="32" spans="1:16" s="90" customFormat="1" ht="16.5" customHeight="1" x14ac:dyDescent="0.25">
      <c r="A32" s="91">
        <v>22</v>
      </c>
      <c r="B32" s="92" t="str">
        <f>IF(Name22="","",Name22)</f>
        <v/>
      </c>
      <c r="C32" s="202" t="str">
        <f>IF(Surname22="","",Surname22)</f>
        <v/>
      </c>
      <c r="D32" s="261"/>
      <c r="E32" s="263" t="str">
        <f t="shared" si="0"/>
        <v/>
      </c>
      <c r="F32" s="245"/>
      <c r="G32" s="246"/>
      <c r="H32" s="473" t="str">
        <f t="shared" si="1"/>
        <v/>
      </c>
      <c r="I32" s="245"/>
      <c r="J32" s="246"/>
      <c r="K32" s="473" t="str">
        <f t="shared" si="2"/>
        <v/>
      </c>
      <c r="L32" s="245"/>
      <c r="M32" s="246"/>
      <c r="N32" s="473" t="str">
        <f t="shared" si="3"/>
        <v/>
      </c>
      <c r="O32" s="245"/>
      <c r="P32" s="246"/>
    </row>
    <row r="33" spans="1:16" s="90" customFormat="1" ht="16.5" customHeight="1" x14ac:dyDescent="0.25">
      <c r="A33" s="91">
        <v>23</v>
      </c>
      <c r="B33" s="92" t="str">
        <f>IF(Name23="","",Name23)</f>
        <v/>
      </c>
      <c r="C33" s="199" t="str">
        <f>IF(Surname23="","",Surname23)</f>
        <v/>
      </c>
      <c r="D33" s="260"/>
      <c r="E33" s="263" t="str">
        <f t="shared" si="0"/>
        <v/>
      </c>
      <c r="F33" s="245"/>
      <c r="G33" s="246"/>
      <c r="H33" s="473" t="str">
        <f t="shared" si="1"/>
        <v/>
      </c>
      <c r="I33" s="245"/>
      <c r="J33" s="246"/>
      <c r="K33" s="473" t="str">
        <f t="shared" si="2"/>
        <v/>
      </c>
      <c r="L33" s="245"/>
      <c r="M33" s="246"/>
      <c r="N33" s="473" t="str">
        <f t="shared" si="3"/>
        <v/>
      </c>
      <c r="O33" s="245"/>
      <c r="P33" s="246"/>
    </row>
    <row r="34" spans="1:16" s="90" customFormat="1" ht="16.5" customHeight="1" x14ac:dyDescent="0.25">
      <c r="A34" s="91">
        <v>24</v>
      </c>
      <c r="B34" s="92" t="str">
        <f>IF(Name24="","",Name24)</f>
        <v/>
      </c>
      <c r="C34" s="199" t="str">
        <f>IF(Surname24="","",Surname24)</f>
        <v/>
      </c>
      <c r="D34" s="260"/>
      <c r="E34" s="263" t="str">
        <f t="shared" si="0"/>
        <v/>
      </c>
      <c r="F34" s="245"/>
      <c r="G34" s="246"/>
      <c r="H34" s="473" t="str">
        <f t="shared" si="1"/>
        <v/>
      </c>
      <c r="I34" s="245"/>
      <c r="J34" s="246"/>
      <c r="K34" s="473" t="str">
        <f t="shared" si="2"/>
        <v/>
      </c>
      <c r="L34" s="245"/>
      <c r="M34" s="246"/>
      <c r="N34" s="473" t="str">
        <f t="shared" si="3"/>
        <v/>
      </c>
      <c r="O34" s="245"/>
      <c r="P34" s="246"/>
    </row>
    <row r="35" spans="1:16" s="90" customFormat="1" ht="16.5" customHeight="1" x14ac:dyDescent="0.25">
      <c r="A35" s="91">
        <v>25</v>
      </c>
      <c r="B35" s="92" t="str">
        <f>IF(Name25="","",Name25)</f>
        <v/>
      </c>
      <c r="C35" s="199" t="str">
        <f>IF(Surname25="","",Surname25)</f>
        <v/>
      </c>
      <c r="D35" s="260"/>
      <c r="E35" s="263" t="str">
        <f t="shared" si="0"/>
        <v/>
      </c>
      <c r="F35" s="245"/>
      <c r="G35" s="246"/>
      <c r="H35" s="473" t="str">
        <f t="shared" si="1"/>
        <v/>
      </c>
      <c r="I35" s="245"/>
      <c r="J35" s="246"/>
      <c r="K35" s="473" t="str">
        <f t="shared" si="2"/>
        <v/>
      </c>
      <c r="L35" s="245"/>
      <c r="M35" s="246"/>
      <c r="N35" s="473" t="str">
        <f t="shared" si="3"/>
        <v/>
      </c>
      <c r="O35" s="245"/>
      <c r="P35" s="246"/>
    </row>
    <row r="36" spans="1:16" s="90" customFormat="1" ht="16.5" customHeight="1" x14ac:dyDescent="0.25">
      <c r="A36" s="91">
        <v>26</v>
      </c>
      <c r="B36" s="92" t="str">
        <f>IF(Name26="","",Name26)</f>
        <v/>
      </c>
      <c r="C36" s="199" t="str">
        <f>IF(Surname26="","",Surname26)</f>
        <v/>
      </c>
      <c r="D36" s="260"/>
      <c r="E36" s="263" t="str">
        <f t="shared" si="0"/>
        <v/>
      </c>
      <c r="F36" s="245"/>
      <c r="G36" s="246"/>
      <c r="H36" s="473" t="str">
        <f t="shared" si="1"/>
        <v/>
      </c>
      <c r="I36" s="245"/>
      <c r="J36" s="246"/>
      <c r="K36" s="473" t="str">
        <f t="shared" si="2"/>
        <v/>
      </c>
      <c r="L36" s="245"/>
      <c r="M36" s="246"/>
      <c r="N36" s="473" t="str">
        <f t="shared" si="3"/>
        <v/>
      </c>
      <c r="O36" s="245"/>
      <c r="P36" s="246"/>
    </row>
    <row r="37" spans="1:16" s="90" customFormat="1" ht="16.5" customHeight="1" x14ac:dyDescent="0.25">
      <c r="A37" s="91">
        <v>27</v>
      </c>
      <c r="B37" s="92" t="str">
        <f>IF(Name27="","",Name27)</f>
        <v/>
      </c>
      <c r="C37" s="199" t="str">
        <f>IF(Surname27="","",Surname27)</f>
        <v/>
      </c>
      <c r="D37" s="260"/>
      <c r="E37" s="263" t="str">
        <f t="shared" si="0"/>
        <v/>
      </c>
      <c r="F37" s="245"/>
      <c r="G37" s="246"/>
      <c r="H37" s="473" t="str">
        <f t="shared" si="1"/>
        <v/>
      </c>
      <c r="I37" s="245"/>
      <c r="J37" s="246"/>
      <c r="K37" s="473" t="str">
        <f t="shared" si="2"/>
        <v/>
      </c>
      <c r="L37" s="245"/>
      <c r="M37" s="246"/>
      <c r="N37" s="473" t="str">
        <f t="shared" si="3"/>
        <v/>
      </c>
      <c r="O37" s="245"/>
      <c r="P37" s="246"/>
    </row>
    <row r="38" spans="1:16" s="90" customFormat="1" ht="16.5" customHeight="1" x14ac:dyDescent="0.25">
      <c r="A38" s="91">
        <v>28</v>
      </c>
      <c r="B38" s="92" t="str">
        <f>IF(Name28="","",Name28)</f>
        <v/>
      </c>
      <c r="C38" s="199" t="str">
        <f>IF(Surname28="","",Surname28)</f>
        <v/>
      </c>
      <c r="D38" s="260"/>
      <c r="E38" s="263" t="str">
        <f t="shared" si="0"/>
        <v/>
      </c>
      <c r="F38" s="245"/>
      <c r="G38" s="246"/>
      <c r="H38" s="473" t="str">
        <f t="shared" si="1"/>
        <v/>
      </c>
      <c r="I38" s="245"/>
      <c r="J38" s="246"/>
      <c r="K38" s="473" t="str">
        <f t="shared" si="2"/>
        <v/>
      </c>
      <c r="L38" s="245"/>
      <c r="M38" s="246"/>
      <c r="N38" s="473" t="str">
        <f t="shared" si="3"/>
        <v/>
      </c>
      <c r="O38" s="245"/>
      <c r="P38" s="246"/>
    </row>
    <row r="39" spans="1:16" s="90" customFormat="1" ht="16.5" customHeight="1" x14ac:dyDescent="0.25">
      <c r="A39" s="91">
        <v>29</v>
      </c>
      <c r="B39" s="92" t="str">
        <f>IF(Name29="","",Name29)</f>
        <v/>
      </c>
      <c r="C39" s="199" t="str">
        <f>IF(Surname29="","",Surname29)</f>
        <v/>
      </c>
      <c r="D39" s="260"/>
      <c r="E39" s="263" t="str">
        <f t="shared" si="0"/>
        <v/>
      </c>
      <c r="F39" s="245"/>
      <c r="G39" s="246"/>
      <c r="H39" s="473" t="str">
        <f t="shared" si="1"/>
        <v/>
      </c>
      <c r="I39" s="245"/>
      <c r="J39" s="246"/>
      <c r="K39" s="473" t="str">
        <f t="shared" si="2"/>
        <v/>
      </c>
      <c r="L39" s="245"/>
      <c r="M39" s="246"/>
      <c r="N39" s="473" t="str">
        <f t="shared" si="3"/>
        <v/>
      </c>
      <c r="O39" s="245"/>
      <c r="P39" s="246"/>
    </row>
    <row r="40" spans="1:16" s="90" customFormat="1" ht="16.5" customHeight="1" x14ac:dyDescent="0.25">
      <c r="A40" s="91">
        <v>30</v>
      </c>
      <c r="B40" s="92" t="str">
        <f>IF(Name30="","",Name30)</f>
        <v/>
      </c>
      <c r="C40" s="199" t="str">
        <f>IF(Surname30="","",Surname30)</f>
        <v/>
      </c>
      <c r="D40" s="260"/>
      <c r="E40" s="263" t="str">
        <f t="shared" si="0"/>
        <v/>
      </c>
      <c r="F40" s="245"/>
      <c r="G40" s="246"/>
      <c r="H40" s="473" t="str">
        <f t="shared" si="1"/>
        <v/>
      </c>
      <c r="I40" s="245"/>
      <c r="J40" s="246"/>
      <c r="K40" s="473" t="str">
        <f t="shared" si="2"/>
        <v/>
      </c>
      <c r="L40" s="245"/>
      <c r="M40" s="246"/>
      <c r="N40" s="473" t="str">
        <f t="shared" si="3"/>
        <v/>
      </c>
      <c r="O40" s="245"/>
      <c r="P40" s="246"/>
    </row>
    <row r="41" spans="1:16" s="90" customFormat="1" ht="16.5" customHeight="1" x14ac:dyDescent="0.25">
      <c r="A41" s="91">
        <v>31</v>
      </c>
      <c r="B41" s="92" t="str">
        <f>IF(Name31="","",Name31)</f>
        <v/>
      </c>
      <c r="C41" s="199" t="str">
        <f>IF(Surname31="","",Surname31)</f>
        <v/>
      </c>
      <c r="D41" s="260"/>
      <c r="E41" s="263" t="str">
        <f t="shared" si="0"/>
        <v/>
      </c>
      <c r="F41" s="245"/>
      <c r="G41" s="246"/>
      <c r="H41" s="473" t="str">
        <f t="shared" si="1"/>
        <v/>
      </c>
      <c r="I41" s="245"/>
      <c r="J41" s="246"/>
      <c r="K41" s="473" t="str">
        <f t="shared" si="2"/>
        <v/>
      </c>
      <c r="L41" s="245"/>
      <c r="M41" s="246"/>
      <c r="N41" s="473" t="str">
        <f t="shared" si="3"/>
        <v/>
      </c>
      <c r="O41" s="245"/>
      <c r="P41" s="246"/>
    </row>
    <row r="42" spans="1:16" s="90" customFormat="1" ht="16.5" customHeight="1" x14ac:dyDescent="0.25">
      <c r="A42" s="91">
        <v>32</v>
      </c>
      <c r="B42" s="92" t="str">
        <f>IF(Name32="","",Name32)</f>
        <v/>
      </c>
      <c r="C42" s="199" t="str">
        <f>IF(Surname32="","",Surname32)</f>
        <v/>
      </c>
      <c r="D42" s="260"/>
      <c r="E42" s="263" t="str">
        <f t="shared" si="0"/>
        <v/>
      </c>
      <c r="F42" s="245"/>
      <c r="G42" s="246"/>
      <c r="H42" s="473" t="str">
        <f t="shared" si="1"/>
        <v/>
      </c>
      <c r="I42" s="245"/>
      <c r="J42" s="246"/>
      <c r="K42" s="473" t="str">
        <f t="shared" si="2"/>
        <v/>
      </c>
      <c r="L42" s="245"/>
      <c r="M42" s="246"/>
      <c r="N42" s="473" t="str">
        <f t="shared" si="3"/>
        <v/>
      </c>
      <c r="O42" s="245"/>
      <c r="P42" s="246"/>
    </row>
    <row r="43" spans="1:16" s="90" customFormat="1" ht="16.5" customHeight="1" x14ac:dyDescent="0.25">
      <c r="A43" s="91">
        <v>33</v>
      </c>
      <c r="B43" s="92" t="str">
        <f>IF(Name33="","",Name33)</f>
        <v/>
      </c>
      <c r="C43" s="199" t="str">
        <f>IF(Surname33="","",Surname33)</f>
        <v/>
      </c>
      <c r="D43" s="260"/>
      <c r="E43" s="263" t="str">
        <f t="shared" si="0"/>
        <v/>
      </c>
      <c r="F43" s="245"/>
      <c r="G43" s="246"/>
      <c r="H43" s="473" t="str">
        <f t="shared" si="1"/>
        <v/>
      </c>
      <c r="I43" s="245"/>
      <c r="J43" s="246"/>
      <c r="K43" s="473" t="str">
        <f t="shared" si="2"/>
        <v/>
      </c>
      <c r="L43" s="245"/>
      <c r="M43" s="246"/>
      <c r="N43" s="473" t="str">
        <f t="shared" si="3"/>
        <v/>
      </c>
      <c r="O43" s="245"/>
      <c r="P43" s="246"/>
    </row>
    <row r="44" spans="1:16" s="90" customFormat="1" ht="16.5" customHeight="1" x14ac:dyDescent="0.25">
      <c r="A44" s="91">
        <v>34</v>
      </c>
      <c r="B44" s="92" t="str">
        <f>IF(Name34="","",Name34)</f>
        <v/>
      </c>
      <c r="C44" s="199" t="str">
        <f>IF(Surname34="","",Surname34)</f>
        <v/>
      </c>
      <c r="D44" s="260"/>
      <c r="E44" s="263" t="str">
        <f t="shared" si="0"/>
        <v/>
      </c>
      <c r="F44" s="245"/>
      <c r="G44" s="246"/>
      <c r="H44" s="473" t="str">
        <f t="shared" si="1"/>
        <v/>
      </c>
      <c r="I44" s="245"/>
      <c r="J44" s="246"/>
      <c r="K44" s="473" t="str">
        <f t="shared" si="2"/>
        <v/>
      </c>
      <c r="L44" s="245"/>
      <c r="M44" s="246"/>
      <c r="N44" s="473" t="str">
        <f t="shared" si="3"/>
        <v/>
      </c>
      <c r="O44" s="245"/>
      <c r="P44" s="246"/>
    </row>
    <row r="45" spans="1:16" s="90" customFormat="1" ht="16.5" customHeight="1" x14ac:dyDescent="0.25">
      <c r="A45" s="91">
        <v>35</v>
      </c>
      <c r="B45" s="92" t="str">
        <f>IF(Name35="","",Name35)</f>
        <v/>
      </c>
      <c r="C45" s="199" t="str">
        <f>IF(Surname35="","",Surname35)</f>
        <v/>
      </c>
      <c r="D45" s="260"/>
      <c r="E45" s="263" t="str">
        <f t="shared" si="0"/>
        <v/>
      </c>
      <c r="F45" s="245"/>
      <c r="G45" s="246"/>
      <c r="H45" s="473" t="str">
        <f t="shared" si="1"/>
        <v/>
      </c>
      <c r="I45" s="245"/>
      <c r="J45" s="246"/>
      <c r="K45" s="473" t="str">
        <f t="shared" si="2"/>
        <v/>
      </c>
      <c r="L45" s="245"/>
      <c r="M45" s="246"/>
      <c r="N45" s="473" t="str">
        <f t="shared" si="3"/>
        <v/>
      </c>
      <c r="O45" s="245"/>
      <c r="P45" s="246"/>
    </row>
    <row r="46" spans="1:16" s="90" customFormat="1" ht="16.5" customHeight="1" x14ac:dyDescent="0.25">
      <c r="A46" s="91">
        <v>36</v>
      </c>
      <c r="B46" s="92" t="str">
        <f>IF(Name36="","",Name36)</f>
        <v/>
      </c>
      <c r="C46" s="199" t="str">
        <f>IF(Surname36="","",Surname36)</f>
        <v/>
      </c>
      <c r="D46" s="260"/>
      <c r="E46" s="263" t="str">
        <f t="shared" si="0"/>
        <v/>
      </c>
      <c r="F46" s="245"/>
      <c r="G46" s="246"/>
      <c r="H46" s="473" t="str">
        <f t="shared" si="1"/>
        <v/>
      </c>
      <c r="I46" s="245"/>
      <c r="J46" s="246"/>
      <c r="K46" s="473" t="str">
        <f t="shared" si="2"/>
        <v/>
      </c>
      <c r="L46" s="245"/>
      <c r="M46" s="246"/>
      <c r="N46" s="473" t="str">
        <f t="shared" si="3"/>
        <v/>
      </c>
      <c r="O46" s="245"/>
      <c r="P46" s="246"/>
    </row>
    <row r="47" spans="1:16" s="90" customFormat="1" ht="16.5" customHeight="1" x14ac:dyDescent="0.25">
      <c r="A47" s="91">
        <v>37</v>
      </c>
      <c r="B47" s="92" t="str">
        <f>IF(Name37="","",Name37)</f>
        <v/>
      </c>
      <c r="C47" s="199" t="str">
        <f>IF(Surname37="","",Surname37)</f>
        <v/>
      </c>
      <c r="D47" s="260"/>
      <c r="E47" s="263" t="str">
        <f t="shared" si="0"/>
        <v/>
      </c>
      <c r="F47" s="245"/>
      <c r="G47" s="246"/>
      <c r="H47" s="473" t="str">
        <f t="shared" si="1"/>
        <v/>
      </c>
      <c r="I47" s="245"/>
      <c r="J47" s="246"/>
      <c r="K47" s="473" t="str">
        <f t="shared" si="2"/>
        <v/>
      </c>
      <c r="L47" s="245"/>
      <c r="M47" s="246"/>
      <c r="N47" s="473" t="str">
        <f t="shared" si="3"/>
        <v/>
      </c>
      <c r="O47" s="245"/>
      <c r="P47" s="246"/>
    </row>
    <row r="48" spans="1:16" s="90" customFormat="1" ht="16.5" customHeight="1" x14ac:dyDescent="0.25">
      <c r="A48" s="91">
        <v>38</v>
      </c>
      <c r="B48" s="92" t="str">
        <f>IF(Name38="","",Name38)</f>
        <v/>
      </c>
      <c r="C48" s="199" t="str">
        <f>IF(Surname38="","",Surname38)</f>
        <v/>
      </c>
      <c r="D48" s="260"/>
      <c r="E48" s="263" t="str">
        <f t="shared" si="0"/>
        <v/>
      </c>
      <c r="F48" s="245"/>
      <c r="G48" s="246"/>
      <c r="H48" s="473" t="str">
        <f t="shared" si="1"/>
        <v/>
      </c>
      <c r="I48" s="245"/>
      <c r="J48" s="246"/>
      <c r="K48" s="473" t="str">
        <f t="shared" si="2"/>
        <v/>
      </c>
      <c r="L48" s="245"/>
      <c r="M48" s="246"/>
      <c r="N48" s="473" t="str">
        <f t="shared" si="3"/>
        <v/>
      </c>
      <c r="O48" s="245"/>
      <c r="P48" s="246"/>
    </row>
    <row r="49" spans="1:16" s="90" customFormat="1" ht="16.5" customHeight="1" x14ac:dyDescent="0.25">
      <c r="A49" s="91">
        <v>39</v>
      </c>
      <c r="B49" s="92" t="str">
        <f>IF(Name39="","",Name39)</f>
        <v/>
      </c>
      <c r="C49" s="199" t="str">
        <f>IF(Surname39="","",Surname39)</f>
        <v/>
      </c>
      <c r="D49" s="260"/>
      <c r="E49" s="263" t="str">
        <f t="shared" si="0"/>
        <v/>
      </c>
      <c r="F49" s="245"/>
      <c r="G49" s="246"/>
      <c r="H49" s="473" t="str">
        <f t="shared" si="1"/>
        <v/>
      </c>
      <c r="I49" s="245"/>
      <c r="J49" s="246"/>
      <c r="K49" s="473" t="str">
        <f t="shared" si="2"/>
        <v/>
      </c>
      <c r="L49" s="245"/>
      <c r="M49" s="246"/>
      <c r="N49" s="473" t="str">
        <f t="shared" si="3"/>
        <v/>
      </c>
      <c r="O49" s="245"/>
      <c r="P49" s="246"/>
    </row>
    <row r="50" spans="1:16" s="90" customFormat="1" ht="16.5" customHeight="1" x14ac:dyDescent="0.25">
      <c r="A50" s="91">
        <v>40</v>
      </c>
      <c r="B50" s="92" t="str">
        <f>IF(Name40="","",Name40)</f>
        <v/>
      </c>
      <c r="C50" s="199" t="str">
        <f>IF(Surname40="","",Surname40)</f>
        <v/>
      </c>
      <c r="D50" s="260"/>
      <c r="E50" s="263" t="str">
        <f t="shared" si="0"/>
        <v/>
      </c>
      <c r="F50" s="245"/>
      <c r="G50" s="246"/>
      <c r="H50" s="473" t="str">
        <f t="shared" si="1"/>
        <v/>
      </c>
      <c r="I50" s="245"/>
      <c r="J50" s="246"/>
      <c r="K50" s="473" t="str">
        <f t="shared" si="2"/>
        <v/>
      </c>
      <c r="L50" s="245"/>
      <c r="M50" s="246"/>
      <c r="N50" s="473" t="str">
        <f t="shared" si="3"/>
        <v/>
      </c>
      <c r="O50" s="245"/>
      <c r="P50" s="246"/>
    </row>
    <row r="51" spans="1:16" s="90" customFormat="1" ht="16.5" customHeight="1" x14ac:dyDescent="0.25">
      <c r="A51" s="91">
        <v>41</v>
      </c>
      <c r="B51" s="92" t="str">
        <f>IF(Name41="","",Name41)</f>
        <v/>
      </c>
      <c r="C51" s="199" t="str">
        <f>IF(Surname41="","",Surname41)</f>
        <v/>
      </c>
      <c r="D51" s="260"/>
      <c r="E51" s="263" t="str">
        <f t="shared" si="0"/>
        <v/>
      </c>
      <c r="F51" s="245"/>
      <c r="G51" s="246"/>
      <c r="H51" s="473" t="str">
        <f t="shared" si="1"/>
        <v/>
      </c>
      <c r="I51" s="245"/>
      <c r="J51" s="246"/>
      <c r="K51" s="473" t="str">
        <f t="shared" si="2"/>
        <v/>
      </c>
      <c r="L51" s="245"/>
      <c r="M51" s="246"/>
      <c r="N51" s="473" t="str">
        <f t="shared" si="3"/>
        <v/>
      </c>
      <c r="O51" s="245"/>
      <c r="P51" s="246"/>
    </row>
    <row r="52" spans="1:16" s="90" customFormat="1" ht="16.5" customHeight="1" x14ac:dyDescent="0.25">
      <c r="A52" s="91">
        <v>42</v>
      </c>
      <c r="B52" s="92" t="str">
        <f>IF(Name42="","",Name42)</f>
        <v/>
      </c>
      <c r="C52" s="199" t="str">
        <f>IF(Surname42="","",Surname42)</f>
        <v/>
      </c>
      <c r="D52" s="260"/>
      <c r="E52" s="263" t="str">
        <f t="shared" si="0"/>
        <v/>
      </c>
      <c r="F52" s="245"/>
      <c r="G52" s="246"/>
      <c r="H52" s="473" t="str">
        <f t="shared" si="1"/>
        <v/>
      </c>
      <c r="I52" s="245"/>
      <c r="J52" s="246"/>
      <c r="K52" s="473" t="str">
        <f t="shared" si="2"/>
        <v/>
      </c>
      <c r="L52" s="245"/>
      <c r="M52" s="246"/>
      <c r="N52" s="473" t="str">
        <f t="shared" si="3"/>
        <v/>
      </c>
      <c r="O52" s="245"/>
      <c r="P52" s="246"/>
    </row>
    <row r="53" spans="1:16" s="90" customFormat="1" ht="16.5" customHeight="1" x14ac:dyDescent="0.25">
      <c r="A53" s="91">
        <v>43</v>
      </c>
      <c r="B53" s="92" t="str">
        <f>IF(Name43="","",Name43)</f>
        <v/>
      </c>
      <c r="C53" s="199" t="str">
        <f>IF(Surname43="","",Surname43)</f>
        <v/>
      </c>
      <c r="D53" s="260"/>
      <c r="E53" s="263" t="str">
        <f t="shared" si="0"/>
        <v/>
      </c>
      <c r="F53" s="245"/>
      <c r="G53" s="246"/>
      <c r="H53" s="473" t="str">
        <f t="shared" si="1"/>
        <v/>
      </c>
      <c r="I53" s="245"/>
      <c r="J53" s="246"/>
      <c r="K53" s="473" t="str">
        <f t="shared" si="2"/>
        <v/>
      </c>
      <c r="L53" s="245"/>
      <c r="M53" s="246"/>
      <c r="N53" s="473" t="str">
        <f t="shared" si="3"/>
        <v/>
      </c>
      <c r="O53" s="245"/>
      <c r="P53" s="246"/>
    </row>
    <row r="54" spans="1:16" s="90" customFormat="1" ht="16.5" customHeight="1" x14ac:dyDescent="0.25">
      <c r="A54" s="91">
        <v>44</v>
      </c>
      <c r="B54" s="92" t="str">
        <f>IF(Name44="","",Name44)</f>
        <v/>
      </c>
      <c r="C54" s="199" t="str">
        <f>IF(Surname44="","",Surname44)</f>
        <v/>
      </c>
      <c r="D54" s="260"/>
      <c r="E54" s="263" t="str">
        <f t="shared" si="0"/>
        <v/>
      </c>
      <c r="F54" s="245"/>
      <c r="G54" s="246"/>
      <c r="H54" s="473" t="str">
        <f t="shared" si="1"/>
        <v/>
      </c>
      <c r="I54" s="245"/>
      <c r="J54" s="246"/>
      <c r="K54" s="473" t="str">
        <f t="shared" si="2"/>
        <v/>
      </c>
      <c r="L54" s="245"/>
      <c r="M54" s="246"/>
      <c r="N54" s="473" t="str">
        <f t="shared" si="3"/>
        <v/>
      </c>
      <c r="O54" s="245"/>
      <c r="P54" s="246"/>
    </row>
    <row r="55" spans="1:16" s="90" customFormat="1" ht="16.5" customHeight="1" thickBot="1" x14ac:dyDescent="0.3">
      <c r="A55" s="203">
        <v>45</v>
      </c>
      <c r="B55" s="204" t="str">
        <f>IF(Name45="","",Name45)</f>
        <v/>
      </c>
      <c r="C55" s="205" t="str">
        <f>IF(Surname45="","",Surname45)</f>
        <v/>
      </c>
      <c r="D55" s="262"/>
      <c r="E55" s="264" t="str">
        <f t="shared" si="0"/>
        <v/>
      </c>
      <c r="F55" s="247"/>
      <c r="G55" s="248"/>
      <c r="H55" s="474" t="str">
        <f t="shared" si="1"/>
        <v/>
      </c>
      <c r="I55" s="247"/>
      <c r="J55" s="248"/>
      <c r="K55" s="474" t="str">
        <f t="shared" si="2"/>
        <v/>
      </c>
      <c r="L55" s="247"/>
      <c r="M55" s="248"/>
      <c r="N55" s="474" t="str">
        <f t="shared" si="3"/>
        <v/>
      </c>
      <c r="O55" s="247"/>
      <c r="P55" s="248"/>
    </row>
    <row r="56" spans="1:16" s="98" customFormat="1" ht="9.75" customHeight="1" x14ac:dyDescent="0.25">
      <c r="A56" s="96"/>
      <c r="B56" s="97"/>
      <c r="C56" s="97"/>
      <c r="D56" s="97"/>
      <c r="E56" s="97"/>
      <c r="F56" s="96"/>
      <c r="G56" s="96"/>
      <c r="H56" s="96"/>
      <c r="I56" s="96"/>
      <c r="J56" s="96"/>
      <c r="K56" s="96"/>
      <c r="L56" s="96"/>
      <c r="M56" s="96"/>
      <c r="N56" s="96"/>
    </row>
    <row r="57" spans="1:16" s="100" customFormat="1" ht="16.5" customHeight="1" x14ac:dyDescent="0.25">
      <c r="A57" s="96"/>
      <c r="B57" s="99"/>
      <c r="C57" s="99"/>
      <c r="D57" s="99"/>
      <c r="E57" s="99"/>
      <c r="F57" s="96"/>
      <c r="G57" s="96"/>
      <c r="H57" s="96"/>
      <c r="K57" s="249"/>
      <c r="N57" s="249"/>
    </row>
    <row r="58" spans="1:16" s="100" customFormat="1" ht="16.5" customHeight="1" x14ac:dyDescent="0.25">
      <c r="A58" s="96"/>
      <c r="B58" s="99"/>
      <c r="C58" s="99"/>
      <c r="D58" s="99"/>
      <c r="E58" s="99"/>
      <c r="F58" s="96"/>
      <c r="G58" s="96"/>
      <c r="H58" s="96"/>
      <c r="K58" s="249"/>
      <c r="N58" s="249"/>
    </row>
    <row r="59" spans="1:16" s="100" customFormat="1" ht="16.5" customHeight="1" x14ac:dyDescent="0.25">
      <c r="A59" s="96"/>
      <c r="B59" s="99"/>
      <c r="C59" s="99"/>
      <c r="D59" s="99"/>
      <c r="E59" s="99"/>
      <c r="F59" s="96"/>
      <c r="G59" s="96"/>
      <c r="H59" s="96"/>
      <c r="K59" s="249"/>
      <c r="N59" s="249"/>
    </row>
    <row r="60" spans="1:16" ht="16.5" customHeight="1" x14ac:dyDescent="0.4">
      <c r="A60" s="96"/>
      <c r="B60" s="99"/>
      <c r="C60" s="99"/>
      <c r="D60" s="99"/>
      <c r="E60" s="99"/>
      <c r="F60" s="101"/>
      <c r="G60" s="101"/>
      <c r="H60" s="101"/>
    </row>
    <row r="61" spans="1:16" ht="16.5" customHeight="1" x14ac:dyDescent="0.4">
      <c r="A61" s="96"/>
      <c r="B61" s="99"/>
      <c r="C61" s="99"/>
      <c r="D61" s="99"/>
      <c r="E61" s="99"/>
      <c r="F61" s="101"/>
      <c r="G61" s="101"/>
      <c r="H61" s="101"/>
    </row>
    <row r="62" spans="1:16" ht="12.75" customHeight="1" x14ac:dyDescent="0.4">
      <c r="A62" s="96"/>
      <c r="B62" s="99"/>
      <c r="C62" s="99"/>
      <c r="D62" s="99"/>
      <c r="E62" s="99"/>
      <c r="F62" s="96"/>
      <c r="G62" s="96"/>
      <c r="H62" s="96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D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B050"/>
  </sheetPr>
  <dimension ref="B1:CD58"/>
  <sheetViews>
    <sheetView view="pageBreakPreview" topLeftCell="A6" zoomScaleSheetLayoutView="100" workbookViewId="0">
      <selection activeCell="BK14" sqref="BK14:BM14"/>
    </sheetView>
  </sheetViews>
  <sheetFormatPr defaultColWidth="9.33203125" defaultRowHeight="21" x14ac:dyDescent="0.4"/>
  <cols>
    <col min="1" max="71" width="1.44140625" style="167" customWidth="1"/>
    <col min="72" max="77" width="9.33203125" style="167"/>
    <col min="78" max="78" width="5.44140625" style="167" customWidth="1"/>
    <col min="79" max="79" width="6.6640625" style="167" customWidth="1"/>
    <col min="80" max="80" width="9.33203125" style="167"/>
    <col min="81" max="81" width="2.6640625" style="167" customWidth="1"/>
    <col min="82" max="16384" width="9.33203125" style="167"/>
  </cols>
  <sheetData>
    <row r="1" spans="3:82" x14ac:dyDescent="0.4"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G1" s="857"/>
      <c r="BH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</row>
    <row r="2" spans="3:82" x14ac:dyDescent="0.4"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  <c r="BE2" s="857"/>
      <c r="BF2" s="857"/>
      <c r="BG2" s="857"/>
      <c r="BH2" s="857"/>
      <c r="BI2" s="857"/>
      <c r="BJ2" s="857"/>
      <c r="BK2" s="857"/>
      <c r="BL2" s="857"/>
      <c r="BM2" s="857"/>
      <c r="BN2" s="857"/>
      <c r="BO2" s="857"/>
      <c r="BP2" s="857"/>
      <c r="BQ2" s="857"/>
      <c r="BR2" s="857"/>
      <c r="BS2" s="857"/>
    </row>
    <row r="3" spans="3:82" x14ac:dyDescent="0.4"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  <c r="BE3" s="857"/>
      <c r="BF3" s="857"/>
      <c r="BG3" s="857"/>
      <c r="BH3" s="857"/>
      <c r="BI3" s="857"/>
      <c r="BJ3" s="857"/>
      <c r="BK3" s="857"/>
      <c r="BL3" s="857"/>
      <c r="BM3" s="857"/>
      <c r="BN3" s="857"/>
      <c r="BO3" s="857"/>
      <c r="BP3" s="857"/>
      <c r="BQ3" s="857"/>
      <c r="BR3" s="857"/>
      <c r="BS3" s="857"/>
    </row>
    <row r="4" spans="3:82" ht="24" customHeight="1" x14ac:dyDescent="0.4">
      <c r="C4" s="883" t="s">
        <v>88</v>
      </c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</row>
    <row r="5" spans="3:82" ht="24" customHeight="1" x14ac:dyDescent="0.4">
      <c r="C5" s="884" t="s">
        <v>693</v>
      </c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884"/>
      <c r="AG5" s="884"/>
      <c r="AH5" s="884"/>
      <c r="AI5" s="884"/>
      <c r="AJ5" s="884"/>
      <c r="AK5" s="884"/>
      <c r="AL5" s="884"/>
      <c r="AM5" s="884"/>
      <c r="AN5" s="884"/>
      <c r="AO5" s="884"/>
      <c r="AP5" s="884"/>
      <c r="AQ5" s="884"/>
      <c r="AR5" s="884"/>
      <c r="AS5" s="884"/>
      <c r="AT5" s="884"/>
      <c r="AU5" s="884"/>
      <c r="AV5" s="884"/>
      <c r="AW5" s="884"/>
      <c r="AX5" s="884"/>
      <c r="AY5" s="884"/>
      <c r="AZ5" s="884"/>
      <c r="BA5" s="884"/>
      <c r="BB5" s="884"/>
      <c r="BC5" s="884"/>
      <c r="BD5" s="884"/>
      <c r="BE5" s="884"/>
      <c r="BF5" s="884"/>
      <c r="BG5" s="884"/>
      <c r="BH5" s="884"/>
      <c r="BI5" s="884"/>
      <c r="BJ5" s="884"/>
      <c r="BK5" s="884"/>
      <c r="BL5" s="884"/>
      <c r="BM5" s="884"/>
      <c r="BN5" s="884"/>
      <c r="BO5" s="884"/>
      <c r="BP5" s="884"/>
      <c r="BQ5" s="884"/>
      <c r="BR5" s="884"/>
      <c r="BS5" s="884"/>
    </row>
    <row r="6" spans="3:82" ht="24" customHeight="1" x14ac:dyDescent="0.4">
      <c r="C6" s="884" t="s">
        <v>89</v>
      </c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84"/>
      <c r="BA6" s="884"/>
      <c r="BB6" s="884"/>
      <c r="BC6" s="884"/>
      <c r="BD6" s="884"/>
      <c r="BE6" s="884"/>
      <c r="BF6" s="884"/>
      <c r="BG6" s="884"/>
      <c r="BH6" s="884"/>
      <c r="BI6" s="884"/>
      <c r="BJ6" s="884"/>
      <c r="BK6" s="884"/>
      <c r="BL6" s="884"/>
      <c r="BM6" s="884"/>
      <c r="BN6" s="884"/>
      <c r="BO6" s="884"/>
      <c r="BP6" s="884"/>
      <c r="BQ6" s="884"/>
      <c r="BR6" s="884"/>
      <c r="BS6" s="884"/>
      <c r="BT6" s="857"/>
      <c r="BU6" s="857"/>
      <c r="BV6" s="857"/>
      <c r="BW6" s="857"/>
      <c r="BX6" s="857"/>
      <c r="BY6" s="857"/>
      <c r="BZ6" s="857"/>
      <c r="CA6" s="857"/>
      <c r="CB6" s="857"/>
      <c r="CC6" s="857"/>
      <c r="CD6" s="857"/>
    </row>
    <row r="7" spans="3:82" ht="19.5" customHeight="1" x14ac:dyDescent="0.4">
      <c r="C7" s="884" t="str">
        <f>IF(AJ14="","ชั้นมัธยมศึกษาปีที่...........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ชั้นมัธยมศึกษาปีที่........... ภาคเรียนที่...........................ปีการศึกษา....................</v>
      </c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4"/>
      <c r="AA7" s="884"/>
      <c r="AB7" s="884"/>
      <c r="AC7" s="884"/>
      <c r="AD7" s="884"/>
      <c r="AE7" s="884"/>
      <c r="AF7" s="884"/>
      <c r="AG7" s="884"/>
      <c r="AH7" s="884"/>
      <c r="AI7" s="884"/>
      <c r="AJ7" s="884"/>
      <c r="AK7" s="884"/>
      <c r="AL7" s="884"/>
      <c r="AM7" s="884"/>
      <c r="AN7" s="884"/>
      <c r="AO7" s="884"/>
      <c r="AP7" s="884"/>
      <c r="AQ7" s="884"/>
      <c r="AR7" s="884"/>
      <c r="AS7" s="884"/>
      <c r="AT7" s="884"/>
      <c r="AU7" s="884"/>
      <c r="AV7" s="884"/>
      <c r="AW7" s="884"/>
      <c r="AX7" s="884"/>
      <c r="AY7" s="884"/>
      <c r="AZ7" s="884"/>
      <c r="BA7" s="884"/>
      <c r="BB7" s="884"/>
      <c r="BC7" s="884"/>
      <c r="BD7" s="884"/>
      <c r="BE7" s="884"/>
      <c r="BF7" s="884"/>
      <c r="BG7" s="884"/>
      <c r="BH7" s="884"/>
      <c r="BI7" s="884"/>
      <c r="BJ7" s="884"/>
      <c r="BK7" s="884"/>
      <c r="BL7" s="884"/>
      <c r="BM7" s="884"/>
      <c r="BN7" s="884"/>
      <c r="BO7" s="884"/>
      <c r="BP7" s="884"/>
      <c r="BQ7" s="884"/>
      <c r="BR7" s="884"/>
      <c r="BS7" s="884"/>
      <c r="BT7" s="857"/>
      <c r="BU7" s="857"/>
      <c r="BV7" s="857"/>
      <c r="BW7" s="857"/>
      <c r="BX7" s="857"/>
      <c r="BY7" s="857"/>
      <c r="BZ7" s="857"/>
      <c r="CA7" s="857"/>
      <c r="CB7" s="857"/>
      <c r="CC7" s="857"/>
      <c r="CD7" s="857"/>
    </row>
    <row r="8" spans="3:82" ht="7.5" customHeight="1" x14ac:dyDescent="0.4"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858" t="s">
        <v>108</v>
      </c>
      <c r="BU8" s="858"/>
      <c r="BV8" s="858"/>
      <c r="BW8" s="858"/>
      <c r="BX8" s="858"/>
      <c r="BY8" s="858"/>
      <c r="BZ8" s="858"/>
      <c r="CA8" s="858"/>
      <c r="CB8" s="858"/>
      <c r="CC8" s="858"/>
      <c r="CD8" s="858"/>
    </row>
    <row r="9" spans="3:82" ht="19.5" customHeight="1" x14ac:dyDescent="0.4">
      <c r="C9" s="884" t="s">
        <v>90</v>
      </c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4"/>
      <c r="AD9" s="884"/>
      <c r="AE9" s="884"/>
      <c r="AF9" s="884"/>
      <c r="AG9" s="884"/>
      <c r="AH9" s="884"/>
      <c r="AI9" s="884"/>
      <c r="AJ9" s="884"/>
      <c r="AK9" s="884"/>
      <c r="AL9" s="884"/>
      <c r="AM9" s="884"/>
      <c r="AN9" s="884"/>
      <c r="AO9" s="884"/>
      <c r="AP9" s="884"/>
      <c r="AQ9" s="884"/>
      <c r="AR9" s="884"/>
      <c r="AS9" s="884"/>
      <c r="AT9" s="884"/>
      <c r="AU9" s="884"/>
      <c r="AV9" s="884"/>
      <c r="AW9" s="884"/>
      <c r="AX9" s="884"/>
      <c r="AY9" s="884"/>
      <c r="AZ9" s="884"/>
      <c r="BA9" s="884"/>
      <c r="BB9" s="884"/>
      <c r="BC9" s="884"/>
      <c r="BD9" s="884"/>
      <c r="BE9" s="884"/>
      <c r="BF9" s="884"/>
      <c r="BG9" s="884"/>
      <c r="BH9" s="884"/>
      <c r="BI9" s="884"/>
      <c r="BJ9" s="884"/>
      <c r="BK9" s="884"/>
      <c r="BL9" s="884"/>
      <c r="BM9" s="884"/>
      <c r="BN9" s="884"/>
      <c r="BO9" s="884"/>
      <c r="BP9" s="884"/>
      <c r="BQ9" s="884"/>
      <c r="BR9" s="884"/>
      <c r="BS9" s="884"/>
      <c r="BT9" s="858"/>
      <c r="BU9" s="858"/>
      <c r="BV9" s="858"/>
      <c r="BW9" s="858"/>
      <c r="BX9" s="858"/>
      <c r="BY9" s="858"/>
      <c r="BZ9" s="858"/>
      <c r="CA9" s="858"/>
      <c r="CB9" s="858"/>
      <c r="CC9" s="858"/>
      <c r="CD9" s="858"/>
    </row>
    <row r="10" spans="3:82" ht="7.5" customHeight="1" x14ac:dyDescent="0.4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858"/>
      <c r="BU10" s="858"/>
      <c r="BV10" s="858"/>
      <c r="BW10" s="858"/>
      <c r="BX10" s="858"/>
      <c r="BY10" s="858"/>
      <c r="BZ10" s="858"/>
      <c r="CA10" s="858"/>
      <c r="CB10" s="858"/>
      <c r="CC10" s="858"/>
      <c r="CD10" s="858"/>
    </row>
    <row r="11" spans="3:82" ht="20.25" customHeight="1" x14ac:dyDescent="0.4">
      <c r="C11" s="876" t="s">
        <v>20</v>
      </c>
      <c r="D11" s="876"/>
      <c r="E11" s="876"/>
      <c r="F11" s="876"/>
      <c r="G11" s="876"/>
      <c r="H11" s="876"/>
      <c r="I11" s="876"/>
      <c r="J11" s="876"/>
      <c r="K11" s="876"/>
      <c r="L11" s="876"/>
      <c r="M11" s="876"/>
      <c r="N11" s="876"/>
      <c r="O11" s="876"/>
      <c r="P11" s="876"/>
      <c r="Q11" s="876"/>
      <c r="R11" s="876"/>
      <c r="S11" s="876"/>
      <c r="T11" s="876"/>
      <c r="U11" s="876"/>
      <c r="V11" s="876"/>
      <c r="W11" s="876"/>
      <c r="X11" s="876"/>
      <c r="Y11" s="876"/>
      <c r="Z11" s="876"/>
      <c r="AA11" s="876"/>
      <c r="AB11" s="876"/>
      <c r="AC11" s="876"/>
      <c r="AD11" s="885" t="s">
        <v>91</v>
      </c>
      <c r="AE11" s="876"/>
      <c r="AF11" s="876"/>
      <c r="AG11" s="876"/>
      <c r="AH11" s="876"/>
      <c r="AI11" s="876"/>
      <c r="AJ11" s="876" t="s">
        <v>92</v>
      </c>
      <c r="AK11" s="876"/>
      <c r="AL11" s="876"/>
      <c r="AM11" s="876"/>
      <c r="AN11" s="876"/>
      <c r="AO11" s="876"/>
      <c r="AP11" s="876"/>
      <c r="AQ11" s="876"/>
      <c r="AR11" s="876"/>
      <c r="AS11" s="876"/>
      <c r="AT11" s="876"/>
      <c r="AU11" s="876"/>
      <c r="AV11" s="876"/>
      <c r="AW11" s="876"/>
      <c r="AX11" s="876"/>
      <c r="AY11" s="876"/>
      <c r="AZ11" s="876"/>
      <c r="BA11" s="876"/>
      <c r="BB11" s="876"/>
      <c r="BC11" s="876"/>
      <c r="BD11" s="876"/>
      <c r="BE11" s="876"/>
      <c r="BF11" s="876"/>
      <c r="BG11" s="876"/>
      <c r="BH11" s="876"/>
      <c r="BI11" s="876"/>
      <c r="BJ11" s="876"/>
      <c r="BK11" s="876"/>
      <c r="BL11" s="876"/>
      <c r="BM11" s="876"/>
      <c r="BN11" s="885" t="s">
        <v>93</v>
      </c>
      <c r="BO11" s="876"/>
      <c r="BP11" s="876"/>
      <c r="BQ11" s="876"/>
      <c r="BR11" s="876"/>
      <c r="BS11" s="876"/>
      <c r="BT11" s="859" t="s">
        <v>107</v>
      </c>
      <c r="BU11" s="860"/>
      <c r="BV11" s="860"/>
      <c r="BW11" s="860"/>
      <c r="BX11" s="860"/>
      <c r="BY11" s="860"/>
      <c r="BZ11" s="860"/>
      <c r="CA11" s="860"/>
      <c r="CB11" s="860"/>
      <c r="CC11" s="860"/>
      <c r="CD11" s="860"/>
    </row>
    <row r="12" spans="3:82" ht="20.25" customHeight="1" x14ac:dyDescent="0.4">
      <c r="C12" s="876"/>
      <c r="D12" s="876"/>
      <c r="E12" s="876"/>
      <c r="F12" s="876"/>
      <c r="G12" s="876"/>
      <c r="H12" s="876"/>
      <c r="I12" s="876"/>
      <c r="J12" s="876"/>
      <c r="K12" s="876"/>
      <c r="L12" s="876"/>
      <c r="M12" s="876"/>
      <c r="N12" s="876"/>
      <c r="O12" s="876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>
        <v>4</v>
      </c>
      <c r="AK12" s="876"/>
      <c r="AL12" s="876"/>
      <c r="AM12" s="876">
        <v>3.5</v>
      </c>
      <c r="AN12" s="876"/>
      <c r="AO12" s="876"/>
      <c r="AP12" s="876">
        <v>3</v>
      </c>
      <c r="AQ12" s="876"/>
      <c r="AR12" s="876"/>
      <c r="AS12" s="876">
        <v>2.5</v>
      </c>
      <c r="AT12" s="876"/>
      <c r="AU12" s="876"/>
      <c r="AV12" s="876">
        <v>2</v>
      </c>
      <c r="AW12" s="876"/>
      <c r="AX12" s="876"/>
      <c r="AY12" s="876">
        <v>1.5</v>
      </c>
      <c r="AZ12" s="876"/>
      <c r="BA12" s="876"/>
      <c r="BB12" s="876">
        <v>1</v>
      </c>
      <c r="BC12" s="876"/>
      <c r="BD12" s="876"/>
      <c r="BE12" s="876">
        <v>0</v>
      </c>
      <c r="BF12" s="876"/>
      <c r="BG12" s="876"/>
      <c r="BH12" s="876" t="s">
        <v>55</v>
      </c>
      <c r="BI12" s="876"/>
      <c r="BJ12" s="876"/>
      <c r="BK12" s="876" t="s">
        <v>54</v>
      </c>
      <c r="BL12" s="876"/>
      <c r="BM12" s="876"/>
      <c r="BN12" s="876"/>
      <c r="BO12" s="876"/>
      <c r="BP12" s="876"/>
      <c r="BQ12" s="876"/>
      <c r="BR12" s="876"/>
      <c r="BS12" s="876"/>
      <c r="BT12" s="859"/>
      <c r="BU12" s="860"/>
      <c r="BV12" s="860"/>
      <c r="BW12" s="860"/>
      <c r="BX12" s="860"/>
      <c r="BY12" s="860"/>
      <c r="BZ12" s="860"/>
      <c r="CA12" s="860"/>
      <c r="CB12" s="860"/>
      <c r="CC12" s="860"/>
      <c r="CD12" s="860"/>
    </row>
    <row r="13" spans="3:82" ht="19.5" customHeight="1" x14ac:dyDescent="0.4">
      <c r="C13" s="879" t="s">
        <v>38</v>
      </c>
      <c r="D13" s="880"/>
      <c r="E13" s="880"/>
      <c r="F13" s="880"/>
      <c r="G13" s="880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880"/>
      <c r="AE13" s="880"/>
      <c r="AF13" s="880"/>
      <c r="AG13" s="880"/>
      <c r="AH13" s="880"/>
      <c r="AI13" s="880"/>
      <c r="AJ13" s="880"/>
      <c r="AK13" s="880"/>
      <c r="AL13" s="880"/>
      <c r="AM13" s="880"/>
      <c r="AN13" s="880"/>
      <c r="AO13" s="880"/>
      <c r="AP13" s="880"/>
      <c r="AQ13" s="880"/>
      <c r="AR13" s="880"/>
      <c r="AS13" s="880"/>
      <c r="AT13" s="880"/>
      <c r="AU13" s="880"/>
      <c r="AV13" s="880"/>
      <c r="AW13" s="880"/>
      <c r="AX13" s="880"/>
      <c r="AY13" s="880"/>
      <c r="AZ13" s="880"/>
      <c r="BA13" s="880"/>
      <c r="BB13" s="880"/>
      <c r="BC13" s="880"/>
      <c r="BD13" s="880"/>
      <c r="BE13" s="880"/>
      <c r="BF13" s="880"/>
      <c r="BG13" s="880"/>
      <c r="BH13" s="880"/>
      <c r="BI13" s="880"/>
      <c r="BJ13" s="880"/>
      <c r="BK13" s="880"/>
      <c r="BL13" s="880"/>
      <c r="BM13" s="880"/>
      <c r="BN13" s="880"/>
      <c r="BO13" s="880"/>
      <c r="BP13" s="880"/>
      <c r="BQ13" s="880"/>
      <c r="BR13" s="880"/>
      <c r="BS13" s="881"/>
      <c r="BU13" s="177" t="s">
        <v>109</v>
      </c>
    </row>
    <row r="14" spans="3:82" ht="19.5" customHeight="1" x14ac:dyDescent="0.4">
      <c r="C14" s="855" t="str">
        <f>IF(codegen1="","",codegen1)</f>
        <v/>
      </c>
      <c r="D14" s="856"/>
      <c r="E14" s="856"/>
      <c r="F14" s="856"/>
      <c r="G14" s="856"/>
      <c r="H14" s="856"/>
      <c r="I14" s="853" t="str">
        <f>IF(SubGen1="","",SubGen1)</f>
        <v/>
      </c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3"/>
      <c r="W14" s="853"/>
      <c r="X14" s="853"/>
      <c r="Y14" s="853"/>
      <c r="Z14" s="853"/>
      <c r="AA14" s="853"/>
      <c r="AB14" s="853"/>
      <c r="AC14" s="854"/>
      <c r="AD14" s="852" t="str">
        <f>IF(COUNT(Gengrade1)=0,"",SUM(AJ14:BM14))</f>
        <v/>
      </c>
      <c r="AE14" s="852"/>
      <c r="AF14" s="852"/>
      <c r="AG14" s="852"/>
      <c r="AH14" s="852"/>
      <c r="AI14" s="852"/>
      <c r="AJ14" s="852" t="str">
        <f>IF(COUNT(Gengrade1)=0,"",COUNTIF(Gengrade1,4))</f>
        <v/>
      </c>
      <c r="AK14" s="852"/>
      <c r="AL14" s="852"/>
      <c r="AM14" s="852" t="str">
        <f>IF(COUNT(Gengrade1)=0,"",COUNTIF(Gengrade1,3.5))</f>
        <v/>
      </c>
      <c r="AN14" s="852"/>
      <c r="AO14" s="852"/>
      <c r="AP14" s="852" t="str">
        <f>IF(COUNT(Gengrade1)=0,"",COUNTIF(Gengrade1,3))</f>
        <v/>
      </c>
      <c r="AQ14" s="852"/>
      <c r="AR14" s="852"/>
      <c r="AS14" s="852" t="str">
        <f>IF(COUNT(Gengrade1)=0,"",COUNTIF(Gengrade1,2.5))</f>
        <v/>
      </c>
      <c r="AT14" s="852"/>
      <c r="AU14" s="852"/>
      <c r="AV14" s="852" t="str">
        <f>IF(COUNT(Gengrade1)=0,"",COUNTIF(Gengrade1,2))</f>
        <v/>
      </c>
      <c r="AW14" s="852"/>
      <c r="AX14" s="852"/>
      <c r="AY14" s="852" t="str">
        <f>IF(COUNT(Gengrade1)=0,"",COUNTIF(Gengrade1,1.5))</f>
        <v/>
      </c>
      <c r="AZ14" s="852"/>
      <c r="BA14" s="852"/>
      <c r="BB14" s="852" t="str">
        <f>IF(COUNT(Gengrade1)=0,"",COUNTIF(Gengrade1,1))</f>
        <v/>
      </c>
      <c r="BC14" s="852"/>
      <c r="BD14" s="852"/>
      <c r="BE14" s="852" t="str">
        <f>IF(COUNT(Gengrade1)=0,"",COUNTIF(Gengrade1,0))</f>
        <v/>
      </c>
      <c r="BF14" s="852"/>
      <c r="BG14" s="852"/>
      <c r="BH14" s="852" t="str">
        <f>IF(COUNT(Gengrade1)=0,"",COUNTIF(Gengrade1,"ร"))</f>
        <v/>
      </c>
      <c r="BI14" s="852"/>
      <c r="BJ14" s="852"/>
      <c r="BK14" s="852" t="str">
        <f>IF(COUNT(Gengrade1)=0,"",COUNTIF(Gengrade1,"มส"))</f>
        <v/>
      </c>
      <c r="BL14" s="852"/>
      <c r="BM14" s="852"/>
      <c r="BN14" s="852"/>
      <c r="BO14" s="852"/>
      <c r="BP14" s="852"/>
      <c r="BQ14" s="852"/>
      <c r="BR14" s="852"/>
      <c r="BS14" s="852"/>
      <c r="BU14" s="186" t="s">
        <v>621</v>
      </c>
    </row>
    <row r="15" spans="3:82" ht="19.5" customHeight="1" x14ac:dyDescent="0.4">
      <c r="C15" s="855" t="str">
        <f>IF(codegen2="","",codegen2)</f>
        <v/>
      </c>
      <c r="D15" s="856"/>
      <c r="E15" s="856"/>
      <c r="F15" s="856"/>
      <c r="G15" s="856"/>
      <c r="H15" s="856"/>
      <c r="I15" s="853" t="str">
        <f>IF(SubGen2="","",SubGen2)</f>
        <v/>
      </c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4"/>
      <c r="AD15" s="852" t="str">
        <f>IF(COUNT(Gengrade2)=0,"",SUM(AJ15:BM15))</f>
        <v/>
      </c>
      <c r="AE15" s="852"/>
      <c r="AF15" s="852"/>
      <c r="AG15" s="852"/>
      <c r="AH15" s="852"/>
      <c r="AI15" s="852"/>
      <c r="AJ15" s="852" t="str">
        <f>IF(COUNT(Gengrade2)=0,"",COUNTIF(Gengrade2,4))</f>
        <v/>
      </c>
      <c r="AK15" s="852"/>
      <c r="AL15" s="852"/>
      <c r="AM15" s="852" t="str">
        <f>IF(COUNT(Gengrade2)=0,"",COUNTIF(Gengrade2,3.5))</f>
        <v/>
      </c>
      <c r="AN15" s="852"/>
      <c r="AO15" s="852"/>
      <c r="AP15" s="852" t="str">
        <f>IF(COUNT(Gengrade2)=0,"",COUNTIF(Gengrade2,3))</f>
        <v/>
      </c>
      <c r="AQ15" s="852"/>
      <c r="AR15" s="852"/>
      <c r="AS15" s="852" t="str">
        <f>IF(COUNT(Gengrade2)=0,"",COUNTIF(Gengrade2,2.5))</f>
        <v/>
      </c>
      <c r="AT15" s="852"/>
      <c r="AU15" s="852"/>
      <c r="AV15" s="852" t="str">
        <f>IF(COUNT(Gengrade2)=0,"",COUNTIF(Gengrade2,2))</f>
        <v/>
      </c>
      <c r="AW15" s="852"/>
      <c r="AX15" s="852"/>
      <c r="AY15" s="852" t="str">
        <f>IF(COUNT(Gengrade2)=0,"",COUNTIF(Gengrade2,1.5))</f>
        <v/>
      </c>
      <c r="AZ15" s="852"/>
      <c r="BA15" s="852"/>
      <c r="BB15" s="852" t="str">
        <f>IF(COUNT(Gengrade2)=0,"",COUNTIF(Gengrade2,1))</f>
        <v/>
      </c>
      <c r="BC15" s="852"/>
      <c r="BD15" s="852"/>
      <c r="BE15" s="852" t="str">
        <f>IF(COUNT(Gengrade2)=0,"",COUNTIF(Gengrade2,0))</f>
        <v/>
      </c>
      <c r="BF15" s="852"/>
      <c r="BG15" s="852"/>
      <c r="BH15" s="852" t="str">
        <f>IF(COUNT(Gengrade2)=0,"",COUNTIF(Gengrade2,"ร"))</f>
        <v/>
      </c>
      <c r="BI15" s="852"/>
      <c r="BJ15" s="852"/>
      <c r="BK15" s="852" t="str">
        <f>IF(COUNT(Gengrade2)=0,"",COUNTIF(Gengrade2,"มส"))</f>
        <v/>
      </c>
      <c r="BL15" s="852"/>
      <c r="BM15" s="852"/>
      <c r="BN15" s="852"/>
      <c r="BO15" s="852"/>
      <c r="BP15" s="852"/>
      <c r="BQ15" s="852"/>
      <c r="BR15" s="852"/>
      <c r="BS15" s="852"/>
      <c r="BU15" s="186" t="s">
        <v>749</v>
      </c>
    </row>
    <row r="16" spans="3:82" ht="19.5" customHeight="1" x14ac:dyDescent="0.4">
      <c r="C16" s="855" t="str">
        <f>IF(codegen3="","",codegen3)</f>
        <v/>
      </c>
      <c r="D16" s="856"/>
      <c r="E16" s="856"/>
      <c r="F16" s="856"/>
      <c r="G16" s="856"/>
      <c r="H16" s="856"/>
      <c r="I16" s="853" t="str">
        <f>IF(SubGen3="","",SubGen3)</f>
        <v/>
      </c>
      <c r="J16" s="853"/>
      <c r="K16" s="853"/>
      <c r="L16" s="853"/>
      <c r="M16" s="853"/>
      <c r="N16" s="853"/>
      <c r="O16" s="853"/>
      <c r="P16" s="853"/>
      <c r="Q16" s="853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853"/>
      <c r="AC16" s="854"/>
      <c r="AD16" s="852" t="str">
        <f>IF(COUNT(Gengrade3)=0,"",SUM(AJ16:BM16))</f>
        <v/>
      </c>
      <c r="AE16" s="852"/>
      <c r="AF16" s="852"/>
      <c r="AG16" s="852"/>
      <c r="AH16" s="852"/>
      <c r="AI16" s="852"/>
      <c r="AJ16" s="852" t="str">
        <f>IF(COUNT(Gengrade3)=0,"",COUNTIF(Gengrade3,4))</f>
        <v/>
      </c>
      <c r="AK16" s="852"/>
      <c r="AL16" s="852"/>
      <c r="AM16" s="852" t="str">
        <f>IF(COUNT(Gengrade3)=0,"",COUNTIF(Gengrade3,3.5))</f>
        <v/>
      </c>
      <c r="AN16" s="852"/>
      <c r="AO16" s="852"/>
      <c r="AP16" s="852" t="str">
        <f>IF(COUNT(Gengrade3)=0,"",COUNTIF(Gengrade3,3))</f>
        <v/>
      </c>
      <c r="AQ16" s="852"/>
      <c r="AR16" s="852"/>
      <c r="AS16" s="852" t="str">
        <f>IF(COUNT(Gengrade3)=0,"",COUNTIF(Gengrade3,2.5))</f>
        <v/>
      </c>
      <c r="AT16" s="852"/>
      <c r="AU16" s="852"/>
      <c r="AV16" s="852" t="str">
        <f>IF(COUNT(Gengrade3)=0,"",COUNTIF(Gengrade3,2))</f>
        <v/>
      </c>
      <c r="AW16" s="852"/>
      <c r="AX16" s="852"/>
      <c r="AY16" s="852" t="str">
        <f>IF(COUNT(Gengrade3)=0,"",COUNTIF(Gengrade3,1.5))</f>
        <v/>
      </c>
      <c r="AZ16" s="852"/>
      <c r="BA16" s="852"/>
      <c r="BB16" s="852" t="str">
        <f>IF(COUNT(Gengrade3)=0,"",COUNTIF(Gengrade3,1))</f>
        <v/>
      </c>
      <c r="BC16" s="852"/>
      <c r="BD16" s="852"/>
      <c r="BE16" s="852" t="str">
        <f>IF(COUNT(Gengrade3)=0,"",COUNTIF(Gengrade3,0))</f>
        <v/>
      </c>
      <c r="BF16" s="852"/>
      <c r="BG16" s="852"/>
      <c r="BH16" s="852" t="str">
        <f>IF(COUNT(Gengrade3)=0,"",COUNTIF(Gengrade3,"ร"))</f>
        <v/>
      </c>
      <c r="BI16" s="852"/>
      <c r="BJ16" s="852"/>
      <c r="BK16" s="852" t="str">
        <f>IF(COUNT(Gengrade3)=0,"",COUNTIF(Gengrade3,"มส"))</f>
        <v/>
      </c>
      <c r="BL16" s="852"/>
      <c r="BM16" s="852"/>
      <c r="BN16" s="852"/>
      <c r="BO16" s="852"/>
      <c r="BP16" s="852"/>
      <c r="BQ16" s="852"/>
      <c r="BR16" s="852"/>
      <c r="BS16" s="852"/>
      <c r="BU16" s="186" t="s">
        <v>750</v>
      </c>
    </row>
    <row r="17" spans="3:82" ht="19.5" customHeight="1" x14ac:dyDescent="0.4">
      <c r="C17" s="855" t="str">
        <f>IF(codegen4="","",codegen4)</f>
        <v/>
      </c>
      <c r="D17" s="856"/>
      <c r="E17" s="856"/>
      <c r="F17" s="856"/>
      <c r="G17" s="856"/>
      <c r="H17" s="856"/>
      <c r="I17" s="853" t="str">
        <f>IF(SubGen4="","",SubGen4)</f>
        <v/>
      </c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4"/>
      <c r="AD17" s="852" t="str">
        <f>IF(COUNT(Gengrade4)=0,"",SUM(AJ17:BM17))</f>
        <v/>
      </c>
      <c r="AE17" s="852"/>
      <c r="AF17" s="852"/>
      <c r="AG17" s="852"/>
      <c r="AH17" s="852"/>
      <c r="AI17" s="852"/>
      <c r="AJ17" s="852" t="str">
        <f>IF(COUNT(Gengrade4)=0,"",COUNTIF(Gengrade4,4))</f>
        <v/>
      </c>
      <c r="AK17" s="852"/>
      <c r="AL17" s="852"/>
      <c r="AM17" s="852" t="str">
        <f>IF(COUNT(Gengrade4)=0,"",COUNTIF(Gengrade4,3.5))</f>
        <v/>
      </c>
      <c r="AN17" s="852"/>
      <c r="AO17" s="852"/>
      <c r="AP17" s="852" t="str">
        <f>IF(COUNT(Gengrade4)=0,"",COUNTIF(Gengrade4,3))</f>
        <v/>
      </c>
      <c r="AQ17" s="852"/>
      <c r="AR17" s="852"/>
      <c r="AS17" s="852" t="str">
        <f>IF(COUNT(Gengrade4)=0,"",COUNTIF(Gengrade4,2.5))</f>
        <v/>
      </c>
      <c r="AT17" s="852"/>
      <c r="AU17" s="852"/>
      <c r="AV17" s="852" t="str">
        <f>IF(COUNT(Gengrade4)=0,"",COUNTIF(Gengrade4,2))</f>
        <v/>
      </c>
      <c r="AW17" s="852"/>
      <c r="AX17" s="852"/>
      <c r="AY17" s="852" t="str">
        <f>IF(COUNT(Gengrade4)=0,"",COUNTIF(Gengrade4,1.5))</f>
        <v/>
      </c>
      <c r="AZ17" s="852"/>
      <c r="BA17" s="852"/>
      <c r="BB17" s="852" t="str">
        <f>IF(COUNT(Gengrade4)=0,"",COUNTIF(Gengrade4,1))</f>
        <v/>
      </c>
      <c r="BC17" s="852"/>
      <c r="BD17" s="852"/>
      <c r="BE17" s="852" t="str">
        <f>IF(COUNT(Gengrade4)=0,"",COUNTIF(Gengrade4,0))</f>
        <v/>
      </c>
      <c r="BF17" s="852"/>
      <c r="BG17" s="852"/>
      <c r="BH17" s="852" t="str">
        <f>IF(COUNT(Gengrade4)=0,"",COUNTIF(Gengrade4,"ร"))</f>
        <v/>
      </c>
      <c r="BI17" s="852"/>
      <c r="BJ17" s="852"/>
      <c r="BK17" s="852" t="str">
        <f>IF(COUNT(Gengrade4)=0,"",COUNTIF(Gengrade4,"มส"))</f>
        <v/>
      </c>
      <c r="BL17" s="852"/>
      <c r="BM17" s="852"/>
      <c r="BN17" s="852"/>
      <c r="BO17" s="852"/>
      <c r="BP17" s="852"/>
      <c r="BQ17" s="852"/>
      <c r="BR17" s="852"/>
      <c r="BS17" s="852"/>
      <c r="BU17" s="186" t="s">
        <v>751</v>
      </c>
    </row>
    <row r="18" spans="3:82" ht="19.5" customHeight="1" x14ac:dyDescent="0.4">
      <c r="C18" s="855" t="str">
        <f>IF(codegen5="","",codegen5)</f>
        <v/>
      </c>
      <c r="D18" s="856"/>
      <c r="E18" s="856"/>
      <c r="F18" s="856"/>
      <c r="G18" s="856"/>
      <c r="H18" s="856"/>
      <c r="I18" s="853" t="str">
        <f>IF(SubGen5="","",SubGen5)</f>
        <v/>
      </c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3"/>
      <c r="X18" s="853"/>
      <c r="Y18" s="853"/>
      <c r="Z18" s="853"/>
      <c r="AA18" s="853"/>
      <c r="AB18" s="853"/>
      <c r="AC18" s="854"/>
      <c r="AD18" s="852" t="str">
        <f>IF(COUNT(Gengrade5)=0,"",SUM(AJ18:BM18))</f>
        <v/>
      </c>
      <c r="AE18" s="852"/>
      <c r="AF18" s="852"/>
      <c r="AG18" s="852"/>
      <c r="AH18" s="852"/>
      <c r="AI18" s="852"/>
      <c r="AJ18" s="852" t="str">
        <f>IF(COUNT(Gengrade5)=0,"",COUNTIF(Gengrade5,4))</f>
        <v/>
      </c>
      <c r="AK18" s="852"/>
      <c r="AL18" s="852"/>
      <c r="AM18" s="852" t="str">
        <f>IF(COUNT(Gengrade5)=0,"",COUNTIF(Gengrade5,3.5))</f>
        <v/>
      </c>
      <c r="AN18" s="852"/>
      <c r="AO18" s="852"/>
      <c r="AP18" s="852" t="str">
        <f>IF(COUNT(Gengrade5)=0,"",COUNTIF(Gengrade5,3))</f>
        <v/>
      </c>
      <c r="AQ18" s="852"/>
      <c r="AR18" s="852"/>
      <c r="AS18" s="852" t="str">
        <f>IF(COUNT(Gengrade5)=0,"",COUNTIF(Gengrade5,2.5))</f>
        <v/>
      </c>
      <c r="AT18" s="852"/>
      <c r="AU18" s="852"/>
      <c r="AV18" s="852" t="str">
        <f>IF(COUNT(Gengrade5)=0,"",COUNTIF(Gengrade5,2))</f>
        <v/>
      </c>
      <c r="AW18" s="852"/>
      <c r="AX18" s="852"/>
      <c r="AY18" s="852" t="str">
        <f>IF(COUNT(Gengrade5)=0,"",COUNTIF(Gengrade5,1.5))</f>
        <v/>
      </c>
      <c r="AZ18" s="852"/>
      <c r="BA18" s="852"/>
      <c r="BB18" s="852" t="str">
        <f>IF(COUNT(Gengrade5)=0,"",COUNTIF(Gengrade5,1))</f>
        <v/>
      </c>
      <c r="BC18" s="852"/>
      <c r="BD18" s="852"/>
      <c r="BE18" s="852" t="str">
        <f>IF(COUNT(Gengrade5)=0,"",COUNTIF(Gengrade5,0))</f>
        <v/>
      </c>
      <c r="BF18" s="852"/>
      <c r="BG18" s="852"/>
      <c r="BH18" s="852" t="str">
        <f>IF(COUNT(Gengrade5)=0,"",COUNTIF(Gengrade5,"ร"))</f>
        <v/>
      </c>
      <c r="BI18" s="852"/>
      <c r="BJ18" s="852"/>
      <c r="BK18" s="852" t="str">
        <f>IF(COUNT(Gengrade5)=0,"",COUNTIF(Gengrade5,"มส"))</f>
        <v/>
      </c>
      <c r="BL18" s="852"/>
      <c r="BM18" s="852"/>
      <c r="BN18" s="852"/>
      <c r="BO18" s="852"/>
      <c r="BP18" s="852"/>
      <c r="BQ18" s="852"/>
      <c r="BR18" s="852"/>
      <c r="BS18" s="852"/>
      <c r="BU18" s="186" t="s">
        <v>752</v>
      </c>
    </row>
    <row r="19" spans="3:82" ht="19.5" customHeight="1" x14ac:dyDescent="0.4">
      <c r="C19" s="855" t="str">
        <f>IF(codegen6="","",codegen6)</f>
        <v/>
      </c>
      <c r="D19" s="856"/>
      <c r="E19" s="856"/>
      <c r="F19" s="856"/>
      <c r="G19" s="856"/>
      <c r="H19" s="856"/>
      <c r="I19" s="853" t="str">
        <f>IF(SubGen6="","",SubGen6)</f>
        <v/>
      </c>
      <c r="J19" s="853"/>
      <c r="K19" s="853"/>
      <c r="L19" s="853"/>
      <c r="M19" s="853"/>
      <c r="N19" s="853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853"/>
      <c r="AC19" s="854"/>
      <c r="AD19" s="852" t="str">
        <f>IF(COUNT(Gengrade6)=0,"",SUM(AJ19:BM19))</f>
        <v/>
      </c>
      <c r="AE19" s="852"/>
      <c r="AF19" s="852"/>
      <c r="AG19" s="852"/>
      <c r="AH19" s="852"/>
      <c r="AI19" s="852"/>
      <c r="AJ19" s="852" t="str">
        <f>IF(COUNT(Gengrade6)=0,"",COUNTIF(Gengrade6,4))</f>
        <v/>
      </c>
      <c r="AK19" s="852"/>
      <c r="AL19" s="852"/>
      <c r="AM19" s="852" t="str">
        <f>IF(COUNT(Gengrade6)=0,"",COUNTIF(Gengrade6,3.5))</f>
        <v/>
      </c>
      <c r="AN19" s="852"/>
      <c r="AO19" s="852"/>
      <c r="AP19" s="852" t="str">
        <f>IF(COUNT(Gengrade6)=0,"",COUNTIF(Gengrade6,3))</f>
        <v/>
      </c>
      <c r="AQ19" s="852"/>
      <c r="AR19" s="852"/>
      <c r="AS19" s="852" t="str">
        <f>IF(COUNT(Gengrade6)=0,"",COUNTIF(Gengrade6,2.5))</f>
        <v/>
      </c>
      <c r="AT19" s="852"/>
      <c r="AU19" s="852"/>
      <c r="AV19" s="852" t="str">
        <f>IF(COUNT(Gengrade6)=0,"",COUNTIF(Gengrade6,2))</f>
        <v/>
      </c>
      <c r="AW19" s="852"/>
      <c r="AX19" s="852"/>
      <c r="AY19" s="852" t="str">
        <f>IF(COUNT(Gengrade6)=0,"",COUNTIF(Gengrade6,1.5))</f>
        <v/>
      </c>
      <c r="AZ19" s="852"/>
      <c r="BA19" s="852"/>
      <c r="BB19" s="852" t="str">
        <f>IF(COUNT(Gengrade6)=0,"",COUNTIF(Gengrade6,1))</f>
        <v/>
      </c>
      <c r="BC19" s="852"/>
      <c r="BD19" s="852"/>
      <c r="BE19" s="852" t="str">
        <f>IF(COUNT(Gengrade6)=0,"",COUNTIF(Gengrade6,0))</f>
        <v/>
      </c>
      <c r="BF19" s="852"/>
      <c r="BG19" s="852"/>
      <c r="BH19" s="852" t="str">
        <f>IF(COUNT(Gengrade6)=0,"",COUNTIF(Gengrade6,"ร"))</f>
        <v/>
      </c>
      <c r="BI19" s="852"/>
      <c r="BJ19" s="852"/>
      <c r="BK19" s="852" t="str">
        <f>IF(COUNT(Gengrade6)=0,"",COUNTIF(Gengrade6,"มส"))</f>
        <v/>
      </c>
      <c r="BL19" s="852"/>
      <c r="BM19" s="852"/>
      <c r="BN19" s="852"/>
      <c r="BO19" s="852"/>
      <c r="BP19" s="852"/>
      <c r="BQ19" s="852"/>
      <c r="BR19" s="852"/>
      <c r="BS19" s="852"/>
      <c r="BU19" s="186" t="s">
        <v>753</v>
      </c>
    </row>
    <row r="20" spans="3:82" ht="19.5" customHeight="1" x14ac:dyDescent="0.4">
      <c r="C20" s="855" t="str">
        <f>IF(codegen7="","",codegen7)</f>
        <v/>
      </c>
      <c r="D20" s="856"/>
      <c r="E20" s="856"/>
      <c r="F20" s="856"/>
      <c r="G20" s="856"/>
      <c r="H20" s="856"/>
      <c r="I20" s="853" t="str">
        <f>IF(SubGen7="","",SubGen7)</f>
        <v/>
      </c>
      <c r="J20" s="853"/>
      <c r="K20" s="853"/>
      <c r="L20" s="853"/>
      <c r="M20" s="853"/>
      <c r="N20" s="853"/>
      <c r="O20" s="853"/>
      <c r="P20" s="853"/>
      <c r="Q20" s="853"/>
      <c r="R20" s="853"/>
      <c r="S20" s="853"/>
      <c r="T20" s="853"/>
      <c r="U20" s="853"/>
      <c r="V20" s="853"/>
      <c r="W20" s="853"/>
      <c r="X20" s="853"/>
      <c r="Y20" s="853"/>
      <c r="Z20" s="853"/>
      <c r="AA20" s="853"/>
      <c r="AB20" s="853"/>
      <c r="AC20" s="854"/>
      <c r="AD20" s="852" t="str">
        <f>IF(COUNT(Gengrade7)=0,"",SUM(AJ20:BM20))</f>
        <v/>
      </c>
      <c r="AE20" s="852"/>
      <c r="AF20" s="852"/>
      <c r="AG20" s="852"/>
      <c r="AH20" s="852"/>
      <c r="AI20" s="852"/>
      <c r="AJ20" s="852" t="str">
        <f>IF(COUNT(Gengrade7)=0,"",COUNTIF(Gengrade7,4))</f>
        <v/>
      </c>
      <c r="AK20" s="852"/>
      <c r="AL20" s="852"/>
      <c r="AM20" s="852" t="str">
        <f>IF(COUNT(Gengrade7)=0,"",COUNTIF(Gengrade7,3.5))</f>
        <v/>
      </c>
      <c r="AN20" s="852"/>
      <c r="AO20" s="852"/>
      <c r="AP20" s="852" t="str">
        <f>IF(COUNT(Gengrade7)=0,"",COUNTIF(Gengrade7,3))</f>
        <v/>
      </c>
      <c r="AQ20" s="852"/>
      <c r="AR20" s="852"/>
      <c r="AS20" s="852" t="str">
        <f>IF(COUNT(Gengrade7)=0,"",COUNTIF(Gengrade7,2.5))</f>
        <v/>
      </c>
      <c r="AT20" s="852"/>
      <c r="AU20" s="852"/>
      <c r="AV20" s="852" t="str">
        <f>IF(COUNT(Gengrade7)=0,"",COUNTIF(Gengrade7,2))</f>
        <v/>
      </c>
      <c r="AW20" s="852"/>
      <c r="AX20" s="852"/>
      <c r="AY20" s="852" t="str">
        <f>IF(COUNT(Gengrade7)=0,"",COUNTIF(Gengrade7,1.5))</f>
        <v/>
      </c>
      <c r="AZ20" s="852"/>
      <c r="BA20" s="852"/>
      <c r="BB20" s="852" t="str">
        <f>IF(COUNT(Gengrade7)=0,"",COUNTIF(Gengrade7,1))</f>
        <v/>
      </c>
      <c r="BC20" s="852"/>
      <c r="BD20" s="852"/>
      <c r="BE20" s="852" t="str">
        <f>IF(COUNT(Gengrade7)=0,"",COUNTIF(Gengrade7,0))</f>
        <v/>
      </c>
      <c r="BF20" s="852"/>
      <c r="BG20" s="852"/>
      <c r="BH20" s="852" t="str">
        <f>IF(COUNT(Gengrade7)=0,"",COUNTIF(Gengrade7,"ร"))</f>
        <v/>
      </c>
      <c r="BI20" s="852"/>
      <c r="BJ20" s="852"/>
      <c r="BK20" s="852" t="str">
        <f>IF(COUNT(Gengrade7)=0,"",COUNTIF(Gengrade7,"มส"))</f>
        <v/>
      </c>
      <c r="BL20" s="852"/>
      <c r="BM20" s="852"/>
      <c r="BN20" s="852"/>
      <c r="BO20" s="852"/>
      <c r="BP20" s="852"/>
      <c r="BQ20" s="852"/>
      <c r="BR20" s="852"/>
      <c r="BS20" s="852"/>
      <c r="BU20" s="882" t="s">
        <v>122</v>
      </c>
      <c r="BV20" s="882"/>
      <c r="BW20" s="882"/>
      <c r="BX20" s="882"/>
      <c r="BY20" s="882"/>
      <c r="BZ20" s="882"/>
      <c r="CA20" s="882"/>
      <c r="CB20" s="882"/>
      <c r="CC20" s="882"/>
      <c r="CD20" s="882"/>
    </row>
    <row r="21" spans="3:82" ht="19.5" customHeight="1" x14ac:dyDescent="0.4">
      <c r="C21" s="855" t="str">
        <f>IF(codegen8="","",codegen8)</f>
        <v/>
      </c>
      <c r="D21" s="856"/>
      <c r="E21" s="856"/>
      <c r="F21" s="856"/>
      <c r="G21" s="856"/>
      <c r="H21" s="856"/>
      <c r="I21" s="853" t="str">
        <f>IF(SubGen8="","",SubGen8)</f>
        <v/>
      </c>
      <c r="J21" s="853"/>
      <c r="K21" s="853"/>
      <c r="L21" s="853"/>
      <c r="M21" s="853"/>
      <c r="N21" s="853"/>
      <c r="O21" s="853"/>
      <c r="P21" s="853"/>
      <c r="Q21" s="853"/>
      <c r="R21" s="853"/>
      <c r="S21" s="853"/>
      <c r="T21" s="853"/>
      <c r="U21" s="853"/>
      <c r="V21" s="853"/>
      <c r="W21" s="853"/>
      <c r="X21" s="853"/>
      <c r="Y21" s="853"/>
      <c r="Z21" s="853"/>
      <c r="AA21" s="853"/>
      <c r="AB21" s="853"/>
      <c r="AC21" s="854"/>
      <c r="AD21" s="852" t="str">
        <f>IF(COUNT(Gengrade8)=0,"",SUM(AJ21:BM21))</f>
        <v/>
      </c>
      <c r="AE21" s="852"/>
      <c r="AF21" s="852"/>
      <c r="AG21" s="852"/>
      <c r="AH21" s="852"/>
      <c r="AI21" s="852"/>
      <c r="AJ21" s="852" t="str">
        <f>IF(COUNT(Gengrade8)=0,"",COUNTIF(Gengrade8,4))</f>
        <v/>
      </c>
      <c r="AK21" s="852"/>
      <c r="AL21" s="852"/>
      <c r="AM21" s="852" t="str">
        <f>IF(COUNT(Gengrade8)=0,"",COUNTIF(Gengrade8,3.5))</f>
        <v/>
      </c>
      <c r="AN21" s="852"/>
      <c r="AO21" s="852"/>
      <c r="AP21" s="852" t="str">
        <f>IF(COUNT(Gengrade8)=0,"",COUNTIF(Gengrade8,3))</f>
        <v/>
      </c>
      <c r="AQ21" s="852"/>
      <c r="AR21" s="852"/>
      <c r="AS21" s="852" t="str">
        <f>IF(COUNT(Gengrade8)=0,"",COUNTIF(Gengrade8,2.5))</f>
        <v/>
      </c>
      <c r="AT21" s="852"/>
      <c r="AU21" s="852"/>
      <c r="AV21" s="852" t="str">
        <f>IF(COUNT(Gengrade8)=0,"",COUNTIF(Gengrade8,2))</f>
        <v/>
      </c>
      <c r="AW21" s="852"/>
      <c r="AX21" s="852"/>
      <c r="AY21" s="852" t="str">
        <f>IF(COUNT(Gengrade8)=0,"",COUNTIF(Gengrade8,1.5))</f>
        <v/>
      </c>
      <c r="AZ21" s="852"/>
      <c r="BA21" s="852"/>
      <c r="BB21" s="852" t="str">
        <f>IF(COUNT(Gengrade8)=0,"",COUNTIF(Gengrade8,1))</f>
        <v/>
      </c>
      <c r="BC21" s="852"/>
      <c r="BD21" s="852"/>
      <c r="BE21" s="852" t="str">
        <f>IF(COUNT(Gengrade8)=0,"",COUNTIF(Gengrade8,0))</f>
        <v/>
      </c>
      <c r="BF21" s="852"/>
      <c r="BG21" s="852"/>
      <c r="BH21" s="852" t="str">
        <f>IF(COUNT(Gengrade8)=0,"",COUNTIF(Gengrade8,"ร"))</f>
        <v/>
      </c>
      <c r="BI21" s="852"/>
      <c r="BJ21" s="852"/>
      <c r="BK21" s="852" t="str">
        <f>IF(COUNT(Gengrade8)=0,"",COUNTIF(Gengrade8,"มส"))</f>
        <v/>
      </c>
      <c r="BL21" s="852"/>
      <c r="BM21" s="852"/>
      <c r="BN21" s="852"/>
      <c r="BO21" s="852"/>
      <c r="BP21" s="852"/>
      <c r="BQ21" s="852"/>
      <c r="BR21" s="852"/>
      <c r="BS21" s="852"/>
      <c r="BU21" s="882"/>
      <c r="BV21" s="882"/>
      <c r="BW21" s="882"/>
      <c r="BX21" s="882"/>
      <c r="BY21" s="882"/>
      <c r="BZ21" s="882"/>
      <c r="CA21" s="882"/>
      <c r="CB21" s="882"/>
      <c r="CC21" s="882"/>
      <c r="CD21" s="882"/>
    </row>
    <row r="22" spans="3:82" ht="19.5" customHeight="1" x14ac:dyDescent="0.4">
      <c r="C22" s="855" t="str">
        <f>IF(codegen9="","",codegen9)</f>
        <v/>
      </c>
      <c r="D22" s="856"/>
      <c r="E22" s="856"/>
      <c r="F22" s="856"/>
      <c r="G22" s="856"/>
      <c r="H22" s="856"/>
      <c r="I22" s="853" t="str">
        <f>IF(SubGen9="","",SubGen9)</f>
        <v/>
      </c>
      <c r="J22" s="853"/>
      <c r="K22" s="853"/>
      <c r="L22" s="853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853"/>
      <c r="AC22" s="854"/>
      <c r="AD22" s="852" t="str">
        <f>IF(COUNT(Gengrade9)=0,"",SUM(AJ22:BM22))</f>
        <v/>
      </c>
      <c r="AE22" s="852"/>
      <c r="AF22" s="852"/>
      <c r="AG22" s="852"/>
      <c r="AH22" s="852"/>
      <c r="AI22" s="852"/>
      <c r="AJ22" s="852" t="str">
        <f>IF(COUNT(Gengrade9)=0,"",COUNTIF(Gengrade9,4))</f>
        <v/>
      </c>
      <c r="AK22" s="852"/>
      <c r="AL22" s="852"/>
      <c r="AM22" s="852" t="str">
        <f>IF(COUNT(Gengrade9)=0,"",COUNTIF(Gengrade9,3.5))</f>
        <v/>
      </c>
      <c r="AN22" s="852"/>
      <c r="AO22" s="852"/>
      <c r="AP22" s="852" t="str">
        <f>IF(COUNT(Gengrade9)=0,"",COUNTIF(Gengrade9,3))</f>
        <v/>
      </c>
      <c r="AQ22" s="852"/>
      <c r="AR22" s="852"/>
      <c r="AS22" s="852" t="str">
        <f>IF(COUNT(Gengrade9)=0,"",COUNTIF(Gengrade9,2.5))</f>
        <v/>
      </c>
      <c r="AT22" s="852"/>
      <c r="AU22" s="852"/>
      <c r="AV22" s="852" t="str">
        <f>IF(COUNT(Gengrade9)=0,"",COUNTIF(Gengrade9,2))</f>
        <v/>
      </c>
      <c r="AW22" s="852"/>
      <c r="AX22" s="852"/>
      <c r="AY22" s="852" t="str">
        <f>IF(COUNT(Gengrade9)=0,"",COUNTIF(Gengrade9,1.5))</f>
        <v/>
      </c>
      <c r="AZ22" s="852"/>
      <c r="BA22" s="852"/>
      <c r="BB22" s="852" t="str">
        <f>IF(COUNT(Gengrade9)=0,"",COUNTIF(Gengrade9,1))</f>
        <v/>
      </c>
      <c r="BC22" s="852"/>
      <c r="BD22" s="852"/>
      <c r="BE22" s="852" t="str">
        <f>IF(COUNT(Gengrade9)=0,"",COUNTIF(Gengrade9,0))</f>
        <v/>
      </c>
      <c r="BF22" s="852"/>
      <c r="BG22" s="852"/>
      <c r="BH22" s="852" t="str">
        <f>IF(COUNT(Gengrade9)=0,"",COUNTIF(Gengrade9,"ร"))</f>
        <v/>
      </c>
      <c r="BI22" s="852"/>
      <c r="BJ22" s="852"/>
      <c r="BK22" s="852" t="str">
        <f>IF(COUNT(Gengrade9)=0,"",COUNTIF(Gengrade9,"มส"))</f>
        <v/>
      </c>
      <c r="BL22" s="852"/>
      <c r="BM22" s="852"/>
      <c r="BN22" s="852"/>
      <c r="BO22" s="852"/>
      <c r="BP22" s="852"/>
      <c r="BQ22" s="852"/>
      <c r="BR22" s="852"/>
      <c r="BS22" s="852"/>
    </row>
    <row r="23" spans="3:82" ht="19.5" customHeight="1" x14ac:dyDescent="0.4">
      <c r="C23" s="855" t="str">
        <f>IF(codegen10="","",codegen10)</f>
        <v/>
      </c>
      <c r="D23" s="856"/>
      <c r="E23" s="856"/>
      <c r="F23" s="856"/>
      <c r="G23" s="856"/>
      <c r="H23" s="856"/>
      <c r="I23" s="853" t="str">
        <f>IF(SubGen10="","",SubGen10)</f>
        <v/>
      </c>
      <c r="J23" s="853"/>
      <c r="K23" s="853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4"/>
      <c r="AD23" s="852" t="str">
        <f>IF(COUNT(Gengrade10)=0,"",SUM(AJ23:BM23))</f>
        <v/>
      </c>
      <c r="AE23" s="852"/>
      <c r="AF23" s="852"/>
      <c r="AG23" s="852"/>
      <c r="AH23" s="852"/>
      <c r="AI23" s="852"/>
      <c r="AJ23" s="852" t="str">
        <f>IF(COUNT(Gengrade10)=0,"",COUNTIF(Gengrade10,4))</f>
        <v/>
      </c>
      <c r="AK23" s="852"/>
      <c r="AL23" s="852"/>
      <c r="AM23" s="852" t="str">
        <f>IF(COUNT(Gengrade10)=0,"",COUNTIF(Gengrade10,3.5))</f>
        <v/>
      </c>
      <c r="AN23" s="852"/>
      <c r="AO23" s="852"/>
      <c r="AP23" s="852" t="str">
        <f>IF(COUNT(Gengrade10)=0,"",COUNTIF(Gengrade10,3))</f>
        <v/>
      </c>
      <c r="AQ23" s="852"/>
      <c r="AR23" s="852"/>
      <c r="AS23" s="852" t="str">
        <f>IF(COUNT(Gengrade10)=0,"",COUNTIF(Gengrade10,2.5))</f>
        <v/>
      </c>
      <c r="AT23" s="852"/>
      <c r="AU23" s="852"/>
      <c r="AV23" s="852" t="str">
        <f>IF(COUNT(Gengrade10)=0,"",COUNTIF(Gengrade10,2))</f>
        <v/>
      </c>
      <c r="AW23" s="852"/>
      <c r="AX23" s="852"/>
      <c r="AY23" s="852" t="str">
        <f>IF(COUNT(Gengrade10)=0,"",COUNTIF(Gengrade10,1.5))</f>
        <v/>
      </c>
      <c r="AZ23" s="852"/>
      <c r="BA23" s="852"/>
      <c r="BB23" s="852" t="str">
        <f>IF(COUNT(Gengrade10)=0,"",COUNTIF(Gengrade10,1))</f>
        <v/>
      </c>
      <c r="BC23" s="852"/>
      <c r="BD23" s="852"/>
      <c r="BE23" s="852" t="str">
        <f>IF(COUNT(Gengrade10)=0,"",COUNTIF(Gengrade10,0))</f>
        <v/>
      </c>
      <c r="BF23" s="852"/>
      <c r="BG23" s="852"/>
      <c r="BH23" s="852" t="str">
        <f>IF(COUNT(Gengrade10)=0,"",COUNTIF(Gengrade10,"ร"))</f>
        <v/>
      </c>
      <c r="BI23" s="852"/>
      <c r="BJ23" s="852"/>
      <c r="BK23" s="852" t="str">
        <f>IF(COUNT(Gengrade10)=0,"",COUNTIF(Gengrade10,"มส"))</f>
        <v/>
      </c>
      <c r="BL23" s="852"/>
      <c r="BM23" s="852"/>
      <c r="BN23" s="852"/>
      <c r="BO23" s="852"/>
      <c r="BP23" s="852"/>
      <c r="BQ23" s="852"/>
      <c r="BR23" s="852"/>
      <c r="BS23" s="852"/>
    </row>
    <row r="24" spans="3:82" ht="19.5" customHeight="1" x14ac:dyDescent="0.4">
      <c r="C24" s="855" t="str">
        <f>IF(codegen11="","",codegen11)</f>
        <v/>
      </c>
      <c r="D24" s="856"/>
      <c r="E24" s="856"/>
      <c r="F24" s="856"/>
      <c r="G24" s="856"/>
      <c r="H24" s="856"/>
      <c r="I24" s="853" t="str">
        <f>IF(SubGen11="","",SubGen11)</f>
        <v/>
      </c>
      <c r="J24" s="853"/>
      <c r="K24" s="853"/>
      <c r="L24" s="853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4"/>
      <c r="AD24" s="852" t="str">
        <f>IF(COUNT(Gengrade11)=0,"",SUM(AJ24:BM24))</f>
        <v/>
      </c>
      <c r="AE24" s="852"/>
      <c r="AF24" s="852"/>
      <c r="AG24" s="852"/>
      <c r="AH24" s="852"/>
      <c r="AI24" s="852"/>
      <c r="AJ24" s="852" t="str">
        <f>IF(COUNT(Gengrade11)=0,"",COUNTIF(Gengrade11,4))</f>
        <v/>
      </c>
      <c r="AK24" s="852"/>
      <c r="AL24" s="852"/>
      <c r="AM24" s="852" t="str">
        <f>IF(COUNT(Gengrade11)=0,"",COUNTIF(Gengrade11,3.5))</f>
        <v/>
      </c>
      <c r="AN24" s="852"/>
      <c r="AO24" s="852"/>
      <c r="AP24" s="852" t="str">
        <f>IF(COUNT(Gengrade11)=0,"",COUNTIF(Gengrade11,3))</f>
        <v/>
      </c>
      <c r="AQ24" s="852"/>
      <c r="AR24" s="852"/>
      <c r="AS24" s="852" t="str">
        <f>IF(COUNT(Gengrade11)=0,"",COUNTIF(Gengrade11,2.5))</f>
        <v/>
      </c>
      <c r="AT24" s="852"/>
      <c r="AU24" s="852"/>
      <c r="AV24" s="852" t="str">
        <f>IF(COUNT(Gengrade11)=0,"",COUNTIF(Gengrade11,2))</f>
        <v/>
      </c>
      <c r="AW24" s="852"/>
      <c r="AX24" s="852"/>
      <c r="AY24" s="852" t="str">
        <f>IF(COUNT(Gengrade11)=0,"",COUNTIF(Gengrade11,1.5))</f>
        <v/>
      </c>
      <c r="AZ24" s="852"/>
      <c r="BA24" s="852"/>
      <c r="BB24" s="852" t="str">
        <f>IF(COUNT(Gengrade11)=0,"",COUNTIF(Gengrade11,1))</f>
        <v/>
      </c>
      <c r="BC24" s="852"/>
      <c r="BD24" s="852"/>
      <c r="BE24" s="852" t="str">
        <f>IF(COUNT(Gengrade11)=0,"",COUNTIF(Gengrade11,0))</f>
        <v/>
      </c>
      <c r="BF24" s="852"/>
      <c r="BG24" s="852"/>
      <c r="BH24" s="852" t="str">
        <f>IF(COUNT(Gengrade11)=0,"",COUNTIF(Gengrade11,"ร"))</f>
        <v/>
      </c>
      <c r="BI24" s="852"/>
      <c r="BJ24" s="852"/>
      <c r="BK24" s="852" t="str">
        <f>IF(COUNT(Gengrade11)=0,"",COUNTIF(Gengrade11,"มส"))</f>
        <v/>
      </c>
      <c r="BL24" s="852"/>
      <c r="BM24" s="852"/>
      <c r="BN24" s="852"/>
      <c r="BO24" s="852"/>
      <c r="BP24" s="852"/>
      <c r="BQ24" s="852"/>
      <c r="BR24" s="852"/>
      <c r="BS24" s="852"/>
    </row>
    <row r="25" spans="3:82" ht="19.5" customHeight="1" x14ac:dyDescent="0.4">
      <c r="C25" s="855" t="str">
        <f>IF(codegen12="","",codegen12)</f>
        <v/>
      </c>
      <c r="D25" s="856"/>
      <c r="E25" s="856"/>
      <c r="F25" s="856"/>
      <c r="G25" s="856"/>
      <c r="H25" s="856"/>
      <c r="I25" s="853" t="str">
        <f>IF(SubGen12="","",SubGen12)</f>
        <v/>
      </c>
      <c r="J25" s="853"/>
      <c r="K25" s="853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4"/>
      <c r="AD25" s="852" t="str">
        <f>IF(COUNT(Gengrade12)=0,"",SUM(AJ25:BM25))</f>
        <v/>
      </c>
      <c r="AE25" s="852"/>
      <c r="AF25" s="852"/>
      <c r="AG25" s="852"/>
      <c r="AH25" s="852"/>
      <c r="AI25" s="852"/>
      <c r="AJ25" s="852" t="str">
        <f>IF(COUNT(Gengrade12)=0,"",COUNTIF(Gengrade12,4))</f>
        <v/>
      </c>
      <c r="AK25" s="852"/>
      <c r="AL25" s="852"/>
      <c r="AM25" s="852" t="str">
        <f>IF(COUNT(Gengrade12)=0,"",COUNTIF(Gengrade12,3.5))</f>
        <v/>
      </c>
      <c r="AN25" s="852"/>
      <c r="AO25" s="852"/>
      <c r="AP25" s="852" t="str">
        <f>IF(COUNT(Gengrade12)=0,"",COUNTIF(Gengrade12,3))</f>
        <v/>
      </c>
      <c r="AQ25" s="852"/>
      <c r="AR25" s="852"/>
      <c r="AS25" s="852" t="str">
        <f>IF(COUNT(Gengrade12)=0,"",COUNTIF(Gengrade12,2.5))</f>
        <v/>
      </c>
      <c r="AT25" s="852"/>
      <c r="AU25" s="852"/>
      <c r="AV25" s="852" t="str">
        <f>IF(COUNT(Gengrade12)=0,"",COUNTIF(Gengrade12,2))</f>
        <v/>
      </c>
      <c r="AW25" s="852"/>
      <c r="AX25" s="852"/>
      <c r="AY25" s="852" t="str">
        <f>IF(COUNT(Gengrade12)=0,"",COUNTIF(Gengrade12,1.5))</f>
        <v/>
      </c>
      <c r="AZ25" s="852"/>
      <c r="BA25" s="852"/>
      <c r="BB25" s="852" t="str">
        <f>IF(COUNT(Gengrade12)=0,"",COUNTIF(Gengrade12,1))</f>
        <v/>
      </c>
      <c r="BC25" s="852"/>
      <c r="BD25" s="852"/>
      <c r="BE25" s="852" t="str">
        <f>IF(COUNT(Gengrade12)=0,"",COUNTIF(Gengrade12,0))</f>
        <v/>
      </c>
      <c r="BF25" s="852"/>
      <c r="BG25" s="852"/>
      <c r="BH25" s="852" t="str">
        <f>IF(COUNT(Gengrade12)=0,"",COUNTIF(Gengrade12,"ร"))</f>
        <v/>
      </c>
      <c r="BI25" s="852"/>
      <c r="BJ25" s="852"/>
      <c r="BK25" s="852" t="str">
        <f>IF(COUNT(Gengrade12)=0,"",COUNTIF(Gengrade12,"มส"))</f>
        <v/>
      </c>
      <c r="BL25" s="852"/>
      <c r="BM25" s="852"/>
      <c r="BN25" s="852"/>
      <c r="BO25" s="852"/>
      <c r="BP25" s="852"/>
      <c r="BQ25" s="852"/>
      <c r="BR25" s="852"/>
      <c r="BS25" s="852"/>
    </row>
    <row r="26" spans="3:82" ht="19.5" customHeight="1" x14ac:dyDescent="0.4">
      <c r="C26" s="879" t="s">
        <v>41</v>
      </c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880"/>
      <c r="P26" s="880"/>
      <c r="Q26" s="880"/>
      <c r="R26" s="880"/>
      <c r="S26" s="880"/>
      <c r="T26" s="880"/>
      <c r="U26" s="880"/>
      <c r="V26" s="880"/>
      <c r="W26" s="880"/>
      <c r="X26" s="880"/>
      <c r="Y26" s="880"/>
      <c r="Z26" s="880"/>
      <c r="AA26" s="880"/>
      <c r="AB26" s="880"/>
      <c r="AC26" s="880"/>
      <c r="AD26" s="880"/>
      <c r="AE26" s="880"/>
      <c r="AF26" s="880"/>
      <c r="AG26" s="880"/>
      <c r="AH26" s="880"/>
      <c r="AI26" s="880"/>
      <c r="AJ26" s="880"/>
      <c r="AK26" s="880"/>
      <c r="AL26" s="880"/>
      <c r="AM26" s="880"/>
      <c r="AN26" s="880"/>
      <c r="AO26" s="880"/>
      <c r="AP26" s="880"/>
      <c r="AQ26" s="880"/>
      <c r="AR26" s="880"/>
      <c r="AS26" s="880"/>
      <c r="AT26" s="880"/>
      <c r="AU26" s="880"/>
      <c r="AV26" s="880"/>
      <c r="AW26" s="880"/>
      <c r="AX26" s="880"/>
      <c r="AY26" s="880"/>
      <c r="AZ26" s="880"/>
      <c r="BA26" s="880"/>
      <c r="BB26" s="880"/>
      <c r="BC26" s="880"/>
      <c r="BD26" s="880"/>
      <c r="BE26" s="880"/>
      <c r="BF26" s="880"/>
      <c r="BG26" s="880"/>
      <c r="BH26" s="880"/>
      <c r="BI26" s="880"/>
      <c r="BJ26" s="880"/>
      <c r="BK26" s="880"/>
      <c r="BL26" s="880"/>
      <c r="BM26" s="880"/>
      <c r="BN26" s="880"/>
      <c r="BO26" s="880"/>
      <c r="BP26" s="880"/>
      <c r="BQ26" s="880"/>
      <c r="BR26" s="880"/>
      <c r="BS26" s="881"/>
    </row>
    <row r="27" spans="3:82" ht="19.5" customHeight="1" x14ac:dyDescent="0.4">
      <c r="C27" s="855" t="str">
        <f>IF(CodeEle1="","",CodeEle1)</f>
        <v/>
      </c>
      <c r="D27" s="856"/>
      <c r="E27" s="856"/>
      <c r="F27" s="856"/>
      <c r="G27" s="856"/>
      <c r="H27" s="856"/>
      <c r="I27" s="853" t="str">
        <f>IF(SubEle1="","",SubEle1)</f>
        <v/>
      </c>
      <c r="J27" s="853"/>
      <c r="K27" s="853"/>
      <c r="L27" s="853"/>
      <c r="M27" s="853"/>
      <c r="N27" s="853"/>
      <c r="O27" s="853"/>
      <c r="P27" s="853"/>
      <c r="Q27" s="853"/>
      <c r="R27" s="853"/>
      <c r="S27" s="853"/>
      <c r="T27" s="853"/>
      <c r="U27" s="853"/>
      <c r="V27" s="853"/>
      <c r="W27" s="853"/>
      <c r="X27" s="853"/>
      <c r="Y27" s="853"/>
      <c r="Z27" s="853"/>
      <c r="AA27" s="853"/>
      <c r="AB27" s="853"/>
      <c r="AC27" s="854"/>
      <c r="AD27" s="852" t="str">
        <f>IF(COUNT(EleGrade1)=0,"",SUM(AJ27:BM27))</f>
        <v/>
      </c>
      <c r="AE27" s="852"/>
      <c r="AF27" s="852"/>
      <c r="AG27" s="852"/>
      <c r="AH27" s="852"/>
      <c r="AI27" s="852"/>
      <c r="AJ27" s="852" t="str">
        <f>IF(COUNT(EleGrade1)=0,"",COUNTIF(EleGrade1,4))</f>
        <v/>
      </c>
      <c r="AK27" s="852"/>
      <c r="AL27" s="852"/>
      <c r="AM27" s="852" t="str">
        <f>IF(COUNT(EleGrade1)=0,"",COUNTIF(EleGrade1,3.5))</f>
        <v/>
      </c>
      <c r="AN27" s="852"/>
      <c r="AO27" s="852"/>
      <c r="AP27" s="852" t="str">
        <f>IF(COUNT(EleGrade1)=0,"",COUNTIF(EleGrade1,3))</f>
        <v/>
      </c>
      <c r="AQ27" s="852"/>
      <c r="AR27" s="852"/>
      <c r="AS27" s="852" t="str">
        <f>IF(COUNT(EleGrade1)=0,"",COUNTIF(EleGrade1,2.5))</f>
        <v/>
      </c>
      <c r="AT27" s="852"/>
      <c r="AU27" s="852"/>
      <c r="AV27" s="852" t="str">
        <f>IF(COUNT(EleGrade1)=0,"",COUNTIF(EleGrade1,2))</f>
        <v/>
      </c>
      <c r="AW27" s="852"/>
      <c r="AX27" s="852"/>
      <c r="AY27" s="852" t="str">
        <f>IF(COUNT(EleGrade1)=0,"",COUNTIF(EleGrade1,1.5))</f>
        <v/>
      </c>
      <c r="AZ27" s="852"/>
      <c r="BA27" s="852"/>
      <c r="BB27" s="852" t="str">
        <f>IF(COUNT(EleGrade1)=0,"",COUNTIF(EleGrade1,1))</f>
        <v/>
      </c>
      <c r="BC27" s="852"/>
      <c r="BD27" s="852"/>
      <c r="BE27" s="852" t="str">
        <f>IF(COUNT(EleGrade1)=0,"",COUNTIF(EleGrade1,0))</f>
        <v/>
      </c>
      <c r="BF27" s="852"/>
      <c r="BG27" s="852"/>
      <c r="BH27" s="852" t="str">
        <f>IF(COUNT(EleGrade1)=0,"",COUNTIF(EleGrade1,"ร"))</f>
        <v/>
      </c>
      <c r="BI27" s="852"/>
      <c r="BJ27" s="852"/>
      <c r="BK27" s="852" t="str">
        <f>IF(COUNT(EleGrade1)=0,"",COUNTIF(EleGrade1,"มส"))</f>
        <v/>
      </c>
      <c r="BL27" s="852"/>
      <c r="BM27" s="852"/>
      <c r="BN27" s="852"/>
      <c r="BO27" s="852"/>
      <c r="BP27" s="852"/>
      <c r="BQ27" s="852"/>
      <c r="BR27" s="852"/>
      <c r="BS27" s="852"/>
    </row>
    <row r="28" spans="3:82" ht="19.5" customHeight="1" x14ac:dyDescent="0.4">
      <c r="C28" s="855" t="str">
        <f>IF(CodeEle2="","",CodeEle2)</f>
        <v/>
      </c>
      <c r="D28" s="856"/>
      <c r="E28" s="856"/>
      <c r="F28" s="856"/>
      <c r="G28" s="856"/>
      <c r="H28" s="856"/>
      <c r="I28" s="853" t="str">
        <f>IF(SubEle2="","",SubEle2)</f>
        <v/>
      </c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4"/>
      <c r="AD28" s="852" t="str">
        <f>IF(COUNT(EleGrade2)=0,"",SUM(AJ28:BM28))</f>
        <v/>
      </c>
      <c r="AE28" s="852"/>
      <c r="AF28" s="852"/>
      <c r="AG28" s="852"/>
      <c r="AH28" s="852"/>
      <c r="AI28" s="852"/>
      <c r="AJ28" s="852" t="str">
        <f>IF(COUNT(EleGrade2)=0,"",COUNTIF(EleGrade2,4))</f>
        <v/>
      </c>
      <c r="AK28" s="852"/>
      <c r="AL28" s="852"/>
      <c r="AM28" s="852" t="str">
        <f>IF(COUNT(EleGrade2)=0,"",COUNTIF(EleGrade2,3.5))</f>
        <v/>
      </c>
      <c r="AN28" s="852"/>
      <c r="AO28" s="852"/>
      <c r="AP28" s="852" t="str">
        <f>IF(COUNT(EleGrade2)=0,"",COUNTIF(EleGrade2,3))</f>
        <v/>
      </c>
      <c r="AQ28" s="852"/>
      <c r="AR28" s="852"/>
      <c r="AS28" s="852" t="str">
        <f>IF(COUNT(EleGrade2)=0,"",COUNTIF(EleGrade2,2.5))</f>
        <v/>
      </c>
      <c r="AT28" s="852"/>
      <c r="AU28" s="852"/>
      <c r="AV28" s="852" t="str">
        <f>IF(COUNT(EleGrade2)=0,"",COUNTIF(EleGrade2,2))</f>
        <v/>
      </c>
      <c r="AW28" s="852"/>
      <c r="AX28" s="852"/>
      <c r="AY28" s="852" t="str">
        <f>IF(COUNT(EleGrade2)=0,"",COUNTIF(EleGrade2,1.5))</f>
        <v/>
      </c>
      <c r="AZ28" s="852"/>
      <c r="BA28" s="852"/>
      <c r="BB28" s="852" t="str">
        <f>IF(COUNT(EleGrade2)=0,"",COUNTIF(EleGrade2,1))</f>
        <v/>
      </c>
      <c r="BC28" s="852"/>
      <c r="BD28" s="852"/>
      <c r="BE28" s="852" t="str">
        <f>IF(COUNT(EleGrade2)=0,"",COUNTIF(EleGrade2,0))</f>
        <v/>
      </c>
      <c r="BF28" s="852"/>
      <c r="BG28" s="852"/>
      <c r="BH28" s="852" t="str">
        <f>IF(COUNT(EleGrade2)=0,"",COUNTIF(EleGrade2,"ร"))</f>
        <v/>
      </c>
      <c r="BI28" s="852"/>
      <c r="BJ28" s="852"/>
      <c r="BK28" s="852" t="str">
        <f>IF(COUNT(EleGrade2)=0,"",COUNTIF(EleGrade2,"มส"))</f>
        <v/>
      </c>
      <c r="BL28" s="852"/>
      <c r="BM28" s="852"/>
      <c r="BN28" s="852"/>
      <c r="BO28" s="852"/>
      <c r="BP28" s="852"/>
      <c r="BQ28" s="852"/>
      <c r="BR28" s="852"/>
      <c r="BS28" s="852"/>
    </row>
    <row r="29" spans="3:82" ht="19.5" customHeight="1" x14ac:dyDescent="0.4">
      <c r="C29" s="855" t="str">
        <f>IF(CodeEle3="","",CodeEle3)</f>
        <v/>
      </c>
      <c r="D29" s="856"/>
      <c r="E29" s="856"/>
      <c r="F29" s="856"/>
      <c r="G29" s="856"/>
      <c r="H29" s="856"/>
      <c r="I29" s="853" t="str">
        <f>IF(SubEle3="","",SubEle3)</f>
        <v/>
      </c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3"/>
      <c r="Z29" s="853"/>
      <c r="AA29" s="853"/>
      <c r="AB29" s="853"/>
      <c r="AC29" s="854"/>
      <c r="AD29" s="852" t="str">
        <f>IF(COUNT(EleGrade3)=0,"",SUM(AJ29:BM29))</f>
        <v/>
      </c>
      <c r="AE29" s="852"/>
      <c r="AF29" s="852"/>
      <c r="AG29" s="852"/>
      <c r="AH29" s="852"/>
      <c r="AI29" s="852"/>
      <c r="AJ29" s="852" t="str">
        <f>IF(COUNT(EleGrade3)=0,"",COUNTIF(EleGrade3,4))</f>
        <v/>
      </c>
      <c r="AK29" s="852"/>
      <c r="AL29" s="852"/>
      <c r="AM29" s="852" t="str">
        <f>IF(COUNT(EleGrade3)=0,"",COUNTIF(EleGrade3,3.5))</f>
        <v/>
      </c>
      <c r="AN29" s="852"/>
      <c r="AO29" s="852"/>
      <c r="AP29" s="852" t="str">
        <f>IF(COUNT(EleGrade3)=0,"",COUNTIF(EleGrade3,3))</f>
        <v/>
      </c>
      <c r="AQ29" s="852"/>
      <c r="AR29" s="852"/>
      <c r="AS29" s="852" t="str">
        <f>IF(COUNT(EleGrade3)=0,"",COUNTIF(EleGrade3,2.5))</f>
        <v/>
      </c>
      <c r="AT29" s="852"/>
      <c r="AU29" s="852"/>
      <c r="AV29" s="852" t="str">
        <f>IF(COUNT(EleGrade3)=0,"",COUNTIF(EleGrade3,2))</f>
        <v/>
      </c>
      <c r="AW29" s="852"/>
      <c r="AX29" s="852"/>
      <c r="AY29" s="852" t="str">
        <f>IF(COUNT(EleGrade3)=0,"",COUNTIF(EleGrade3,1.5))</f>
        <v/>
      </c>
      <c r="AZ29" s="852"/>
      <c r="BA29" s="852"/>
      <c r="BB29" s="852" t="str">
        <f>IF(COUNT(EleGrade3)=0,"",COUNTIF(EleGrade3,1))</f>
        <v/>
      </c>
      <c r="BC29" s="852"/>
      <c r="BD29" s="852"/>
      <c r="BE29" s="852" t="str">
        <f>IF(COUNT(EleGrade3)=0,"",COUNTIF(EleGrade3,0))</f>
        <v/>
      </c>
      <c r="BF29" s="852"/>
      <c r="BG29" s="852"/>
      <c r="BH29" s="852" t="str">
        <f>IF(COUNT(EleGrade3)=0,"",COUNTIF(EleGrade3,"ร"))</f>
        <v/>
      </c>
      <c r="BI29" s="852"/>
      <c r="BJ29" s="852"/>
      <c r="BK29" s="852" t="str">
        <f>IF(COUNT(EleGrade3)=0,"",COUNTIF(EleGrade3,"มส"))</f>
        <v/>
      </c>
      <c r="BL29" s="852"/>
      <c r="BM29" s="852"/>
      <c r="BN29" s="852"/>
      <c r="BO29" s="852"/>
      <c r="BP29" s="852"/>
      <c r="BQ29" s="852"/>
      <c r="BR29" s="852"/>
      <c r="BS29" s="852"/>
    </row>
    <row r="30" spans="3:82" ht="19.5" customHeight="1" x14ac:dyDescent="0.4">
      <c r="C30" s="855" t="str">
        <f>IF(CodeEle4="","",CodeEle4)</f>
        <v/>
      </c>
      <c r="D30" s="856"/>
      <c r="E30" s="856"/>
      <c r="F30" s="856"/>
      <c r="G30" s="856"/>
      <c r="H30" s="856"/>
      <c r="I30" s="853" t="str">
        <f>IF(SubEle4="","",SubEle4)</f>
        <v/>
      </c>
      <c r="J30" s="853"/>
      <c r="K30" s="853"/>
      <c r="L30" s="853"/>
      <c r="M30" s="853"/>
      <c r="N30" s="853"/>
      <c r="O30" s="853"/>
      <c r="P30" s="853"/>
      <c r="Q30" s="853"/>
      <c r="R30" s="853"/>
      <c r="S30" s="853"/>
      <c r="T30" s="853"/>
      <c r="U30" s="853"/>
      <c r="V30" s="853"/>
      <c r="W30" s="853"/>
      <c r="X30" s="853"/>
      <c r="Y30" s="853"/>
      <c r="Z30" s="853"/>
      <c r="AA30" s="853"/>
      <c r="AB30" s="853"/>
      <c r="AC30" s="854"/>
      <c r="AD30" s="852" t="str">
        <f>IF(COUNT(EleGrade4)=0,"",SUM(AJ30:BM30))</f>
        <v/>
      </c>
      <c r="AE30" s="852"/>
      <c r="AF30" s="852"/>
      <c r="AG30" s="852"/>
      <c r="AH30" s="852"/>
      <c r="AI30" s="852"/>
      <c r="AJ30" s="852" t="str">
        <f>IF(COUNT(EleGrade4)=0,"",COUNTIF(EleGrade4,4))</f>
        <v/>
      </c>
      <c r="AK30" s="852"/>
      <c r="AL30" s="852"/>
      <c r="AM30" s="852" t="str">
        <f>IF(COUNT(EleGrade4)=0,"",COUNTIF(EleGrade4,3.5))</f>
        <v/>
      </c>
      <c r="AN30" s="852"/>
      <c r="AO30" s="852"/>
      <c r="AP30" s="852" t="str">
        <f>IF(COUNT(EleGrade4)=0,"",COUNTIF(EleGrade4,3))</f>
        <v/>
      </c>
      <c r="AQ30" s="852"/>
      <c r="AR30" s="852"/>
      <c r="AS30" s="852" t="str">
        <f>IF(COUNT(EleGrade4)=0,"",COUNTIF(EleGrade4,2.5))</f>
        <v/>
      </c>
      <c r="AT30" s="852"/>
      <c r="AU30" s="852"/>
      <c r="AV30" s="852" t="str">
        <f>IF(COUNT(EleGrade4)=0,"",COUNTIF(EleGrade4,2))</f>
        <v/>
      </c>
      <c r="AW30" s="852"/>
      <c r="AX30" s="852"/>
      <c r="AY30" s="852" t="str">
        <f>IF(COUNT(EleGrade4)=0,"",COUNTIF(EleGrade4,1.5))</f>
        <v/>
      </c>
      <c r="AZ30" s="852"/>
      <c r="BA30" s="852"/>
      <c r="BB30" s="852" t="str">
        <f>IF(COUNT(EleGrade4)=0,"",COUNTIF(EleGrade4,1))</f>
        <v/>
      </c>
      <c r="BC30" s="852"/>
      <c r="BD30" s="852"/>
      <c r="BE30" s="852" t="str">
        <f>IF(COUNT(EleGrade4)=0,"",COUNTIF(EleGrade4,0))</f>
        <v/>
      </c>
      <c r="BF30" s="852"/>
      <c r="BG30" s="852"/>
      <c r="BH30" s="852" t="str">
        <f>IF(COUNT(EleGrade4)=0,"",COUNTIF(EleGrade4,"ร"))</f>
        <v/>
      </c>
      <c r="BI30" s="852"/>
      <c r="BJ30" s="852"/>
      <c r="BK30" s="852" t="str">
        <f>IF(COUNT(EleGrade4)=0,"",COUNTIF(EleGrade4,"มส"))</f>
        <v/>
      </c>
      <c r="BL30" s="852"/>
      <c r="BM30" s="852"/>
      <c r="BN30" s="852"/>
      <c r="BO30" s="852"/>
      <c r="BP30" s="852"/>
      <c r="BQ30" s="852"/>
      <c r="BR30" s="852"/>
      <c r="BS30" s="852"/>
    </row>
    <row r="31" spans="3:82" ht="19.5" customHeight="1" x14ac:dyDescent="0.4">
      <c r="C31" s="855" t="str">
        <f>IF(CodeEle5="","",CodeEle5)</f>
        <v/>
      </c>
      <c r="D31" s="856"/>
      <c r="E31" s="856"/>
      <c r="F31" s="856"/>
      <c r="G31" s="856"/>
      <c r="H31" s="856"/>
      <c r="I31" s="853" t="str">
        <f>IF(SubEle5="","",SubEle5)</f>
        <v/>
      </c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  <c r="AB31" s="853"/>
      <c r="AC31" s="854"/>
      <c r="AD31" s="852" t="str">
        <f>IF(COUNT(EleGrade5)=0,"",SUM(AJ31:BM31))</f>
        <v/>
      </c>
      <c r="AE31" s="852"/>
      <c r="AF31" s="852"/>
      <c r="AG31" s="852"/>
      <c r="AH31" s="852"/>
      <c r="AI31" s="852"/>
      <c r="AJ31" s="852" t="str">
        <f>IF(COUNT(EleGrade5)=0,"",COUNTIF(EleGrade5,4))</f>
        <v/>
      </c>
      <c r="AK31" s="852"/>
      <c r="AL31" s="852"/>
      <c r="AM31" s="852" t="str">
        <f>IF(COUNT(EleGrade5)=0,"",COUNTIF(EleGrade5,3.5))</f>
        <v/>
      </c>
      <c r="AN31" s="852"/>
      <c r="AO31" s="852"/>
      <c r="AP31" s="852" t="str">
        <f>IF(COUNT(EleGrade5)=0,"",COUNTIF(EleGrade5,3))</f>
        <v/>
      </c>
      <c r="AQ31" s="852"/>
      <c r="AR31" s="852"/>
      <c r="AS31" s="852" t="str">
        <f>IF(COUNT(EleGrade5)=0,"",COUNTIF(EleGrade5,2.5))</f>
        <v/>
      </c>
      <c r="AT31" s="852"/>
      <c r="AU31" s="852"/>
      <c r="AV31" s="852" t="str">
        <f>IF(COUNT(EleGrade5)=0,"",COUNTIF(EleGrade5,2))</f>
        <v/>
      </c>
      <c r="AW31" s="852"/>
      <c r="AX31" s="852"/>
      <c r="AY31" s="852" t="str">
        <f>IF(COUNT(EleGrade5)=0,"",COUNTIF(EleGrade5,1.5))</f>
        <v/>
      </c>
      <c r="AZ31" s="852"/>
      <c r="BA31" s="852"/>
      <c r="BB31" s="852" t="str">
        <f>IF(COUNT(EleGrade5)=0,"",COUNTIF(EleGrade5,1))</f>
        <v/>
      </c>
      <c r="BC31" s="852"/>
      <c r="BD31" s="852"/>
      <c r="BE31" s="852" t="str">
        <f>IF(COUNT(EleGrade5)=0,"",COUNTIF(EleGrade5,0))</f>
        <v/>
      </c>
      <c r="BF31" s="852"/>
      <c r="BG31" s="852"/>
      <c r="BH31" s="852" t="str">
        <f>IF(COUNT(EleGrade5)=0,"",COUNTIF(EleGrade5,"ร"))</f>
        <v/>
      </c>
      <c r="BI31" s="852"/>
      <c r="BJ31" s="852"/>
      <c r="BK31" s="852" t="str">
        <f>IF(COUNT(EleGrade5)=0,"",COUNTIF(EleGrade5,"มส"))</f>
        <v/>
      </c>
      <c r="BL31" s="852"/>
      <c r="BM31" s="852"/>
      <c r="BN31" s="852"/>
      <c r="BO31" s="852"/>
      <c r="BP31" s="852"/>
      <c r="BQ31" s="852"/>
      <c r="BR31" s="852"/>
      <c r="BS31" s="852"/>
    </row>
    <row r="32" spans="3:82" ht="19.5" customHeight="1" x14ac:dyDescent="0.4">
      <c r="C32" s="855" t="str">
        <f>IF(CodeEle6="","",CodeEle6)</f>
        <v/>
      </c>
      <c r="D32" s="856"/>
      <c r="E32" s="856"/>
      <c r="F32" s="856"/>
      <c r="G32" s="856"/>
      <c r="H32" s="856"/>
      <c r="I32" s="853" t="str">
        <f>IF(SubEle6="","",SubEle6)</f>
        <v/>
      </c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4"/>
      <c r="AD32" s="852" t="str">
        <f>IF(COUNT(EleGrade6)=0,"",SUM(AJ32:BM32))</f>
        <v/>
      </c>
      <c r="AE32" s="852"/>
      <c r="AF32" s="852"/>
      <c r="AG32" s="852"/>
      <c r="AH32" s="852"/>
      <c r="AI32" s="852"/>
      <c r="AJ32" s="852" t="str">
        <f>IF(COUNT(EleGrade6)=0,"",COUNTIF(EleGrade6,4))</f>
        <v/>
      </c>
      <c r="AK32" s="852"/>
      <c r="AL32" s="852"/>
      <c r="AM32" s="852" t="str">
        <f>IF(COUNT(EleGrade6)=0,"",COUNTIF(EleGrade6,3.5))</f>
        <v/>
      </c>
      <c r="AN32" s="852"/>
      <c r="AO32" s="852"/>
      <c r="AP32" s="852" t="str">
        <f>IF(COUNT(EleGrade6)=0,"",COUNTIF(EleGrade6,3))</f>
        <v/>
      </c>
      <c r="AQ32" s="852"/>
      <c r="AR32" s="852"/>
      <c r="AS32" s="852" t="str">
        <f>IF(COUNT(EleGrade6)=0,"",COUNTIF(EleGrade6,2.5))</f>
        <v/>
      </c>
      <c r="AT32" s="852"/>
      <c r="AU32" s="852"/>
      <c r="AV32" s="852" t="str">
        <f>IF(COUNT(EleGrade6)=0,"",COUNTIF(EleGrade6,2))</f>
        <v/>
      </c>
      <c r="AW32" s="852"/>
      <c r="AX32" s="852"/>
      <c r="AY32" s="852" t="str">
        <f>IF(COUNT(EleGrade6)=0,"",COUNTIF(EleGrade6,1.5))</f>
        <v/>
      </c>
      <c r="AZ32" s="852"/>
      <c r="BA32" s="852"/>
      <c r="BB32" s="852" t="str">
        <f>IF(COUNT(EleGrade6)=0,"",COUNTIF(EleGrade6,1))</f>
        <v/>
      </c>
      <c r="BC32" s="852"/>
      <c r="BD32" s="852"/>
      <c r="BE32" s="852" t="str">
        <f>IF(COUNT(EleGrade6)=0,"",COUNTIF(EleGrade6,0))</f>
        <v/>
      </c>
      <c r="BF32" s="852"/>
      <c r="BG32" s="852"/>
      <c r="BH32" s="852" t="str">
        <f>IF(COUNT(EleGrade6)=0,"",COUNTIF(EleGrade6,"ร"))</f>
        <v/>
      </c>
      <c r="BI32" s="852"/>
      <c r="BJ32" s="852"/>
      <c r="BK32" s="852" t="str">
        <f>IF(COUNT(EleGrade6)=0,"",COUNTIF(EleGrade6,"มส"))</f>
        <v/>
      </c>
      <c r="BL32" s="852"/>
      <c r="BM32" s="852"/>
      <c r="BN32" s="852"/>
      <c r="BO32" s="852"/>
      <c r="BP32" s="852"/>
      <c r="BQ32" s="852"/>
      <c r="BR32" s="852"/>
      <c r="BS32" s="852"/>
    </row>
    <row r="33" spans="3:71" ht="19.5" customHeight="1" x14ac:dyDescent="0.4">
      <c r="C33" s="855" t="str">
        <f>IF(CodeEle7="","",CodeEle7)</f>
        <v/>
      </c>
      <c r="D33" s="856"/>
      <c r="E33" s="856"/>
      <c r="F33" s="856"/>
      <c r="G33" s="856"/>
      <c r="H33" s="856"/>
      <c r="I33" s="853" t="str">
        <f>IF(SubEle7="","",SubEle7)</f>
        <v/>
      </c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3"/>
      <c r="Z33" s="853"/>
      <c r="AA33" s="853"/>
      <c r="AB33" s="853"/>
      <c r="AC33" s="854"/>
      <c r="AD33" s="852" t="str">
        <f>IF(COUNT(EleGrade7)=0,"",SUM(AJ33:BM33))</f>
        <v/>
      </c>
      <c r="AE33" s="852"/>
      <c r="AF33" s="852"/>
      <c r="AG33" s="852"/>
      <c r="AH33" s="852"/>
      <c r="AI33" s="852"/>
      <c r="AJ33" s="852" t="str">
        <f>IF(COUNT(EleGrade7)=0,"",COUNTIF(EleGrade7,4))</f>
        <v/>
      </c>
      <c r="AK33" s="852"/>
      <c r="AL33" s="852"/>
      <c r="AM33" s="852" t="str">
        <f>IF(COUNT(EleGrade7)=0,"",COUNTIF(EleGrade7,3.5))</f>
        <v/>
      </c>
      <c r="AN33" s="852"/>
      <c r="AO33" s="852"/>
      <c r="AP33" s="852" t="str">
        <f>IF(COUNT(EleGrade7)=0,"",COUNTIF(EleGrade7,3))</f>
        <v/>
      </c>
      <c r="AQ33" s="852"/>
      <c r="AR33" s="852"/>
      <c r="AS33" s="852" t="str">
        <f>IF(COUNT(EleGrade7)=0,"",COUNTIF(EleGrade7,2.5))</f>
        <v/>
      </c>
      <c r="AT33" s="852"/>
      <c r="AU33" s="852"/>
      <c r="AV33" s="852" t="str">
        <f>IF(COUNT(EleGrade7)=0,"",COUNTIF(EleGrade7,2))</f>
        <v/>
      </c>
      <c r="AW33" s="852"/>
      <c r="AX33" s="852"/>
      <c r="AY33" s="852" t="str">
        <f>IF(COUNT(EleGrade7)=0,"",COUNTIF(EleGrade7,1.5))</f>
        <v/>
      </c>
      <c r="AZ33" s="852"/>
      <c r="BA33" s="852"/>
      <c r="BB33" s="852" t="str">
        <f>IF(COUNT(EleGrade7)=0,"",COUNTIF(EleGrade7,1))</f>
        <v/>
      </c>
      <c r="BC33" s="852"/>
      <c r="BD33" s="852"/>
      <c r="BE33" s="852" t="str">
        <f>IF(COUNT(EleGrade7)=0,"",COUNTIF(EleGrade7,0))</f>
        <v/>
      </c>
      <c r="BF33" s="852"/>
      <c r="BG33" s="852"/>
      <c r="BH33" s="852" t="str">
        <f>IF(COUNT(EleGrade7)=0,"",COUNTIF(EleGrade7,"ร"))</f>
        <v/>
      </c>
      <c r="BI33" s="852"/>
      <c r="BJ33" s="852"/>
      <c r="BK33" s="852" t="str">
        <f>IF(COUNT(EleGrade7)=0,"",COUNTIF(EleGrade7,"มส"))</f>
        <v/>
      </c>
      <c r="BL33" s="852"/>
      <c r="BM33" s="852"/>
      <c r="BN33" s="852"/>
      <c r="BO33" s="852"/>
      <c r="BP33" s="852"/>
      <c r="BQ33" s="852"/>
      <c r="BR33" s="852"/>
      <c r="BS33" s="852"/>
    </row>
    <row r="34" spans="3:71" ht="19.5" customHeight="1" x14ac:dyDescent="0.4">
      <c r="C34" s="855" t="str">
        <f>IF(CodeEle8="","",CodeEle8)</f>
        <v/>
      </c>
      <c r="D34" s="856"/>
      <c r="E34" s="856"/>
      <c r="F34" s="856"/>
      <c r="G34" s="856"/>
      <c r="H34" s="856"/>
      <c r="I34" s="853" t="str">
        <f>IF(SubEle8="","",SubEle8)</f>
        <v/>
      </c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3"/>
      <c r="Z34" s="853"/>
      <c r="AA34" s="853"/>
      <c r="AB34" s="853"/>
      <c r="AC34" s="854"/>
      <c r="AD34" s="852" t="str">
        <f>IF(COUNT(EleGrade8)=0,"",SUM(AJ34:BM34))</f>
        <v/>
      </c>
      <c r="AE34" s="852"/>
      <c r="AF34" s="852"/>
      <c r="AG34" s="852"/>
      <c r="AH34" s="852"/>
      <c r="AI34" s="852"/>
      <c r="AJ34" s="852" t="str">
        <f>IF(COUNT(EleGrade8)=0,"",COUNTIF(EleGrade8,4))</f>
        <v/>
      </c>
      <c r="AK34" s="852"/>
      <c r="AL34" s="852"/>
      <c r="AM34" s="852" t="str">
        <f>IF(COUNT(EleGrade8)=0,"",COUNTIF(EleGrade8,3.5))</f>
        <v/>
      </c>
      <c r="AN34" s="852"/>
      <c r="AO34" s="852"/>
      <c r="AP34" s="852" t="str">
        <f>IF(COUNT(EleGrade8)=0,"",COUNTIF(EleGrade8,3))</f>
        <v/>
      </c>
      <c r="AQ34" s="852"/>
      <c r="AR34" s="852"/>
      <c r="AS34" s="852" t="str">
        <f>IF(COUNT(EleGrade8)=0,"",COUNTIF(EleGrade8,2.5))</f>
        <v/>
      </c>
      <c r="AT34" s="852"/>
      <c r="AU34" s="852"/>
      <c r="AV34" s="852" t="str">
        <f>IF(COUNT(EleGrade8)=0,"",COUNTIF(EleGrade8,2))</f>
        <v/>
      </c>
      <c r="AW34" s="852"/>
      <c r="AX34" s="852"/>
      <c r="AY34" s="852" t="str">
        <f>IF(COUNT(EleGrade8)=0,"",COUNTIF(EleGrade8,1.5))</f>
        <v/>
      </c>
      <c r="AZ34" s="852"/>
      <c r="BA34" s="852"/>
      <c r="BB34" s="852" t="str">
        <f>IF(COUNT(EleGrade8)=0,"",COUNTIF(EleGrade8,1))</f>
        <v/>
      </c>
      <c r="BC34" s="852"/>
      <c r="BD34" s="852"/>
      <c r="BE34" s="852" t="str">
        <f>IF(COUNT(EleGrade8)=0,"",COUNTIF(EleGrade8,0))</f>
        <v/>
      </c>
      <c r="BF34" s="852"/>
      <c r="BG34" s="852"/>
      <c r="BH34" s="852" t="str">
        <f>IF(COUNT(EleGrade8)=0,"",COUNTIF(EleGrade8,"ร"))</f>
        <v/>
      </c>
      <c r="BI34" s="852"/>
      <c r="BJ34" s="852"/>
      <c r="BK34" s="852" t="str">
        <f>IF(COUNT(EleGrade8)=0,"",COUNTIF(EleGrade8,"มส"))</f>
        <v/>
      </c>
      <c r="BL34" s="852"/>
      <c r="BM34" s="852"/>
      <c r="BN34" s="852"/>
      <c r="BO34" s="852"/>
      <c r="BP34" s="852"/>
      <c r="BQ34" s="852"/>
      <c r="BR34" s="852"/>
      <c r="BS34" s="852"/>
    </row>
    <row r="35" spans="3:71" ht="19.5" customHeight="1" x14ac:dyDescent="0.4">
      <c r="C35" s="855" t="str">
        <f>IF(CodeEle9="","",CodeEle9)</f>
        <v/>
      </c>
      <c r="D35" s="856"/>
      <c r="E35" s="856"/>
      <c r="F35" s="856"/>
      <c r="G35" s="856"/>
      <c r="H35" s="856"/>
      <c r="I35" s="853" t="str">
        <f>IF(SubEle9="","",SubEle9)</f>
        <v/>
      </c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3"/>
      <c r="AA35" s="853"/>
      <c r="AB35" s="853"/>
      <c r="AC35" s="854"/>
      <c r="AD35" s="852" t="str">
        <f>IF(COUNT(EleGrade9)=0,"",SUM(AJ35:BM35))</f>
        <v/>
      </c>
      <c r="AE35" s="852"/>
      <c r="AF35" s="852"/>
      <c r="AG35" s="852"/>
      <c r="AH35" s="852"/>
      <c r="AI35" s="852"/>
      <c r="AJ35" s="852" t="str">
        <f>IF(COUNT(EleGrade9)=0,"",COUNTIF(EleGrade9,4))</f>
        <v/>
      </c>
      <c r="AK35" s="852"/>
      <c r="AL35" s="852"/>
      <c r="AM35" s="852" t="str">
        <f>IF(COUNT(EleGrade9)=0,"",COUNTIF(EleGrade9,3.5))</f>
        <v/>
      </c>
      <c r="AN35" s="852"/>
      <c r="AO35" s="852"/>
      <c r="AP35" s="852" t="str">
        <f>IF(COUNT(EleGrade9)=0,"",COUNTIF(EleGrade9,3))</f>
        <v/>
      </c>
      <c r="AQ35" s="852"/>
      <c r="AR35" s="852"/>
      <c r="AS35" s="852" t="str">
        <f>IF(COUNT(EleGrade9)=0,"",COUNTIF(EleGrade9,2.5))</f>
        <v/>
      </c>
      <c r="AT35" s="852"/>
      <c r="AU35" s="852"/>
      <c r="AV35" s="852" t="str">
        <f>IF(COUNT(EleGrade9)=0,"",COUNTIF(EleGrade9,2))</f>
        <v/>
      </c>
      <c r="AW35" s="852"/>
      <c r="AX35" s="852"/>
      <c r="AY35" s="852" t="str">
        <f>IF(COUNT(EleGrade9)=0,"",COUNTIF(EleGrade9,1.5))</f>
        <v/>
      </c>
      <c r="AZ35" s="852"/>
      <c r="BA35" s="852"/>
      <c r="BB35" s="852" t="str">
        <f>IF(COUNT(EleGrade9)=0,"",COUNTIF(EleGrade9,1))</f>
        <v/>
      </c>
      <c r="BC35" s="852"/>
      <c r="BD35" s="852"/>
      <c r="BE35" s="852" t="str">
        <f>IF(COUNT(EleGrade9)=0,"",COUNTIF(EleGrade9,0))</f>
        <v/>
      </c>
      <c r="BF35" s="852"/>
      <c r="BG35" s="852"/>
      <c r="BH35" s="852" t="str">
        <f>IF(COUNT(EleGrade9)=0,"",COUNTIF(EleGrade9,"ร"))</f>
        <v/>
      </c>
      <c r="BI35" s="852"/>
      <c r="BJ35" s="852"/>
      <c r="BK35" s="852" t="str">
        <f>IF(COUNT(EleGrade9)=0,"",COUNTIF(EleGrade9,"มส"))</f>
        <v/>
      </c>
      <c r="BL35" s="852"/>
      <c r="BM35" s="852"/>
      <c r="BN35" s="852"/>
      <c r="BO35" s="852"/>
      <c r="BP35" s="852"/>
      <c r="BQ35" s="852"/>
      <c r="BR35" s="852"/>
      <c r="BS35" s="852"/>
    </row>
    <row r="36" spans="3:71" ht="19.5" customHeight="1" x14ac:dyDescent="0.4">
      <c r="C36" s="855" t="str">
        <f>IF(CodeEle10="","",CodeEle10)</f>
        <v/>
      </c>
      <c r="D36" s="856"/>
      <c r="E36" s="856"/>
      <c r="F36" s="856"/>
      <c r="G36" s="856"/>
      <c r="H36" s="856"/>
      <c r="I36" s="853" t="str">
        <f>IF(SubEle10="","",SubEle10)</f>
        <v/>
      </c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3"/>
      <c r="Z36" s="853"/>
      <c r="AA36" s="853"/>
      <c r="AB36" s="853"/>
      <c r="AC36" s="854"/>
      <c r="AD36" s="852" t="str">
        <f>IF(COUNT(EleGrade10)=0,"",SUM(AJ36:BM36))</f>
        <v/>
      </c>
      <c r="AE36" s="852"/>
      <c r="AF36" s="852"/>
      <c r="AG36" s="852"/>
      <c r="AH36" s="852"/>
      <c r="AI36" s="852"/>
      <c r="AJ36" s="852" t="str">
        <f>IF(COUNT(EleGrade10)=0,"",COUNTIF(EleGrade10,4))</f>
        <v/>
      </c>
      <c r="AK36" s="852"/>
      <c r="AL36" s="852"/>
      <c r="AM36" s="852" t="str">
        <f>IF(COUNT(EleGrade10)=0,"",COUNTIF(EleGrade10,3.5))</f>
        <v/>
      </c>
      <c r="AN36" s="852"/>
      <c r="AO36" s="852"/>
      <c r="AP36" s="852" t="str">
        <f>IF(COUNT(EleGrade10)=0,"",COUNTIF(EleGrade10,3))</f>
        <v/>
      </c>
      <c r="AQ36" s="852"/>
      <c r="AR36" s="852"/>
      <c r="AS36" s="852" t="str">
        <f>IF(COUNT(EleGrade10)=0,"",COUNTIF(EleGrade10,2.5))</f>
        <v/>
      </c>
      <c r="AT36" s="852"/>
      <c r="AU36" s="852"/>
      <c r="AV36" s="852" t="str">
        <f>IF(COUNT(EleGrade10)=0,"",COUNTIF(EleGrade10,2))</f>
        <v/>
      </c>
      <c r="AW36" s="852"/>
      <c r="AX36" s="852"/>
      <c r="AY36" s="852" t="str">
        <f>IF(COUNT(EleGrade10)=0,"",COUNTIF(EleGrade10,1.5))</f>
        <v/>
      </c>
      <c r="AZ36" s="852"/>
      <c r="BA36" s="852"/>
      <c r="BB36" s="852" t="str">
        <f>IF(COUNT(EleGrade10)=0,"",COUNTIF(EleGrade10,1))</f>
        <v/>
      </c>
      <c r="BC36" s="852"/>
      <c r="BD36" s="852"/>
      <c r="BE36" s="852" t="str">
        <f>IF(COUNT(EleGrade10)=0,"",COUNTIF(EleGrade10,0))</f>
        <v/>
      </c>
      <c r="BF36" s="852"/>
      <c r="BG36" s="852"/>
      <c r="BH36" s="852" t="str">
        <f>IF(COUNT(EleGrade10)=0,"",COUNTIF(EleGrade10,"ร"))</f>
        <v/>
      </c>
      <c r="BI36" s="852"/>
      <c r="BJ36" s="852"/>
      <c r="BK36" s="852" t="str">
        <f>IF(COUNT(EleGrade10)=0,"",COUNTIF(EleGrade10,"มส"))</f>
        <v/>
      </c>
      <c r="BL36" s="852"/>
      <c r="BM36" s="852"/>
      <c r="BN36" s="852"/>
      <c r="BO36" s="852"/>
      <c r="BP36" s="852"/>
      <c r="BQ36" s="852"/>
      <c r="BR36" s="852"/>
      <c r="BS36" s="852"/>
    </row>
    <row r="37" spans="3:71" ht="19.5" customHeight="1" x14ac:dyDescent="0.4">
      <c r="C37" s="855" t="str">
        <f>IF(CodeEle11="","",CodeEle11)</f>
        <v/>
      </c>
      <c r="D37" s="856"/>
      <c r="E37" s="856"/>
      <c r="F37" s="856"/>
      <c r="G37" s="856"/>
      <c r="H37" s="856"/>
      <c r="I37" s="853" t="str">
        <f>IF(SubEle11="","",SubEle11)</f>
        <v/>
      </c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3"/>
      <c r="Z37" s="853"/>
      <c r="AA37" s="853"/>
      <c r="AB37" s="853"/>
      <c r="AC37" s="854"/>
      <c r="AD37" s="852" t="str">
        <f>IF(COUNT(EleGrade11)=0,"",SUM(AJ37:BM37))</f>
        <v/>
      </c>
      <c r="AE37" s="852"/>
      <c r="AF37" s="852"/>
      <c r="AG37" s="852"/>
      <c r="AH37" s="852"/>
      <c r="AI37" s="852"/>
      <c r="AJ37" s="852" t="str">
        <f>IF(COUNT(EleGrade11)=0,"",COUNTIF(EleGrade11,4))</f>
        <v/>
      </c>
      <c r="AK37" s="852"/>
      <c r="AL37" s="852"/>
      <c r="AM37" s="852" t="str">
        <f>IF(COUNT(EleGrade11)=0,"",COUNTIF(EleGrade11,3.5))</f>
        <v/>
      </c>
      <c r="AN37" s="852"/>
      <c r="AO37" s="852"/>
      <c r="AP37" s="852" t="str">
        <f>IF(COUNT(EleGrade11)=0,"",COUNTIF(EleGrade11,3))</f>
        <v/>
      </c>
      <c r="AQ37" s="852"/>
      <c r="AR37" s="852"/>
      <c r="AS37" s="852" t="str">
        <f>IF(COUNT(EleGrade11)=0,"",COUNTIF(EleGrade11,2.5))</f>
        <v/>
      </c>
      <c r="AT37" s="852"/>
      <c r="AU37" s="852"/>
      <c r="AV37" s="852" t="str">
        <f>IF(COUNT(EleGrade11)=0,"",COUNTIF(EleGrade11,2))</f>
        <v/>
      </c>
      <c r="AW37" s="852"/>
      <c r="AX37" s="852"/>
      <c r="AY37" s="852" t="str">
        <f>IF(COUNT(EleGrade11)=0,"",COUNTIF(EleGrade11,1.5))</f>
        <v/>
      </c>
      <c r="AZ37" s="852"/>
      <c r="BA37" s="852"/>
      <c r="BB37" s="852" t="str">
        <f>IF(COUNT(EleGrade11)=0,"",COUNTIF(EleGrade11,1))</f>
        <v/>
      </c>
      <c r="BC37" s="852"/>
      <c r="BD37" s="852"/>
      <c r="BE37" s="852" t="str">
        <f>IF(COUNT(EleGrade11)=0,"",COUNTIF(EleGrade11,0))</f>
        <v/>
      </c>
      <c r="BF37" s="852"/>
      <c r="BG37" s="852"/>
      <c r="BH37" s="852" t="str">
        <f>IF(COUNT(EleGrade11)=0,"",COUNTIF(EleGrade11,"ร"))</f>
        <v/>
      </c>
      <c r="BI37" s="852"/>
      <c r="BJ37" s="852"/>
      <c r="BK37" s="852" t="str">
        <f>IF(COUNT(EleGrade11)=0,"",COUNTIF(EleGrade11,"มส"))</f>
        <v/>
      </c>
      <c r="BL37" s="852"/>
      <c r="BM37" s="852"/>
      <c r="BN37" s="852"/>
      <c r="BO37" s="852"/>
      <c r="BP37" s="852"/>
      <c r="BQ37" s="852"/>
      <c r="BR37" s="852"/>
      <c r="BS37" s="852"/>
    </row>
    <row r="38" spans="3:71" ht="17.25" customHeight="1" x14ac:dyDescent="0.4">
      <c r="C38" s="855" t="str">
        <f>IF(CodeEle12="","",CodeEle12)</f>
        <v/>
      </c>
      <c r="D38" s="856"/>
      <c r="E38" s="856"/>
      <c r="F38" s="856"/>
      <c r="G38" s="856"/>
      <c r="H38" s="856"/>
      <c r="I38" s="853" t="str">
        <f>IF(SubEle12="","",SubEle12)</f>
        <v/>
      </c>
      <c r="J38" s="853"/>
      <c r="K38" s="853"/>
      <c r="L38" s="853"/>
      <c r="M38" s="853"/>
      <c r="N38" s="853"/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3"/>
      <c r="Z38" s="853"/>
      <c r="AA38" s="853"/>
      <c r="AB38" s="853"/>
      <c r="AC38" s="854"/>
      <c r="AD38" s="852" t="str">
        <f>IF(COUNT(EleGrade12)=0,"",SUM(AJ38:BM38))</f>
        <v/>
      </c>
      <c r="AE38" s="852"/>
      <c r="AF38" s="852"/>
      <c r="AG38" s="852"/>
      <c r="AH38" s="852"/>
      <c r="AI38" s="852"/>
      <c r="AJ38" s="852" t="str">
        <f>IF(COUNT(EleGrade12)=0,"",COUNTIF(EleGrade12,4))</f>
        <v/>
      </c>
      <c r="AK38" s="852"/>
      <c r="AL38" s="852"/>
      <c r="AM38" s="852" t="str">
        <f>IF(COUNT(EleGrade12)=0,"",COUNTIF(EleGrade12,3.5))</f>
        <v/>
      </c>
      <c r="AN38" s="852"/>
      <c r="AO38" s="852"/>
      <c r="AP38" s="852" t="str">
        <f>IF(COUNT(EleGrade12)=0,"",COUNTIF(EleGrade12,3))</f>
        <v/>
      </c>
      <c r="AQ38" s="852"/>
      <c r="AR38" s="852"/>
      <c r="AS38" s="852" t="str">
        <f>IF(COUNT(EleGrade12)=0,"",COUNTIF(EleGrade12,2.5))</f>
        <v/>
      </c>
      <c r="AT38" s="852"/>
      <c r="AU38" s="852"/>
      <c r="AV38" s="852" t="str">
        <f>IF(COUNT(EleGrade12)=0,"",COUNTIF(EleGrade12,2))</f>
        <v/>
      </c>
      <c r="AW38" s="852"/>
      <c r="AX38" s="852"/>
      <c r="AY38" s="852" t="str">
        <f>IF(COUNT(EleGrade12)=0,"",COUNTIF(EleGrade12,1.5))</f>
        <v/>
      </c>
      <c r="AZ38" s="852"/>
      <c r="BA38" s="852"/>
      <c r="BB38" s="852" t="str">
        <f>IF(COUNT(EleGrade12)=0,"",COUNTIF(EleGrade12,1))</f>
        <v/>
      </c>
      <c r="BC38" s="852"/>
      <c r="BD38" s="852"/>
      <c r="BE38" s="852" t="str">
        <f>IF(COUNT(EleGrade12)=0,"",COUNTIF(EleGrade12,0))</f>
        <v/>
      </c>
      <c r="BF38" s="852"/>
      <c r="BG38" s="852"/>
      <c r="BH38" s="852" t="str">
        <f>IF(COUNT(EleGrade12)=0,"",COUNTIF(EleGrade12,"ร"))</f>
        <v/>
      </c>
      <c r="BI38" s="852"/>
      <c r="BJ38" s="852"/>
      <c r="BK38" s="852" t="str">
        <f>IF(COUNT(EleGrade12)=0,"",COUNTIF(EleGrade12,"มส"))</f>
        <v/>
      </c>
      <c r="BL38" s="852"/>
      <c r="BM38" s="852"/>
      <c r="BN38" s="852"/>
      <c r="BO38" s="852"/>
      <c r="BP38" s="852"/>
      <c r="BQ38" s="852"/>
      <c r="BR38" s="852"/>
      <c r="BS38" s="852"/>
    </row>
    <row r="39" spans="3:71" ht="17.25" customHeight="1" x14ac:dyDescent="0.4">
      <c r="C39" s="855" t="str">
        <f>IF('1.ข้อมูลเบื้องต้น'!$B$32="","",'1.ข้อมูลเบื้องต้น'!$B$32)</f>
        <v/>
      </c>
      <c r="D39" s="856"/>
      <c r="E39" s="856"/>
      <c r="F39" s="856"/>
      <c r="G39" s="856"/>
      <c r="H39" s="856"/>
      <c r="I39" s="853" t="str">
        <f>IF('1.ข้อมูลเบื้องต้น'!$C$32="","",'1.ข้อมูลเบื้องต้น'!$C$32)</f>
        <v/>
      </c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3"/>
      <c r="Z39" s="853"/>
      <c r="AA39" s="853"/>
      <c r="AB39" s="853"/>
      <c r="AC39" s="854"/>
      <c r="AD39" s="852" t="str">
        <f>IF(COUNT('6.คีย์ปลายภาค'!EA6:EA50)=0,"",SUM(AJ39:BM39))</f>
        <v/>
      </c>
      <c r="AE39" s="852"/>
      <c r="AF39" s="852"/>
      <c r="AG39" s="852"/>
      <c r="AH39" s="852"/>
      <c r="AI39" s="852"/>
      <c r="AJ39" s="852" t="str">
        <f>IF(COUNT('6.คีย์ปลายภาค'!EA6:EA50)=0,"",COUNTIF('6.คีย์ปลายภาค'!EA6:EA50,4))</f>
        <v/>
      </c>
      <c r="AK39" s="852"/>
      <c r="AL39" s="852"/>
      <c r="AM39" s="852" t="str">
        <f>IF(COUNT('6.คีย์ปลายภาค'!EA6:EA50)=0,"",COUNTIF('6.คีย์ปลายภาค'!EA6:EA50,3.5))</f>
        <v/>
      </c>
      <c r="AN39" s="852"/>
      <c r="AO39" s="852"/>
      <c r="AP39" s="852" t="str">
        <f>IF(COUNT('6.คีย์ปลายภาค'!EA6:EA50)=0,"",COUNTIF('6.คีย์ปลายภาค'!EA6:EA50,3))</f>
        <v/>
      </c>
      <c r="AQ39" s="852"/>
      <c r="AR39" s="852"/>
      <c r="AS39" s="852" t="str">
        <f>IF(COUNT('6.คีย์ปลายภาค'!EA6:EA50)=0,"",COUNTIF('6.คีย์ปลายภาค'!EA6:EA50,2.5))</f>
        <v/>
      </c>
      <c r="AT39" s="852"/>
      <c r="AU39" s="852"/>
      <c r="AV39" s="852" t="str">
        <f>IF(COUNT('6.คีย์ปลายภาค'!EA6:EA50)=0,"",COUNTIF('6.คีย์ปลายภาค'!EA6:EA50,2))</f>
        <v/>
      </c>
      <c r="AW39" s="852"/>
      <c r="AX39" s="852"/>
      <c r="AY39" s="852" t="str">
        <f>IF(COUNT('6.คีย์ปลายภาค'!EA6:EA50)=0,"",COUNTIF('6.คีย์ปลายภาค'!EA6:EA50,1.5))</f>
        <v/>
      </c>
      <c r="AZ39" s="852"/>
      <c r="BA39" s="852"/>
      <c r="BB39" s="852" t="str">
        <f>IF(COUNT('6.คีย์ปลายภาค'!EA6:EA50)=0,"",COUNTIF('6.คีย์ปลายภาค'!EA6:EA50,1))</f>
        <v/>
      </c>
      <c r="BC39" s="852"/>
      <c r="BD39" s="852"/>
      <c r="BE39" s="852" t="str">
        <f>IF(COUNT('6.คีย์ปลายภาค'!EA6:EA50)=0,"",COUNTIF('6.คีย์ปลายภาค'!EA6:EA50,0))</f>
        <v/>
      </c>
      <c r="BF39" s="852"/>
      <c r="BG39" s="852"/>
      <c r="BH39" s="852" t="str">
        <f>IF(COUNT('6.คีย์ปลายภาค'!EA6:EA50)=0,"",COUNTIF('6.คีย์ปลายภาค'!EA6:EA50,"ร"))</f>
        <v/>
      </c>
      <c r="BI39" s="852"/>
      <c r="BJ39" s="852"/>
      <c r="BK39" s="852" t="str">
        <f>IF(COUNT('6.คีย์ปลายภาค'!EA6:EA50)=0,"",COUNTIF('6.คีย์ปลายภาค'!EA6:EA50,"มส"))</f>
        <v/>
      </c>
      <c r="BL39" s="852"/>
      <c r="BM39" s="852"/>
      <c r="BN39" s="852"/>
      <c r="BO39" s="852"/>
      <c r="BP39" s="852"/>
      <c r="BQ39" s="852"/>
      <c r="BR39" s="852"/>
      <c r="BS39" s="852"/>
    </row>
    <row r="40" spans="3:71" ht="9" customHeight="1" x14ac:dyDescent="0.4"/>
    <row r="41" spans="3:71" ht="17.25" customHeight="1" x14ac:dyDescent="0.4">
      <c r="C41" s="876"/>
      <c r="D41" s="876"/>
      <c r="E41" s="876"/>
      <c r="F41" s="876"/>
      <c r="G41" s="876"/>
      <c r="H41" s="876"/>
      <c r="I41" s="876"/>
      <c r="J41" s="876"/>
      <c r="K41" s="876"/>
      <c r="L41" s="876"/>
      <c r="M41" s="876"/>
      <c r="N41" s="876"/>
      <c r="O41" s="876"/>
      <c r="P41" s="876"/>
      <c r="Q41" s="876"/>
      <c r="R41" s="876"/>
      <c r="S41" s="876"/>
      <c r="T41" s="876"/>
      <c r="U41" s="876"/>
      <c r="V41" s="876"/>
      <c r="W41" s="876"/>
      <c r="X41" s="876"/>
      <c r="Y41" s="876"/>
      <c r="Z41" s="876"/>
      <c r="AA41" s="876"/>
      <c r="AB41" s="876"/>
      <c r="AC41" s="876"/>
      <c r="AD41" s="876"/>
      <c r="AE41" s="876"/>
      <c r="AF41" s="877" t="s">
        <v>94</v>
      </c>
      <c r="AG41" s="878"/>
      <c r="AH41" s="878"/>
      <c r="AI41" s="878"/>
      <c r="AJ41" s="878"/>
      <c r="AK41" s="878"/>
      <c r="AL41" s="878"/>
      <c r="AM41" s="878"/>
      <c r="AN41" s="878"/>
      <c r="AO41" s="878"/>
      <c r="AP41" s="878"/>
      <c r="AQ41" s="878"/>
      <c r="AR41" s="878" t="s">
        <v>95</v>
      </c>
      <c r="AS41" s="878"/>
      <c r="AT41" s="878"/>
      <c r="AU41" s="878"/>
      <c r="AV41" s="878"/>
      <c r="AW41" s="878"/>
      <c r="AX41" s="878"/>
      <c r="AY41" s="878"/>
      <c r="AZ41" s="878"/>
      <c r="BA41" s="878"/>
      <c r="BB41" s="878"/>
      <c r="BC41" s="878"/>
      <c r="BD41" s="878"/>
      <c r="BE41" s="878"/>
      <c r="BF41" s="878"/>
      <c r="BG41" s="878"/>
      <c r="BH41" s="878"/>
      <c r="BI41" s="878"/>
      <c r="BJ41" s="878"/>
      <c r="BK41" s="878"/>
      <c r="BL41" s="878"/>
      <c r="BM41" s="878"/>
      <c r="BN41" s="878"/>
      <c r="BO41" s="878"/>
      <c r="BP41" s="878"/>
      <c r="BQ41" s="878"/>
      <c r="BR41" s="878"/>
      <c r="BS41" s="878"/>
    </row>
    <row r="42" spans="3:71" ht="17.25" customHeight="1" x14ac:dyDescent="0.4">
      <c r="C42" s="876"/>
      <c r="D42" s="876"/>
      <c r="E42" s="876"/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8"/>
      <c r="AG42" s="878"/>
      <c r="AH42" s="878"/>
      <c r="AI42" s="878"/>
      <c r="AJ42" s="878"/>
      <c r="AK42" s="878"/>
      <c r="AL42" s="878"/>
      <c r="AM42" s="878"/>
      <c r="AN42" s="878"/>
      <c r="AO42" s="878"/>
      <c r="AP42" s="878"/>
      <c r="AQ42" s="878"/>
      <c r="AR42" s="878" t="s">
        <v>96</v>
      </c>
      <c r="AS42" s="878"/>
      <c r="AT42" s="878"/>
      <c r="AU42" s="878"/>
      <c r="AV42" s="878"/>
      <c r="AW42" s="878"/>
      <c r="AX42" s="878"/>
      <c r="AY42" s="878" t="s">
        <v>97</v>
      </c>
      <c r="AZ42" s="878"/>
      <c r="BA42" s="878"/>
      <c r="BB42" s="878"/>
      <c r="BC42" s="878"/>
      <c r="BD42" s="878"/>
      <c r="BE42" s="878"/>
      <c r="BF42" s="878" t="s">
        <v>98</v>
      </c>
      <c r="BG42" s="878"/>
      <c r="BH42" s="878"/>
      <c r="BI42" s="878"/>
      <c r="BJ42" s="878"/>
      <c r="BK42" s="878"/>
      <c r="BL42" s="878"/>
      <c r="BM42" s="878" t="s">
        <v>99</v>
      </c>
      <c r="BN42" s="878"/>
      <c r="BO42" s="878"/>
      <c r="BP42" s="878"/>
      <c r="BQ42" s="878"/>
      <c r="BR42" s="878"/>
      <c r="BS42" s="878"/>
    </row>
    <row r="43" spans="3:71" ht="17.25" customHeight="1" x14ac:dyDescent="0.4">
      <c r="C43" s="873" t="s">
        <v>100</v>
      </c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3"/>
      <c r="Z43" s="873"/>
      <c r="AA43" s="873"/>
      <c r="AB43" s="873"/>
      <c r="AC43" s="873"/>
      <c r="AD43" s="873"/>
      <c r="AE43" s="873"/>
      <c r="AF43" s="874">
        <f>IF(Read=0,"",SUM(AR43:BS43))</f>
        <v>0</v>
      </c>
      <c r="AG43" s="874"/>
      <c r="AH43" s="874"/>
      <c r="AI43" s="874"/>
      <c r="AJ43" s="874"/>
      <c r="AK43" s="874"/>
      <c r="AL43" s="874"/>
      <c r="AM43" s="874"/>
      <c r="AN43" s="874"/>
      <c r="AO43" s="874"/>
      <c r="AP43" s="874"/>
      <c r="AQ43" s="874"/>
      <c r="AR43" s="874">
        <f>IF(COUNTA(Read)=0,"",COUNTIF(Read,"ดีเยี่ยม"))</f>
        <v>0</v>
      </c>
      <c r="AS43" s="874"/>
      <c r="AT43" s="874"/>
      <c r="AU43" s="874"/>
      <c r="AV43" s="874"/>
      <c r="AW43" s="874"/>
      <c r="AX43" s="874"/>
      <c r="AY43" s="874">
        <f>IF(COUNTA(Read)=0,"",COUNTIF(Read,"ดี"))</f>
        <v>0</v>
      </c>
      <c r="AZ43" s="874"/>
      <c r="BA43" s="874"/>
      <c r="BB43" s="874"/>
      <c r="BC43" s="874"/>
      <c r="BD43" s="874"/>
      <c r="BE43" s="874"/>
      <c r="BF43" s="874">
        <f>IF(COUNTA(Read)=0,"",COUNTIF(Read,"ผ่าน"))</f>
        <v>0</v>
      </c>
      <c r="BG43" s="874"/>
      <c r="BH43" s="874"/>
      <c r="BI43" s="874"/>
      <c r="BJ43" s="874"/>
      <c r="BK43" s="874"/>
      <c r="BL43" s="874"/>
      <c r="BM43" s="874">
        <f>IF(COUNTA(Read)=0,"",COUNTIF(Read,"ไม่ผ่าน"))</f>
        <v>0</v>
      </c>
      <c r="BN43" s="874"/>
      <c r="BO43" s="874"/>
      <c r="BP43" s="874"/>
      <c r="BQ43" s="874"/>
      <c r="BR43" s="874"/>
      <c r="BS43" s="874"/>
    </row>
    <row r="44" spans="3:71" ht="17.25" customHeight="1" x14ac:dyDescent="0.4">
      <c r="C44" s="873" t="s">
        <v>101</v>
      </c>
      <c r="D44" s="873"/>
      <c r="E44" s="873"/>
      <c r="F44" s="873"/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3"/>
      <c r="Z44" s="873"/>
      <c r="AA44" s="873"/>
      <c r="AB44" s="873"/>
      <c r="AC44" s="873"/>
      <c r="AD44" s="873"/>
      <c r="AE44" s="873"/>
      <c r="AF44" s="874">
        <f>IF(Attribute=0,"",SUM(AR44:BS44))</f>
        <v>0</v>
      </c>
      <c r="AG44" s="874"/>
      <c r="AH44" s="874"/>
      <c r="AI44" s="874"/>
      <c r="AJ44" s="874"/>
      <c r="AK44" s="874"/>
      <c r="AL44" s="874"/>
      <c r="AM44" s="874"/>
      <c r="AN44" s="874"/>
      <c r="AO44" s="874"/>
      <c r="AP44" s="874"/>
      <c r="AQ44" s="874"/>
      <c r="AR44" s="874">
        <f>IF(COUNTA(Attribute)=0,"",COUNTIF(Attribute,"ดีเยี่ยม"))</f>
        <v>0</v>
      </c>
      <c r="AS44" s="874"/>
      <c r="AT44" s="874"/>
      <c r="AU44" s="874"/>
      <c r="AV44" s="874"/>
      <c r="AW44" s="874"/>
      <c r="AX44" s="874"/>
      <c r="AY44" s="874">
        <f>IF(COUNTA(Attribute)=0,"",COUNTIF(Attribute,"ดี"))</f>
        <v>0</v>
      </c>
      <c r="AZ44" s="874"/>
      <c r="BA44" s="874"/>
      <c r="BB44" s="874"/>
      <c r="BC44" s="874"/>
      <c r="BD44" s="874"/>
      <c r="BE44" s="874"/>
      <c r="BF44" s="874">
        <f>IF(COUNTA(Attribute)=0,"",COUNTIF(Attribute,"ผ่าน"))</f>
        <v>0</v>
      </c>
      <c r="BG44" s="874"/>
      <c r="BH44" s="874"/>
      <c r="BI44" s="874"/>
      <c r="BJ44" s="874"/>
      <c r="BK44" s="874"/>
      <c r="BL44" s="874"/>
      <c r="BM44" s="874">
        <f>IF(COUNTA(Attribute)=0,"",COUNTIF(Attribute,"ไม่ผ่าน"))</f>
        <v>0</v>
      </c>
      <c r="BN44" s="874"/>
      <c r="BO44" s="874"/>
      <c r="BP44" s="874"/>
      <c r="BQ44" s="874"/>
      <c r="BR44" s="874"/>
      <c r="BS44" s="874"/>
    </row>
    <row r="45" spans="3:71" ht="17.25" customHeight="1" x14ac:dyDescent="0.4">
      <c r="C45" s="873" t="s">
        <v>102</v>
      </c>
      <c r="D45" s="873"/>
      <c r="E45" s="873"/>
      <c r="F45" s="873"/>
      <c r="G45" s="873"/>
      <c r="H45" s="873"/>
      <c r="I45" s="873"/>
      <c r="J45" s="873"/>
      <c r="K45" s="873"/>
      <c r="L45" s="873"/>
      <c r="M45" s="873"/>
      <c r="N45" s="873"/>
      <c r="O45" s="873"/>
      <c r="P45" s="873"/>
      <c r="Q45" s="873"/>
      <c r="R45" s="873"/>
      <c r="S45" s="873"/>
      <c r="T45" s="873"/>
      <c r="U45" s="873"/>
      <c r="V45" s="873"/>
      <c r="W45" s="873"/>
      <c r="X45" s="873"/>
      <c r="Y45" s="873"/>
      <c r="Z45" s="873"/>
      <c r="AA45" s="873"/>
      <c r="AB45" s="873"/>
      <c r="AC45" s="873"/>
      <c r="AD45" s="873"/>
      <c r="AE45" s="873"/>
      <c r="AF45" s="874">
        <f>IF(Activities=0,"",SUM(AR45:BS45))</f>
        <v>0</v>
      </c>
      <c r="AG45" s="874"/>
      <c r="AH45" s="874"/>
      <c r="AI45" s="874"/>
      <c r="AJ45" s="874"/>
      <c r="AK45" s="874"/>
      <c r="AL45" s="874"/>
      <c r="AM45" s="874"/>
      <c r="AN45" s="874"/>
      <c r="AO45" s="874"/>
      <c r="AP45" s="874"/>
      <c r="AQ45" s="874"/>
      <c r="AR45" s="875"/>
      <c r="AS45" s="875"/>
      <c r="AT45" s="875"/>
      <c r="AU45" s="875"/>
      <c r="AV45" s="875"/>
      <c r="AW45" s="875"/>
      <c r="AX45" s="875"/>
      <c r="AY45" s="875"/>
      <c r="AZ45" s="875"/>
      <c r="BA45" s="875"/>
      <c r="BB45" s="875"/>
      <c r="BC45" s="875"/>
      <c r="BD45" s="875"/>
      <c r="BE45" s="875"/>
      <c r="BF45" s="874">
        <f>IF(COUNTA(Activities)=0,"",COUNTIF(Activities,"ผ่าน"))</f>
        <v>0</v>
      </c>
      <c r="BG45" s="874"/>
      <c r="BH45" s="874"/>
      <c r="BI45" s="874"/>
      <c r="BJ45" s="874"/>
      <c r="BK45" s="874"/>
      <c r="BL45" s="874"/>
      <c r="BM45" s="874">
        <f>IF(COUNTA(Activities)=0,"",COUNTIF(Activities,"ไม่ผ่าน"))</f>
        <v>0</v>
      </c>
      <c r="BN45" s="874"/>
      <c r="BO45" s="874"/>
      <c r="BP45" s="874"/>
      <c r="BQ45" s="874"/>
      <c r="BR45" s="874"/>
      <c r="BS45" s="874"/>
    </row>
    <row r="46" spans="3:71" ht="9" customHeight="1" x14ac:dyDescent="0.4"/>
    <row r="47" spans="3:71" s="180" customFormat="1" ht="18" customHeight="1" x14ac:dyDescent="0.4">
      <c r="C47" s="861" t="s">
        <v>11</v>
      </c>
      <c r="D47" s="861"/>
      <c r="E47" s="861"/>
      <c r="F47" s="861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181" t="s">
        <v>12</v>
      </c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861" t="s">
        <v>11</v>
      </c>
      <c r="AL47" s="861"/>
      <c r="AM47" s="861"/>
      <c r="AN47" s="861"/>
      <c r="AO47" s="862"/>
      <c r="AP47" s="862"/>
      <c r="AQ47" s="862"/>
      <c r="AR47" s="862"/>
      <c r="AS47" s="862"/>
      <c r="AT47" s="862"/>
      <c r="AU47" s="862"/>
      <c r="AV47" s="862"/>
      <c r="AW47" s="862"/>
      <c r="AX47" s="862"/>
      <c r="AY47" s="862"/>
      <c r="AZ47" s="862"/>
      <c r="BA47" s="862"/>
      <c r="BB47" s="862"/>
      <c r="BC47" s="862"/>
      <c r="BD47" s="862"/>
      <c r="BE47" s="862"/>
      <c r="BF47" s="862"/>
      <c r="BG47" s="872" t="s">
        <v>84</v>
      </c>
      <c r="BH47" s="872"/>
      <c r="BI47" s="872"/>
      <c r="BJ47" s="872"/>
      <c r="BK47" s="872"/>
      <c r="BL47" s="872"/>
      <c r="BM47" s="872"/>
      <c r="BN47" s="872"/>
      <c r="BO47" s="872"/>
      <c r="BP47" s="872"/>
      <c r="BQ47" s="872"/>
      <c r="BR47" s="872"/>
      <c r="BS47" s="872"/>
    </row>
    <row r="48" spans="3:71" s="180" customFormat="1" ht="18" customHeight="1" x14ac:dyDescent="0.4">
      <c r="C48" s="181"/>
      <c r="D48" s="181"/>
      <c r="E48" s="181"/>
      <c r="F48" s="181"/>
      <c r="G48" s="870" t="str">
        <f>IF(Advisor="","(………………………………….)",CONCATENATE("(",Advisor,")"))</f>
        <v>(………………………………….)</v>
      </c>
      <c r="H48" s="870"/>
      <c r="I48" s="870"/>
      <c r="J48" s="870"/>
      <c r="K48" s="870"/>
      <c r="L48" s="870"/>
      <c r="M48" s="870"/>
      <c r="N48" s="870"/>
      <c r="O48" s="870"/>
      <c r="P48" s="870"/>
      <c r="Q48" s="870"/>
      <c r="R48" s="870"/>
      <c r="S48" s="870"/>
      <c r="T48" s="870"/>
      <c r="U48" s="870"/>
      <c r="V48" s="870"/>
      <c r="W48" s="870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870" t="str">
        <f>IF(Eval="","(………………………………….)",CONCATENATE("(",Eval,")"))</f>
        <v>(………………………………….)</v>
      </c>
      <c r="AP48" s="870"/>
      <c r="AQ48" s="870"/>
      <c r="AR48" s="870"/>
      <c r="AS48" s="870"/>
      <c r="AT48" s="870"/>
      <c r="AU48" s="870"/>
      <c r="AV48" s="870"/>
      <c r="AW48" s="870"/>
      <c r="AX48" s="870"/>
      <c r="AY48" s="870"/>
      <c r="AZ48" s="870"/>
      <c r="BA48" s="870"/>
      <c r="BB48" s="870"/>
      <c r="BC48" s="870"/>
      <c r="BD48" s="870"/>
      <c r="BE48" s="870"/>
      <c r="BF48" s="870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</row>
    <row r="49" spans="2:71" s="180" customFormat="1" ht="9" customHeight="1" x14ac:dyDescent="0.4"/>
    <row r="50" spans="2:71" s="180" customFormat="1" ht="18.75" customHeight="1" x14ac:dyDescent="0.4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 t="s">
        <v>103</v>
      </c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</row>
    <row r="51" spans="2:71" s="180" customFormat="1" ht="18.75" customHeight="1" x14ac:dyDescent="0.4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861" t="s">
        <v>11</v>
      </c>
      <c r="V51" s="861"/>
      <c r="W51" s="861"/>
      <c r="X51" s="861"/>
      <c r="Y51" s="862"/>
      <c r="Z51" s="862"/>
      <c r="AA51" s="862"/>
      <c r="AB51" s="862"/>
      <c r="AC51" s="862"/>
      <c r="AD51" s="862"/>
      <c r="AE51" s="862"/>
      <c r="AF51" s="862"/>
      <c r="AG51" s="862"/>
      <c r="AH51" s="862"/>
      <c r="AI51" s="862"/>
      <c r="AJ51" s="862"/>
      <c r="AK51" s="862"/>
      <c r="AL51" s="862"/>
      <c r="AM51" s="862"/>
      <c r="AN51" s="862"/>
      <c r="AO51" s="862"/>
      <c r="AP51" s="181" t="s">
        <v>85</v>
      </c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</row>
    <row r="52" spans="2:71" s="180" customFormat="1" ht="18.75" customHeight="1" x14ac:dyDescent="0.4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864" t="str">
        <f>IF(AssDirector="","(………………………………….)",CONCATENATE("(",AssDirector,")"))</f>
        <v>(………………………………….)</v>
      </c>
      <c r="Z52" s="864"/>
      <c r="AA52" s="864"/>
      <c r="AB52" s="864"/>
      <c r="AC52" s="864"/>
      <c r="AD52" s="864"/>
      <c r="AE52" s="864"/>
      <c r="AF52" s="864"/>
      <c r="AG52" s="864"/>
      <c r="AH52" s="864"/>
      <c r="AI52" s="864"/>
      <c r="AJ52" s="864"/>
      <c r="AK52" s="864"/>
      <c r="AL52" s="864"/>
      <c r="AM52" s="864"/>
      <c r="AN52" s="864"/>
      <c r="AO52" s="864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</row>
    <row r="53" spans="2:71" s="180" customFormat="1" ht="9" customHeight="1" x14ac:dyDescent="0.4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183"/>
      <c r="AL53" s="183"/>
      <c r="AM53" s="182"/>
      <c r="AN53" s="182"/>
      <c r="AO53" s="182"/>
      <c r="AP53" s="182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</row>
    <row r="54" spans="2:71" s="180" customFormat="1" ht="19.8" x14ac:dyDescent="0.4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867" t="str">
        <f>IF(C14="","","ü")</f>
        <v/>
      </c>
      <c r="V54" s="868"/>
      <c r="W54" s="869"/>
      <c r="X54" s="181"/>
      <c r="Y54" s="181" t="s">
        <v>104</v>
      </c>
      <c r="Z54" s="181"/>
      <c r="AA54" s="181"/>
      <c r="AB54" s="181"/>
      <c r="AC54" s="181"/>
      <c r="AD54" s="870"/>
      <c r="AE54" s="870"/>
      <c r="AF54" s="870"/>
      <c r="AG54" s="181"/>
      <c r="AH54" s="181"/>
      <c r="AI54" s="184"/>
      <c r="AJ54" s="855"/>
      <c r="AK54" s="856"/>
      <c r="AL54" s="871"/>
      <c r="AM54" s="181"/>
      <c r="AN54" s="181" t="s">
        <v>105</v>
      </c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</row>
    <row r="55" spans="2:71" s="180" customFormat="1" ht="9" customHeight="1" x14ac:dyDescent="0.4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1"/>
      <c r="Y55" s="181"/>
      <c r="Z55" s="181"/>
      <c r="AA55" s="181"/>
      <c r="AB55" s="181"/>
      <c r="AC55" s="181"/>
      <c r="AD55" s="182"/>
      <c r="AE55" s="182"/>
      <c r="AF55" s="182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</row>
    <row r="56" spans="2:71" s="180" customFormat="1" ht="18" customHeight="1" x14ac:dyDescent="0.4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861" t="s">
        <v>11</v>
      </c>
      <c r="V56" s="861"/>
      <c r="W56" s="861"/>
      <c r="X56" s="861"/>
      <c r="Y56" s="862"/>
      <c r="Z56" s="862"/>
      <c r="AA56" s="862"/>
      <c r="AB56" s="862"/>
      <c r="AC56" s="862"/>
      <c r="AD56" s="862"/>
      <c r="AE56" s="862"/>
      <c r="AF56" s="862"/>
      <c r="AG56" s="862"/>
      <c r="AH56" s="862"/>
      <c r="AI56" s="862"/>
      <c r="AJ56" s="862"/>
      <c r="AK56" s="862"/>
      <c r="AL56" s="862"/>
      <c r="AM56" s="862"/>
      <c r="AN56" s="862"/>
      <c r="AO56" s="862"/>
      <c r="AP56" s="863" t="str">
        <f>IF(AssDirector=Director,"รองผู้อำนวยการสถานศึกษา รักษาราชการแทนผู้อำนวยการสถานศึกษา","ผู้อำนวยการสถานศึกษา")</f>
        <v>ผู้อำนวยการสถานศึกษา</v>
      </c>
      <c r="AQ56" s="863"/>
      <c r="AR56" s="863"/>
      <c r="AS56" s="863"/>
      <c r="AT56" s="863"/>
      <c r="AU56" s="863"/>
      <c r="AV56" s="863"/>
      <c r="AW56" s="863"/>
      <c r="AX56" s="863"/>
      <c r="AY56" s="863"/>
      <c r="AZ56" s="863"/>
      <c r="BA56" s="863"/>
      <c r="BB56" s="863"/>
      <c r="BC56" s="863"/>
      <c r="BD56" s="863"/>
      <c r="BE56" s="863"/>
      <c r="BF56" s="863"/>
      <c r="BG56" s="863"/>
      <c r="BH56" s="863"/>
      <c r="BI56" s="863"/>
      <c r="BJ56" s="863"/>
      <c r="BK56" s="863"/>
      <c r="BL56" s="863"/>
      <c r="BM56" s="863"/>
      <c r="BN56" s="863"/>
      <c r="BO56" s="863"/>
      <c r="BP56" s="863"/>
      <c r="BQ56" s="863"/>
      <c r="BR56" s="863"/>
      <c r="BS56" s="863"/>
    </row>
    <row r="57" spans="2:71" s="180" customFormat="1" ht="18" customHeight="1" x14ac:dyDescent="0.4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864" t="str">
        <f>IF(Director="","(………………………………….)",CONCATENATE("(",Director,")"))</f>
        <v>(นายอัศวิน   คงเพ็ชรศักดิ์)</v>
      </c>
      <c r="Z57" s="864"/>
      <c r="AA57" s="864"/>
      <c r="AB57" s="864"/>
      <c r="AC57" s="864"/>
      <c r="AD57" s="864"/>
      <c r="AE57" s="864"/>
      <c r="AF57" s="864"/>
      <c r="AG57" s="864"/>
      <c r="AH57" s="864"/>
      <c r="AI57" s="864"/>
      <c r="AJ57" s="864"/>
      <c r="AK57" s="864"/>
      <c r="AL57" s="864"/>
      <c r="AM57" s="864"/>
      <c r="AN57" s="864"/>
      <c r="AO57" s="864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</row>
    <row r="58" spans="2:71" s="180" customFormat="1" ht="18" customHeight="1" x14ac:dyDescent="0.4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5" t="s">
        <v>79</v>
      </c>
      <c r="V58" s="185"/>
      <c r="W58" s="185"/>
      <c r="X58" s="865" t="str">
        <f>IF(AppDate="","",AppDate)</f>
        <v/>
      </c>
      <c r="Y58" s="865"/>
      <c r="Z58" s="865"/>
      <c r="AA58" s="865"/>
      <c r="AB58" s="866" t="s">
        <v>80</v>
      </c>
      <c r="AC58" s="866"/>
      <c r="AD58" s="866"/>
      <c r="AE58" s="866"/>
      <c r="AF58" s="865" t="str">
        <f>IF(AppMonth="","",AppMonth)</f>
        <v/>
      </c>
      <c r="AG58" s="865"/>
      <c r="AH58" s="865"/>
      <c r="AI58" s="865"/>
      <c r="AJ58" s="865"/>
      <c r="AK58" s="865"/>
      <c r="AL58" s="865"/>
      <c r="AM58" s="865"/>
      <c r="AN58" s="865"/>
      <c r="AO58" s="865"/>
      <c r="AP58" s="185" t="s">
        <v>81</v>
      </c>
      <c r="AQ58" s="185"/>
      <c r="AR58" s="185"/>
      <c r="AS58" s="865" t="str">
        <f>IF(AppYear="","",AppYear)</f>
        <v/>
      </c>
      <c r="AT58" s="865"/>
      <c r="AU58" s="865"/>
      <c r="AV58" s="865"/>
      <c r="AW58" s="865"/>
      <c r="AX58" s="865"/>
      <c r="AY58" s="865"/>
      <c r="AZ58" s="865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</row>
  </sheetData>
  <sheetProtection algorithmName="SHA-512" hashValue="sgTovAFvrbcm7TMBLcAR3ZqmCRVddF5PPuL5uj9dLIlHRkqbs1tnLcGnhVrqiVQ85o7YHDFS5+MkQjhbxoz+Jw==" saltValue="7Rbzj1+0MKdsy6VBKPTBug==" spinCount="100000" sheet="1" objects="1" scenarios="1"/>
  <mergeCells count="422">
    <mergeCell ref="BU20:CD21"/>
    <mergeCell ref="AV15:AX15"/>
    <mergeCell ref="AY15:BA15"/>
    <mergeCell ref="BB15:BD15"/>
    <mergeCell ref="BE15:BG15"/>
    <mergeCell ref="C1:BS3"/>
    <mergeCell ref="C4:BS4"/>
    <mergeCell ref="C5:BS5"/>
    <mergeCell ref="C6:BS6"/>
    <mergeCell ref="C7:BS7"/>
    <mergeCell ref="C9:BS9"/>
    <mergeCell ref="BB12:BD12"/>
    <mergeCell ref="BE12:BG12"/>
    <mergeCell ref="BH12:BJ12"/>
    <mergeCell ref="BK12:BM12"/>
    <mergeCell ref="C11:AC12"/>
    <mergeCell ref="AD11:AI12"/>
    <mergeCell ref="AJ11:BM11"/>
    <mergeCell ref="BN11:BS12"/>
    <mergeCell ref="AJ12:AL12"/>
    <mergeCell ref="AM12:AO12"/>
    <mergeCell ref="AP12:AR12"/>
    <mergeCell ref="AS12:AU12"/>
    <mergeCell ref="AV12:AX12"/>
    <mergeCell ref="AY12:BA12"/>
    <mergeCell ref="AP14:AR14"/>
    <mergeCell ref="AS14:AU14"/>
    <mergeCell ref="C13:BS13"/>
    <mergeCell ref="C14:H14"/>
    <mergeCell ref="I14:AC14"/>
    <mergeCell ref="AD14:AI14"/>
    <mergeCell ref="AJ14:AL14"/>
    <mergeCell ref="AM14:AO14"/>
    <mergeCell ref="BH14:BJ14"/>
    <mergeCell ref="BK14:BM14"/>
    <mergeCell ref="BN14:BS14"/>
    <mergeCell ref="AV14:AX14"/>
    <mergeCell ref="AY14:BA14"/>
    <mergeCell ref="BB14:BD14"/>
    <mergeCell ref="BE14:BG14"/>
    <mergeCell ref="BH15:BJ15"/>
    <mergeCell ref="BK15:BM15"/>
    <mergeCell ref="BB16:BD16"/>
    <mergeCell ref="BE16:BG16"/>
    <mergeCell ref="BH16:BJ16"/>
    <mergeCell ref="BK16:BM16"/>
    <mergeCell ref="BN16:BS16"/>
    <mergeCell ref="C15:H15"/>
    <mergeCell ref="I15:AC15"/>
    <mergeCell ref="AD15:AI15"/>
    <mergeCell ref="C16:H16"/>
    <mergeCell ref="I16:AC16"/>
    <mergeCell ref="AD16:AI16"/>
    <mergeCell ref="AJ16:AL16"/>
    <mergeCell ref="AM16:AO16"/>
    <mergeCell ref="AP16:AR16"/>
    <mergeCell ref="AS16:AU16"/>
    <mergeCell ref="AV16:AX16"/>
    <mergeCell ref="AY16:BA16"/>
    <mergeCell ref="AJ15:AL15"/>
    <mergeCell ref="AM15:AO15"/>
    <mergeCell ref="AP15:AR15"/>
    <mergeCell ref="AS15:AU15"/>
    <mergeCell ref="BN15:BS15"/>
    <mergeCell ref="C17:H17"/>
    <mergeCell ref="I17:AC17"/>
    <mergeCell ref="AD17:AI17"/>
    <mergeCell ref="AJ17:AL17"/>
    <mergeCell ref="AM17:AO17"/>
    <mergeCell ref="BH17:BJ17"/>
    <mergeCell ref="BK17:BM17"/>
    <mergeCell ref="BN17:BS17"/>
    <mergeCell ref="C18:H18"/>
    <mergeCell ref="I18:AC18"/>
    <mergeCell ref="AD18:AI18"/>
    <mergeCell ref="AJ18:AL18"/>
    <mergeCell ref="AM18:AO18"/>
    <mergeCell ref="AP18:AR18"/>
    <mergeCell ref="AS18:AU18"/>
    <mergeCell ref="AP17:AR17"/>
    <mergeCell ref="AS17:AU17"/>
    <mergeCell ref="AV17:AX17"/>
    <mergeCell ref="AY17:BA17"/>
    <mergeCell ref="BB17:BD17"/>
    <mergeCell ref="BE17:BG17"/>
    <mergeCell ref="BN18:BS18"/>
    <mergeCell ref="AV18:AX18"/>
    <mergeCell ref="AY18:BA18"/>
    <mergeCell ref="C19:H19"/>
    <mergeCell ref="I19:AC19"/>
    <mergeCell ref="AD19:AI19"/>
    <mergeCell ref="AJ19:AL19"/>
    <mergeCell ref="AM19:AO19"/>
    <mergeCell ref="AP19:AR19"/>
    <mergeCell ref="AS19:AU19"/>
    <mergeCell ref="AV19:AX19"/>
    <mergeCell ref="AY19:BA19"/>
    <mergeCell ref="BB18:BD18"/>
    <mergeCell ref="BE18:BG18"/>
    <mergeCell ref="BH18:BJ18"/>
    <mergeCell ref="BK18:BM18"/>
    <mergeCell ref="BB19:BD19"/>
    <mergeCell ref="BE19:BG19"/>
    <mergeCell ref="BH19:BJ19"/>
    <mergeCell ref="BK19:BM19"/>
    <mergeCell ref="BN19:BS19"/>
    <mergeCell ref="C20:H20"/>
    <mergeCell ref="I20:AC20"/>
    <mergeCell ref="AD20:AI20"/>
    <mergeCell ref="AJ20:AL20"/>
    <mergeCell ref="AM20:AO20"/>
    <mergeCell ref="BH20:BJ20"/>
    <mergeCell ref="BK20:BM20"/>
    <mergeCell ref="BN20:BS20"/>
    <mergeCell ref="C21:H21"/>
    <mergeCell ref="I21:AC21"/>
    <mergeCell ref="AD21:AI21"/>
    <mergeCell ref="AJ21:AL21"/>
    <mergeCell ref="AM21:AO21"/>
    <mergeCell ref="AP21:AR21"/>
    <mergeCell ref="AS21:AU21"/>
    <mergeCell ref="AP20:AR20"/>
    <mergeCell ref="AS20:AU20"/>
    <mergeCell ref="AV20:AX20"/>
    <mergeCell ref="AY20:BA20"/>
    <mergeCell ref="BB20:BD20"/>
    <mergeCell ref="BE20:BG20"/>
    <mergeCell ref="BN21:BS21"/>
    <mergeCell ref="AV21:AX21"/>
    <mergeCell ref="AY21:BA21"/>
    <mergeCell ref="C22:H22"/>
    <mergeCell ref="I22:AC22"/>
    <mergeCell ref="AD22:AI22"/>
    <mergeCell ref="AJ22:AL22"/>
    <mergeCell ref="AM22:AO22"/>
    <mergeCell ref="AP22:AR22"/>
    <mergeCell ref="AS22:AU22"/>
    <mergeCell ref="AV22:AX22"/>
    <mergeCell ref="AY22:BA22"/>
    <mergeCell ref="BB21:BD21"/>
    <mergeCell ref="BE21:BG21"/>
    <mergeCell ref="BH21:BJ21"/>
    <mergeCell ref="BK21:BM21"/>
    <mergeCell ref="BB22:BD22"/>
    <mergeCell ref="BE22:BG22"/>
    <mergeCell ref="BH22:BJ22"/>
    <mergeCell ref="BK22:BM22"/>
    <mergeCell ref="BN22:BS22"/>
    <mergeCell ref="C23:H23"/>
    <mergeCell ref="I23:AC23"/>
    <mergeCell ref="AD23:AI23"/>
    <mergeCell ref="AJ23:AL23"/>
    <mergeCell ref="AM23:AO23"/>
    <mergeCell ref="AM24:AO24"/>
    <mergeCell ref="AP24:AR24"/>
    <mergeCell ref="AS24:AU24"/>
    <mergeCell ref="AP23:AR23"/>
    <mergeCell ref="AS23:AU23"/>
    <mergeCell ref="AV23:AX23"/>
    <mergeCell ref="AY23:BA23"/>
    <mergeCell ref="BB23:BD23"/>
    <mergeCell ref="BE23:BG23"/>
    <mergeCell ref="AJ32:AL32"/>
    <mergeCell ref="AM32:AO32"/>
    <mergeCell ref="AP32:AR32"/>
    <mergeCell ref="BB25:BD25"/>
    <mergeCell ref="BE25:BG25"/>
    <mergeCell ref="BB30:BD30"/>
    <mergeCell ref="BE30:BG30"/>
    <mergeCell ref="BH25:BJ25"/>
    <mergeCell ref="BK25:BM25"/>
    <mergeCell ref="BN25:BS25"/>
    <mergeCell ref="C26:BS26"/>
    <mergeCell ref="C25:H25"/>
    <mergeCell ref="I25:AC25"/>
    <mergeCell ref="AD25:AI25"/>
    <mergeCell ref="AJ25:AL25"/>
    <mergeCell ref="AM25:AO25"/>
    <mergeCell ref="AP25:AR25"/>
    <mergeCell ref="AS25:AU25"/>
    <mergeCell ref="AV25:AX25"/>
    <mergeCell ref="AY25:BA25"/>
    <mergeCell ref="AD36:AI36"/>
    <mergeCell ref="AJ36:AL36"/>
    <mergeCell ref="AM36:AO36"/>
    <mergeCell ref="AP36:AR36"/>
    <mergeCell ref="AY33:BA33"/>
    <mergeCell ref="BB33:BD33"/>
    <mergeCell ref="BE33:BG33"/>
    <mergeCell ref="BH33:BJ33"/>
    <mergeCell ref="BK33:BM33"/>
    <mergeCell ref="AD33:AI33"/>
    <mergeCell ref="AJ33:AL33"/>
    <mergeCell ref="AM33:AO33"/>
    <mergeCell ref="AP33:AR33"/>
    <mergeCell ref="AS33:AU33"/>
    <mergeCell ref="AV33:AX33"/>
    <mergeCell ref="AY37:BA37"/>
    <mergeCell ref="BB37:BD37"/>
    <mergeCell ref="BE37:BG37"/>
    <mergeCell ref="BH37:BJ37"/>
    <mergeCell ref="BK37:BM37"/>
    <mergeCell ref="BN37:BS37"/>
    <mergeCell ref="BK36:BM36"/>
    <mergeCell ref="BN36:BS36"/>
    <mergeCell ref="C37:H37"/>
    <mergeCell ref="I37:AC37"/>
    <mergeCell ref="AD37:AI37"/>
    <mergeCell ref="AJ37:AL37"/>
    <mergeCell ref="AM37:AO37"/>
    <mergeCell ref="AP37:AR37"/>
    <mergeCell ref="AS37:AU37"/>
    <mergeCell ref="AV37:AX37"/>
    <mergeCell ref="AS36:AU36"/>
    <mergeCell ref="AV36:AX36"/>
    <mergeCell ref="AY36:BA36"/>
    <mergeCell ref="BB36:BD36"/>
    <mergeCell ref="BE36:BG36"/>
    <mergeCell ref="BH36:BJ36"/>
    <mergeCell ref="C36:H36"/>
    <mergeCell ref="I36:AC36"/>
    <mergeCell ref="BK38:BM38"/>
    <mergeCell ref="BN38:BS38"/>
    <mergeCell ref="C41:AE42"/>
    <mergeCell ref="AF41:AQ42"/>
    <mergeCell ref="AR41:BS41"/>
    <mergeCell ref="AR42:AX42"/>
    <mergeCell ref="AY42:BE42"/>
    <mergeCell ref="BF42:BL42"/>
    <mergeCell ref="BM42:BS42"/>
    <mergeCell ref="AS38:AU38"/>
    <mergeCell ref="AV38:AX38"/>
    <mergeCell ref="AY38:BA38"/>
    <mergeCell ref="BB38:BD38"/>
    <mergeCell ref="BE38:BG38"/>
    <mergeCell ref="BH38:BJ38"/>
    <mergeCell ref="C38:H38"/>
    <mergeCell ref="I38:AC38"/>
    <mergeCell ref="AD38:AI38"/>
    <mergeCell ref="AJ38:AL38"/>
    <mergeCell ref="AM38:AO38"/>
    <mergeCell ref="AP38:AR38"/>
    <mergeCell ref="C39:H39"/>
    <mergeCell ref="I39:AC39"/>
    <mergeCell ref="AD39:AI39"/>
    <mergeCell ref="C44:AE44"/>
    <mergeCell ref="AF44:AQ44"/>
    <mergeCell ref="AR44:AX44"/>
    <mergeCell ref="AY44:BE44"/>
    <mergeCell ref="BF44:BL44"/>
    <mergeCell ref="BM44:BS44"/>
    <mergeCell ref="C43:AE43"/>
    <mergeCell ref="AF43:AQ43"/>
    <mergeCell ref="AR43:AX43"/>
    <mergeCell ref="AY43:BE43"/>
    <mergeCell ref="BF43:BL43"/>
    <mergeCell ref="BM43:BS43"/>
    <mergeCell ref="C47:F47"/>
    <mergeCell ref="G47:W47"/>
    <mergeCell ref="AK47:AN47"/>
    <mergeCell ref="AO47:BF47"/>
    <mergeCell ref="BG47:BS47"/>
    <mergeCell ref="G48:W48"/>
    <mergeCell ref="AO48:BF48"/>
    <mergeCell ref="C45:AE45"/>
    <mergeCell ref="AF45:AQ45"/>
    <mergeCell ref="AR45:AX45"/>
    <mergeCell ref="AY45:BE45"/>
    <mergeCell ref="BF45:BL45"/>
    <mergeCell ref="BM45:BS45"/>
    <mergeCell ref="U56:X56"/>
    <mergeCell ref="Y56:AO56"/>
    <mergeCell ref="AP56:BS56"/>
    <mergeCell ref="Y57:AO57"/>
    <mergeCell ref="X58:AA58"/>
    <mergeCell ref="AB58:AE58"/>
    <mergeCell ref="AF58:AO58"/>
    <mergeCell ref="AS58:AZ58"/>
    <mergeCell ref="U51:X51"/>
    <mergeCell ref="Y51:AO51"/>
    <mergeCell ref="Y52:AO52"/>
    <mergeCell ref="U54:W54"/>
    <mergeCell ref="AD54:AF54"/>
    <mergeCell ref="AJ54:AL54"/>
    <mergeCell ref="BT6:CD7"/>
    <mergeCell ref="BT8:CD10"/>
    <mergeCell ref="BT11:CD12"/>
    <mergeCell ref="C27:H27"/>
    <mergeCell ref="I27:AC27"/>
    <mergeCell ref="AD27:AI27"/>
    <mergeCell ref="AJ27:AL27"/>
    <mergeCell ref="AM27:AO27"/>
    <mergeCell ref="AP27:AR27"/>
    <mergeCell ref="AS27:AU27"/>
    <mergeCell ref="BN24:BS24"/>
    <mergeCell ref="AV24:AX24"/>
    <mergeCell ref="AY24:BA24"/>
    <mergeCell ref="BB24:BD24"/>
    <mergeCell ref="BE24:BG24"/>
    <mergeCell ref="BH24:BJ24"/>
    <mergeCell ref="BK24:BM24"/>
    <mergeCell ref="BH23:BJ23"/>
    <mergeCell ref="BK23:BM23"/>
    <mergeCell ref="BN23:BS23"/>
    <mergeCell ref="C24:H24"/>
    <mergeCell ref="I24:AC24"/>
    <mergeCell ref="AD24:AI24"/>
    <mergeCell ref="AJ24:AL24"/>
    <mergeCell ref="BN27:BS27"/>
    <mergeCell ref="C28:H28"/>
    <mergeCell ref="I28:AC28"/>
    <mergeCell ref="AD28:AI28"/>
    <mergeCell ref="AJ28:AL28"/>
    <mergeCell ref="AM28:AO28"/>
    <mergeCell ref="AP28:AR28"/>
    <mergeCell ref="AS28:AU28"/>
    <mergeCell ref="AV28:AX28"/>
    <mergeCell ref="AY28:BA28"/>
    <mergeCell ref="AV27:AX27"/>
    <mergeCell ref="AY27:BA27"/>
    <mergeCell ref="BB27:BD27"/>
    <mergeCell ref="BE27:BG27"/>
    <mergeCell ref="BH27:BJ27"/>
    <mergeCell ref="BK27:BM27"/>
    <mergeCell ref="BB28:BD28"/>
    <mergeCell ref="BE28:BG28"/>
    <mergeCell ref="BH28:BJ28"/>
    <mergeCell ref="BK28:BM28"/>
    <mergeCell ref="BN28:BS28"/>
    <mergeCell ref="C29:H29"/>
    <mergeCell ref="I29:AC29"/>
    <mergeCell ref="AD29:AI29"/>
    <mergeCell ref="AJ29:AL29"/>
    <mergeCell ref="AM29:AO29"/>
    <mergeCell ref="BH29:BJ29"/>
    <mergeCell ref="BK29:BM29"/>
    <mergeCell ref="BN29:BS29"/>
    <mergeCell ref="C30:H30"/>
    <mergeCell ref="I30:AC30"/>
    <mergeCell ref="AD30:AI30"/>
    <mergeCell ref="AJ30:AL30"/>
    <mergeCell ref="AM30:AO30"/>
    <mergeCell ref="AP30:AR30"/>
    <mergeCell ref="AS30:AU30"/>
    <mergeCell ref="AP29:AR29"/>
    <mergeCell ref="AS29:AU29"/>
    <mergeCell ref="AV29:AX29"/>
    <mergeCell ref="AY29:BA29"/>
    <mergeCell ref="BB29:BD29"/>
    <mergeCell ref="BE29:BG29"/>
    <mergeCell ref="BN30:BS30"/>
    <mergeCell ref="AV30:AX30"/>
    <mergeCell ref="AY30:BA30"/>
    <mergeCell ref="C31:H31"/>
    <mergeCell ref="I31:AC31"/>
    <mergeCell ref="AD31:AI31"/>
    <mergeCell ref="AJ31:AL31"/>
    <mergeCell ref="AM31:AO31"/>
    <mergeCell ref="AP31:AR31"/>
    <mergeCell ref="AS31:AU31"/>
    <mergeCell ref="AV31:AX31"/>
    <mergeCell ref="AY31:BA31"/>
    <mergeCell ref="BH30:BJ30"/>
    <mergeCell ref="BK30:BM30"/>
    <mergeCell ref="BB31:BD31"/>
    <mergeCell ref="BE31:BG31"/>
    <mergeCell ref="BH31:BJ31"/>
    <mergeCell ref="BK31:BM31"/>
    <mergeCell ref="BN31:BS31"/>
    <mergeCell ref="C34:H34"/>
    <mergeCell ref="I34:AC34"/>
    <mergeCell ref="AD34:AI34"/>
    <mergeCell ref="AJ34:AL34"/>
    <mergeCell ref="AM34:AO34"/>
    <mergeCell ref="BN33:BS33"/>
    <mergeCell ref="BK32:BM32"/>
    <mergeCell ref="BN32:BS32"/>
    <mergeCell ref="C33:H33"/>
    <mergeCell ref="I33:AC33"/>
    <mergeCell ref="AS32:AU32"/>
    <mergeCell ref="AV32:AX32"/>
    <mergeCell ref="AY32:BA32"/>
    <mergeCell ref="BB32:BD32"/>
    <mergeCell ref="BE32:BG32"/>
    <mergeCell ref="BH32:BJ32"/>
    <mergeCell ref="C32:H32"/>
    <mergeCell ref="I32:AC32"/>
    <mergeCell ref="AD32:AI32"/>
    <mergeCell ref="C35:H35"/>
    <mergeCell ref="I35:AC35"/>
    <mergeCell ref="AD35:AI35"/>
    <mergeCell ref="AJ35:AL35"/>
    <mergeCell ref="AM35:AO35"/>
    <mergeCell ref="AP35:AR35"/>
    <mergeCell ref="AS35:AU35"/>
    <mergeCell ref="AP34:AR34"/>
    <mergeCell ref="AS34:AU34"/>
    <mergeCell ref="BN35:BS35"/>
    <mergeCell ref="AV35:AX35"/>
    <mergeCell ref="AY35:BA35"/>
    <mergeCell ref="BB35:BD35"/>
    <mergeCell ref="BE35:BG35"/>
    <mergeCell ref="BH35:BJ35"/>
    <mergeCell ref="BK35:BM35"/>
    <mergeCell ref="BH34:BJ34"/>
    <mergeCell ref="BK34:BM34"/>
    <mergeCell ref="BN34:BS34"/>
    <mergeCell ref="AV34:AX34"/>
    <mergeCell ref="AY34:BA34"/>
    <mergeCell ref="BB34:BD34"/>
    <mergeCell ref="BE34:BG34"/>
    <mergeCell ref="BK39:BM39"/>
    <mergeCell ref="BN39:BS39"/>
    <mergeCell ref="AJ39:AL39"/>
    <mergeCell ref="AM39:AO39"/>
    <mergeCell ref="AP39:AR39"/>
    <mergeCell ref="AS39:AU39"/>
    <mergeCell ref="AV39:AX39"/>
    <mergeCell ref="AY39:BA39"/>
    <mergeCell ref="BB39:BD39"/>
    <mergeCell ref="BE39:BG39"/>
    <mergeCell ref="BH39:BJ39"/>
  </mergeCells>
  <printOptions horizontalCentered="1" verticalCentered="1"/>
  <pageMargins left="0.39370078740157499" right="0.15748031496063" top="0.49803149600000002" bottom="0.49803149600000002" header="0.31496062992126" footer="0.31496062992126"/>
  <pageSetup paperSize="5" scale="88" orientation="portrait" horizontalDpi="4294967292" verticalDpi="300" r:id="rId1"/>
  <headerFooter>
    <oddHeader>&amp;R&amp;"TH SarabunPSK,ธรรมดา"&amp;16ปถ.07 : บ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B050"/>
  </sheetPr>
  <dimension ref="A2:EV81"/>
  <sheetViews>
    <sheetView view="pageBreakPreview" zoomScale="93" zoomScaleNormal="79" zoomScaleSheetLayoutView="93" zoomScalePageLayoutView="64" workbookViewId="0">
      <pane ySplit="3" topLeftCell="A41" activePane="bottomLeft" state="frozen"/>
      <selection pane="bottomLeft" activeCell="EV51" sqref="EV51"/>
    </sheetView>
  </sheetViews>
  <sheetFormatPr defaultColWidth="9.33203125" defaultRowHeight="21" x14ac:dyDescent="0.25"/>
  <cols>
    <col min="1" max="73" width="1.44140625" style="272" customWidth="1"/>
    <col min="74" max="111" width="1.44140625" style="272" hidden="1" customWidth="1"/>
    <col min="112" max="143" width="1.33203125" style="272" hidden="1" customWidth="1"/>
    <col min="144" max="145" width="9.33203125" style="272" hidden="1" customWidth="1"/>
    <col min="146" max="146" width="9.33203125" style="272" customWidth="1"/>
    <col min="147" max="16384" width="9.33203125" style="272"/>
  </cols>
  <sheetData>
    <row r="2" spans="1:151" ht="45.6" x14ac:dyDescent="0.25">
      <c r="A2" s="271" t="s">
        <v>595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L2" s="889">
        <v>37</v>
      </c>
      <c r="AM2" s="890"/>
      <c r="AN2" s="890"/>
      <c r="AO2" s="890"/>
      <c r="AP2" s="890"/>
      <c r="AQ2" s="890"/>
      <c r="AR2" s="890"/>
      <c r="AS2" s="890"/>
      <c r="AT2" s="890"/>
      <c r="AU2" s="890"/>
      <c r="AV2" s="890"/>
      <c r="AW2" s="890"/>
      <c r="AX2" s="890"/>
      <c r="AY2" s="890"/>
      <c r="AZ2" s="890"/>
      <c r="BA2" s="890"/>
      <c r="BB2" s="890"/>
      <c r="BC2" s="890"/>
      <c r="BD2" s="890"/>
      <c r="BE2" s="890"/>
      <c r="BF2" s="890"/>
      <c r="BG2" s="890"/>
      <c r="BH2" s="890"/>
      <c r="BI2" s="890"/>
      <c r="BJ2" s="890"/>
      <c r="BK2" s="890"/>
      <c r="BL2" s="890"/>
      <c r="BM2" s="890"/>
      <c r="BN2" s="890"/>
      <c r="BO2" s="890"/>
      <c r="BP2" s="890"/>
      <c r="BQ2" s="890"/>
      <c r="BR2" s="890"/>
      <c r="BS2" s="890"/>
      <c r="BT2" s="890"/>
      <c r="BU2" s="891"/>
    </row>
    <row r="3" spans="1:151" ht="9.75" customHeight="1" x14ac:dyDescent="0.25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</row>
    <row r="4" spans="1:151" ht="32.25" customHeight="1" x14ac:dyDescent="0.5">
      <c r="A4" s="913" t="s">
        <v>596</v>
      </c>
      <c r="B4" s="913"/>
      <c r="C4" s="913"/>
      <c r="D4" s="913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3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3"/>
      <c r="BM4" s="913"/>
      <c r="BN4" s="913"/>
      <c r="BO4" s="913"/>
      <c r="BP4" s="913"/>
      <c r="BQ4" s="913"/>
      <c r="BR4" s="913"/>
      <c r="BS4" s="913"/>
      <c r="BT4" s="913"/>
    </row>
    <row r="5" spans="1:151" ht="24" customHeight="1" x14ac:dyDescent="0.4">
      <c r="A5" s="914" t="s">
        <v>697</v>
      </c>
      <c r="B5" s="914"/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EP5" s="892" t="s">
        <v>596</v>
      </c>
      <c r="EQ5" s="893"/>
      <c r="ER5" s="893"/>
      <c r="ES5" s="893"/>
      <c r="ET5" s="893"/>
      <c r="EU5" s="894"/>
    </row>
    <row r="6" spans="1:151" ht="24" customHeight="1" x14ac:dyDescent="0.4">
      <c r="A6" s="914" t="str">
        <f>IF(AM13="","ชั้น.........................................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6" s="914"/>
      <c r="C6" s="914"/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914"/>
      <c r="Q6" s="914"/>
      <c r="R6" s="914"/>
      <c r="S6" s="914"/>
      <c r="T6" s="914"/>
      <c r="U6" s="914"/>
      <c r="V6" s="914"/>
      <c r="W6" s="914"/>
      <c r="X6" s="914"/>
      <c r="Y6" s="914"/>
      <c r="Z6" s="914"/>
      <c r="AA6" s="914"/>
      <c r="AB6" s="914"/>
      <c r="AC6" s="914"/>
      <c r="AD6" s="914"/>
      <c r="AE6" s="914"/>
      <c r="AF6" s="914"/>
      <c r="AG6" s="914"/>
      <c r="AH6" s="914"/>
      <c r="AI6" s="914"/>
      <c r="AJ6" s="914"/>
      <c r="AK6" s="914"/>
      <c r="AL6" s="914"/>
      <c r="AM6" s="914"/>
      <c r="AN6" s="914"/>
      <c r="AO6" s="914"/>
      <c r="AP6" s="914"/>
      <c r="AQ6" s="914"/>
      <c r="AR6" s="914"/>
      <c r="AS6" s="914"/>
      <c r="AT6" s="914"/>
      <c r="AU6" s="914"/>
      <c r="AV6" s="914"/>
      <c r="AW6" s="914"/>
      <c r="AX6" s="914"/>
      <c r="AY6" s="914"/>
      <c r="AZ6" s="914"/>
      <c r="BA6" s="914"/>
      <c r="BB6" s="914"/>
      <c r="BC6" s="914"/>
      <c r="BD6" s="914"/>
      <c r="BE6" s="914"/>
      <c r="BF6" s="914"/>
      <c r="BG6" s="914"/>
      <c r="BH6" s="914"/>
      <c r="BI6" s="914"/>
      <c r="BJ6" s="914"/>
      <c r="BK6" s="914"/>
      <c r="BL6" s="914"/>
      <c r="BM6" s="914"/>
      <c r="BN6" s="914"/>
      <c r="BO6" s="914"/>
      <c r="BP6" s="914"/>
      <c r="BQ6" s="914"/>
      <c r="BR6" s="914"/>
      <c r="BS6" s="914"/>
      <c r="BT6" s="914"/>
      <c r="EP6" s="915" t="s">
        <v>622</v>
      </c>
      <c r="EQ6" s="916"/>
      <c r="ER6" s="916"/>
      <c r="ES6" s="916"/>
      <c r="ET6" s="916"/>
      <c r="EU6" s="917"/>
    </row>
    <row r="7" spans="1:151" ht="10.5" customHeight="1" x14ac:dyDescent="0.4">
      <c r="A7" s="914"/>
      <c r="B7" s="914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  <c r="AH7" s="914"/>
      <c r="AI7" s="914"/>
      <c r="AJ7" s="914"/>
      <c r="AK7" s="914"/>
      <c r="AL7" s="914"/>
      <c r="AM7" s="914"/>
      <c r="AN7" s="914"/>
      <c r="AO7" s="914"/>
      <c r="AP7" s="914"/>
      <c r="AQ7" s="914"/>
      <c r="AR7" s="914"/>
      <c r="AS7" s="914"/>
      <c r="AT7" s="914"/>
      <c r="AU7" s="914"/>
      <c r="AV7" s="914"/>
      <c r="AW7" s="914"/>
      <c r="AX7" s="914"/>
      <c r="AY7" s="914"/>
      <c r="AZ7" s="914"/>
      <c r="BA7" s="914"/>
      <c r="BB7" s="914"/>
      <c r="BC7" s="914"/>
      <c r="BD7" s="914"/>
      <c r="BE7" s="914"/>
      <c r="BF7" s="914"/>
      <c r="BG7" s="914"/>
      <c r="BH7" s="914"/>
      <c r="BI7" s="914"/>
      <c r="BJ7" s="914"/>
      <c r="BK7" s="914"/>
      <c r="BL7" s="914"/>
      <c r="BM7" s="914"/>
      <c r="BN7" s="914"/>
      <c r="BO7" s="914"/>
      <c r="BP7" s="914"/>
      <c r="BQ7" s="914"/>
      <c r="BR7" s="914"/>
      <c r="BS7" s="914"/>
      <c r="BT7" s="914"/>
      <c r="EP7" s="915"/>
      <c r="EQ7" s="916"/>
      <c r="ER7" s="916"/>
      <c r="ES7" s="916"/>
      <c r="ET7" s="916"/>
      <c r="EU7" s="917"/>
    </row>
    <row r="8" spans="1:151" ht="24" customHeight="1" x14ac:dyDescent="0.4">
      <c r="A8" s="914" t="str">
        <f>IF($AL$2="","ชื่อ.......................................................................เลขประจำตัว...................เลขที่.............",CONCATENATE(VLOOKUP($AL$2,'2.ชื่อนักเรียน'!$A$11:$V$55,3),"   ",VLOOKUP($AL$2,'2.ชื่อนักเรียน'!$A$11:$V$55,4),"        เลขประจำตัว  ",VLOOKUP($AL$2,'2.ชื่อนักเรียน'!$A$11:$V$55,2),"       เลขที่  ",VLOOKUP($AL$2,'2.ชื่อนักเรียน'!$A$11:$V$55,1)))</f>
        <v xml:space="preserve">           เลขประจำตัว         เลขที่  37</v>
      </c>
      <c r="B8" s="914"/>
      <c r="C8" s="914"/>
      <c r="D8" s="914"/>
      <c r="E8" s="914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  <c r="AG8" s="914"/>
      <c r="AH8" s="914"/>
      <c r="AI8" s="914"/>
      <c r="AJ8" s="914"/>
      <c r="AK8" s="914"/>
      <c r="AL8" s="914"/>
      <c r="AM8" s="914"/>
      <c r="AN8" s="914"/>
      <c r="AO8" s="914"/>
      <c r="AP8" s="914"/>
      <c r="AQ8" s="914"/>
      <c r="AR8" s="914"/>
      <c r="AS8" s="914"/>
      <c r="AT8" s="914"/>
      <c r="AU8" s="914"/>
      <c r="AV8" s="914"/>
      <c r="AW8" s="914"/>
      <c r="AX8" s="914"/>
      <c r="AY8" s="914"/>
      <c r="AZ8" s="914"/>
      <c r="BA8" s="914"/>
      <c r="BB8" s="914"/>
      <c r="BC8" s="914"/>
      <c r="BD8" s="914"/>
      <c r="BE8" s="914"/>
      <c r="BF8" s="914"/>
      <c r="BG8" s="914"/>
      <c r="BH8" s="914"/>
      <c r="BI8" s="914"/>
      <c r="BJ8" s="914"/>
      <c r="BK8" s="914"/>
      <c r="BL8" s="914"/>
      <c r="BM8" s="914"/>
      <c r="BN8" s="914"/>
      <c r="BO8" s="914"/>
      <c r="BP8" s="914"/>
      <c r="BQ8" s="914"/>
      <c r="BR8" s="914"/>
      <c r="BS8" s="914"/>
      <c r="BT8" s="914"/>
      <c r="EP8" s="918"/>
      <c r="EQ8" s="919"/>
      <c r="ER8" s="919"/>
      <c r="ES8" s="919"/>
      <c r="ET8" s="919"/>
      <c r="EU8" s="920"/>
    </row>
    <row r="9" spans="1:151" ht="21.6" thickBot="1" x14ac:dyDescent="0.45">
      <c r="A9" s="276"/>
      <c r="B9" s="276"/>
      <c r="C9" s="277"/>
      <c r="D9" s="277"/>
      <c r="E9" s="277"/>
      <c r="F9" s="278"/>
      <c r="G9" s="275"/>
      <c r="H9" s="275"/>
      <c r="I9" s="278"/>
      <c r="J9" s="277"/>
    </row>
    <row r="10" spans="1:151" ht="24" customHeight="1" x14ac:dyDescent="0.25">
      <c r="A10" s="895" t="s">
        <v>19</v>
      </c>
      <c r="B10" s="896"/>
      <c r="C10" s="896"/>
      <c r="D10" s="896"/>
      <c r="E10" s="896"/>
      <c r="F10" s="896"/>
      <c r="G10" s="896"/>
      <c r="H10" s="896" t="s">
        <v>20</v>
      </c>
      <c r="I10" s="896"/>
      <c r="J10" s="896"/>
      <c r="K10" s="896"/>
      <c r="L10" s="896"/>
      <c r="M10" s="896"/>
      <c r="N10" s="896"/>
      <c r="O10" s="896"/>
      <c r="P10" s="896"/>
      <c r="Q10" s="896"/>
      <c r="R10" s="896"/>
      <c r="S10" s="896"/>
      <c r="T10" s="896"/>
      <c r="U10" s="896"/>
      <c r="V10" s="896"/>
      <c r="W10" s="896"/>
      <c r="X10" s="896"/>
      <c r="Y10" s="896"/>
      <c r="Z10" s="896"/>
      <c r="AA10" s="896"/>
      <c r="AB10" s="896"/>
      <c r="AC10" s="896"/>
      <c r="AD10" s="896"/>
      <c r="AE10" s="896"/>
      <c r="AF10" s="899" t="s">
        <v>598</v>
      </c>
      <c r="AG10" s="900"/>
      <c r="AH10" s="900"/>
      <c r="AI10" s="900"/>
      <c r="AJ10" s="900"/>
      <c r="AK10" s="900"/>
      <c r="AL10" s="901"/>
      <c r="AM10" s="905" t="s">
        <v>599</v>
      </c>
      <c r="AN10" s="906"/>
      <c r="AO10" s="906"/>
      <c r="AP10" s="906"/>
      <c r="AQ10" s="906"/>
      <c r="AR10" s="906"/>
      <c r="AS10" s="906"/>
      <c r="AT10" s="906"/>
      <c r="AU10" s="906"/>
      <c r="AV10" s="906"/>
      <c r="AW10" s="906"/>
      <c r="AX10" s="906"/>
      <c r="AY10" s="906"/>
      <c r="AZ10" s="907"/>
      <c r="BA10" s="908" t="s">
        <v>21</v>
      </c>
      <c r="BB10" s="908"/>
      <c r="BC10" s="908"/>
      <c r="BD10" s="908"/>
      <c r="BE10" s="908"/>
      <c r="BF10" s="908"/>
      <c r="BG10" s="908"/>
      <c r="BH10" s="908"/>
      <c r="BI10" s="908"/>
      <c r="BJ10" s="908"/>
      <c r="BK10" s="908"/>
      <c r="BL10" s="908"/>
      <c r="BM10" s="908"/>
      <c r="BN10" s="908"/>
      <c r="BO10" s="908"/>
      <c r="BP10" s="908"/>
      <c r="BQ10" s="908"/>
      <c r="BR10" s="908"/>
      <c r="BS10" s="908"/>
      <c r="BT10" s="909"/>
    </row>
    <row r="11" spans="1:151" x14ac:dyDescent="0.25">
      <c r="A11" s="897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8"/>
      <c r="Z11" s="898"/>
      <c r="AA11" s="898"/>
      <c r="AB11" s="898"/>
      <c r="AC11" s="898"/>
      <c r="AD11" s="898"/>
      <c r="AE11" s="898"/>
      <c r="AF11" s="902"/>
      <c r="AG11" s="903"/>
      <c r="AH11" s="903"/>
      <c r="AI11" s="903"/>
      <c r="AJ11" s="903"/>
      <c r="AK11" s="903"/>
      <c r="AL11" s="904"/>
      <c r="AM11" s="912" t="s">
        <v>600</v>
      </c>
      <c r="AN11" s="912"/>
      <c r="AO11" s="912"/>
      <c r="AP11" s="912"/>
      <c r="AQ11" s="912"/>
      <c r="AR11" s="912"/>
      <c r="AS11" s="912"/>
      <c r="AT11" s="912" t="s">
        <v>601</v>
      </c>
      <c r="AU11" s="912"/>
      <c r="AV11" s="912"/>
      <c r="AW11" s="912"/>
      <c r="AX11" s="912"/>
      <c r="AY11" s="912"/>
      <c r="AZ11" s="912"/>
      <c r="BA11" s="910"/>
      <c r="BB11" s="910"/>
      <c r="BC11" s="910"/>
      <c r="BD11" s="910"/>
      <c r="BE11" s="910"/>
      <c r="BF11" s="910"/>
      <c r="BG11" s="910"/>
      <c r="BH11" s="910"/>
      <c r="BI11" s="910"/>
      <c r="BJ11" s="910"/>
      <c r="BK11" s="910"/>
      <c r="BL11" s="910"/>
      <c r="BM11" s="910"/>
      <c r="BN11" s="910"/>
      <c r="BO11" s="910"/>
      <c r="BP11" s="910"/>
      <c r="BQ11" s="910"/>
      <c r="BR11" s="910"/>
      <c r="BS11" s="910"/>
      <c r="BT11" s="911"/>
    </row>
    <row r="12" spans="1:151" x14ac:dyDescent="0.35">
      <c r="A12" s="886" t="s">
        <v>38</v>
      </c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  <c r="AF12" s="887"/>
      <c r="AG12" s="887"/>
      <c r="AH12" s="887"/>
      <c r="AI12" s="887"/>
      <c r="AJ12" s="887"/>
      <c r="AK12" s="887"/>
      <c r="AL12" s="887"/>
      <c r="AM12" s="887"/>
      <c r="AN12" s="887"/>
      <c r="AO12" s="887"/>
      <c r="AP12" s="887"/>
      <c r="AQ12" s="887"/>
      <c r="AR12" s="887"/>
      <c r="AS12" s="887"/>
      <c r="AT12" s="887"/>
      <c r="AU12" s="887"/>
      <c r="AV12" s="887"/>
      <c r="AW12" s="887"/>
      <c r="AX12" s="887"/>
      <c r="AY12" s="887"/>
      <c r="AZ12" s="887"/>
      <c r="BA12" s="887"/>
      <c r="BB12" s="887"/>
      <c r="BC12" s="887"/>
      <c r="BD12" s="887"/>
      <c r="BE12" s="887"/>
      <c r="BF12" s="887"/>
      <c r="BG12" s="887"/>
      <c r="BH12" s="887"/>
      <c r="BI12" s="887"/>
      <c r="BJ12" s="887"/>
      <c r="BK12" s="887"/>
      <c r="BL12" s="887"/>
      <c r="BM12" s="887"/>
      <c r="BN12" s="887"/>
      <c r="BO12" s="887"/>
      <c r="BP12" s="887"/>
      <c r="BQ12" s="887"/>
      <c r="BR12" s="887"/>
      <c r="BS12" s="887"/>
      <c r="BT12" s="888"/>
    </row>
    <row r="13" spans="1:151" x14ac:dyDescent="0.35">
      <c r="A13" s="921" t="str">
        <f>IF(codegen1="","",codegen1)</f>
        <v/>
      </c>
      <c r="B13" s="922"/>
      <c r="C13" s="922"/>
      <c r="D13" s="922"/>
      <c r="E13" s="922"/>
      <c r="F13" s="922"/>
      <c r="G13" s="922"/>
      <c r="H13" s="923" t="str">
        <f>IF(SubGen1="","",SubGen1)</f>
        <v/>
      </c>
      <c r="I13" s="924"/>
      <c r="J13" s="924"/>
      <c r="K13" s="924"/>
      <c r="L13" s="924"/>
      <c r="M13" s="924"/>
      <c r="N13" s="924"/>
      <c r="O13" s="924"/>
      <c r="P13" s="924"/>
      <c r="Q13" s="924"/>
      <c r="R13" s="924"/>
      <c r="S13" s="924"/>
      <c r="T13" s="924"/>
      <c r="U13" s="924"/>
      <c r="V13" s="924"/>
      <c r="W13" s="924"/>
      <c r="X13" s="924"/>
      <c r="Y13" s="924"/>
      <c r="Z13" s="924"/>
      <c r="AA13" s="924"/>
      <c r="AB13" s="924"/>
      <c r="AC13" s="924"/>
      <c r="AD13" s="924"/>
      <c r="AE13" s="925"/>
      <c r="AF13" s="926" t="str">
        <f>IF(CreditGen1="","",CreditGen1)</f>
        <v/>
      </c>
      <c r="AG13" s="927"/>
      <c r="AH13" s="927"/>
      <c r="AI13" s="927"/>
      <c r="AJ13" s="927"/>
      <c r="AK13" s="927"/>
      <c r="AL13" s="928"/>
      <c r="AM13" s="926" t="str">
        <f>IF('5.กลางภาค'!E$7="","",'5.กลางภาค'!E$7)</f>
        <v/>
      </c>
      <c r="AN13" s="927"/>
      <c r="AO13" s="927"/>
      <c r="AP13" s="927"/>
      <c r="AQ13" s="927"/>
      <c r="AR13" s="927"/>
      <c r="AS13" s="928"/>
      <c r="AT13" s="926" t="str">
        <f>IF($AL$2="","",IF(H13="","",VLOOKUP($AL$2,'5.กลางภาค'!$A$8:$W$57,5)))</f>
        <v/>
      </c>
      <c r="AU13" s="927"/>
      <c r="AV13" s="927"/>
      <c r="AW13" s="927"/>
      <c r="AX13" s="927"/>
      <c r="AY13" s="927"/>
      <c r="AZ13" s="928"/>
      <c r="BA13" s="929"/>
      <c r="BB13" s="930"/>
      <c r="BC13" s="930"/>
      <c r="BD13" s="930"/>
      <c r="BE13" s="930"/>
      <c r="BF13" s="930"/>
      <c r="BG13" s="930"/>
      <c r="BH13" s="930"/>
      <c r="BI13" s="930"/>
      <c r="BJ13" s="930"/>
      <c r="BK13" s="930"/>
      <c r="BL13" s="930"/>
      <c r="BM13" s="930"/>
      <c r="BN13" s="930"/>
      <c r="BO13" s="930"/>
      <c r="BP13" s="930"/>
      <c r="BQ13" s="930"/>
      <c r="BR13" s="930"/>
      <c r="BS13" s="930"/>
      <c r="BT13" s="931"/>
    </row>
    <row r="14" spans="1:151" x14ac:dyDescent="0.35">
      <c r="A14" s="921" t="str">
        <f>IF(codegen2="","",codegen2)</f>
        <v/>
      </c>
      <c r="B14" s="922"/>
      <c r="C14" s="922"/>
      <c r="D14" s="922"/>
      <c r="E14" s="922"/>
      <c r="F14" s="922"/>
      <c r="G14" s="922"/>
      <c r="H14" s="923" t="str">
        <f>IF(SubGen2="","",SubGen2)</f>
        <v/>
      </c>
      <c r="I14" s="924"/>
      <c r="J14" s="924"/>
      <c r="K14" s="924"/>
      <c r="L14" s="924"/>
      <c r="M14" s="924"/>
      <c r="N14" s="924"/>
      <c r="O14" s="924"/>
      <c r="P14" s="924"/>
      <c r="Q14" s="924"/>
      <c r="R14" s="924"/>
      <c r="S14" s="924"/>
      <c r="T14" s="924"/>
      <c r="U14" s="924"/>
      <c r="V14" s="924"/>
      <c r="W14" s="924"/>
      <c r="X14" s="924"/>
      <c r="Y14" s="924"/>
      <c r="Z14" s="924"/>
      <c r="AA14" s="924"/>
      <c r="AB14" s="924"/>
      <c r="AC14" s="924"/>
      <c r="AD14" s="924"/>
      <c r="AE14" s="925"/>
      <c r="AF14" s="926" t="str">
        <f>IF(CreditGen2="","",CreditGen2)</f>
        <v/>
      </c>
      <c r="AG14" s="927"/>
      <c r="AH14" s="927"/>
      <c r="AI14" s="927"/>
      <c r="AJ14" s="927"/>
      <c r="AK14" s="927"/>
      <c r="AL14" s="928"/>
      <c r="AM14" s="926" t="str">
        <f>IF('5.กลางภาค'!F$7="","",'5.กลางภาค'!F$7)</f>
        <v/>
      </c>
      <c r="AN14" s="927"/>
      <c r="AO14" s="927"/>
      <c r="AP14" s="927"/>
      <c r="AQ14" s="927"/>
      <c r="AR14" s="927"/>
      <c r="AS14" s="928"/>
      <c r="AT14" s="926" t="str">
        <f>IF($AL$2="","",IF(H14="","",VLOOKUP($AL$2,'5.กลางภาค'!$A$8:$W$57,6)))</f>
        <v/>
      </c>
      <c r="AU14" s="927"/>
      <c r="AV14" s="927"/>
      <c r="AW14" s="927"/>
      <c r="AX14" s="927"/>
      <c r="AY14" s="927"/>
      <c r="AZ14" s="928"/>
      <c r="BA14" s="929"/>
      <c r="BB14" s="930"/>
      <c r="BC14" s="930"/>
      <c r="BD14" s="930"/>
      <c r="BE14" s="930"/>
      <c r="BF14" s="930"/>
      <c r="BG14" s="930"/>
      <c r="BH14" s="930"/>
      <c r="BI14" s="930"/>
      <c r="BJ14" s="930"/>
      <c r="BK14" s="930"/>
      <c r="BL14" s="930"/>
      <c r="BM14" s="930"/>
      <c r="BN14" s="930"/>
      <c r="BO14" s="930"/>
      <c r="BP14" s="930"/>
      <c r="BQ14" s="930"/>
      <c r="BR14" s="930"/>
      <c r="BS14" s="930"/>
      <c r="BT14" s="931"/>
    </row>
    <row r="15" spans="1:151" x14ac:dyDescent="0.35">
      <c r="A15" s="921" t="str">
        <f>IF(codegen3="","",codegen3)</f>
        <v/>
      </c>
      <c r="B15" s="922"/>
      <c r="C15" s="922"/>
      <c r="D15" s="922"/>
      <c r="E15" s="922"/>
      <c r="F15" s="922"/>
      <c r="G15" s="922"/>
      <c r="H15" s="923" t="str">
        <f>IF(SubGen3="","",SubGen3)</f>
        <v/>
      </c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924"/>
      <c r="Z15" s="924"/>
      <c r="AA15" s="924"/>
      <c r="AB15" s="924"/>
      <c r="AC15" s="924"/>
      <c r="AD15" s="924"/>
      <c r="AE15" s="925"/>
      <c r="AF15" s="926" t="str">
        <f>IF(CreditGen3="","",CreditGen3)</f>
        <v/>
      </c>
      <c r="AG15" s="927"/>
      <c r="AH15" s="927"/>
      <c r="AI15" s="927"/>
      <c r="AJ15" s="927"/>
      <c r="AK15" s="927"/>
      <c r="AL15" s="928"/>
      <c r="AM15" s="926" t="str">
        <f>IF('5.กลางภาค'!G$7="","",'5.กลางภาค'!G$7)</f>
        <v/>
      </c>
      <c r="AN15" s="927"/>
      <c r="AO15" s="927"/>
      <c r="AP15" s="927"/>
      <c r="AQ15" s="927"/>
      <c r="AR15" s="927"/>
      <c r="AS15" s="928"/>
      <c r="AT15" s="926" t="str">
        <f>IF($AL$2="","",IF(H15="","",VLOOKUP($AL$2,'5.กลางภาค'!$A$8:$W$57,7)))</f>
        <v/>
      </c>
      <c r="AU15" s="927"/>
      <c r="AV15" s="927"/>
      <c r="AW15" s="927"/>
      <c r="AX15" s="927"/>
      <c r="AY15" s="927"/>
      <c r="AZ15" s="928"/>
      <c r="BA15" s="929"/>
      <c r="BB15" s="930"/>
      <c r="BC15" s="930"/>
      <c r="BD15" s="930"/>
      <c r="BE15" s="930"/>
      <c r="BF15" s="930"/>
      <c r="BG15" s="930"/>
      <c r="BH15" s="930"/>
      <c r="BI15" s="930"/>
      <c r="BJ15" s="930"/>
      <c r="BK15" s="930"/>
      <c r="BL15" s="930"/>
      <c r="BM15" s="930"/>
      <c r="BN15" s="930"/>
      <c r="BO15" s="930"/>
      <c r="BP15" s="930"/>
      <c r="BQ15" s="930"/>
      <c r="BR15" s="930"/>
      <c r="BS15" s="930"/>
      <c r="BT15" s="931"/>
    </row>
    <row r="16" spans="1:151" x14ac:dyDescent="0.35">
      <c r="A16" s="921" t="str">
        <f>IF(codegen4="","",codegen4)</f>
        <v/>
      </c>
      <c r="B16" s="922"/>
      <c r="C16" s="922"/>
      <c r="D16" s="922"/>
      <c r="E16" s="922"/>
      <c r="F16" s="922"/>
      <c r="G16" s="922"/>
      <c r="H16" s="923" t="str">
        <f>IF(SubGen4="","",SubGen4)</f>
        <v/>
      </c>
      <c r="I16" s="924"/>
      <c r="J16" s="924"/>
      <c r="K16" s="924"/>
      <c r="L16" s="924"/>
      <c r="M16" s="924"/>
      <c r="N16" s="924"/>
      <c r="O16" s="924"/>
      <c r="P16" s="924"/>
      <c r="Q16" s="924"/>
      <c r="R16" s="924"/>
      <c r="S16" s="924"/>
      <c r="T16" s="924"/>
      <c r="U16" s="924"/>
      <c r="V16" s="924"/>
      <c r="W16" s="924"/>
      <c r="X16" s="924"/>
      <c r="Y16" s="924"/>
      <c r="Z16" s="924"/>
      <c r="AA16" s="924"/>
      <c r="AB16" s="924"/>
      <c r="AC16" s="924"/>
      <c r="AD16" s="924"/>
      <c r="AE16" s="925"/>
      <c r="AF16" s="926" t="str">
        <f>IF(CreditGen4="","",CreditGen4)</f>
        <v/>
      </c>
      <c r="AG16" s="927"/>
      <c r="AH16" s="927"/>
      <c r="AI16" s="927"/>
      <c r="AJ16" s="927"/>
      <c r="AK16" s="927"/>
      <c r="AL16" s="928"/>
      <c r="AM16" s="926" t="str">
        <f>IF('5.กลางภาค'!H$7="","",'5.กลางภาค'!H$7)</f>
        <v/>
      </c>
      <c r="AN16" s="927"/>
      <c r="AO16" s="927"/>
      <c r="AP16" s="927"/>
      <c r="AQ16" s="927"/>
      <c r="AR16" s="927"/>
      <c r="AS16" s="928"/>
      <c r="AT16" s="926" t="str">
        <f>IF($AL$2="","",IF(H16="","",VLOOKUP($AL$2,'5.กลางภาค'!$A$8:$W$57,8)))</f>
        <v/>
      </c>
      <c r="AU16" s="927"/>
      <c r="AV16" s="927"/>
      <c r="AW16" s="927"/>
      <c r="AX16" s="927"/>
      <c r="AY16" s="927"/>
      <c r="AZ16" s="928"/>
      <c r="BA16" s="929"/>
      <c r="BB16" s="930"/>
      <c r="BC16" s="930"/>
      <c r="BD16" s="930"/>
      <c r="BE16" s="930"/>
      <c r="BF16" s="930"/>
      <c r="BG16" s="930"/>
      <c r="BH16" s="930"/>
      <c r="BI16" s="930"/>
      <c r="BJ16" s="930"/>
      <c r="BK16" s="930"/>
      <c r="BL16" s="930"/>
      <c r="BM16" s="930"/>
      <c r="BN16" s="930"/>
      <c r="BO16" s="930"/>
      <c r="BP16" s="930"/>
      <c r="BQ16" s="930"/>
      <c r="BR16" s="930"/>
      <c r="BS16" s="930"/>
      <c r="BT16" s="931"/>
    </row>
    <row r="17" spans="1:72" x14ac:dyDescent="0.35">
      <c r="A17" s="921" t="str">
        <f>IF(codegen5="","",codegen5)</f>
        <v/>
      </c>
      <c r="B17" s="922"/>
      <c r="C17" s="922"/>
      <c r="D17" s="922"/>
      <c r="E17" s="922"/>
      <c r="F17" s="922"/>
      <c r="G17" s="922"/>
      <c r="H17" s="923" t="str">
        <f>IF(SubGen5="","",SubGen5)</f>
        <v/>
      </c>
      <c r="I17" s="924"/>
      <c r="J17" s="924"/>
      <c r="K17" s="924"/>
      <c r="L17" s="924"/>
      <c r="M17" s="924"/>
      <c r="N17" s="924"/>
      <c r="O17" s="924"/>
      <c r="P17" s="924"/>
      <c r="Q17" s="924"/>
      <c r="R17" s="924"/>
      <c r="S17" s="924"/>
      <c r="T17" s="924"/>
      <c r="U17" s="924"/>
      <c r="V17" s="924"/>
      <c r="W17" s="924"/>
      <c r="X17" s="924"/>
      <c r="Y17" s="924"/>
      <c r="Z17" s="924"/>
      <c r="AA17" s="924"/>
      <c r="AB17" s="924"/>
      <c r="AC17" s="924"/>
      <c r="AD17" s="924"/>
      <c r="AE17" s="925"/>
      <c r="AF17" s="926" t="str">
        <f>IF(CreditGen5="","",CreditGen5)</f>
        <v/>
      </c>
      <c r="AG17" s="927"/>
      <c r="AH17" s="927"/>
      <c r="AI17" s="927"/>
      <c r="AJ17" s="927"/>
      <c r="AK17" s="927"/>
      <c r="AL17" s="928"/>
      <c r="AM17" s="926" t="str">
        <f>IF('5.กลางภาค'!I$7="","",'5.กลางภาค'!I$7)</f>
        <v/>
      </c>
      <c r="AN17" s="927"/>
      <c r="AO17" s="927"/>
      <c r="AP17" s="927"/>
      <c r="AQ17" s="927"/>
      <c r="AR17" s="927"/>
      <c r="AS17" s="928"/>
      <c r="AT17" s="926" t="str">
        <f>IF($AL$2="","",IF(H17="","",VLOOKUP($AL$2,'5.กลางภาค'!$A$8:$W$57,9)))</f>
        <v/>
      </c>
      <c r="AU17" s="927"/>
      <c r="AV17" s="927"/>
      <c r="AW17" s="927"/>
      <c r="AX17" s="927"/>
      <c r="AY17" s="927"/>
      <c r="AZ17" s="928"/>
      <c r="BA17" s="929"/>
      <c r="BB17" s="930"/>
      <c r="BC17" s="930"/>
      <c r="BD17" s="930"/>
      <c r="BE17" s="930"/>
      <c r="BF17" s="930"/>
      <c r="BG17" s="930"/>
      <c r="BH17" s="930"/>
      <c r="BI17" s="930"/>
      <c r="BJ17" s="930"/>
      <c r="BK17" s="930"/>
      <c r="BL17" s="930"/>
      <c r="BM17" s="930"/>
      <c r="BN17" s="930"/>
      <c r="BO17" s="930"/>
      <c r="BP17" s="930"/>
      <c r="BQ17" s="930"/>
      <c r="BR17" s="930"/>
      <c r="BS17" s="930"/>
      <c r="BT17" s="931"/>
    </row>
    <row r="18" spans="1:72" x14ac:dyDescent="0.35">
      <c r="A18" s="921" t="str">
        <f>IF(codegen6="","",codegen6)</f>
        <v/>
      </c>
      <c r="B18" s="922"/>
      <c r="C18" s="922"/>
      <c r="D18" s="922"/>
      <c r="E18" s="922"/>
      <c r="F18" s="922"/>
      <c r="G18" s="922"/>
      <c r="H18" s="923" t="str">
        <f>IF(SubGen6="","",SubGen6)</f>
        <v/>
      </c>
      <c r="I18" s="924"/>
      <c r="J18" s="924"/>
      <c r="K18" s="924"/>
      <c r="L18" s="924"/>
      <c r="M18" s="924"/>
      <c r="N18" s="924"/>
      <c r="O18" s="924"/>
      <c r="P18" s="924"/>
      <c r="Q18" s="924"/>
      <c r="R18" s="924"/>
      <c r="S18" s="924"/>
      <c r="T18" s="924"/>
      <c r="U18" s="924"/>
      <c r="V18" s="924"/>
      <c r="W18" s="924"/>
      <c r="X18" s="924"/>
      <c r="Y18" s="924"/>
      <c r="Z18" s="924"/>
      <c r="AA18" s="924"/>
      <c r="AB18" s="924"/>
      <c r="AC18" s="924"/>
      <c r="AD18" s="924"/>
      <c r="AE18" s="925"/>
      <c r="AF18" s="926" t="str">
        <f>IF(CreditGen6="","",CreditGen6)</f>
        <v/>
      </c>
      <c r="AG18" s="927"/>
      <c r="AH18" s="927"/>
      <c r="AI18" s="927"/>
      <c r="AJ18" s="927"/>
      <c r="AK18" s="927"/>
      <c r="AL18" s="928"/>
      <c r="AM18" s="926" t="str">
        <f>IF('5.กลางภาค'!J$7="","",'5.กลางภาค'!J$7)</f>
        <v/>
      </c>
      <c r="AN18" s="927"/>
      <c r="AO18" s="927"/>
      <c r="AP18" s="927"/>
      <c r="AQ18" s="927"/>
      <c r="AR18" s="927"/>
      <c r="AS18" s="928"/>
      <c r="AT18" s="926" t="str">
        <f>IF($AL$2="","",IF(H18="","",VLOOKUP($AL$2,'5.กลางภาค'!$A$8:$W$57,10)))</f>
        <v/>
      </c>
      <c r="AU18" s="927"/>
      <c r="AV18" s="927"/>
      <c r="AW18" s="927"/>
      <c r="AX18" s="927"/>
      <c r="AY18" s="927"/>
      <c r="AZ18" s="928"/>
      <c r="BA18" s="929"/>
      <c r="BB18" s="930"/>
      <c r="BC18" s="930"/>
      <c r="BD18" s="930"/>
      <c r="BE18" s="930"/>
      <c r="BF18" s="930"/>
      <c r="BG18" s="930"/>
      <c r="BH18" s="930"/>
      <c r="BI18" s="930"/>
      <c r="BJ18" s="930"/>
      <c r="BK18" s="930"/>
      <c r="BL18" s="930"/>
      <c r="BM18" s="930"/>
      <c r="BN18" s="930"/>
      <c r="BO18" s="930"/>
      <c r="BP18" s="930"/>
      <c r="BQ18" s="930"/>
      <c r="BR18" s="930"/>
      <c r="BS18" s="930"/>
      <c r="BT18" s="931"/>
    </row>
    <row r="19" spans="1:72" x14ac:dyDescent="0.35">
      <c r="A19" s="921" t="str">
        <f>IF(codegen7="","",codegen7)</f>
        <v/>
      </c>
      <c r="B19" s="922"/>
      <c r="C19" s="922"/>
      <c r="D19" s="922"/>
      <c r="E19" s="922"/>
      <c r="F19" s="922"/>
      <c r="G19" s="922"/>
      <c r="H19" s="923" t="str">
        <f>IF(SubGen7="","",SubGen7)</f>
        <v/>
      </c>
      <c r="I19" s="924"/>
      <c r="J19" s="924"/>
      <c r="K19" s="924"/>
      <c r="L19" s="924"/>
      <c r="M19" s="924"/>
      <c r="N19" s="924"/>
      <c r="O19" s="924"/>
      <c r="P19" s="924"/>
      <c r="Q19" s="924"/>
      <c r="R19" s="924"/>
      <c r="S19" s="924"/>
      <c r="T19" s="924"/>
      <c r="U19" s="924"/>
      <c r="V19" s="924"/>
      <c r="W19" s="924"/>
      <c r="X19" s="924"/>
      <c r="Y19" s="924"/>
      <c r="Z19" s="924"/>
      <c r="AA19" s="924"/>
      <c r="AB19" s="924"/>
      <c r="AC19" s="924"/>
      <c r="AD19" s="924"/>
      <c r="AE19" s="925"/>
      <c r="AF19" s="926" t="str">
        <f>IF(CreditGen7="","",CreditGen7)</f>
        <v/>
      </c>
      <c r="AG19" s="927"/>
      <c r="AH19" s="927"/>
      <c r="AI19" s="927"/>
      <c r="AJ19" s="927"/>
      <c r="AK19" s="927"/>
      <c r="AL19" s="928"/>
      <c r="AM19" s="926" t="str">
        <f>IF('5.กลางภาค'!K$7="","",'5.กลางภาค'!K$7)</f>
        <v/>
      </c>
      <c r="AN19" s="927"/>
      <c r="AO19" s="927"/>
      <c r="AP19" s="927"/>
      <c r="AQ19" s="927"/>
      <c r="AR19" s="927"/>
      <c r="AS19" s="928"/>
      <c r="AT19" s="926" t="str">
        <f>IF($AL$2="","",IF(H19="","",VLOOKUP($AL$2,'5.กลางภาค'!$A$8:$W$57,11)))</f>
        <v/>
      </c>
      <c r="AU19" s="927"/>
      <c r="AV19" s="927"/>
      <c r="AW19" s="927"/>
      <c r="AX19" s="927"/>
      <c r="AY19" s="927"/>
      <c r="AZ19" s="928"/>
      <c r="BA19" s="929"/>
      <c r="BB19" s="930"/>
      <c r="BC19" s="930"/>
      <c r="BD19" s="930"/>
      <c r="BE19" s="930"/>
      <c r="BF19" s="930"/>
      <c r="BG19" s="930"/>
      <c r="BH19" s="930"/>
      <c r="BI19" s="930"/>
      <c r="BJ19" s="930"/>
      <c r="BK19" s="930"/>
      <c r="BL19" s="930"/>
      <c r="BM19" s="930"/>
      <c r="BN19" s="930"/>
      <c r="BO19" s="930"/>
      <c r="BP19" s="930"/>
      <c r="BQ19" s="930"/>
      <c r="BR19" s="930"/>
      <c r="BS19" s="930"/>
      <c r="BT19" s="931"/>
    </row>
    <row r="20" spans="1:72" x14ac:dyDescent="0.35">
      <c r="A20" s="921" t="str">
        <f>IF(codegen8="","",codegen8)</f>
        <v/>
      </c>
      <c r="B20" s="922"/>
      <c r="C20" s="922"/>
      <c r="D20" s="922"/>
      <c r="E20" s="922"/>
      <c r="F20" s="922"/>
      <c r="G20" s="922"/>
      <c r="H20" s="923" t="str">
        <f>IF(SubGen8="","",SubGen8)</f>
        <v/>
      </c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5"/>
      <c r="AF20" s="926" t="str">
        <f>IF(CreditGen8="","",CreditGen8)</f>
        <v/>
      </c>
      <c r="AG20" s="927"/>
      <c r="AH20" s="927"/>
      <c r="AI20" s="927"/>
      <c r="AJ20" s="927"/>
      <c r="AK20" s="927"/>
      <c r="AL20" s="928"/>
      <c r="AM20" s="926" t="str">
        <f>IF('5.กลางภาค'!L$7="","",'5.กลางภาค'!L$7)</f>
        <v/>
      </c>
      <c r="AN20" s="927"/>
      <c r="AO20" s="927"/>
      <c r="AP20" s="927"/>
      <c r="AQ20" s="927"/>
      <c r="AR20" s="927"/>
      <c r="AS20" s="928"/>
      <c r="AT20" s="926" t="str">
        <f>IF($AL$2="","",IF(H20="","",VLOOKUP($AL$2,'5.กลางภาค'!$A$8:$W$57,12)))</f>
        <v/>
      </c>
      <c r="AU20" s="927"/>
      <c r="AV20" s="927"/>
      <c r="AW20" s="927"/>
      <c r="AX20" s="927"/>
      <c r="AY20" s="927"/>
      <c r="AZ20" s="928"/>
      <c r="BA20" s="929"/>
      <c r="BB20" s="930"/>
      <c r="BC20" s="930"/>
      <c r="BD20" s="930"/>
      <c r="BE20" s="930"/>
      <c r="BF20" s="930"/>
      <c r="BG20" s="930"/>
      <c r="BH20" s="930"/>
      <c r="BI20" s="930"/>
      <c r="BJ20" s="930"/>
      <c r="BK20" s="930"/>
      <c r="BL20" s="930"/>
      <c r="BM20" s="930"/>
      <c r="BN20" s="930"/>
      <c r="BO20" s="930"/>
      <c r="BP20" s="930"/>
      <c r="BQ20" s="930"/>
      <c r="BR20" s="930"/>
      <c r="BS20" s="930"/>
      <c r="BT20" s="931"/>
    </row>
    <row r="21" spans="1:72" x14ac:dyDescent="0.35">
      <c r="A21" s="921" t="str">
        <f>IF(codegen9="","",codegen9)</f>
        <v/>
      </c>
      <c r="B21" s="922"/>
      <c r="C21" s="922"/>
      <c r="D21" s="922"/>
      <c r="E21" s="922"/>
      <c r="F21" s="922"/>
      <c r="G21" s="922"/>
      <c r="H21" s="923" t="str">
        <f>IF(SubGen9="","",SubGen9)</f>
        <v/>
      </c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5"/>
      <c r="AF21" s="926" t="str">
        <f>IF(CreditGen9="","",CreditGen9)</f>
        <v/>
      </c>
      <c r="AG21" s="927"/>
      <c r="AH21" s="927"/>
      <c r="AI21" s="927"/>
      <c r="AJ21" s="927"/>
      <c r="AK21" s="927"/>
      <c r="AL21" s="928"/>
      <c r="AM21" s="926" t="str">
        <f>IF('5.กลางภาค'!M$7="","",'5.กลางภาค'!M$7)</f>
        <v/>
      </c>
      <c r="AN21" s="927"/>
      <c r="AO21" s="927"/>
      <c r="AP21" s="927"/>
      <c r="AQ21" s="927"/>
      <c r="AR21" s="927"/>
      <c r="AS21" s="928"/>
      <c r="AT21" s="926" t="str">
        <f>IF($AL$2="","",IF(H21="","",VLOOKUP($AL$2,'5.กลางภาค'!$A$8:$W$57,13)))</f>
        <v/>
      </c>
      <c r="AU21" s="927"/>
      <c r="AV21" s="927"/>
      <c r="AW21" s="927"/>
      <c r="AX21" s="927"/>
      <c r="AY21" s="927"/>
      <c r="AZ21" s="928"/>
      <c r="BA21" s="929"/>
      <c r="BB21" s="930"/>
      <c r="BC21" s="930"/>
      <c r="BD21" s="930"/>
      <c r="BE21" s="930"/>
      <c r="BF21" s="930"/>
      <c r="BG21" s="930"/>
      <c r="BH21" s="930"/>
      <c r="BI21" s="930"/>
      <c r="BJ21" s="930"/>
      <c r="BK21" s="930"/>
      <c r="BL21" s="930"/>
      <c r="BM21" s="930"/>
      <c r="BN21" s="930"/>
      <c r="BO21" s="930"/>
      <c r="BP21" s="930"/>
      <c r="BQ21" s="930"/>
      <c r="BR21" s="930"/>
      <c r="BS21" s="930"/>
      <c r="BT21" s="931"/>
    </row>
    <row r="22" spans="1:72" x14ac:dyDescent="0.35">
      <c r="A22" s="921" t="str">
        <f>IF(codegen10="","",codegen10)</f>
        <v/>
      </c>
      <c r="B22" s="922"/>
      <c r="C22" s="922"/>
      <c r="D22" s="922"/>
      <c r="E22" s="922"/>
      <c r="F22" s="922"/>
      <c r="G22" s="922"/>
      <c r="H22" s="923" t="str">
        <f>IF(SubGen10="","",SubGen10)</f>
        <v/>
      </c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5"/>
      <c r="AF22" s="926" t="str">
        <f>IF(CreditGen10="","",CreditGen10)</f>
        <v/>
      </c>
      <c r="AG22" s="927"/>
      <c r="AH22" s="927"/>
      <c r="AI22" s="927"/>
      <c r="AJ22" s="927"/>
      <c r="AK22" s="927"/>
      <c r="AL22" s="928"/>
      <c r="AM22" s="926" t="str">
        <f>IF('5.กลางภาค'!N$7="","",'5.กลางภาค'!N$7)</f>
        <v/>
      </c>
      <c r="AN22" s="927"/>
      <c r="AO22" s="927"/>
      <c r="AP22" s="927"/>
      <c r="AQ22" s="927"/>
      <c r="AR22" s="927"/>
      <c r="AS22" s="928"/>
      <c r="AT22" s="926" t="str">
        <f>IF($AL$2="","",IF(H22="","",VLOOKUP($AL$2,'5.กลางภาค'!$A$8:$W$57,14)))</f>
        <v/>
      </c>
      <c r="AU22" s="927"/>
      <c r="AV22" s="927"/>
      <c r="AW22" s="927"/>
      <c r="AX22" s="927"/>
      <c r="AY22" s="927"/>
      <c r="AZ22" s="928"/>
      <c r="BA22" s="929"/>
      <c r="BB22" s="930"/>
      <c r="BC22" s="930"/>
      <c r="BD22" s="930"/>
      <c r="BE22" s="930"/>
      <c r="BF22" s="930"/>
      <c r="BG22" s="930"/>
      <c r="BH22" s="930"/>
      <c r="BI22" s="930"/>
      <c r="BJ22" s="930"/>
      <c r="BK22" s="930"/>
      <c r="BL22" s="930"/>
      <c r="BM22" s="930"/>
      <c r="BN22" s="930"/>
      <c r="BO22" s="930"/>
      <c r="BP22" s="930"/>
      <c r="BQ22" s="930"/>
      <c r="BR22" s="930"/>
      <c r="BS22" s="930"/>
      <c r="BT22" s="931"/>
    </row>
    <row r="23" spans="1:72" x14ac:dyDescent="0.35">
      <c r="A23" s="921" t="str">
        <f>IF(codegen11="","",codegen11)</f>
        <v/>
      </c>
      <c r="B23" s="922"/>
      <c r="C23" s="922"/>
      <c r="D23" s="922"/>
      <c r="E23" s="922"/>
      <c r="F23" s="922"/>
      <c r="G23" s="922"/>
      <c r="H23" s="923" t="str">
        <f>IF(SubGen11="","",SubGen11)</f>
        <v/>
      </c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4"/>
      <c r="W23" s="924"/>
      <c r="X23" s="924"/>
      <c r="Y23" s="924"/>
      <c r="Z23" s="924"/>
      <c r="AA23" s="924"/>
      <c r="AB23" s="924"/>
      <c r="AC23" s="924"/>
      <c r="AD23" s="924"/>
      <c r="AE23" s="925"/>
      <c r="AF23" s="926" t="str">
        <f>IF(CreditGen11="","",CreditGen11)</f>
        <v/>
      </c>
      <c r="AG23" s="927"/>
      <c r="AH23" s="927"/>
      <c r="AI23" s="927"/>
      <c r="AJ23" s="927"/>
      <c r="AK23" s="927"/>
      <c r="AL23" s="928"/>
      <c r="AM23" s="926" t="str">
        <f>IF('5.กลางภาค'!O$7="","",'5.กลางภาค'!O$7)</f>
        <v/>
      </c>
      <c r="AN23" s="927"/>
      <c r="AO23" s="927"/>
      <c r="AP23" s="927"/>
      <c r="AQ23" s="927"/>
      <c r="AR23" s="927"/>
      <c r="AS23" s="928"/>
      <c r="AT23" s="926" t="str">
        <f>IF($AL$2="","",IF(H23="","",VLOOKUP($AL$2,'5.กลางภาค'!$A$8:$W$57,15)))</f>
        <v/>
      </c>
      <c r="AU23" s="927"/>
      <c r="AV23" s="927"/>
      <c r="AW23" s="927"/>
      <c r="AX23" s="927"/>
      <c r="AY23" s="927"/>
      <c r="AZ23" s="928"/>
      <c r="BA23" s="929"/>
      <c r="BB23" s="930"/>
      <c r="BC23" s="930"/>
      <c r="BD23" s="930"/>
      <c r="BE23" s="930"/>
      <c r="BF23" s="930"/>
      <c r="BG23" s="930"/>
      <c r="BH23" s="930"/>
      <c r="BI23" s="930"/>
      <c r="BJ23" s="930"/>
      <c r="BK23" s="930"/>
      <c r="BL23" s="930"/>
      <c r="BM23" s="930"/>
      <c r="BN23" s="930"/>
      <c r="BO23" s="930"/>
      <c r="BP23" s="930"/>
      <c r="BQ23" s="930"/>
      <c r="BR23" s="930"/>
      <c r="BS23" s="930"/>
      <c r="BT23" s="931"/>
    </row>
    <row r="24" spans="1:72" x14ac:dyDescent="0.35">
      <c r="A24" s="921" t="str">
        <f>IF(codegen12="","",codegen12)</f>
        <v/>
      </c>
      <c r="B24" s="922"/>
      <c r="C24" s="922"/>
      <c r="D24" s="922"/>
      <c r="E24" s="922"/>
      <c r="F24" s="922"/>
      <c r="G24" s="922"/>
      <c r="H24" s="923" t="str">
        <f>IF(SubGen12="","",SubGen12)</f>
        <v/>
      </c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4"/>
      <c r="AB24" s="924"/>
      <c r="AC24" s="924"/>
      <c r="AD24" s="924"/>
      <c r="AE24" s="925"/>
      <c r="AF24" s="926" t="str">
        <f>IF(CreditGen12="","",CreditGen12)</f>
        <v/>
      </c>
      <c r="AG24" s="927"/>
      <c r="AH24" s="927"/>
      <c r="AI24" s="927"/>
      <c r="AJ24" s="927"/>
      <c r="AK24" s="927"/>
      <c r="AL24" s="928"/>
      <c r="AM24" s="926" t="str">
        <f>IF('5.กลางภาค'!P$7="","",'5.กลางภาค'!P$7)</f>
        <v/>
      </c>
      <c r="AN24" s="927"/>
      <c r="AO24" s="927"/>
      <c r="AP24" s="927"/>
      <c r="AQ24" s="927"/>
      <c r="AR24" s="927"/>
      <c r="AS24" s="928"/>
      <c r="AT24" s="926" t="str">
        <f>IF($AL$2="","",IF(H24="","",VLOOKUP($AL$2,'5.กลางภาค'!$A$8:$W$57,16)))</f>
        <v/>
      </c>
      <c r="AU24" s="927"/>
      <c r="AV24" s="927"/>
      <c r="AW24" s="927"/>
      <c r="AX24" s="927"/>
      <c r="AY24" s="927"/>
      <c r="AZ24" s="928"/>
      <c r="BA24" s="929"/>
      <c r="BB24" s="930"/>
      <c r="BC24" s="930"/>
      <c r="BD24" s="930"/>
      <c r="BE24" s="930"/>
      <c r="BF24" s="930"/>
      <c r="BG24" s="930"/>
      <c r="BH24" s="930"/>
      <c r="BI24" s="930"/>
      <c r="BJ24" s="930"/>
      <c r="BK24" s="930"/>
      <c r="BL24" s="930"/>
      <c r="BM24" s="930"/>
      <c r="BN24" s="930"/>
      <c r="BO24" s="930"/>
      <c r="BP24" s="930"/>
      <c r="BQ24" s="930"/>
      <c r="BR24" s="930"/>
      <c r="BS24" s="930"/>
      <c r="BT24" s="931"/>
    </row>
    <row r="25" spans="1:72" x14ac:dyDescent="0.35">
      <c r="A25" s="886" t="s">
        <v>41</v>
      </c>
      <c r="B25" s="933"/>
      <c r="C25" s="933"/>
      <c r="D25" s="933"/>
      <c r="E25" s="933"/>
      <c r="F25" s="933"/>
      <c r="G25" s="933"/>
      <c r="H25" s="933"/>
      <c r="I25" s="933"/>
      <c r="J25" s="933"/>
      <c r="K25" s="933"/>
      <c r="L25" s="933"/>
      <c r="M25" s="933"/>
      <c r="N25" s="933"/>
      <c r="O25" s="933"/>
      <c r="P25" s="933"/>
      <c r="Q25" s="933"/>
      <c r="R25" s="933"/>
      <c r="S25" s="933"/>
      <c r="T25" s="933"/>
      <c r="U25" s="933"/>
      <c r="V25" s="933"/>
      <c r="W25" s="933"/>
      <c r="X25" s="933"/>
      <c r="Y25" s="933"/>
      <c r="Z25" s="933"/>
      <c r="AA25" s="933"/>
      <c r="AB25" s="933"/>
      <c r="AC25" s="933"/>
      <c r="AD25" s="933"/>
      <c r="AE25" s="933"/>
      <c r="AF25" s="933"/>
      <c r="AG25" s="933"/>
      <c r="AH25" s="933"/>
      <c r="AI25" s="933"/>
      <c r="AJ25" s="933"/>
      <c r="AK25" s="933"/>
      <c r="AL25" s="933"/>
      <c r="AM25" s="933"/>
      <c r="AN25" s="933"/>
      <c r="AO25" s="933"/>
      <c r="AP25" s="933"/>
      <c r="AQ25" s="933"/>
      <c r="AR25" s="933"/>
      <c r="AS25" s="933"/>
      <c r="AT25" s="933"/>
      <c r="AU25" s="933"/>
      <c r="AV25" s="933"/>
      <c r="AW25" s="933"/>
      <c r="AX25" s="933"/>
      <c r="AY25" s="933"/>
      <c r="AZ25" s="933"/>
      <c r="BA25" s="933"/>
      <c r="BB25" s="933"/>
      <c r="BC25" s="933"/>
      <c r="BD25" s="933"/>
      <c r="BE25" s="933"/>
      <c r="BF25" s="933"/>
      <c r="BG25" s="933"/>
      <c r="BH25" s="933"/>
      <c r="BI25" s="933"/>
      <c r="BJ25" s="933"/>
      <c r="BK25" s="933"/>
      <c r="BL25" s="933"/>
      <c r="BM25" s="933"/>
      <c r="BN25" s="933"/>
      <c r="BO25" s="933"/>
      <c r="BP25" s="933"/>
      <c r="BQ25" s="933"/>
      <c r="BR25" s="933"/>
      <c r="BS25" s="933"/>
      <c r="BT25" s="934"/>
    </row>
    <row r="26" spans="1:72" x14ac:dyDescent="0.35">
      <c r="A26" s="921" t="str">
        <f>IF('5.กลางภาค'!$AL$6="","",IF('1.ข้อมูลเบื้องต้น'!$F$20="SBMLD",VLOOKUP($AL$2,'2.ชื่อนักเรียน'!$A$11:$Y$55,23),CodeEle1))</f>
        <v/>
      </c>
      <c r="B26" s="922"/>
      <c r="C26" s="922"/>
      <c r="D26" s="922"/>
      <c r="E26" s="922"/>
      <c r="F26" s="922"/>
      <c r="G26" s="922"/>
      <c r="H26" s="932" t="str">
        <f>IF(A26="","",VLOOKUP(A26,Subject!$A$3:$C$500,2,FALSE))</f>
        <v/>
      </c>
      <c r="I26" s="932"/>
      <c r="J26" s="932"/>
      <c r="K26" s="932"/>
      <c r="L26" s="932"/>
      <c r="M26" s="932"/>
      <c r="N26" s="932"/>
      <c r="O26" s="932"/>
      <c r="P26" s="932"/>
      <c r="Q26" s="932"/>
      <c r="R26" s="932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932"/>
      <c r="AF26" s="926" t="str">
        <f>IF(A26="","",VLOOKUP(A26,Subject!$A$3:$C$500,3,FALSE))</f>
        <v/>
      </c>
      <c r="AG26" s="927"/>
      <c r="AH26" s="927"/>
      <c r="AI26" s="927"/>
      <c r="AJ26" s="927"/>
      <c r="AK26" s="927"/>
      <c r="AL26" s="928"/>
      <c r="AM26" s="926" t="str">
        <f>IF('5.กลางภาค'!$AL$6="","",'5.กลางภาค'!$AL$7)</f>
        <v/>
      </c>
      <c r="AN26" s="927"/>
      <c r="AO26" s="927"/>
      <c r="AP26" s="927"/>
      <c r="AQ26" s="927"/>
      <c r="AR26" s="927"/>
      <c r="AS26" s="928"/>
      <c r="AT26" s="926" t="str">
        <f>IF($AL$2="","",IF(H26="","",VLOOKUP($AL$2,'5.กลางภาค'!$A$8:$AP$52,38)))</f>
        <v/>
      </c>
      <c r="AU26" s="927"/>
      <c r="AV26" s="927"/>
      <c r="AW26" s="927"/>
      <c r="AX26" s="927"/>
      <c r="AY26" s="927"/>
      <c r="AZ26" s="928"/>
      <c r="BA26" s="929"/>
      <c r="BB26" s="930"/>
      <c r="BC26" s="930"/>
      <c r="BD26" s="930"/>
      <c r="BE26" s="930"/>
      <c r="BF26" s="930"/>
      <c r="BG26" s="930"/>
      <c r="BH26" s="930"/>
      <c r="BI26" s="930"/>
      <c r="BJ26" s="930"/>
      <c r="BK26" s="930"/>
      <c r="BL26" s="930"/>
      <c r="BM26" s="930"/>
      <c r="BN26" s="930"/>
      <c r="BO26" s="930"/>
      <c r="BP26" s="930"/>
      <c r="BQ26" s="930"/>
      <c r="BR26" s="930"/>
      <c r="BS26" s="930"/>
      <c r="BT26" s="931"/>
    </row>
    <row r="27" spans="1:72" x14ac:dyDescent="0.35">
      <c r="A27" s="921" t="str">
        <f>IF('5.กลางภาค'!$AM$6="","",IF('1.ข้อมูลเบื้องต้น'!$F$21="SBMLD",VLOOKUP($AL$2,'2.ชื่อนักเรียน'!$A$11:$Y$55,23),CodeEle2))</f>
        <v/>
      </c>
      <c r="B27" s="922"/>
      <c r="C27" s="922"/>
      <c r="D27" s="922"/>
      <c r="E27" s="922"/>
      <c r="F27" s="922"/>
      <c r="G27" s="922"/>
      <c r="H27" s="932" t="str">
        <f>IF(A27="","",VLOOKUP(A27,Subject!$A$3:$C$500,2,FALSE))</f>
        <v/>
      </c>
      <c r="I27" s="932"/>
      <c r="J27" s="932"/>
      <c r="K27" s="932"/>
      <c r="L27" s="932"/>
      <c r="M27" s="932"/>
      <c r="N27" s="932"/>
      <c r="O27" s="932"/>
      <c r="P27" s="932"/>
      <c r="Q27" s="932"/>
      <c r="R27" s="932"/>
      <c r="S27" s="932"/>
      <c r="T27" s="932"/>
      <c r="U27" s="932"/>
      <c r="V27" s="932"/>
      <c r="W27" s="932"/>
      <c r="X27" s="932"/>
      <c r="Y27" s="932"/>
      <c r="Z27" s="932"/>
      <c r="AA27" s="932"/>
      <c r="AB27" s="932"/>
      <c r="AC27" s="932"/>
      <c r="AD27" s="932"/>
      <c r="AE27" s="932"/>
      <c r="AF27" s="926" t="str">
        <f>IF(A27="","",VLOOKUP(A27,Subject!$A$3:$C$500,3,FALSE))</f>
        <v/>
      </c>
      <c r="AG27" s="927"/>
      <c r="AH27" s="927"/>
      <c r="AI27" s="927"/>
      <c r="AJ27" s="927"/>
      <c r="AK27" s="927"/>
      <c r="AL27" s="928"/>
      <c r="AM27" s="926" t="str">
        <f>IF('5.กลางภาค'!AM$7="","",'5.กลางภาค'!AM$7)</f>
        <v/>
      </c>
      <c r="AN27" s="927"/>
      <c r="AO27" s="927"/>
      <c r="AP27" s="927"/>
      <c r="AQ27" s="927"/>
      <c r="AR27" s="927"/>
      <c r="AS27" s="928"/>
      <c r="AT27" s="926" t="str">
        <f>IF($AL$2="","",IF(H27="","",VLOOKUP($AL$2,'5.กลางภาค'!$A$8:$AP$52,39)))</f>
        <v/>
      </c>
      <c r="AU27" s="927"/>
      <c r="AV27" s="927"/>
      <c r="AW27" s="927"/>
      <c r="AX27" s="927"/>
      <c r="AY27" s="927"/>
      <c r="AZ27" s="928"/>
      <c r="BA27" s="929"/>
      <c r="BB27" s="930"/>
      <c r="BC27" s="930"/>
      <c r="BD27" s="930"/>
      <c r="BE27" s="930"/>
      <c r="BF27" s="930"/>
      <c r="BG27" s="930"/>
      <c r="BH27" s="930"/>
      <c r="BI27" s="930"/>
      <c r="BJ27" s="930"/>
      <c r="BK27" s="930"/>
      <c r="BL27" s="930"/>
      <c r="BM27" s="930"/>
      <c r="BN27" s="930"/>
      <c r="BO27" s="930"/>
      <c r="BP27" s="930"/>
      <c r="BQ27" s="930"/>
      <c r="BR27" s="930"/>
      <c r="BS27" s="930"/>
      <c r="BT27" s="931"/>
    </row>
    <row r="28" spans="1:72" x14ac:dyDescent="0.35">
      <c r="A28" s="921" t="str">
        <f>IF('5.กลางภาค'!$AN$6="","",IF('1.ข้อมูลเบื้องต้น'!$F$22="SBMLD",VLOOKUP($AL$2,'2.ชื่อนักเรียน'!$A$11:$Y$55,23),CodeEle3))</f>
        <v/>
      </c>
      <c r="B28" s="922"/>
      <c r="C28" s="922"/>
      <c r="D28" s="922"/>
      <c r="E28" s="922"/>
      <c r="F28" s="922"/>
      <c r="G28" s="922"/>
      <c r="H28" s="932" t="str">
        <f>IF(A28="","",VLOOKUP(A28,Subject!$A$3:$C$500,2,FALSE))</f>
        <v/>
      </c>
      <c r="I28" s="932"/>
      <c r="J28" s="932"/>
      <c r="K28" s="932"/>
      <c r="L28" s="932"/>
      <c r="M28" s="932"/>
      <c r="N28" s="932"/>
      <c r="O28" s="932"/>
      <c r="P28" s="932"/>
      <c r="Q28" s="932"/>
      <c r="R28" s="932"/>
      <c r="S28" s="932"/>
      <c r="T28" s="932"/>
      <c r="U28" s="932"/>
      <c r="V28" s="932"/>
      <c r="W28" s="932"/>
      <c r="X28" s="932"/>
      <c r="Y28" s="932"/>
      <c r="Z28" s="932"/>
      <c r="AA28" s="932"/>
      <c r="AB28" s="932"/>
      <c r="AC28" s="932"/>
      <c r="AD28" s="932"/>
      <c r="AE28" s="932"/>
      <c r="AF28" s="926" t="str">
        <f>IF(A28="","",VLOOKUP(A28,Subject!$A$3:$C$500,3,FALSE))</f>
        <v/>
      </c>
      <c r="AG28" s="927"/>
      <c r="AH28" s="927"/>
      <c r="AI28" s="927"/>
      <c r="AJ28" s="927"/>
      <c r="AK28" s="927"/>
      <c r="AL28" s="928"/>
      <c r="AM28" s="926" t="str">
        <f>IF('5.กลางภาค'!AN$7="","",'5.กลางภาค'!AN$7)</f>
        <v/>
      </c>
      <c r="AN28" s="927"/>
      <c r="AO28" s="927"/>
      <c r="AP28" s="927"/>
      <c r="AQ28" s="927"/>
      <c r="AR28" s="927"/>
      <c r="AS28" s="928"/>
      <c r="AT28" s="926" t="str">
        <f>IF($AL$2="","",IF(H28="","",VLOOKUP($AL$2,'5.กลางภาค'!$A$8:$AP$52,40)))</f>
        <v/>
      </c>
      <c r="AU28" s="927"/>
      <c r="AV28" s="927"/>
      <c r="AW28" s="927"/>
      <c r="AX28" s="927"/>
      <c r="AY28" s="927"/>
      <c r="AZ28" s="928"/>
      <c r="BA28" s="929"/>
      <c r="BB28" s="930"/>
      <c r="BC28" s="930"/>
      <c r="BD28" s="930"/>
      <c r="BE28" s="930"/>
      <c r="BF28" s="930"/>
      <c r="BG28" s="930"/>
      <c r="BH28" s="930"/>
      <c r="BI28" s="930"/>
      <c r="BJ28" s="930"/>
      <c r="BK28" s="930"/>
      <c r="BL28" s="930"/>
      <c r="BM28" s="930"/>
      <c r="BN28" s="930"/>
      <c r="BO28" s="930"/>
      <c r="BP28" s="930"/>
      <c r="BQ28" s="930"/>
      <c r="BR28" s="930"/>
      <c r="BS28" s="930"/>
      <c r="BT28" s="931"/>
    </row>
    <row r="29" spans="1:72" x14ac:dyDescent="0.35">
      <c r="A29" s="921" t="str">
        <f>IF('5.กลางภาค'!$AO$6="","",IF('1.ข้อมูลเบื้องต้น'!$F$23="SBMLD",VLOOKUP($AL$2,'2.ชื่อนักเรียน'!$A$11:$Y$55,23),CodeEle4))</f>
        <v/>
      </c>
      <c r="B29" s="922"/>
      <c r="C29" s="922"/>
      <c r="D29" s="922"/>
      <c r="E29" s="922"/>
      <c r="F29" s="922"/>
      <c r="G29" s="922"/>
      <c r="H29" s="932" t="str">
        <f>IF(A29="","",VLOOKUP(A29,Subject!$A$3:$C$500,2,FALSE))</f>
        <v/>
      </c>
      <c r="I29" s="932"/>
      <c r="J29" s="932"/>
      <c r="K29" s="932"/>
      <c r="L29" s="932"/>
      <c r="M29" s="932"/>
      <c r="N29" s="932"/>
      <c r="O29" s="932"/>
      <c r="P29" s="932"/>
      <c r="Q29" s="932"/>
      <c r="R29" s="932"/>
      <c r="S29" s="932"/>
      <c r="T29" s="932"/>
      <c r="U29" s="932"/>
      <c r="V29" s="932"/>
      <c r="W29" s="932"/>
      <c r="X29" s="932"/>
      <c r="Y29" s="932"/>
      <c r="Z29" s="932"/>
      <c r="AA29" s="932"/>
      <c r="AB29" s="932"/>
      <c r="AC29" s="932"/>
      <c r="AD29" s="932"/>
      <c r="AE29" s="932"/>
      <c r="AF29" s="926" t="str">
        <f>IF(A29="","",VLOOKUP(A29,Subject!$A$3:$C$500,3,FALSE))</f>
        <v/>
      </c>
      <c r="AG29" s="927"/>
      <c r="AH29" s="927"/>
      <c r="AI29" s="927"/>
      <c r="AJ29" s="927"/>
      <c r="AK29" s="927"/>
      <c r="AL29" s="928"/>
      <c r="AM29" s="926" t="str">
        <f>IF('5.กลางภาค'!AO$7="","",'5.กลางภาค'!AO$7)</f>
        <v/>
      </c>
      <c r="AN29" s="927"/>
      <c r="AO29" s="927"/>
      <c r="AP29" s="927"/>
      <c r="AQ29" s="927"/>
      <c r="AR29" s="927"/>
      <c r="AS29" s="928"/>
      <c r="AT29" s="926" t="str">
        <f>IF($AL$2="","",IF(H29="","",VLOOKUP($AL$2,'5.กลางภาค'!$A$8:$AP$52,41)))</f>
        <v/>
      </c>
      <c r="AU29" s="927"/>
      <c r="AV29" s="927"/>
      <c r="AW29" s="927"/>
      <c r="AX29" s="927"/>
      <c r="AY29" s="927"/>
      <c r="AZ29" s="928"/>
      <c r="BA29" s="929"/>
      <c r="BB29" s="930"/>
      <c r="BC29" s="930"/>
      <c r="BD29" s="930"/>
      <c r="BE29" s="930"/>
      <c r="BF29" s="930"/>
      <c r="BG29" s="930"/>
      <c r="BH29" s="930"/>
      <c r="BI29" s="930"/>
      <c r="BJ29" s="930"/>
      <c r="BK29" s="930"/>
      <c r="BL29" s="930"/>
      <c r="BM29" s="930"/>
      <c r="BN29" s="930"/>
      <c r="BO29" s="930"/>
      <c r="BP29" s="930"/>
      <c r="BQ29" s="930"/>
      <c r="BR29" s="930"/>
      <c r="BS29" s="930"/>
      <c r="BT29" s="931"/>
    </row>
    <row r="30" spans="1:72" x14ac:dyDescent="0.35">
      <c r="A30" s="921" t="str">
        <f>IF('5.กลางภาค'!$AP$6="","",IF('1.ข้อมูลเบื้องต้น'!$F$24="SBMLD",VLOOKUP($AL$2,'2.ชื่อนักเรียน'!$A$11:$Y$55,23),CodeEle5))</f>
        <v/>
      </c>
      <c r="B30" s="922"/>
      <c r="C30" s="922"/>
      <c r="D30" s="922"/>
      <c r="E30" s="922"/>
      <c r="F30" s="922"/>
      <c r="G30" s="922"/>
      <c r="H30" s="932" t="str">
        <f>IF(A30="","",VLOOKUP(A30,Subject!$A$3:$C$500,2,FALSE))</f>
        <v/>
      </c>
      <c r="I30" s="932"/>
      <c r="J30" s="932"/>
      <c r="K30" s="932"/>
      <c r="L30" s="932"/>
      <c r="M30" s="932"/>
      <c r="N30" s="932"/>
      <c r="O30" s="932"/>
      <c r="P30" s="932"/>
      <c r="Q30" s="932"/>
      <c r="R30" s="932"/>
      <c r="S30" s="932"/>
      <c r="T30" s="932"/>
      <c r="U30" s="932"/>
      <c r="V30" s="932"/>
      <c r="W30" s="932"/>
      <c r="X30" s="932"/>
      <c r="Y30" s="932"/>
      <c r="Z30" s="932"/>
      <c r="AA30" s="932"/>
      <c r="AB30" s="932"/>
      <c r="AC30" s="932"/>
      <c r="AD30" s="932"/>
      <c r="AE30" s="932"/>
      <c r="AF30" s="926" t="str">
        <f>IF(A30="","",VLOOKUP(A30,Subject!$A$3:$C$500,3,FALSE))</f>
        <v/>
      </c>
      <c r="AG30" s="927"/>
      <c r="AH30" s="927"/>
      <c r="AI30" s="927"/>
      <c r="AJ30" s="927"/>
      <c r="AK30" s="927"/>
      <c r="AL30" s="928"/>
      <c r="AM30" s="926" t="str">
        <f>IF('5.กลางภาค'!AP$7="","",'5.กลางภาค'!AP$7)</f>
        <v/>
      </c>
      <c r="AN30" s="927"/>
      <c r="AO30" s="927"/>
      <c r="AP30" s="927"/>
      <c r="AQ30" s="927"/>
      <c r="AR30" s="927"/>
      <c r="AS30" s="928"/>
      <c r="AT30" s="926" t="str">
        <f>IF($AL$2="","",IF(H30="","",VLOOKUP($AL$2,'5.กลางภาค'!$A$8:$AP$52,42)))</f>
        <v/>
      </c>
      <c r="AU30" s="927"/>
      <c r="AV30" s="927"/>
      <c r="AW30" s="927"/>
      <c r="AX30" s="927"/>
      <c r="AY30" s="927"/>
      <c r="AZ30" s="928"/>
      <c r="BA30" s="929"/>
      <c r="BB30" s="930"/>
      <c r="BC30" s="930"/>
      <c r="BD30" s="930"/>
      <c r="BE30" s="930"/>
      <c r="BF30" s="930"/>
      <c r="BG30" s="930"/>
      <c r="BH30" s="930"/>
      <c r="BI30" s="930"/>
      <c r="BJ30" s="930"/>
      <c r="BK30" s="930"/>
      <c r="BL30" s="930"/>
      <c r="BM30" s="930"/>
      <c r="BN30" s="930"/>
      <c r="BO30" s="930"/>
      <c r="BP30" s="930"/>
      <c r="BQ30" s="930"/>
      <c r="BR30" s="930"/>
      <c r="BS30" s="930"/>
      <c r="BT30" s="931"/>
    </row>
    <row r="31" spans="1:72" x14ac:dyDescent="0.35">
      <c r="A31" s="886" t="s">
        <v>4</v>
      </c>
      <c r="B31" s="887"/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887"/>
      <c r="N31" s="887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935"/>
      <c r="AM31" s="936">
        <f>SUM(AM13:AS24,AM26:AS30)</f>
        <v>0</v>
      </c>
      <c r="AN31" s="937"/>
      <c r="AO31" s="937"/>
      <c r="AP31" s="937"/>
      <c r="AQ31" s="937"/>
      <c r="AR31" s="937"/>
      <c r="AS31" s="937"/>
      <c r="AT31" s="938">
        <f>SUM(AT13:AZ24,AT26:AZ30)</f>
        <v>0</v>
      </c>
      <c r="AU31" s="939"/>
      <c r="AV31" s="939"/>
      <c r="AW31" s="939"/>
      <c r="AX31" s="939"/>
      <c r="AY31" s="939"/>
      <c r="AZ31" s="939"/>
      <c r="BA31" s="940"/>
      <c r="BB31" s="941"/>
      <c r="BC31" s="941"/>
      <c r="BD31" s="941"/>
      <c r="BE31" s="941"/>
      <c r="BF31" s="941"/>
      <c r="BG31" s="941"/>
      <c r="BH31" s="941"/>
      <c r="BI31" s="941"/>
      <c r="BJ31" s="941"/>
      <c r="BK31" s="941"/>
      <c r="BL31" s="941"/>
      <c r="BM31" s="941"/>
      <c r="BN31" s="941"/>
      <c r="BO31" s="941"/>
      <c r="BP31" s="941"/>
      <c r="BQ31" s="941"/>
      <c r="BR31" s="941"/>
      <c r="BS31" s="941"/>
      <c r="BT31" s="942"/>
    </row>
    <row r="32" spans="1:72" ht="21.6" thickBot="1" x14ac:dyDescent="0.3">
      <c r="A32" s="943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4"/>
      <c r="N32" s="944"/>
      <c r="O32" s="944"/>
      <c r="P32" s="944"/>
      <c r="Q32" s="944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  <c r="AI32" s="944"/>
      <c r="AJ32" s="944"/>
      <c r="AK32" s="944"/>
      <c r="AL32" s="944"/>
      <c r="AM32" s="944"/>
      <c r="AN32" s="944"/>
      <c r="AO32" s="944"/>
      <c r="AP32" s="944"/>
      <c r="AQ32" s="944"/>
      <c r="AR32" s="944"/>
      <c r="AS32" s="944"/>
      <c r="AT32" s="944"/>
      <c r="AU32" s="944"/>
      <c r="AV32" s="944"/>
      <c r="AW32" s="944"/>
      <c r="AX32" s="944"/>
      <c r="AY32" s="944"/>
      <c r="AZ32" s="944"/>
      <c r="BA32" s="944"/>
      <c r="BB32" s="944"/>
      <c r="BC32" s="944"/>
      <c r="BD32" s="944"/>
      <c r="BE32" s="944"/>
      <c r="BF32" s="944"/>
      <c r="BG32" s="944"/>
      <c r="BH32" s="944"/>
      <c r="BI32" s="944"/>
      <c r="BJ32" s="944"/>
      <c r="BK32" s="944"/>
      <c r="BL32" s="944"/>
      <c r="BM32" s="944"/>
      <c r="BN32" s="944"/>
      <c r="BO32" s="944"/>
      <c r="BP32" s="944"/>
      <c r="BQ32" s="944"/>
      <c r="BR32" s="944"/>
      <c r="BS32" s="944"/>
      <c r="BT32" s="945"/>
    </row>
    <row r="33" spans="1:152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</row>
    <row r="34" spans="1:152" x14ac:dyDescent="0.25">
      <c r="A34" s="279"/>
      <c r="B34" s="279"/>
      <c r="C34" s="279"/>
      <c r="D34" s="946" t="s">
        <v>11</v>
      </c>
      <c r="E34" s="946"/>
      <c r="F34" s="946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81"/>
      <c r="AN34" s="281"/>
      <c r="AO34" s="281"/>
      <c r="AP34" s="281"/>
      <c r="AQ34" s="281"/>
      <c r="AR34" s="281"/>
      <c r="AS34" s="281"/>
      <c r="AX34" s="946" t="s">
        <v>11</v>
      </c>
      <c r="AY34" s="946"/>
      <c r="AZ34" s="946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74"/>
      <c r="BS34" s="274"/>
      <c r="BT34" s="274"/>
    </row>
    <row r="35" spans="1:152" x14ac:dyDescent="0.25">
      <c r="A35" s="274"/>
      <c r="B35" s="274"/>
      <c r="C35" s="274"/>
      <c r="D35" s="947" t="s">
        <v>12</v>
      </c>
      <c r="E35" s="947"/>
      <c r="F35" s="947"/>
      <c r="G35" s="947"/>
      <c r="H35" s="947"/>
      <c r="I35" s="947"/>
      <c r="J35" s="947"/>
      <c r="K35" s="947"/>
      <c r="L35" s="947"/>
      <c r="M35" s="947"/>
      <c r="N35" s="947"/>
      <c r="O35" s="947"/>
      <c r="P35" s="947"/>
      <c r="Q35" s="947"/>
      <c r="R35" s="947"/>
      <c r="S35" s="947"/>
      <c r="T35" s="947"/>
      <c r="U35" s="947"/>
      <c r="V35" s="947"/>
      <c r="W35" s="947"/>
      <c r="X35" s="274"/>
      <c r="Y35" s="274"/>
      <c r="Z35" s="274"/>
      <c r="AA35" s="274"/>
      <c r="AB35" s="274"/>
      <c r="AC35" s="274"/>
      <c r="AD35" s="274"/>
      <c r="AE35" s="274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X35" s="947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AY35" s="947"/>
      <c r="AZ35" s="947"/>
      <c r="BA35" s="947"/>
      <c r="BB35" s="947"/>
      <c r="BC35" s="947"/>
      <c r="BD35" s="947"/>
      <c r="BE35" s="947"/>
      <c r="BF35" s="947"/>
      <c r="BG35" s="947"/>
      <c r="BH35" s="947"/>
      <c r="BI35" s="947"/>
      <c r="BJ35" s="947"/>
      <c r="BK35" s="947"/>
      <c r="BL35" s="947"/>
      <c r="BM35" s="947"/>
      <c r="BN35" s="947"/>
      <c r="BO35" s="947"/>
      <c r="BP35" s="947"/>
      <c r="BQ35" s="947"/>
      <c r="BR35" s="274"/>
      <c r="BS35" s="274"/>
      <c r="BT35" s="274"/>
    </row>
    <row r="36" spans="1:152" x14ac:dyDescent="0.25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X36" s="948" t="str">
        <f>IF(Director=AssDirector,"รักษาราชการแทนผู้อำนวยการสถานศึกษา","")</f>
        <v/>
      </c>
      <c r="AY36" s="948"/>
      <c r="AZ36" s="948"/>
      <c r="BA36" s="948"/>
      <c r="BB36" s="948"/>
      <c r="BC36" s="948"/>
      <c r="BD36" s="948"/>
      <c r="BE36" s="948"/>
      <c r="BF36" s="948"/>
      <c r="BG36" s="948"/>
      <c r="BH36" s="948"/>
      <c r="BI36" s="948"/>
      <c r="BJ36" s="948"/>
      <c r="BK36" s="948"/>
      <c r="BL36" s="948"/>
      <c r="BM36" s="948"/>
      <c r="BN36" s="948"/>
      <c r="BO36" s="948"/>
      <c r="BP36" s="948"/>
      <c r="BQ36" s="948"/>
      <c r="BR36" s="274"/>
      <c r="BS36" s="274"/>
      <c r="BT36" s="274"/>
    </row>
    <row r="37" spans="1:152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946" t="s">
        <v>11</v>
      </c>
      <c r="AA37" s="946"/>
      <c r="AB37" s="946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</row>
    <row r="38" spans="1:152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947" t="s">
        <v>602</v>
      </c>
      <c r="AA38" s="947"/>
      <c r="AB38" s="947"/>
      <c r="AC38" s="947"/>
      <c r="AD38" s="947"/>
      <c r="AE38" s="947"/>
      <c r="AF38" s="947"/>
      <c r="AG38" s="947"/>
      <c r="AH38" s="947"/>
      <c r="AI38" s="947"/>
      <c r="AJ38" s="947"/>
      <c r="AK38" s="947"/>
      <c r="AL38" s="947"/>
      <c r="AM38" s="947"/>
      <c r="AN38" s="947"/>
      <c r="AO38" s="947"/>
      <c r="AP38" s="947"/>
      <c r="AQ38" s="947"/>
      <c r="AR38" s="947"/>
      <c r="AS38" s="947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</row>
    <row r="39" spans="1:152" s="281" customFormat="1" ht="28.8" x14ac:dyDescent="0.5">
      <c r="A39" s="913" t="s">
        <v>603</v>
      </c>
      <c r="B39" s="913"/>
      <c r="C39" s="913"/>
      <c r="D39" s="913"/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3"/>
      <c r="P39" s="913"/>
      <c r="Q39" s="913"/>
      <c r="R39" s="913"/>
      <c r="S39" s="913"/>
      <c r="T39" s="913"/>
      <c r="U39" s="913"/>
      <c r="V39" s="913"/>
      <c r="W39" s="913"/>
      <c r="X39" s="913"/>
      <c r="Y39" s="913"/>
      <c r="Z39" s="913"/>
      <c r="AA39" s="913"/>
      <c r="AB39" s="913"/>
      <c r="AC39" s="913"/>
      <c r="AD39" s="913"/>
      <c r="AE39" s="913"/>
      <c r="AF39" s="913"/>
      <c r="AG39" s="913"/>
      <c r="AH39" s="913"/>
      <c r="AI39" s="913"/>
      <c r="AJ39" s="913"/>
      <c r="AK39" s="913"/>
      <c r="AL39" s="913"/>
      <c r="AM39" s="913"/>
      <c r="AN39" s="913"/>
      <c r="AO39" s="913"/>
      <c r="AP39" s="913"/>
      <c r="AQ39" s="913"/>
      <c r="AR39" s="913"/>
      <c r="AS39" s="913"/>
      <c r="AT39" s="913"/>
      <c r="AU39" s="913"/>
      <c r="AV39" s="913"/>
      <c r="AW39" s="913"/>
      <c r="AX39" s="913"/>
      <c r="AY39" s="913"/>
      <c r="AZ39" s="913"/>
      <c r="BA39" s="913"/>
      <c r="BB39" s="913"/>
      <c r="BC39" s="913"/>
      <c r="BD39" s="913"/>
      <c r="BE39" s="913"/>
      <c r="BF39" s="913"/>
      <c r="BG39" s="913"/>
      <c r="BH39" s="913"/>
      <c r="BI39" s="913"/>
      <c r="BJ39" s="913"/>
      <c r="BK39" s="913"/>
      <c r="BL39" s="913"/>
      <c r="BM39" s="913"/>
      <c r="BN39" s="913"/>
      <c r="BO39" s="913"/>
      <c r="BP39" s="913"/>
      <c r="BQ39" s="913"/>
      <c r="BR39" s="913"/>
      <c r="BS39" s="913"/>
      <c r="BT39" s="913"/>
      <c r="BV39" s="913" t="s">
        <v>603</v>
      </c>
      <c r="BW39" s="913"/>
      <c r="BX39" s="913"/>
      <c r="BY39" s="913"/>
      <c r="BZ39" s="913"/>
      <c r="CA39" s="913"/>
      <c r="CB39" s="913"/>
      <c r="CC39" s="913"/>
      <c r="CD39" s="913"/>
      <c r="CE39" s="913"/>
      <c r="CF39" s="913"/>
      <c r="CG39" s="913"/>
      <c r="CH39" s="913"/>
      <c r="CI39" s="913"/>
      <c r="CJ39" s="913"/>
      <c r="CK39" s="913"/>
      <c r="CL39" s="913"/>
      <c r="CM39" s="913"/>
      <c r="CN39" s="913"/>
      <c r="CO39" s="913"/>
      <c r="CP39" s="913"/>
      <c r="CQ39" s="913"/>
      <c r="CR39" s="913"/>
      <c r="CS39" s="913"/>
      <c r="CT39" s="913"/>
      <c r="CU39" s="913"/>
      <c r="CV39" s="913"/>
      <c r="CW39" s="913"/>
      <c r="CX39" s="913"/>
      <c r="CY39" s="913"/>
      <c r="CZ39" s="913"/>
      <c r="DA39" s="913"/>
      <c r="DB39" s="913"/>
      <c r="DC39" s="913"/>
      <c r="DD39" s="913"/>
      <c r="DE39" s="913"/>
      <c r="DF39" s="913"/>
      <c r="DG39" s="913"/>
      <c r="DH39" s="913"/>
      <c r="DI39" s="913"/>
      <c r="DJ39" s="913"/>
      <c r="DK39" s="913"/>
      <c r="DL39" s="913"/>
      <c r="DM39" s="913"/>
      <c r="DN39" s="913"/>
      <c r="DO39" s="913"/>
      <c r="DP39" s="913"/>
      <c r="DQ39" s="913"/>
      <c r="DR39" s="913"/>
      <c r="DS39" s="913"/>
      <c r="DT39" s="913"/>
      <c r="DU39" s="913"/>
      <c r="DV39" s="913"/>
      <c r="DW39" s="913"/>
      <c r="DX39" s="913"/>
      <c r="DY39" s="913"/>
      <c r="DZ39" s="913"/>
      <c r="EA39" s="913"/>
      <c r="EB39" s="913"/>
      <c r="EC39" s="913"/>
      <c r="ED39" s="913"/>
      <c r="EE39" s="913"/>
      <c r="EF39" s="913"/>
      <c r="EG39" s="913"/>
      <c r="EH39" s="913"/>
      <c r="EI39" s="913"/>
      <c r="EJ39" s="913"/>
      <c r="EK39" s="913"/>
      <c r="EL39" s="913"/>
      <c r="EM39" s="913"/>
      <c r="EN39" s="913"/>
      <c r="EO39" s="913"/>
      <c r="EP39" s="272"/>
      <c r="EQ39" s="389"/>
      <c r="ER39" s="390"/>
      <c r="ES39" s="390"/>
      <c r="ET39" s="390"/>
      <c r="EU39" s="390"/>
      <c r="EV39" s="387"/>
    </row>
    <row r="40" spans="1:152" ht="21" customHeight="1" x14ac:dyDescent="0.4">
      <c r="A40" s="914" t="s">
        <v>698</v>
      </c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14"/>
      <c r="AK40" s="914"/>
      <c r="AL40" s="914"/>
      <c r="AM40" s="914"/>
      <c r="AN40" s="914"/>
      <c r="AO40" s="914"/>
      <c r="AP40" s="914"/>
      <c r="AQ40" s="914"/>
      <c r="AR40" s="914"/>
      <c r="AS40" s="914"/>
      <c r="AT40" s="914"/>
      <c r="AU40" s="914"/>
      <c r="AV40" s="914"/>
      <c r="AW40" s="914"/>
      <c r="AX40" s="914"/>
      <c r="AY40" s="914"/>
      <c r="AZ40" s="914"/>
      <c r="BA40" s="914"/>
      <c r="BB40" s="914"/>
      <c r="BC40" s="914"/>
      <c r="BD40" s="914"/>
      <c r="BE40" s="914"/>
      <c r="BF40" s="914"/>
      <c r="BG40" s="914"/>
      <c r="BH40" s="914"/>
      <c r="BI40" s="914"/>
      <c r="BJ40" s="914"/>
      <c r="BK40" s="914"/>
      <c r="BL40" s="914"/>
      <c r="BM40" s="914"/>
      <c r="BN40" s="914"/>
      <c r="BO40" s="914"/>
      <c r="BP40" s="914"/>
      <c r="BQ40" s="914"/>
      <c r="BR40" s="914"/>
      <c r="BS40" s="914"/>
      <c r="BT40" s="914"/>
      <c r="BV40" s="914" t="s">
        <v>597</v>
      </c>
      <c r="BW40" s="914"/>
      <c r="BX40" s="914"/>
      <c r="BY40" s="914"/>
      <c r="BZ40" s="914"/>
      <c r="CA40" s="914"/>
      <c r="CB40" s="914"/>
      <c r="CC40" s="914"/>
      <c r="CD40" s="914"/>
      <c r="CE40" s="914"/>
      <c r="CF40" s="914"/>
      <c r="CG40" s="914"/>
      <c r="CH40" s="914"/>
      <c r="CI40" s="914"/>
      <c r="CJ40" s="914"/>
      <c r="CK40" s="914"/>
      <c r="CL40" s="914"/>
      <c r="CM40" s="914"/>
      <c r="CN40" s="914"/>
      <c r="CO40" s="914"/>
      <c r="CP40" s="914"/>
      <c r="CQ40" s="914"/>
      <c r="CR40" s="914"/>
      <c r="CS40" s="914"/>
      <c r="CT40" s="914"/>
      <c r="CU40" s="914"/>
      <c r="CV40" s="914"/>
      <c r="CW40" s="914"/>
      <c r="CX40" s="914"/>
      <c r="CY40" s="914"/>
      <c r="CZ40" s="914"/>
      <c r="DA40" s="914"/>
      <c r="DB40" s="914"/>
      <c r="DC40" s="914"/>
      <c r="DD40" s="914"/>
      <c r="DE40" s="914"/>
      <c r="DF40" s="914"/>
      <c r="DG40" s="914"/>
      <c r="DH40" s="914"/>
      <c r="DI40" s="914"/>
      <c r="DJ40" s="914"/>
      <c r="DK40" s="914"/>
      <c r="DL40" s="914"/>
      <c r="DM40" s="914"/>
      <c r="DN40" s="914"/>
      <c r="DO40" s="914"/>
      <c r="DP40" s="914"/>
      <c r="DQ40" s="914"/>
      <c r="DR40" s="914"/>
      <c r="DS40" s="914"/>
      <c r="DT40" s="914"/>
      <c r="DU40" s="914"/>
      <c r="DV40" s="914"/>
      <c r="DW40" s="914"/>
      <c r="DX40" s="914"/>
      <c r="DY40" s="914"/>
      <c r="DZ40" s="914"/>
      <c r="EA40" s="914"/>
      <c r="EB40" s="914"/>
      <c r="EC40" s="914"/>
      <c r="ED40" s="914"/>
      <c r="EE40" s="914"/>
      <c r="EF40" s="914"/>
      <c r="EG40" s="914"/>
      <c r="EH40" s="914"/>
      <c r="EI40" s="914"/>
      <c r="EJ40" s="914"/>
      <c r="EK40" s="914"/>
      <c r="EL40" s="914"/>
      <c r="EM40" s="914"/>
      <c r="EN40" s="914"/>
      <c r="EO40" s="914"/>
      <c r="EP40" s="281"/>
      <c r="EQ40" s="995" t="s">
        <v>623</v>
      </c>
      <c r="ER40" s="996"/>
      <c r="ES40" s="996"/>
      <c r="ET40" s="996"/>
      <c r="EU40" s="996"/>
      <c r="EV40" s="997"/>
    </row>
    <row r="41" spans="1:152" ht="21" customHeight="1" x14ac:dyDescent="0.4">
      <c r="A41" s="914" t="str">
        <f>IF(AM48="","ชั้น.........................................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ชั้น......................................... ภาคเรียนที่...........................ปีการศึกษา....................</v>
      </c>
      <c r="B41" s="914"/>
      <c r="C41" s="914"/>
      <c r="D41" s="914"/>
      <c r="E41" s="914"/>
      <c r="F41" s="914"/>
      <c r="G41" s="914"/>
      <c r="H41" s="914"/>
      <c r="I41" s="914"/>
      <c r="J41" s="914"/>
      <c r="K41" s="914"/>
      <c r="L41" s="914"/>
      <c r="M41" s="914"/>
      <c r="N41" s="914"/>
      <c r="O41" s="914"/>
      <c r="P41" s="914"/>
      <c r="Q41" s="914"/>
      <c r="R41" s="914"/>
      <c r="S41" s="914"/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14"/>
      <c r="AI41" s="914"/>
      <c r="AJ41" s="914"/>
      <c r="AK41" s="914"/>
      <c r="AL41" s="914"/>
      <c r="AM41" s="914"/>
      <c r="AN41" s="914"/>
      <c r="AO41" s="914"/>
      <c r="AP41" s="914"/>
      <c r="AQ41" s="914"/>
      <c r="AR41" s="914"/>
      <c r="AS41" s="914"/>
      <c r="AT41" s="914"/>
      <c r="AU41" s="914"/>
      <c r="AV41" s="914"/>
      <c r="AW41" s="914"/>
      <c r="AX41" s="914"/>
      <c r="AY41" s="914"/>
      <c r="AZ41" s="914"/>
      <c r="BA41" s="914"/>
      <c r="BB41" s="914"/>
      <c r="BC41" s="914"/>
      <c r="BD41" s="914"/>
      <c r="BE41" s="914"/>
      <c r="BF41" s="914"/>
      <c r="BG41" s="914"/>
      <c r="BH41" s="914"/>
      <c r="BI41" s="914"/>
      <c r="BJ41" s="914"/>
      <c r="BK41" s="914"/>
      <c r="BL41" s="914"/>
      <c r="BM41" s="914"/>
      <c r="BN41" s="914"/>
      <c r="BO41" s="914"/>
      <c r="BP41" s="914"/>
      <c r="BQ41" s="914"/>
      <c r="BR41" s="914"/>
      <c r="BS41" s="914"/>
      <c r="BT41" s="914"/>
      <c r="BV41" s="914" t="str">
        <f>IF(DH48="","ชั้นมัธยมศึกษาปีที่....... ภาคเรียนที่...........................ปีการศึกษา....................",CONCATENATE("  ชั้นมัธยมศึกษาปีที่ ",Class,"   ภาคเรียนที่ ",Semester,"  ปีการศึกษา ",Year))</f>
        <v>ชั้นมัธยมศึกษาปีที่....... ภาคเรียนที่...........................ปีการศึกษา....................</v>
      </c>
      <c r="BW41" s="914"/>
      <c r="BX41" s="914"/>
      <c r="BY41" s="914"/>
      <c r="BZ41" s="914"/>
      <c r="CA41" s="914"/>
      <c r="CB41" s="914"/>
      <c r="CC41" s="914"/>
      <c r="CD41" s="914"/>
      <c r="CE41" s="914"/>
      <c r="CF41" s="914"/>
      <c r="CG41" s="914"/>
      <c r="CH41" s="914"/>
      <c r="CI41" s="914"/>
      <c r="CJ41" s="914"/>
      <c r="CK41" s="914"/>
      <c r="CL41" s="914"/>
      <c r="CM41" s="914"/>
      <c r="CN41" s="914"/>
      <c r="CO41" s="914"/>
      <c r="CP41" s="914"/>
      <c r="CQ41" s="914"/>
      <c r="CR41" s="914"/>
      <c r="CS41" s="914"/>
      <c r="CT41" s="914"/>
      <c r="CU41" s="914"/>
      <c r="CV41" s="914"/>
      <c r="CW41" s="914"/>
      <c r="CX41" s="914"/>
      <c r="CY41" s="914"/>
      <c r="CZ41" s="914"/>
      <c r="DA41" s="914"/>
      <c r="DB41" s="914"/>
      <c r="DC41" s="914"/>
      <c r="DD41" s="914"/>
      <c r="DE41" s="914"/>
      <c r="DF41" s="914"/>
      <c r="DG41" s="914"/>
      <c r="DH41" s="914"/>
      <c r="DI41" s="914"/>
      <c r="DJ41" s="914"/>
      <c r="DK41" s="914"/>
      <c r="DL41" s="914"/>
      <c r="DM41" s="914"/>
      <c r="DN41" s="914"/>
      <c r="DO41" s="914"/>
      <c r="DP41" s="914"/>
      <c r="DQ41" s="914"/>
      <c r="DR41" s="914"/>
      <c r="DS41" s="914"/>
      <c r="DT41" s="914"/>
      <c r="DU41" s="914"/>
      <c r="DV41" s="914"/>
      <c r="DW41" s="914"/>
      <c r="DX41" s="914"/>
      <c r="DY41" s="914"/>
      <c r="DZ41" s="914"/>
      <c r="EA41" s="914"/>
      <c r="EB41" s="914"/>
      <c r="EC41" s="914"/>
      <c r="ED41" s="914"/>
      <c r="EE41" s="914"/>
      <c r="EF41" s="914"/>
      <c r="EG41" s="914"/>
      <c r="EH41" s="914"/>
      <c r="EI41" s="914"/>
      <c r="EJ41" s="914"/>
      <c r="EK41" s="914"/>
      <c r="EL41" s="914"/>
      <c r="EM41" s="914"/>
      <c r="EN41" s="914"/>
      <c r="EO41" s="914"/>
      <c r="EQ41" s="915" t="s">
        <v>624</v>
      </c>
      <c r="ER41" s="916"/>
      <c r="ES41" s="916"/>
      <c r="ET41" s="916"/>
      <c r="EU41" s="916"/>
      <c r="EV41" s="917"/>
    </row>
    <row r="42" spans="1:152" ht="9" customHeight="1" x14ac:dyDescent="0.4">
      <c r="A42" s="914"/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14"/>
      <c r="AI42" s="914"/>
      <c r="AJ42" s="914"/>
      <c r="AK42" s="914"/>
      <c r="AL42" s="914"/>
      <c r="AM42" s="914"/>
      <c r="AN42" s="914"/>
      <c r="AO42" s="914"/>
      <c r="AP42" s="914"/>
      <c r="AQ42" s="914"/>
      <c r="AR42" s="914"/>
      <c r="AS42" s="914"/>
      <c r="AT42" s="914"/>
      <c r="AU42" s="914"/>
      <c r="AV42" s="914"/>
      <c r="AW42" s="914"/>
      <c r="AX42" s="914"/>
      <c r="AY42" s="914"/>
      <c r="AZ42" s="914"/>
      <c r="BA42" s="914"/>
      <c r="BB42" s="914"/>
      <c r="BC42" s="914"/>
      <c r="BD42" s="914"/>
      <c r="BE42" s="914"/>
      <c r="BF42" s="914"/>
      <c r="BG42" s="914"/>
      <c r="BH42" s="914"/>
      <c r="BI42" s="914"/>
      <c r="BJ42" s="914"/>
      <c r="BK42" s="914"/>
      <c r="BL42" s="914"/>
      <c r="BM42" s="914"/>
      <c r="BN42" s="914"/>
      <c r="BO42" s="914"/>
      <c r="BP42" s="914"/>
      <c r="BQ42" s="914"/>
      <c r="BR42" s="914"/>
      <c r="BS42" s="914"/>
      <c r="BT42" s="914"/>
      <c r="BV42" s="914"/>
      <c r="BW42" s="914"/>
      <c r="BX42" s="914"/>
      <c r="BY42" s="914"/>
      <c r="BZ42" s="914"/>
      <c r="CA42" s="914"/>
      <c r="CB42" s="914"/>
      <c r="CC42" s="914"/>
      <c r="CD42" s="914"/>
      <c r="CE42" s="914"/>
      <c r="CF42" s="914"/>
      <c r="CG42" s="914"/>
      <c r="CH42" s="914"/>
      <c r="CI42" s="914"/>
      <c r="CJ42" s="914"/>
      <c r="CK42" s="914"/>
      <c r="CL42" s="914"/>
      <c r="CM42" s="914"/>
      <c r="CN42" s="914"/>
      <c r="CO42" s="914"/>
      <c r="CP42" s="914"/>
      <c r="CQ42" s="914"/>
      <c r="CR42" s="914"/>
      <c r="CS42" s="914"/>
      <c r="CT42" s="914"/>
      <c r="CU42" s="914"/>
      <c r="CV42" s="914"/>
      <c r="CW42" s="914"/>
      <c r="CX42" s="914"/>
      <c r="CY42" s="914"/>
      <c r="CZ42" s="914"/>
      <c r="DA42" s="914"/>
      <c r="DB42" s="914"/>
      <c r="DC42" s="914"/>
      <c r="DD42" s="914"/>
      <c r="DE42" s="914"/>
      <c r="DF42" s="914"/>
      <c r="DG42" s="914"/>
      <c r="DH42" s="914"/>
      <c r="DI42" s="914"/>
      <c r="DJ42" s="914"/>
      <c r="DK42" s="914"/>
      <c r="DL42" s="914"/>
      <c r="DM42" s="914"/>
      <c r="DN42" s="914"/>
      <c r="DO42" s="914"/>
      <c r="DP42" s="914"/>
      <c r="DQ42" s="914"/>
      <c r="DR42" s="914"/>
      <c r="DS42" s="914"/>
      <c r="DT42" s="914"/>
      <c r="DU42" s="914"/>
      <c r="DV42" s="914"/>
      <c r="DW42" s="914"/>
      <c r="DX42" s="914"/>
      <c r="DY42" s="914"/>
      <c r="DZ42" s="914"/>
      <c r="EA42" s="914"/>
      <c r="EB42" s="914"/>
      <c r="EC42" s="914"/>
      <c r="ED42" s="914"/>
      <c r="EE42" s="914"/>
      <c r="EF42" s="914"/>
      <c r="EG42" s="914"/>
      <c r="EH42" s="914"/>
      <c r="EI42" s="914"/>
      <c r="EJ42" s="914"/>
      <c r="EK42" s="914"/>
      <c r="EL42" s="914"/>
      <c r="EM42" s="914"/>
      <c r="EN42" s="914"/>
      <c r="EO42" s="914"/>
      <c r="EQ42" s="915"/>
      <c r="ER42" s="916"/>
      <c r="ES42" s="916"/>
      <c r="ET42" s="916"/>
      <c r="EU42" s="916"/>
      <c r="EV42" s="917"/>
    </row>
    <row r="43" spans="1:152" ht="24" customHeight="1" x14ac:dyDescent="0.4">
      <c r="A43" s="914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37</v>
      </c>
      <c r="B43" s="914"/>
      <c r="C43" s="914"/>
      <c r="D43" s="914"/>
      <c r="E43" s="914"/>
      <c r="F43" s="914"/>
      <c r="G43" s="914"/>
      <c r="H43" s="914"/>
      <c r="I43" s="914"/>
      <c r="J43" s="914"/>
      <c r="K43" s="914"/>
      <c r="L43" s="914"/>
      <c r="M43" s="914"/>
      <c r="N43" s="914"/>
      <c r="O43" s="914"/>
      <c r="P43" s="914"/>
      <c r="Q43" s="914"/>
      <c r="R43" s="914"/>
      <c r="S43" s="914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14"/>
      <c r="AI43" s="914"/>
      <c r="AJ43" s="914"/>
      <c r="AK43" s="914"/>
      <c r="AL43" s="914"/>
      <c r="AM43" s="914"/>
      <c r="AN43" s="914"/>
      <c r="AO43" s="914"/>
      <c r="AP43" s="914"/>
      <c r="AQ43" s="914"/>
      <c r="AR43" s="914"/>
      <c r="AS43" s="914"/>
      <c r="AT43" s="914"/>
      <c r="AU43" s="914"/>
      <c r="AV43" s="914"/>
      <c r="AW43" s="914"/>
      <c r="AX43" s="914"/>
      <c r="AY43" s="914"/>
      <c r="AZ43" s="914"/>
      <c r="BA43" s="914"/>
      <c r="BB43" s="914"/>
      <c r="BC43" s="914"/>
      <c r="BD43" s="914"/>
      <c r="BE43" s="914"/>
      <c r="BF43" s="914"/>
      <c r="BG43" s="914"/>
      <c r="BH43" s="914"/>
      <c r="BI43" s="914"/>
      <c r="BJ43" s="914"/>
      <c r="BK43" s="914"/>
      <c r="BL43" s="914"/>
      <c r="BM43" s="914"/>
      <c r="BN43" s="914"/>
      <c r="BO43" s="914"/>
      <c r="BP43" s="914"/>
      <c r="BQ43" s="914"/>
      <c r="BR43" s="914"/>
      <c r="BS43" s="914"/>
      <c r="BT43" s="914"/>
      <c r="BV43" s="914" t="str">
        <f>IF($AL$2="","ชื่อ.......................................................................เลขประจำตัว...................เลขที่.............",CONCATENATE(VLOOKUP($AL$2,'2.ชื่อนักเรียน'!A11:R55,3),"   ",VLOOKUP($AL$2,'2.ชื่อนักเรียน'!A11:R55,4),"        เลขประจำตัว  ",VLOOKUP($AL$2,'2.ชื่อนักเรียน'!A11:R55,2),"       เลขที่  ",VLOOKUP($AL$2,'2.ชื่อนักเรียน'!A11:R55,1)))</f>
        <v xml:space="preserve">           เลขประจำตัว         เลขที่  37</v>
      </c>
      <c r="BW43" s="914"/>
      <c r="BX43" s="914"/>
      <c r="BY43" s="914"/>
      <c r="BZ43" s="914"/>
      <c r="CA43" s="914"/>
      <c r="CB43" s="914"/>
      <c r="CC43" s="914"/>
      <c r="CD43" s="914"/>
      <c r="CE43" s="914"/>
      <c r="CF43" s="914"/>
      <c r="CG43" s="914"/>
      <c r="CH43" s="914"/>
      <c r="CI43" s="914"/>
      <c r="CJ43" s="914"/>
      <c r="CK43" s="914"/>
      <c r="CL43" s="914"/>
      <c r="CM43" s="914"/>
      <c r="CN43" s="914"/>
      <c r="CO43" s="914"/>
      <c r="CP43" s="914"/>
      <c r="CQ43" s="914"/>
      <c r="CR43" s="914"/>
      <c r="CS43" s="914"/>
      <c r="CT43" s="914"/>
      <c r="CU43" s="914"/>
      <c r="CV43" s="914"/>
      <c r="CW43" s="914"/>
      <c r="CX43" s="914"/>
      <c r="CY43" s="914"/>
      <c r="CZ43" s="914"/>
      <c r="DA43" s="914"/>
      <c r="DB43" s="914"/>
      <c r="DC43" s="914"/>
      <c r="DD43" s="914"/>
      <c r="DE43" s="914"/>
      <c r="DF43" s="914"/>
      <c r="DG43" s="914"/>
      <c r="DH43" s="914"/>
      <c r="DI43" s="914"/>
      <c r="DJ43" s="914"/>
      <c r="DK43" s="914"/>
      <c r="DL43" s="914"/>
      <c r="DM43" s="914"/>
      <c r="DN43" s="914"/>
      <c r="DO43" s="914"/>
      <c r="DP43" s="914"/>
      <c r="DQ43" s="914"/>
      <c r="DR43" s="914"/>
      <c r="DS43" s="914"/>
      <c r="DT43" s="914"/>
      <c r="DU43" s="914"/>
      <c r="DV43" s="914"/>
      <c r="DW43" s="914"/>
      <c r="DX43" s="914"/>
      <c r="DY43" s="914"/>
      <c r="DZ43" s="914"/>
      <c r="EA43" s="914"/>
      <c r="EB43" s="914"/>
      <c r="EC43" s="914"/>
      <c r="ED43" s="914"/>
      <c r="EE43" s="914"/>
      <c r="EF43" s="914"/>
      <c r="EG43" s="914"/>
      <c r="EH43" s="914"/>
      <c r="EI43" s="914"/>
      <c r="EJ43" s="914"/>
      <c r="EK43" s="914"/>
      <c r="EL43" s="914"/>
      <c r="EM43" s="914"/>
      <c r="EN43" s="914"/>
      <c r="EO43" s="914"/>
      <c r="EQ43" s="918"/>
      <c r="ER43" s="919"/>
      <c r="ES43" s="919"/>
      <c r="ET43" s="919"/>
      <c r="EU43" s="919"/>
      <c r="EV43" s="920"/>
    </row>
    <row r="44" spans="1:152" ht="9" customHeight="1" thickBot="1" x14ac:dyDescent="0.45">
      <c r="A44" s="276"/>
      <c r="B44" s="276"/>
      <c r="C44" s="277"/>
      <c r="D44" s="277"/>
      <c r="E44" s="277"/>
      <c r="F44" s="278"/>
      <c r="G44" s="275"/>
      <c r="H44" s="275"/>
      <c r="I44" s="278"/>
      <c r="J44" s="277"/>
      <c r="BV44" s="276"/>
      <c r="BW44" s="276"/>
      <c r="BX44" s="277"/>
      <c r="BY44" s="277"/>
      <c r="BZ44" s="277"/>
      <c r="CA44" s="278"/>
      <c r="CB44" s="275"/>
      <c r="CC44" s="275"/>
      <c r="CD44" s="278"/>
      <c r="CE44" s="277"/>
    </row>
    <row r="45" spans="1:152" s="283" customFormat="1" ht="23.25" customHeight="1" x14ac:dyDescent="0.25">
      <c r="A45" s="895" t="s">
        <v>19</v>
      </c>
      <c r="B45" s="896"/>
      <c r="C45" s="896"/>
      <c r="D45" s="896"/>
      <c r="E45" s="896"/>
      <c r="F45" s="896"/>
      <c r="G45" s="896"/>
      <c r="H45" s="896" t="s">
        <v>20</v>
      </c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C45" s="896"/>
      <c r="AD45" s="896"/>
      <c r="AE45" s="896"/>
      <c r="AF45" s="899" t="s">
        <v>598</v>
      </c>
      <c r="AG45" s="900"/>
      <c r="AH45" s="900"/>
      <c r="AI45" s="900"/>
      <c r="AJ45" s="900"/>
      <c r="AK45" s="900"/>
      <c r="AL45" s="901"/>
      <c r="AM45" s="949" t="s">
        <v>599</v>
      </c>
      <c r="AN45" s="949"/>
      <c r="AO45" s="949"/>
      <c r="AP45" s="949"/>
      <c r="AQ45" s="949"/>
      <c r="AR45" s="949"/>
      <c r="AS45" s="949"/>
      <c r="AT45" s="949"/>
      <c r="AU45" s="949"/>
      <c r="AV45" s="949"/>
      <c r="AW45" s="949"/>
      <c r="AX45" s="949"/>
      <c r="AY45" s="949"/>
      <c r="AZ45" s="949"/>
      <c r="BA45" s="949"/>
      <c r="BB45" s="949"/>
      <c r="BC45" s="949"/>
      <c r="BD45" s="949"/>
      <c r="BE45" s="949"/>
      <c r="BF45" s="949"/>
      <c r="BG45" s="949"/>
      <c r="BH45" s="949" t="s">
        <v>21</v>
      </c>
      <c r="BI45" s="949"/>
      <c r="BJ45" s="949"/>
      <c r="BK45" s="949"/>
      <c r="BL45" s="949"/>
      <c r="BM45" s="949"/>
      <c r="BN45" s="949"/>
      <c r="BO45" s="949"/>
      <c r="BP45" s="949"/>
      <c r="BQ45" s="949"/>
      <c r="BR45" s="949"/>
      <c r="BS45" s="949"/>
      <c r="BT45" s="950"/>
      <c r="BV45" s="895" t="s">
        <v>19</v>
      </c>
      <c r="BW45" s="896"/>
      <c r="BX45" s="896"/>
      <c r="BY45" s="896"/>
      <c r="BZ45" s="896"/>
      <c r="CA45" s="896"/>
      <c r="CB45" s="896"/>
      <c r="CC45" s="896" t="s">
        <v>20</v>
      </c>
      <c r="CD45" s="896"/>
      <c r="CE45" s="896"/>
      <c r="CF45" s="896"/>
      <c r="CG45" s="896"/>
      <c r="CH45" s="896"/>
      <c r="CI45" s="896"/>
      <c r="CJ45" s="896"/>
      <c r="CK45" s="896"/>
      <c r="CL45" s="896"/>
      <c r="CM45" s="896"/>
      <c r="CN45" s="896"/>
      <c r="CO45" s="896"/>
      <c r="CP45" s="896"/>
      <c r="CQ45" s="896"/>
      <c r="CR45" s="896"/>
      <c r="CS45" s="896"/>
      <c r="CT45" s="896"/>
      <c r="CU45" s="896"/>
      <c r="CV45" s="896"/>
      <c r="CW45" s="896"/>
      <c r="CX45" s="896"/>
      <c r="CY45" s="896"/>
      <c r="CZ45" s="896"/>
      <c r="DA45" s="899" t="s">
        <v>598</v>
      </c>
      <c r="DB45" s="900"/>
      <c r="DC45" s="900"/>
      <c r="DD45" s="900"/>
      <c r="DE45" s="900"/>
      <c r="DF45" s="900"/>
      <c r="DG45" s="901"/>
      <c r="DH45" s="949" t="s">
        <v>599</v>
      </c>
      <c r="DI45" s="949"/>
      <c r="DJ45" s="949"/>
      <c r="DK45" s="949"/>
      <c r="DL45" s="949"/>
      <c r="DM45" s="949"/>
      <c r="DN45" s="949"/>
      <c r="DO45" s="949"/>
      <c r="DP45" s="949"/>
      <c r="DQ45" s="949"/>
      <c r="DR45" s="949"/>
      <c r="DS45" s="949"/>
      <c r="DT45" s="949"/>
      <c r="DU45" s="949"/>
      <c r="DV45" s="949"/>
      <c r="DW45" s="949"/>
      <c r="DX45" s="949"/>
      <c r="DY45" s="949"/>
      <c r="DZ45" s="949"/>
      <c r="EA45" s="949"/>
      <c r="EB45" s="949"/>
      <c r="EC45" s="949" t="s">
        <v>21</v>
      </c>
      <c r="ED45" s="949"/>
      <c r="EE45" s="949"/>
      <c r="EF45" s="949"/>
      <c r="EG45" s="949"/>
      <c r="EH45" s="949"/>
      <c r="EI45" s="949"/>
      <c r="EJ45" s="949"/>
      <c r="EK45" s="949"/>
      <c r="EL45" s="949"/>
      <c r="EM45" s="949"/>
      <c r="EN45" s="949"/>
      <c r="EO45" s="950"/>
      <c r="EP45" s="272"/>
      <c r="EQ45" s="272"/>
      <c r="ER45" s="272"/>
      <c r="ES45" s="272"/>
      <c r="ET45" s="272"/>
      <c r="EU45" s="272"/>
    </row>
    <row r="46" spans="1:152" s="283" customFormat="1" ht="23.25" customHeight="1" x14ac:dyDescent="0.25">
      <c r="A46" s="897"/>
      <c r="B46" s="898"/>
      <c r="C46" s="898"/>
      <c r="D46" s="898"/>
      <c r="E46" s="898"/>
      <c r="F46" s="898"/>
      <c r="G46" s="898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902"/>
      <c r="AG46" s="903"/>
      <c r="AH46" s="903"/>
      <c r="AI46" s="903"/>
      <c r="AJ46" s="903"/>
      <c r="AK46" s="903"/>
      <c r="AL46" s="904"/>
      <c r="AM46" s="912" t="s">
        <v>601</v>
      </c>
      <c r="AN46" s="912"/>
      <c r="AO46" s="912"/>
      <c r="AP46" s="912"/>
      <c r="AQ46" s="912"/>
      <c r="AR46" s="912"/>
      <c r="AS46" s="912"/>
      <c r="AT46" s="912" t="s">
        <v>604</v>
      </c>
      <c r="AU46" s="912"/>
      <c r="AV46" s="912"/>
      <c r="AW46" s="912"/>
      <c r="AX46" s="912"/>
      <c r="AY46" s="912"/>
      <c r="AZ46" s="912"/>
      <c r="BA46" s="912" t="s">
        <v>605</v>
      </c>
      <c r="BB46" s="912"/>
      <c r="BC46" s="912"/>
      <c r="BD46" s="912"/>
      <c r="BE46" s="912"/>
      <c r="BF46" s="912"/>
      <c r="BG46" s="912"/>
      <c r="BH46" s="912"/>
      <c r="BI46" s="912"/>
      <c r="BJ46" s="912"/>
      <c r="BK46" s="912"/>
      <c r="BL46" s="912"/>
      <c r="BM46" s="912"/>
      <c r="BN46" s="912"/>
      <c r="BO46" s="912"/>
      <c r="BP46" s="912"/>
      <c r="BQ46" s="912"/>
      <c r="BR46" s="912"/>
      <c r="BS46" s="912"/>
      <c r="BT46" s="951"/>
      <c r="BV46" s="897"/>
      <c r="BW46" s="898"/>
      <c r="BX46" s="898"/>
      <c r="BY46" s="898"/>
      <c r="BZ46" s="898"/>
      <c r="CA46" s="898"/>
      <c r="CB46" s="898"/>
      <c r="CC46" s="898"/>
      <c r="CD46" s="898"/>
      <c r="CE46" s="898"/>
      <c r="CF46" s="898"/>
      <c r="CG46" s="898"/>
      <c r="CH46" s="898"/>
      <c r="CI46" s="898"/>
      <c r="CJ46" s="898"/>
      <c r="CK46" s="898"/>
      <c r="CL46" s="898"/>
      <c r="CM46" s="898"/>
      <c r="CN46" s="898"/>
      <c r="CO46" s="898"/>
      <c r="CP46" s="898"/>
      <c r="CQ46" s="898"/>
      <c r="CR46" s="898"/>
      <c r="CS46" s="898"/>
      <c r="CT46" s="898"/>
      <c r="CU46" s="898"/>
      <c r="CV46" s="898"/>
      <c r="CW46" s="898"/>
      <c r="CX46" s="898"/>
      <c r="CY46" s="898"/>
      <c r="CZ46" s="898"/>
      <c r="DA46" s="902"/>
      <c r="DB46" s="903"/>
      <c r="DC46" s="903"/>
      <c r="DD46" s="903"/>
      <c r="DE46" s="903"/>
      <c r="DF46" s="903"/>
      <c r="DG46" s="904"/>
      <c r="DH46" s="912" t="s">
        <v>601</v>
      </c>
      <c r="DI46" s="912"/>
      <c r="DJ46" s="912"/>
      <c r="DK46" s="912"/>
      <c r="DL46" s="912"/>
      <c r="DM46" s="912"/>
      <c r="DN46" s="912"/>
      <c r="DO46" s="912" t="s">
        <v>604</v>
      </c>
      <c r="DP46" s="912"/>
      <c r="DQ46" s="912"/>
      <c r="DR46" s="912"/>
      <c r="DS46" s="912"/>
      <c r="DT46" s="912"/>
      <c r="DU46" s="912"/>
      <c r="DV46" s="912" t="s">
        <v>606</v>
      </c>
      <c r="DW46" s="912"/>
      <c r="DX46" s="912"/>
      <c r="DY46" s="912"/>
      <c r="DZ46" s="912"/>
      <c r="EA46" s="912"/>
      <c r="EB46" s="912"/>
      <c r="EC46" s="912"/>
      <c r="ED46" s="912"/>
      <c r="EE46" s="912"/>
      <c r="EF46" s="912"/>
      <c r="EG46" s="912"/>
      <c r="EH46" s="912"/>
      <c r="EI46" s="912"/>
      <c r="EJ46" s="912"/>
      <c r="EK46" s="912"/>
      <c r="EL46" s="912"/>
      <c r="EM46" s="912"/>
      <c r="EN46" s="912"/>
      <c r="EO46" s="951"/>
    </row>
    <row r="47" spans="1:152" ht="19.5" customHeight="1" x14ac:dyDescent="0.35">
      <c r="A47" s="886" t="s">
        <v>38</v>
      </c>
      <c r="B47" s="887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P47" s="887"/>
      <c r="Q47" s="887"/>
      <c r="R47" s="887"/>
      <c r="S47" s="887"/>
      <c r="T47" s="887"/>
      <c r="U47" s="887"/>
      <c r="V47" s="887"/>
      <c r="W47" s="887"/>
      <c r="X47" s="887"/>
      <c r="Y47" s="887"/>
      <c r="Z47" s="887"/>
      <c r="AA47" s="887"/>
      <c r="AB47" s="887"/>
      <c r="AC47" s="887"/>
      <c r="AD47" s="887"/>
      <c r="AE47" s="887"/>
      <c r="AF47" s="887"/>
      <c r="AG47" s="887"/>
      <c r="AH47" s="887"/>
      <c r="AI47" s="887"/>
      <c r="AJ47" s="887"/>
      <c r="AK47" s="887"/>
      <c r="AL47" s="887"/>
      <c r="AM47" s="887"/>
      <c r="AN47" s="887"/>
      <c r="AO47" s="887"/>
      <c r="AP47" s="887"/>
      <c r="AQ47" s="887"/>
      <c r="AR47" s="887"/>
      <c r="AS47" s="887"/>
      <c r="AT47" s="887"/>
      <c r="AU47" s="887"/>
      <c r="AV47" s="887"/>
      <c r="AW47" s="887"/>
      <c r="AX47" s="887"/>
      <c r="AY47" s="887"/>
      <c r="AZ47" s="887"/>
      <c r="BA47" s="887"/>
      <c r="BB47" s="887"/>
      <c r="BC47" s="887"/>
      <c r="BD47" s="887"/>
      <c r="BE47" s="887"/>
      <c r="BF47" s="887"/>
      <c r="BG47" s="887"/>
      <c r="BH47" s="887"/>
      <c r="BI47" s="887"/>
      <c r="BJ47" s="887"/>
      <c r="BK47" s="887"/>
      <c r="BL47" s="887"/>
      <c r="BM47" s="887"/>
      <c r="BN47" s="887"/>
      <c r="BO47" s="887"/>
      <c r="BP47" s="887"/>
      <c r="BQ47" s="887"/>
      <c r="BR47" s="887"/>
      <c r="BS47" s="887"/>
      <c r="BT47" s="888"/>
      <c r="BV47" s="886" t="s">
        <v>38</v>
      </c>
      <c r="BW47" s="887"/>
      <c r="BX47" s="887"/>
      <c r="BY47" s="887"/>
      <c r="BZ47" s="887"/>
      <c r="CA47" s="887"/>
      <c r="CB47" s="887"/>
      <c r="CC47" s="887"/>
      <c r="CD47" s="887"/>
      <c r="CE47" s="887"/>
      <c r="CF47" s="887"/>
      <c r="CG47" s="887"/>
      <c r="CH47" s="887"/>
      <c r="CI47" s="887"/>
      <c r="CJ47" s="887"/>
      <c r="CK47" s="887"/>
      <c r="CL47" s="887"/>
      <c r="CM47" s="887"/>
      <c r="CN47" s="887"/>
      <c r="CO47" s="887"/>
      <c r="CP47" s="887"/>
      <c r="CQ47" s="887"/>
      <c r="CR47" s="887"/>
      <c r="CS47" s="887"/>
      <c r="CT47" s="887"/>
      <c r="CU47" s="887"/>
      <c r="CV47" s="887"/>
      <c r="CW47" s="887"/>
      <c r="CX47" s="887"/>
      <c r="CY47" s="887"/>
      <c r="CZ47" s="887"/>
      <c r="DA47" s="887"/>
      <c r="DB47" s="887"/>
      <c r="DC47" s="887"/>
      <c r="DD47" s="887"/>
      <c r="DE47" s="887"/>
      <c r="DF47" s="887"/>
      <c r="DG47" s="887"/>
      <c r="DH47" s="887"/>
      <c r="DI47" s="887"/>
      <c r="DJ47" s="887"/>
      <c r="DK47" s="887"/>
      <c r="DL47" s="887"/>
      <c r="DM47" s="887"/>
      <c r="DN47" s="887"/>
      <c r="DO47" s="887"/>
      <c r="DP47" s="887"/>
      <c r="DQ47" s="887"/>
      <c r="DR47" s="887"/>
      <c r="DS47" s="887"/>
      <c r="DT47" s="887"/>
      <c r="DU47" s="887"/>
      <c r="DV47" s="887"/>
      <c r="DW47" s="887"/>
      <c r="DX47" s="887"/>
      <c r="DY47" s="887"/>
      <c r="DZ47" s="887"/>
      <c r="EA47" s="887"/>
      <c r="EB47" s="887"/>
      <c r="EC47" s="887"/>
      <c r="ED47" s="887"/>
      <c r="EE47" s="887"/>
      <c r="EF47" s="887"/>
      <c r="EG47" s="887"/>
      <c r="EH47" s="887"/>
      <c r="EI47" s="887"/>
      <c r="EJ47" s="887"/>
      <c r="EK47" s="887"/>
      <c r="EL47" s="887"/>
      <c r="EM47" s="887"/>
      <c r="EN47" s="887"/>
      <c r="EO47" s="888"/>
      <c r="EP47" s="283"/>
      <c r="EQ47" s="283"/>
      <c r="ER47" s="283"/>
      <c r="ES47" s="283"/>
      <c r="ET47" s="283"/>
      <c r="EU47" s="283"/>
    </row>
    <row r="48" spans="1:152" ht="19.5" customHeight="1" x14ac:dyDescent="0.35">
      <c r="A48" s="921" t="str">
        <f>IF(codegen1="","",codegen1)</f>
        <v/>
      </c>
      <c r="B48" s="922"/>
      <c r="C48" s="922"/>
      <c r="D48" s="922"/>
      <c r="E48" s="922"/>
      <c r="F48" s="922"/>
      <c r="G48" s="922"/>
      <c r="H48" s="923" t="str">
        <f>IF(SubGen1="","",SubGen1)</f>
        <v/>
      </c>
      <c r="I48" s="924"/>
      <c r="J48" s="924"/>
      <c r="K48" s="924"/>
      <c r="L48" s="924"/>
      <c r="M48" s="924"/>
      <c r="N48" s="924"/>
      <c r="O48" s="924"/>
      <c r="P48" s="924"/>
      <c r="Q48" s="924"/>
      <c r="R48" s="924"/>
      <c r="S48" s="924"/>
      <c r="T48" s="924"/>
      <c r="U48" s="924"/>
      <c r="V48" s="924"/>
      <c r="W48" s="924"/>
      <c r="X48" s="924"/>
      <c r="Y48" s="924"/>
      <c r="Z48" s="924"/>
      <c r="AA48" s="924"/>
      <c r="AB48" s="924"/>
      <c r="AC48" s="924"/>
      <c r="AD48" s="924"/>
      <c r="AE48" s="925"/>
      <c r="AF48" s="926" t="str">
        <f>IF(CreditGen1="","",CreditGen1)</f>
        <v/>
      </c>
      <c r="AG48" s="927"/>
      <c r="AH48" s="927"/>
      <c r="AI48" s="927"/>
      <c r="AJ48" s="927"/>
      <c r="AK48" s="927"/>
      <c r="AL48" s="928"/>
      <c r="AM48" s="926" t="str">
        <f>IF($AL$2="","",IF(A48="","",VLOOKUP($AL$2,'6.คีย์ปลายภาค'!$A$6:$ET$50,10,FALSE)))</f>
        <v/>
      </c>
      <c r="AN48" s="927"/>
      <c r="AO48" s="927"/>
      <c r="AP48" s="927"/>
      <c r="AQ48" s="927"/>
      <c r="AR48" s="927"/>
      <c r="AS48" s="928"/>
      <c r="AT48" s="939" t="str">
        <f>IF($AL$2="","",IF(A48="","",VLOOKUP($AL$2,'6.คีย์ปลายภาค'!$A$6:$ET$50,11,FALSE)))</f>
        <v/>
      </c>
      <c r="AU48" s="939" t="str">
        <f t="shared" ref="AU48:AZ48" si="0">IF(AT48="","",IF(AT48="ร","ร",IF(AT48="มส","มส",IF(AT48&gt;=80,4,IF(AT48&gt;=75,3.5,IF(AT48&gt;=70,3,IF(AT48&gt;=65,2.5,IF(AT48&gt;=60,2,IF(AT48&gt;=55,1.5,IF(AT48&gt;=50,1,0))))))))))</f>
        <v/>
      </c>
      <c r="AV48" s="939" t="str">
        <f t="shared" si="0"/>
        <v/>
      </c>
      <c r="AW48" s="939" t="str">
        <f t="shared" si="0"/>
        <v/>
      </c>
      <c r="AX48" s="939" t="str">
        <f t="shared" si="0"/>
        <v/>
      </c>
      <c r="AY48" s="939" t="str">
        <f t="shared" si="0"/>
        <v/>
      </c>
      <c r="AZ48" s="939" t="str">
        <f t="shared" si="0"/>
        <v/>
      </c>
      <c r="BA48" s="952"/>
      <c r="BB48" s="952"/>
      <c r="BC48" s="952"/>
      <c r="BD48" s="952"/>
      <c r="BE48" s="952"/>
      <c r="BF48" s="952"/>
      <c r="BG48" s="952"/>
      <c r="BH48" s="952"/>
      <c r="BI48" s="952"/>
      <c r="BJ48" s="952"/>
      <c r="BK48" s="952"/>
      <c r="BL48" s="952"/>
      <c r="BM48" s="952"/>
      <c r="BN48" s="952"/>
      <c r="BO48" s="952"/>
      <c r="BP48" s="952"/>
      <c r="BQ48" s="952"/>
      <c r="BR48" s="952"/>
      <c r="BS48" s="952"/>
      <c r="BT48" s="953"/>
      <c r="BV48" s="921" t="str">
        <f>IF(codegen1="","",codegen1)</f>
        <v/>
      </c>
      <c r="BW48" s="922"/>
      <c r="BX48" s="922"/>
      <c r="BY48" s="922"/>
      <c r="BZ48" s="922"/>
      <c r="CA48" s="922"/>
      <c r="CB48" s="922"/>
      <c r="CC48" s="923" t="str">
        <f>IF(SubGen1="","",SubGen1)</f>
        <v/>
      </c>
      <c r="CD48" s="924"/>
      <c r="CE48" s="924"/>
      <c r="CF48" s="924"/>
      <c r="CG48" s="924"/>
      <c r="CH48" s="924"/>
      <c r="CI48" s="924"/>
      <c r="CJ48" s="924"/>
      <c r="CK48" s="924"/>
      <c r="CL48" s="924"/>
      <c r="CM48" s="924"/>
      <c r="CN48" s="924"/>
      <c r="CO48" s="924"/>
      <c r="CP48" s="924"/>
      <c r="CQ48" s="924"/>
      <c r="CR48" s="924"/>
      <c r="CS48" s="924"/>
      <c r="CT48" s="924"/>
      <c r="CU48" s="924"/>
      <c r="CV48" s="924"/>
      <c r="CW48" s="924"/>
      <c r="CX48" s="924"/>
      <c r="CY48" s="924"/>
      <c r="CZ48" s="925"/>
      <c r="DA48" s="926" t="str">
        <f>IF(CreditGen1="","",CreditGen1)</f>
        <v/>
      </c>
      <c r="DB48" s="927"/>
      <c r="DC48" s="927"/>
      <c r="DD48" s="927"/>
      <c r="DE48" s="927"/>
      <c r="DF48" s="927"/>
      <c r="DG48" s="928"/>
      <c r="DH48" s="926" t="str">
        <f>IF($AL$2="","",IF(BV48="","",VLOOKUP($AL$2,'6.คีย์ปลายภาค'!$A$6:$ET$50,10,FALSE)))</f>
        <v/>
      </c>
      <c r="DI48" s="927"/>
      <c r="DJ48" s="927"/>
      <c r="DK48" s="927"/>
      <c r="DL48" s="927"/>
      <c r="DM48" s="927"/>
      <c r="DN48" s="928"/>
      <c r="DO48" s="939" t="str">
        <f>IF($AL$2="","",IF(BV48="","",VLOOKUP($AL$2,'6.คีย์ปลายภาค'!$A$6:$ET$50,11,FALSE)))</f>
        <v/>
      </c>
      <c r="DP48" s="939" t="str">
        <f t="shared" ref="DP48:DP59" si="1">IF(DO48="","",IF(DO48="ร","ร",IF(DO48="มส","มส",IF(DO48&gt;=80,4,IF(DO48&gt;=75,3.5,IF(DO48&gt;=70,3,IF(DO48&gt;=65,2.5,IF(DO48&gt;=60,2,IF(DO48&gt;=55,1.5,IF(DO48&gt;=50,1,0))))))))))</f>
        <v/>
      </c>
      <c r="DQ48" s="939" t="str">
        <f t="shared" ref="DQ48:DQ59" si="2">IF(DP48="","",IF(DP48="ร","ร",IF(DP48="มส","มส",IF(DP48&gt;=80,4,IF(DP48&gt;=75,3.5,IF(DP48&gt;=70,3,IF(DP48&gt;=65,2.5,IF(DP48&gt;=60,2,IF(DP48&gt;=55,1.5,IF(DP48&gt;=50,1,0))))))))))</f>
        <v/>
      </c>
      <c r="DR48" s="939" t="str">
        <f t="shared" ref="DR48:DR59" si="3">IF(DQ48="","",IF(DQ48="ร","ร",IF(DQ48="มส","มส",IF(DQ48&gt;=80,4,IF(DQ48&gt;=75,3.5,IF(DQ48&gt;=70,3,IF(DQ48&gt;=65,2.5,IF(DQ48&gt;=60,2,IF(DQ48&gt;=55,1.5,IF(DQ48&gt;=50,1,0))))))))))</f>
        <v/>
      </c>
      <c r="DS48" s="939" t="str">
        <f t="shared" ref="DS48:DS59" si="4">IF(DR48="","",IF(DR48="ร","ร",IF(DR48="มส","มส",IF(DR48&gt;=80,4,IF(DR48&gt;=75,3.5,IF(DR48&gt;=70,3,IF(DR48&gt;=65,2.5,IF(DR48&gt;=60,2,IF(DR48&gt;=55,1.5,IF(DR48&gt;=50,1,0))))))))))</f>
        <v/>
      </c>
      <c r="DT48" s="939" t="str">
        <f t="shared" ref="DT48:DT59" si="5">IF(DS48="","",IF(DS48="ร","ร",IF(DS48="มส","มส",IF(DS48&gt;=80,4,IF(DS48&gt;=75,3.5,IF(DS48&gt;=70,3,IF(DS48&gt;=65,2.5,IF(DS48&gt;=60,2,IF(DS48&gt;=55,1.5,IF(DS48&gt;=50,1,0))))))))))</f>
        <v/>
      </c>
      <c r="DU48" s="939" t="str">
        <f t="shared" ref="DU48:DU59" si="6">IF(DT48="","",IF(DT48="ร","ร",IF(DT48="มส","มส",IF(DT48&gt;=80,4,IF(DT48&gt;=75,3.5,IF(DT48&gt;=70,3,IF(DT48&gt;=65,2.5,IF(DT48&gt;=60,2,IF(DT48&gt;=55,1.5,IF(DT48&gt;=50,1,0))))))))))</f>
        <v/>
      </c>
      <c r="DV48" s="939" t="str">
        <f>IF(DH48&lt;50,0,IF(DH48="ร",0,IF(DH48="มส",0,IF(DH48="","",DA48))))</f>
        <v/>
      </c>
      <c r="DW48" s="939"/>
      <c r="DX48" s="939"/>
      <c r="DY48" s="939"/>
      <c r="DZ48" s="939"/>
      <c r="EA48" s="939"/>
      <c r="EB48" s="939"/>
      <c r="EC48" s="952"/>
      <c r="ED48" s="952"/>
      <c r="EE48" s="952"/>
      <c r="EF48" s="952"/>
      <c r="EG48" s="952"/>
      <c r="EH48" s="952"/>
      <c r="EI48" s="952"/>
      <c r="EJ48" s="952"/>
      <c r="EK48" s="952"/>
      <c r="EL48" s="952"/>
      <c r="EM48" s="952"/>
      <c r="EN48" s="952"/>
      <c r="EO48" s="953"/>
    </row>
    <row r="49" spans="1:145" ht="19.5" customHeight="1" x14ac:dyDescent="0.35">
      <c r="A49" s="921" t="str">
        <f>IF(codegen2="","",codegen2)</f>
        <v/>
      </c>
      <c r="B49" s="922"/>
      <c r="C49" s="922"/>
      <c r="D49" s="922"/>
      <c r="E49" s="922"/>
      <c r="F49" s="922"/>
      <c r="G49" s="922"/>
      <c r="H49" s="923" t="str">
        <f>IF(SubGen2="","",SubGen2)</f>
        <v/>
      </c>
      <c r="I49" s="924"/>
      <c r="J49" s="924"/>
      <c r="K49" s="924"/>
      <c r="L49" s="924"/>
      <c r="M49" s="924"/>
      <c r="N49" s="924"/>
      <c r="O49" s="924"/>
      <c r="P49" s="924"/>
      <c r="Q49" s="924"/>
      <c r="R49" s="924"/>
      <c r="S49" s="924"/>
      <c r="T49" s="924"/>
      <c r="U49" s="924"/>
      <c r="V49" s="924"/>
      <c r="W49" s="924"/>
      <c r="X49" s="924"/>
      <c r="Y49" s="924"/>
      <c r="Z49" s="924"/>
      <c r="AA49" s="924"/>
      <c r="AB49" s="924"/>
      <c r="AC49" s="924"/>
      <c r="AD49" s="924"/>
      <c r="AE49" s="925"/>
      <c r="AF49" s="926" t="str">
        <f>IF(CreditGen2="","",CreditGen2)</f>
        <v/>
      </c>
      <c r="AG49" s="927"/>
      <c r="AH49" s="927"/>
      <c r="AI49" s="927"/>
      <c r="AJ49" s="927"/>
      <c r="AK49" s="927"/>
      <c r="AL49" s="928"/>
      <c r="AM49" s="926" t="str">
        <f>IF($AL$2="","",IF(A49="","",VLOOKUP($AL$2,'6.คีย์ปลายภาค'!$A$6:$ET$50,15,FALSE)))</f>
        <v/>
      </c>
      <c r="AN49" s="927"/>
      <c r="AO49" s="927"/>
      <c r="AP49" s="927"/>
      <c r="AQ49" s="927"/>
      <c r="AR49" s="927"/>
      <c r="AS49" s="928"/>
      <c r="AT49" s="939" t="str">
        <f>IF($AL$2="","",IF(A49="","",VLOOKUP($AL$2,'6.คีย์ปลายภาค'!$A$6:$ET$50,16,FALSE)))</f>
        <v/>
      </c>
      <c r="AU49" s="939" t="str">
        <f t="shared" ref="AU49:AU59" si="7">IF(AT49="","",IF(AT49="ร","ร",IF(AT49="มส","มส",IF(AT49&gt;=80,4,IF(AT49&gt;=75,3.5,IF(AT49&gt;=70,3,IF(AT49&gt;=65,2.5,IF(AT49&gt;=60,2,IF(AT49&gt;=55,1.5,IF(AT49&gt;=50,1,0))))))))))</f>
        <v/>
      </c>
      <c r="AV49" s="939" t="str">
        <f t="shared" ref="AV49:AV59" si="8">IF(AU49="","",IF(AU49="ร","ร",IF(AU49="มส","มส",IF(AU49&gt;=80,4,IF(AU49&gt;=75,3.5,IF(AU49&gt;=70,3,IF(AU49&gt;=65,2.5,IF(AU49&gt;=60,2,IF(AU49&gt;=55,1.5,IF(AU49&gt;=50,1,0))))))))))</f>
        <v/>
      </c>
      <c r="AW49" s="939" t="str">
        <f t="shared" ref="AW49:AW59" si="9">IF(AV49="","",IF(AV49="ร","ร",IF(AV49="มส","มส",IF(AV49&gt;=80,4,IF(AV49&gt;=75,3.5,IF(AV49&gt;=70,3,IF(AV49&gt;=65,2.5,IF(AV49&gt;=60,2,IF(AV49&gt;=55,1.5,IF(AV49&gt;=50,1,0))))))))))</f>
        <v/>
      </c>
      <c r="AX49" s="939" t="str">
        <f t="shared" ref="AX49:AX59" si="10">IF(AW49="","",IF(AW49="ร","ร",IF(AW49="มส","มส",IF(AW49&gt;=80,4,IF(AW49&gt;=75,3.5,IF(AW49&gt;=70,3,IF(AW49&gt;=65,2.5,IF(AW49&gt;=60,2,IF(AW49&gt;=55,1.5,IF(AW49&gt;=50,1,0))))))))))</f>
        <v/>
      </c>
      <c r="AY49" s="939" t="str">
        <f t="shared" ref="AY49:AY59" si="11">IF(AX49="","",IF(AX49="ร","ร",IF(AX49="มส","มส",IF(AX49&gt;=80,4,IF(AX49&gt;=75,3.5,IF(AX49&gt;=70,3,IF(AX49&gt;=65,2.5,IF(AX49&gt;=60,2,IF(AX49&gt;=55,1.5,IF(AX49&gt;=50,1,0))))))))))</f>
        <v/>
      </c>
      <c r="AZ49" s="939" t="str">
        <f t="shared" ref="AZ49:AZ59" si="12">IF(AY49="","",IF(AY49="ร","ร",IF(AY49="มส","มส",IF(AY49&gt;=80,4,IF(AY49&gt;=75,3.5,IF(AY49&gt;=70,3,IF(AY49&gt;=65,2.5,IF(AY49&gt;=60,2,IF(AY49&gt;=55,1.5,IF(AY49&gt;=50,1,0))))))))))</f>
        <v/>
      </c>
      <c r="BA49" s="952"/>
      <c r="BB49" s="952"/>
      <c r="BC49" s="952"/>
      <c r="BD49" s="952"/>
      <c r="BE49" s="952"/>
      <c r="BF49" s="952"/>
      <c r="BG49" s="952"/>
      <c r="BH49" s="952"/>
      <c r="BI49" s="952"/>
      <c r="BJ49" s="952"/>
      <c r="BK49" s="952"/>
      <c r="BL49" s="952"/>
      <c r="BM49" s="952"/>
      <c r="BN49" s="952"/>
      <c r="BO49" s="952"/>
      <c r="BP49" s="952"/>
      <c r="BQ49" s="952"/>
      <c r="BR49" s="952"/>
      <c r="BS49" s="952"/>
      <c r="BT49" s="953"/>
      <c r="BV49" s="921" t="str">
        <f>IF(codegen2="","",codegen2)</f>
        <v/>
      </c>
      <c r="BW49" s="922"/>
      <c r="BX49" s="922"/>
      <c r="BY49" s="922"/>
      <c r="BZ49" s="922"/>
      <c r="CA49" s="922"/>
      <c r="CB49" s="922"/>
      <c r="CC49" s="923" t="str">
        <f>IF(SubGen2="","",SubGen2)</f>
        <v/>
      </c>
      <c r="CD49" s="924"/>
      <c r="CE49" s="924"/>
      <c r="CF49" s="924"/>
      <c r="CG49" s="924"/>
      <c r="CH49" s="924"/>
      <c r="CI49" s="924"/>
      <c r="CJ49" s="924"/>
      <c r="CK49" s="924"/>
      <c r="CL49" s="924"/>
      <c r="CM49" s="924"/>
      <c r="CN49" s="924"/>
      <c r="CO49" s="924"/>
      <c r="CP49" s="924"/>
      <c r="CQ49" s="924"/>
      <c r="CR49" s="924"/>
      <c r="CS49" s="924"/>
      <c r="CT49" s="924"/>
      <c r="CU49" s="924"/>
      <c r="CV49" s="924"/>
      <c r="CW49" s="924"/>
      <c r="CX49" s="924"/>
      <c r="CY49" s="924"/>
      <c r="CZ49" s="925"/>
      <c r="DA49" s="926" t="str">
        <f>IF(CreditGen2="","",CreditGen2)</f>
        <v/>
      </c>
      <c r="DB49" s="927"/>
      <c r="DC49" s="927"/>
      <c r="DD49" s="927"/>
      <c r="DE49" s="927"/>
      <c r="DF49" s="927"/>
      <c r="DG49" s="928"/>
      <c r="DH49" s="926" t="str">
        <f>IF($AL$2="","",IF(BV49="","",VLOOKUP($AL$2,'6.คีย์ปลายภาค'!$A$6:$ET$50,15,FALSE)))</f>
        <v/>
      </c>
      <c r="DI49" s="927"/>
      <c r="DJ49" s="927"/>
      <c r="DK49" s="927"/>
      <c r="DL49" s="927"/>
      <c r="DM49" s="927"/>
      <c r="DN49" s="928"/>
      <c r="DO49" s="939" t="str">
        <f>IF($AL$2="","",IF(BV49="","",VLOOKUP($AL$2,'6.คีย์ปลายภาค'!$A$6:$ET$50,16,FALSE)))</f>
        <v/>
      </c>
      <c r="DP49" s="939" t="str">
        <f t="shared" si="1"/>
        <v/>
      </c>
      <c r="DQ49" s="939" t="str">
        <f t="shared" si="2"/>
        <v/>
      </c>
      <c r="DR49" s="939" t="str">
        <f t="shared" si="3"/>
        <v/>
      </c>
      <c r="DS49" s="939" t="str">
        <f t="shared" si="4"/>
        <v/>
      </c>
      <c r="DT49" s="939" t="str">
        <f t="shared" si="5"/>
        <v/>
      </c>
      <c r="DU49" s="939" t="str">
        <f t="shared" si="6"/>
        <v/>
      </c>
      <c r="DV49" s="939" t="str">
        <f t="shared" ref="DV49:DV59" si="13">IF(DH49&lt;50,0,IF(DH49="ร",0,IF(DH49="มส",0,IF(DH49="","",DA49))))</f>
        <v/>
      </c>
      <c r="DW49" s="939"/>
      <c r="DX49" s="939"/>
      <c r="DY49" s="939"/>
      <c r="DZ49" s="939"/>
      <c r="EA49" s="939"/>
      <c r="EB49" s="939"/>
      <c r="EC49" s="952"/>
      <c r="ED49" s="952"/>
      <c r="EE49" s="952"/>
      <c r="EF49" s="952"/>
      <c r="EG49" s="952"/>
      <c r="EH49" s="952"/>
      <c r="EI49" s="952"/>
      <c r="EJ49" s="952"/>
      <c r="EK49" s="952"/>
      <c r="EL49" s="952"/>
      <c r="EM49" s="952"/>
      <c r="EN49" s="952"/>
      <c r="EO49" s="953"/>
    </row>
    <row r="50" spans="1:145" ht="19.5" customHeight="1" x14ac:dyDescent="0.35">
      <c r="A50" s="921" t="str">
        <f>IF(codegen3="","",codegen3)</f>
        <v/>
      </c>
      <c r="B50" s="922"/>
      <c r="C50" s="922"/>
      <c r="D50" s="922"/>
      <c r="E50" s="922"/>
      <c r="F50" s="922"/>
      <c r="G50" s="922"/>
      <c r="H50" s="923" t="str">
        <f>IF(SubGen3="","",SubGen3)</f>
        <v/>
      </c>
      <c r="I50" s="924"/>
      <c r="J50" s="924"/>
      <c r="K50" s="924"/>
      <c r="L50" s="924"/>
      <c r="M50" s="924"/>
      <c r="N50" s="924"/>
      <c r="O50" s="924"/>
      <c r="P50" s="924"/>
      <c r="Q50" s="924"/>
      <c r="R50" s="924"/>
      <c r="S50" s="924"/>
      <c r="T50" s="924"/>
      <c r="U50" s="924"/>
      <c r="V50" s="924"/>
      <c r="W50" s="924"/>
      <c r="X50" s="924"/>
      <c r="Y50" s="924"/>
      <c r="Z50" s="924"/>
      <c r="AA50" s="924"/>
      <c r="AB50" s="924"/>
      <c r="AC50" s="924"/>
      <c r="AD50" s="924"/>
      <c r="AE50" s="925"/>
      <c r="AF50" s="926" t="str">
        <f>IF(CreditGen3="","",CreditGen3)</f>
        <v/>
      </c>
      <c r="AG50" s="927"/>
      <c r="AH50" s="927"/>
      <c r="AI50" s="927"/>
      <c r="AJ50" s="927"/>
      <c r="AK50" s="927"/>
      <c r="AL50" s="928"/>
      <c r="AM50" s="926" t="str">
        <f>IF($AL$2="","",IF(A50="","",VLOOKUP($AL$2,'6.คีย์ปลายภาค'!$A$6:$ET$50,20,FALSE)))</f>
        <v/>
      </c>
      <c r="AN50" s="927"/>
      <c r="AO50" s="927"/>
      <c r="AP50" s="927"/>
      <c r="AQ50" s="927"/>
      <c r="AR50" s="927"/>
      <c r="AS50" s="928"/>
      <c r="AT50" s="939" t="str">
        <f>IF($AL$2="","",IF(A50="","",VLOOKUP($AL$2,'6.คีย์ปลายภาค'!$A$6:$ET$50,21,FALSE)))</f>
        <v/>
      </c>
      <c r="AU50" s="939" t="str">
        <f t="shared" si="7"/>
        <v/>
      </c>
      <c r="AV50" s="939" t="str">
        <f t="shared" si="8"/>
        <v/>
      </c>
      <c r="AW50" s="939" t="str">
        <f t="shared" si="9"/>
        <v/>
      </c>
      <c r="AX50" s="939" t="str">
        <f t="shared" si="10"/>
        <v/>
      </c>
      <c r="AY50" s="939" t="str">
        <f t="shared" si="11"/>
        <v/>
      </c>
      <c r="AZ50" s="939" t="str">
        <f t="shared" si="12"/>
        <v/>
      </c>
      <c r="BA50" s="952"/>
      <c r="BB50" s="952"/>
      <c r="BC50" s="952"/>
      <c r="BD50" s="952"/>
      <c r="BE50" s="952"/>
      <c r="BF50" s="952"/>
      <c r="BG50" s="952"/>
      <c r="BH50" s="952"/>
      <c r="BI50" s="952"/>
      <c r="BJ50" s="952"/>
      <c r="BK50" s="952"/>
      <c r="BL50" s="952"/>
      <c r="BM50" s="952"/>
      <c r="BN50" s="952"/>
      <c r="BO50" s="952"/>
      <c r="BP50" s="952"/>
      <c r="BQ50" s="952"/>
      <c r="BR50" s="952"/>
      <c r="BS50" s="952"/>
      <c r="BT50" s="953"/>
      <c r="BV50" s="921" t="str">
        <f>IF(codegen3="","",codegen3)</f>
        <v/>
      </c>
      <c r="BW50" s="922"/>
      <c r="BX50" s="922"/>
      <c r="BY50" s="922"/>
      <c r="BZ50" s="922"/>
      <c r="CA50" s="922"/>
      <c r="CB50" s="922"/>
      <c r="CC50" s="923" t="str">
        <f>IF(SubGen3="","",SubGen3)</f>
        <v/>
      </c>
      <c r="CD50" s="924"/>
      <c r="CE50" s="924"/>
      <c r="CF50" s="924"/>
      <c r="CG50" s="924"/>
      <c r="CH50" s="924"/>
      <c r="CI50" s="924"/>
      <c r="CJ50" s="924"/>
      <c r="CK50" s="924"/>
      <c r="CL50" s="924"/>
      <c r="CM50" s="924"/>
      <c r="CN50" s="924"/>
      <c r="CO50" s="924"/>
      <c r="CP50" s="924"/>
      <c r="CQ50" s="924"/>
      <c r="CR50" s="924"/>
      <c r="CS50" s="924"/>
      <c r="CT50" s="924"/>
      <c r="CU50" s="924"/>
      <c r="CV50" s="924"/>
      <c r="CW50" s="924"/>
      <c r="CX50" s="924"/>
      <c r="CY50" s="924"/>
      <c r="CZ50" s="925"/>
      <c r="DA50" s="926" t="str">
        <f>IF(CreditGen3="","",CreditGen3)</f>
        <v/>
      </c>
      <c r="DB50" s="927"/>
      <c r="DC50" s="927"/>
      <c r="DD50" s="927"/>
      <c r="DE50" s="927"/>
      <c r="DF50" s="927"/>
      <c r="DG50" s="928"/>
      <c r="DH50" s="926" t="str">
        <f>IF($AL$2="","",IF(BV50="","",VLOOKUP($AL$2,'6.คีย์ปลายภาค'!$A$6:$ET$50,20,FALSE)))</f>
        <v/>
      </c>
      <c r="DI50" s="927"/>
      <c r="DJ50" s="927"/>
      <c r="DK50" s="927"/>
      <c r="DL50" s="927"/>
      <c r="DM50" s="927"/>
      <c r="DN50" s="928"/>
      <c r="DO50" s="939" t="str">
        <f>IF($AL$2="","",IF(BV50="","",VLOOKUP($AL$2,'6.คีย์ปลายภาค'!$A$6:$ET$50,21,FALSE)))</f>
        <v/>
      </c>
      <c r="DP50" s="939" t="str">
        <f t="shared" si="1"/>
        <v/>
      </c>
      <c r="DQ50" s="939" t="str">
        <f t="shared" si="2"/>
        <v/>
      </c>
      <c r="DR50" s="939" t="str">
        <f t="shared" si="3"/>
        <v/>
      </c>
      <c r="DS50" s="939" t="str">
        <f t="shared" si="4"/>
        <v/>
      </c>
      <c r="DT50" s="939" t="str">
        <f t="shared" si="5"/>
        <v/>
      </c>
      <c r="DU50" s="939" t="str">
        <f t="shared" si="6"/>
        <v/>
      </c>
      <c r="DV50" s="939" t="str">
        <f t="shared" si="13"/>
        <v/>
      </c>
      <c r="DW50" s="939"/>
      <c r="DX50" s="939"/>
      <c r="DY50" s="939"/>
      <c r="DZ50" s="939"/>
      <c r="EA50" s="939"/>
      <c r="EB50" s="939"/>
      <c r="EC50" s="952"/>
      <c r="ED50" s="952"/>
      <c r="EE50" s="952"/>
      <c r="EF50" s="952"/>
      <c r="EG50" s="952"/>
      <c r="EH50" s="952"/>
      <c r="EI50" s="952"/>
      <c r="EJ50" s="952"/>
      <c r="EK50" s="952"/>
      <c r="EL50" s="952"/>
      <c r="EM50" s="952"/>
      <c r="EN50" s="952"/>
      <c r="EO50" s="953"/>
    </row>
    <row r="51" spans="1:145" ht="19.5" customHeight="1" x14ac:dyDescent="0.35">
      <c r="A51" s="921" t="str">
        <f>IF(codegen4="","",codegen4)</f>
        <v/>
      </c>
      <c r="B51" s="922"/>
      <c r="C51" s="922"/>
      <c r="D51" s="922"/>
      <c r="E51" s="922"/>
      <c r="F51" s="922"/>
      <c r="G51" s="922"/>
      <c r="H51" s="923" t="str">
        <f>IF(SubGen4="","",SubGen4)</f>
        <v/>
      </c>
      <c r="I51" s="924"/>
      <c r="J51" s="924"/>
      <c r="K51" s="924"/>
      <c r="L51" s="924"/>
      <c r="M51" s="924"/>
      <c r="N51" s="924"/>
      <c r="O51" s="924"/>
      <c r="P51" s="924"/>
      <c r="Q51" s="924"/>
      <c r="R51" s="924"/>
      <c r="S51" s="924"/>
      <c r="T51" s="924"/>
      <c r="U51" s="924"/>
      <c r="V51" s="924"/>
      <c r="W51" s="924"/>
      <c r="X51" s="924"/>
      <c r="Y51" s="924"/>
      <c r="Z51" s="924"/>
      <c r="AA51" s="924"/>
      <c r="AB51" s="924"/>
      <c r="AC51" s="924"/>
      <c r="AD51" s="924"/>
      <c r="AE51" s="925"/>
      <c r="AF51" s="926" t="str">
        <f>IF(CreditGen4="","",CreditGen4)</f>
        <v/>
      </c>
      <c r="AG51" s="927"/>
      <c r="AH51" s="927"/>
      <c r="AI51" s="927"/>
      <c r="AJ51" s="927"/>
      <c r="AK51" s="927"/>
      <c r="AL51" s="928"/>
      <c r="AM51" s="926" t="str">
        <f>IF($AL$2="","",IF(A51="","",VLOOKUP($AL$2,'6.คีย์ปลายภาค'!$A$6:$ET$50,25,FALSE)))</f>
        <v/>
      </c>
      <c r="AN51" s="927"/>
      <c r="AO51" s="927"/>
      <c r="AP51" s="927"/>
      <c r="AQ51" s="927"/>
      <c r="AR51" s="927"/>
      <c r="AS51" s="928"/>
      <c r="AT51" s="939" t="str">
        <f>IF($AL$2="","",IF(A51="","",VLOOKUP($AL$2,'6.คีย์ปลายภาค'!$A$6:$ET$50,26,FALSE)))</f>
        <v/>
      </c>
      <c r="AU51" s="939" t="str">
        <f t="shared" si="7"/>
        <v/>
      </c>
      <c r="AV51" s="939" t="str">
        <f t="shared" si="8"/>
        <v/>
      </c>
      <c r="AW51" s="939" t="str">
        <f t="shared" si="9"/>
        <v/>
      </c>
      <c r="AX51" s="939" t="str">
        <f t="shared" si="10"/>
        <v/>
      </c>
      <c r="AY51" s="939" t="str">
        <f t="shared" si="11"/>
        <v/>
      </c>
      <c r="AZ51" s="939" t="str">
        <f t="shared" si="12"/>
        <v/>
      </c>
      <c r="BA51" s="952"/>
      <c r="BB51" s="952"/>
      <c r="BC51" s="952"/>
      <c r="BD51" s="952"/>
      <c r="BE51" s="952"/>
      <c r="BF51" s="952"/>
      <c r="BG51" s="952"/>
      <c r="BH51" s="952"/>
      <c r="BI51" s="952"/>
      <c r="BJ51" s="952"/>
      <c r="BK51" s="952"/>
      <c r="BL51" s="952"/>
      <c r="BM51" s="952"/>
      <c r="BN51" s="952"/>
      <c r="BO51" s="952"/>
      <c r="BP51" s="952"/>
      <c r="BQ51" s="952"/>
      <c r="BR51" s="952"/>
      <c r="BS51" s="952"/>
      <c r="BT51" s="953"/>
      <c r="BV51" s="921" t="str">
        <f>IF(codegen4="","",codegen4)</f>
        <v/>
      </c>
      <c r="BW51" s="922"/>
      <c r="BX51" s="922"/>
      <c r="BY51" s="922"/>
      <c r="BZ51" s="922"/>
      <c r="CA51" s="922"/>
      <c r="CB51" s="922"/>
      <c r="CC51" s="923" t="str">
        <f>IF(SubGen4="","",SubGen4)</f>
        <v/>
      </c>
      <c r="CD51" s="924"/>
      <c r="CE51" s="924"/>
      <c r="CF51" s="924"/>
      <c r="CG51" s="924"/>
      <c r="CH51" s="924"/>
      <c r="CI51" s="924"/>
      <c r="CJ51" s="924"/>
      <c r="CK51" s="924"/>
      <c r="CL51" s="924"/>
      <c r="CM51" s="924"/>
      <c r="CN51" s="924"/>
      <c r="CO51" s="924"/>
      <c r="CP51" s="924"/>
      <c r="CQ51" s="924"/>
      <c r="CR51" s="924"/>
      <c r="CS51" s="924"/>
      <c r="CT51" s="924"/>
      <c r="CU51" s="924"/>
      <c r="CV51" s="924"/>
      <c r="CW51" s="924"/>
      <c r="CX51" s="924"/>
      <c r="CY51" s="924"/>
      <c r="CZ51" s="925"/>
      <c r="DA51" s="926" t="str">
        <f>IF(CreditGen4="","",CreditGen4)</f>
        <v/>
      </c>
      <c r="DB51" s="927"/>
      <c r="DC51" s="927"/>
      <c r="DD51" s="927"/>
      <c r="DE51" s="927"/>
      <c r="DF51" s="927"/>
      <c r="DG51" s="928"/>
      <c r="DH51" s="926" t="str">
        <f>IF($AL$2="","",IF(BV51="","",VLOOKUP($AL$2,'6.คีย์ปลายภาค'!$A$6:$ET$50,25,FALSE)))</f>
        <v/>
      </c>
      <c r="DI51" s="927"/>
      <c r="DJ51" s="927"/>
      <c r="DK51" s="927"/>
      <c r="DL51" s="927"/>
      <c r="DM51" s="927"/>
      <c r="DN51" s="928"/>
      <c r="DO51" s="939" t="str">
        <f>IF($AL$2="","",IF(BV51="","",VLOOKUP($AL$2,'6.คีย์ปลายภาค'!$A$6:$ET$50,26,FALSE)))</f>
        <v/>
      </c>
      <c r="DP51" s="939" t="str">
        <f t="shared" si="1"/>
        <v/>
      </c>
      <c r="DQ51" s="939" t="str">
        <f t="shared" si="2"/>
        <v/>
      </c>
      <c r="DR51" s="939" t="str">
        <f t="shared" si="3"/>
        <v/>
      </c>
      <c r="DS51" s="939" t="str">
        <f t="shared" si="4"/>
        <v/>
      </c>
      <c r="DT51" s="939" t="str">
        <f t="shared" si="5"/>
        <v/>
      </c>
      <c r="DU51" s="939" t="str">
        <f t="shared" si="6"/>
        <v/>
      </c>
      <c r="DV51" s="939" t="str">
        <f t="shared" si="13"/>
        <v/>
      </c>
      <c r="DW51" s="939"/>
      <c r="DX51" s="939"/>
      <c r="DY51" s="939"/>
      <c r="DZ51" s="939"/>
      <c r="EA51" s="939"/>
      <c r="EB51" s="939"/>
      <c r="EC51" s="952"/>
      <c r="ED51" s="952"/>
      <c r="EE51" s="952"/>
      <c r="EF51" s="952"/>
      <c r="EG51" s="952"/>
      <c r="EH51" s="952"/>
      <c r="EI51" s="952"/>
      <c r="EJ51" s="952"/>
      <c r="EK51" s="952"/>
      <c r="EL51" s="952"/>
      <c r="EM51" s="952"/>
      <c r="EN51" s="952"/>
      <c r="EO51" s="953"/>
    </row>
    <row r="52" spans="1:145" ht="19.5" customHeight="1" x14ac:dyDescent="0.35">
      <c r="A52" s="921" t="str">
        <f>IF(codegen5="","",codegen5)</f>
        <v/>
      </c>
      <c r="B52" s="922"/>
      <c r="C52" s="922"/>
      <c r="D52" s="922"/>
      <c r="E52" s="922"/>
      <c r="F52" s="922"/>
      <c r="G52" s="922"/>
      <c r="H52" s="923" t="str">
        <f>IF(SubGen5="","",SubGen5)</f>
        <v/>
      </c>
      <c r="I52" s="924"/>
      <c r="J52" s="924"/>
      <c r="K52" s="924"/>
      <c r="L52" s="924"/>
      <c r="M52" s="924"/>
      <c r="N52" s="924"/>
      <c r="O52" s="924"/>
      <c r="P52" s="924"/>
      <c r="Q52" s="924"/>
      <c r="R52" s="924"/>
      <c r="S52" s="924"/>
      <c r="T52" s="924"/>
      <c r="U52" s="924"/>
      <c r="V52" s="924"/>
      <c r="W52" s="924"/>
      <c r="X52" s="924"/>
      <c r="Y52" s="924"/>
      <c r="Z52" s="924"/>
      <c r="AA52" s="924"/>
      <c r="AB52" s="924"/>
      <c r="AC52" s="924"/>
      <c r="AD52" s="924"/>
      <c r="AE52" s="925"/>
      <c r="AF52" s="926" t="str">
        <f>IF(CreditGen5="","",CreditGen5)</f>
        <v/>
      </c>
      <c r="AG52" s="927"/>
      <c r="AH52" s="927"/>
      <c r="AI52" s="927"/>
      <c r="AJ52" s="927"/>
      <c r="AK52" s="927"/>
      <c r="AL52" s="928"/>
      <c r="AM52" s="926" t="str">
        <f>IF($AL$2="","",IF(A52="","",VLOOKUP($AL$2,'6.คีย์ปลายภาค'!$A$6:$ET$50,30,FALSE)))</f>
        <v/>
      </c>
      <c r="AN52" s="927"/>
      <c r="AO52" s="927"/>
      <c r="AP52" s="927"/>
      <c r="AQ52" s="927"/>
      <c r="AR52" s="927"/>
      <c r="AS52" s="928"/>
      <c r="AT52" s="939" t="str">
        <f>IF($AL$2="","",IF(A52="","",VLOOKUP($AL$2,'6.คีย์ปลายภาค'!$A$6:$ET$50,31,FALSE)))</f>
        <v/>
      </c>
      <c r="AU52" s="939" t="str">
        <f t="shared" si="7"/>
        <v/>
      </c>
      <c r="AV52" s="939" t="str">
        <f t="shared" si="8"/>
        <v/>
      </c>
      <c r="AW52" s="939" t="str">
        <f t="shared" si="9"/>
        <v/>
      </c>
      <c r="AX52" s="939" t="str">
        <f t="shared" si="10"/>
        <v/>
      </c>
      <c r="AY52" s="939" t="str">
        <f t="shared" si="11"/>
        <v/>
      </c>
      <c r="AZ52" s="939" t="str">
        <f t="shared" si="12"/>
        <v/>
      </c>
      <c r="BA52" s="952"/>
      <c r="BB52" s="952"/>
      <c r="BC52" s="952"/>
      <c r="BD52" s="952"/>
      <c r="BE52" s="952"/>
      <c r="BF52" s="952"/>
      <c r="BG52" s="952"/>
      <c r="BH52" s="952"/>
      <c r="BI52" s="952"/>
      <c r="BJ52" s="952"/>
      <c r="BK52" s="952"/>
      <c r="BL52" s="952"/>
      <c r="BM52" s="952"/>
      <c r="BN52" s="952"/>
      <c r="BO52" s="952"/>
      <c r="BP52" s="952"/>
      <c r="BQ52" s="952"/>
      <c r="BR52" s="952"/>
      <c r="BS52" s="952"/>
      <c r="BT52" s="953"/>
      <c r="BV52" s="921" t="str">
        <f>IF(codegen5="","",codegen5)</f>
        <v/>
      </c>
      <c r="BW52" s="922"/>
      <c r="BX52" s="922"/>
      <c r="BY52" s="922"/>
      <c r="BZ52" s="922"/>
      <c r="CA52" s="922"/>
      <c r="CB52" s="922"/>
      <c r="CC52" s="923" t="str">
        <f>IF(SubGen5="","",SubGen5)</f>
        <v/>
      </c>
      <c r="CD52" s="924"/>
      <c r="CE52" s="924"/>
      <c r="CF52" s="924"/>
      <c r="CG52" s="924"/>
      <c r="CH52" s="924"/>
      <c r="CI52" s="924"/>
      <c r="CJ52" s="924"/>
      <c r="CK52" s="924"/>
      <c r="CL52" s="924"/>
      <c r="CM52" s="924"/>
      <c r="CN52" s="924"/>
      <c r="CO52" s="924"/>
      <c r="CP52" s="924"/>
      <c r="CQ52" s="924"/>
      <c r="CR52" s="924"/>
      <c r="CS52" s="924"/>
      <c r="CT52" s="924"/>
      <c r="CU52" s="924"/>
      <c r="CV52" s="924"/>
      <c r="CW52" s="924"/>
      <c r="CX52" s="924"/>
      <c r="CY52" s="924"/>
      <c r="CZ52" s="925"/>
      <c r="DA52" s="926" t="str">
        <f>IF(CreditGen5="","",CreditGen5)</f>
        <v/>
      </c>
      <c r="DB52" s="927"/>
      <c r="DC52" s="927"/>
      <c r="DD52" s="927"/>
      <c r="DE52" s="927"/>
      <c r="DF52" s="927"/>
      <c r="DG52" s="928"/>
      <c r="DH52" s="926" t="str">
        <f>IF($AL$2="","",IF(BV52="","",VLOOKUP($AL$2,'6.คีย์ปลายภาค'!$A$6:$ET$50,30,FALSE)))</f>
        <v/>
      </c>
      <c r="DI52" s="927"/>
      <c r="DJ52" s="927"/>
      <c r="DK52" s="927"/>
      <c r="DL52" s="927"/>
      <c r="DM52" s="927"/>
      <c r="DN52" s="928"/>
      <c r="DO52" s="939" t="str">
        <f>IF($AL$2="","",IF(BV52="","",VLOOKUP($AL$2,'6.คีย์ปลายภาค'!$A$6:$ET$50,31,FALSE)))</f>
        <v/>
      </c>
      <c r="DP52" s="939" t="str">
        <f t="shared" si="1"/>
        <v/>
      </c>
      <c r="DQ52" s="939" t="str">
        <f t="shared" si="2"/>
        <v/>
      </c>
      <c r="DR52" s="939" t="str">
        <f t="shared" si="3"/>
        <v/>
      </c>
      <c r="DS52" s="939" t="str">
        <f t="shared" si="4"/>
        <v/>
      </c>
      <c r="DT52" s="939" t="str">
        <f t="shared" si="5"/>
        <v/>
      </c>
      <c r="DU52" s="939" t="str">
        <f t="shared" si="6"/>
        <v/>
      </c>
      <c r="DV52" s="939" t="str">
        <f t="shared" si="13"/>
        <v/>
      </c>
      <c r="DW52" s="939"/>
      <c r="DX52" s="939"/>
      <c r="DY52" s="939"/>
      <c r="DZ52" s="939"/>
      <c r="EA52" s="939"/>
      <c r="EB52" s="939"/>
      <c r="EC52" s="952"/>
      <c r="ED52" s="952"/>
      <c r="EE52" s="952"/>
      <c r="EF52" s="952"/>
      <c r="EG52" s="952"/>
      <c r="EH52" s="952"/>
      <c r="EI52" s="952"/>
      <c r="EJ52" s="952"/>
      <c r="EK52" s="952"/>
      <c r="EL52" s="952"/>
      <c r="EM52" s="952"/>
      <c r="EN52" s="952"/>
      <c r="EO52" s="953"/>
    </row>
    <row r="53" spans="1:145" ht="19.5" customHeight="1" x14ac:dyDescent="0.35">
      <c r="A53" s="921" t="str">
        <f>IF(codegen6="","",codegen6)</f>
        <v/>
      </c>
      <c r="B53" s="922"/>
      <c r="C53" s="922"/>
      <c r="D53" s="922"/>
      <c r="E53" s="922"/>
      <c r="F53" s="922"/>
      <c r="G53" s="922"/>
      <c r="H53" s="923" t="str">
        <f>IF(SubGen6="","",SubGen6)</f>
        <v/>
      </c>
      <c r="I53" s="924"/>
      <c r="J53" s="924"/>
      <c r="K53" s="924"/>
      <c r="L53" s="924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  <c r="Z53" s="924"/>
      <c r="AA53" s="924"/>
      <c r="AB53" s="924"/>
      <c r="AC53" s="924"/>
      <c r="AD53" s="924"/>
      <c r="AE53" s="925"/>
      <c r="AF53" s="926" t="str">
        <f>IF(CreditGen6="","",CreditGen6)</f>
        <v/>
      </c>
      <c r="AG53" s="927"/>
      <c r="AH53" s="927"/>
      <c r="AI53" s="927"/>
      <c r="AJ53" s="927"/>
      <c r="AK53" s="927"/>
      <c r="AL53" s="928"/>
      <c r="AM53" s="926" t="str">
        <f>IF($AL$2="","",IF(A53="","",VLOOKUP($AL$2,'6.คีย์ปลายภาค'!$A$6:$ET$50,35,FALSE)))</f>
        <v/>
      </c>
      <c r="AN53" s="927"/>
      <c r="AO53" s="927"/>
      <c r="AP53" s="927"/>
      <c r="AQ53" s="927"/>
      <c r="AR53" s="927"/>
      <c r="AS53" s="928"/>
      <c r="AT53" s="939" t="str">
        <f>IF($AL$2="","",IF(A53="","",VLOOKUP($AL$2,'6.คีย์ปลายภาค'!$A$6:$ET$50,36,FALSE)))</f>
        <v/>
      </c>
      <c r="AU53" s="939" t="str">
        <f t="shared" si="7"/>
        <v/>
      </c>
      <c r="AV53" s="939" t="str">
        <f t="shared" si="8"/>
        <v/>
      </c>
      <c r="AW53" s="939" t="str">
        <f t="shared" si="9"/>
        <v/>
      </c>
      <c r="AX53" s="939" t="str">
        <f t="shared" si="10"/>
        <v/>
      </c>
      <c r="AY53" s="939" t="str">
        <f t="shared" si="11"/>
        <v/>
      </c>
      <c r="AZ53" s="939" t="str">
        <f t="shared" si="12"/>
        <v/>
      </c>
      <c r="BA53" s="952"/>
      <c r="BB53" s="952"/>
      <c r="BC53" s="952"/>
      <c r="BD53" s="952"/>
      <c r="BE53" s="952"/>
      <c r="BF53" s="952"/>
      <c r="BG53" s="952"/>
      <c r="BH53" s="952"/>
      <c r="BI53" s="952"/>
      <c r="BJ53" s="952"/>
      <c r="BK53" s="952"/>
      <c r="BL53" s="952"/>
      <c r="BM53" s="952"/>
      <c r="BN53" s="952"/>
      <c r="BO53" s="952"/>
      <c r="BP53" s="952"/>
      <c r="BQ53" s="952"/>
      <c r="BR53" s="952"/>
      <c r="BS53" s="952"/>
      <c r="BT53" s="953"/>
      <c r="BV53" s="921" t="str">
        <f>IF(codegen6="","",codegen6)</f>
        <v/>
      </c>
      <c r="BW53" s="922"/>
      <c r="BX53" s="922"/>
      <c r="BY53" s="922"/>
      <c r="BZ53" s="922"/>
      <c r="CA53" s="922"/>
      <c r="CB53" s="922"/>
      <c r="CC53" s="923" t="str">
        <f>IF(SubGen6="","",SubGen6)</f>
        <v/>
      </c>
      <c r="CD53" s="924"/>
      <c r="CE53" s="924"/>
      <c r="CF53" s="924"/>
      <c r="CG53" s="924"/>
      <c r="CH53" s="924"/>
      <c r="CI53" s="924"/>
      <c r="CJ53" s="924"/>
      <c r="CK53" s="924"/>
      <c r="CL53" s="924"/>
      <c r="CM53" s="924"/>
      <c r="CN53" s="924"/>
      <c r="CO53" s="924"/>
      <c r="CP53" s="924"/>
      <c r="CQ53" s="924"/>
      <c r="CR53" s="924"/>
      <c r="CS53" s="924"/>
      <c r="CT53" s="924"/>
      <c r="CU53" s="924"/>
      <c r="CV53" s="924"/>
      <c r="CW53" s="924"/>
      <c r="CX53" s="924"/>
      <c r="CY53" s="924"/>
      <c r="CZ53" s="925"/>
      <c r="DA53" s="926" t="str">
        <f>IF(CreditGen6="","",CreditGen6)</f>
        <v/>
      </c>
      <c r="DB53" s="927"/>
      <c r="DC53" s="927"/>
      <c r="DD53" s="927"/>
      <c r="DE53" s="927"/>
      <c r="DF53" s="927"/>
      <c r="DG53" s="928"/>
      <c r="DH53" s="926" t="str">
        <f>IF($AL$2="","",IF(BV53="","",VLOOKUP($AL$2,'6.คีย์ปลายภาค'!$A$6:$ET$50,35,FALSE)))</f>
        <v/>
      </c>
      <c r="DI53" s="927"/>
      <c r="DJ53" s="927"/>
      <c r="DK53" s="927"/>
      <c r="DL53" s="927"/>
      <c r="DM53" s="927"/>
      <c r="DN53" s="928"/>
      <c r="DO53" s="939" t="str">
        <f>IF($AL$2="","",IF(BV53="","",VLOOKUP($AL$2,'6.คีย์ปลายภาค'!$A$6:$ET$50,36,FALSE)))</f>
        <v/>
      </c>
      <c r="DP53" s="939" t="str">
        <f t="shared" si="1"/>
        <v/>
      </c>
      <c r="DQ53" s="939" t="str">
        <f t="shared" si="2"/>
        <v/>
      </c>
      <c r="DR53" s="939" t="str">
        <f t="shared" si="3"/>
        <v/>
      </c>
      <c r="DS53" s="939" t="str">
        <f t="shared" si="4"/>
        <v/>
      </c>
      <c r="DT53" s="939" t="str">
        <f t="shared" si="5"/>
        <v/>
      </c>
      <c r="DU53" s="939" t="str">
        <f t="shared" si="6"/>
        <v/>
      </c>
      <c r="DV53" s="939" t="str">
        <f t="shared" si="13"/>
        <v/>
      </c>
      <c r="DW53" s="939"/>
      <c r="DX53" s="939"/>
      <c r="DY53" s="939"/>
      <c r="DZ53" s="939"/>
      <c r="EA53" s="939"/>
      <c r="EB53" s="939"/>
      <c r="EC53" s="952"/>
      <c r="ED53" s="952"/>
      <c r="EE53" s="952"/>
      <c r="EF53" s="952"/>
      <c r="EG53" s="952"/>
      <c r="EH53" s="952"/>
      <c r="EI53" s="952"/>
      <c r="EJ53" s="952"/>
      <c r="EK53" s="952"/>
      <c r="EL53" s="952"/>
      <c r="EM53" s="952"/>
      <c r="EN53" s="952"/>
      <c r="EO53" s="953"/>
    </row>
    <row r="54" spans="1:145" ht="19.5" customHeight="1" x14ac:dyDescent="0.35">
      <c r="A54" s="921" t="str">
        <f>IF(codegen7="","",codegen7)</f>
        <v/>
      </c>
      <c r="B54" s="922"/>
      <c r="C54" s="922"/>
      <c r="D54" s="922"/>
      <c r="E54" s="922"/>
      <c r="F54" s="922"/>
      <c r="G54" s="922"/>
      <c r="H54" s="923" t="str">
        <f>IF(SubGen7="","",SubGen7)</f>
        <v/>
      </c>
      <c r="I54" s="924"/>
      <c r="J54" s="924"/>
      <c r="K54" s="924"/>
      <c r="L54" s="924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  <c r="Z54" s="924"/>
      <c r="AA54" s="924"/>
      <c r="AB54" s="924"/>
      <c r="AC54" s="924"/>
      <c r="AD54" s="924"/>
      <c r="AE54" s="925"/>
      <c r="AF54" s="926" t="str">
        <f>IF(CreditGen7="","",CreditGen7)</f>
        <v/>
      </c>
      <c r="AG54" s="927"/>
      <c r="AH54" s="927"/>
      <c r="AI54" s="927"/>
      <c r="AJ54" s="927"/>
      <c r="AK54" s="927"/>
      <c r="AL54" s="928"/>
      <c r="AM54" s="926" t="str">
        <f>IF($AL$2="","",IF(A54="","",VLOOKUP($AL$2,'6.คีย์ปลายภาค'!$A$6:$ET$50,40,FALSE)))</f>
        <v/>
      </c>
      <c r="AN54" s="927"/>
      <c r="AO54" s="927"/>
      <c r="AP54" s="927"/>
      <c r="AQ54" s="927"/>
      <c r="AR54" s="927"/>
      <c r="AS54" s="928"/>
      <c r="AT54" s="939" t="str">
        <f>IF($AL$2="","",IF(A54="","",VLOOKUP($AL$2,'6.คีย์ปลายภาค'!$A$6:$ET$50,41,FALSE)))</f>
        <v/>
      </c>
      <c r="AU54" s="939" t="str">
        <f t="shared" si="7"/>
        <v/>
      </c>
      <c r="AV54" s="939" t="str">
        <f t="shared" si="8"/>
        <v/>
      </c>
      <c r="AW54" s="939" t="str">
        <f t="shared" si="9"/>
        <v/>
      </c>
      <c r="AX54" s="939" t="str">
        <f t="shared" si="10"/>
        <v/>
      </c>
      <c r="AY54" s="939" t="str">
        <f t="shared" si="11"/>
        <v/>
      </c>
      <c r="AZ54" s="939" t="str">
        <f t="shared" si="12"/>
        <v/>
      </c>
      <c r="BA54" s="952"/>
      <c r="BB54" s="952"/>
      <c r="BC54" s="952"/>
      <c r="BD54" s="952"/>
      <c r="BE54" s="952"/>
      <c r="BF54" s="952"/>
      <c r="BG54" s="952"/>
      <c r="BH54" s="952"/>
      <c r="BI54" s="952"/>
      <c r="BJ54" s="952"/>
      <c r="BK54" s="952"/>
      <c r="BL54" s="952"/>
      <c r="BM54" s="952"/>
      <c r="BN54" s="952"/>
      <c r="BO54" s="952"/>
      <c r="BP54" s="952"/>
      <c r="BQ54" s="952"/>
      <c r="BR54" s="952"/>
      <c r="BS54" s="952"/>
      <c r="BT54" s="953"/>
      <c r="BV54" s="921" t="str">
        <f>IF(codegen7="","",codegen7)</f>
        <v/>
      </c>
      <c r="BW54" s="922"/>
      <c r="BX54" s="922"/>
      <c r="BY54" s="922"/>
      <c r="BZ54" s="922"/>
      <c r="CA54" s="922"/>
      <c r="CB54" s="922"/>
      <c r="CC54" s="923" t="str">
        <f>IF(SubGen7="","",SubGen7)</f>
        <v/>
      </c>
      <c r="CD54" s="924"/>
      <c r="CE54" s="924"/>
      <c r="CF54" s="924"/>
      <c r="CG54" s="924"/>
      <c r="CH54" s="924"/>
      <c r="CI54" s="924"/>
      <c r="CJ54" s="924"/>
      <c r="CK54" s="924"/>
      <c r="CL54" s="924"/>
      <c r="CM54" s="924"/>
      <c r="CN54" s="924"/>
      <c r="CO54" s="924"/>
      <c r="CP54" s="924"/>
      <c r="CQ54" s="924"/>
      <c r="CR54" s="924"/>
      <c r="CS54" s="924"/>
      <c r="CT54" s="924"/>
      <c r="CU54" s="924"/>
      <c r="CV54" s="924"/>
      <c r="CW54" s="924"/>
      <c r="CX54" s="924"/>
      <c r="CY54" s="924"/>
      <c r="CZ54" s="925"/>
      <c r="DA54" s="926" t="str">
        <f>IF(CreditGen7="","",CreditGen7)</f>
        <v/>
      </c>
      <c r="DB54" s="927"/>
      <c r="DC54" s="927"/>
      <c r="DD54" s="927"/>
      <c r="DE54" s="927"/>
      <c r="DF54" s="927"/>
      <c r="DG54" s="928"/>
      <c r="DH54" s="926" t="str">
        <f>IF($AL$2="","",IF(BV54="","",VLOOKUP($AL$2,'6.คีย์ปลายภาค'!$A$6:$ET$50,40,FALSE)))</f>
        <v/>
      </c>
      <c r="DI54" s="927"/>
      <c r="DJ54" s="927"/>
      <c r="DK54" s="927"/>
      <c r="DL54" s="927"/>
      <c r="DM54" s="927"/>
      <c r="DN54" s="928"/>
      <c r="DO54" s="939" t="str">
        <f>IF($AL$2="","",IF(BV54="","",VLOOKUP($AL$2,'6.คีย์ปลายภาค'!$A$6:$ET$50,41,FALSE)))</f>
        <v/>
      </c>
      <c r="DP54" s="939" t="str">
        <f t="shared" si="1"/>
        <v/>
      </c>
      <c r="DQ54" s="939" t="str">
        <f t="shared" si="2"/>
        <v/>
      </c>
      <c r="DR54" s="939" t="str">
        <f t="shared" si="3"/>
        <v/>
      </c>
      <c r="DS54" s="939" t="str">
        <f t="shared" si="4"/>
        <v/>
      </c>
      <c r="DT54" s="939" t="str">
        <f t="shared" si="5"/>
        <v/>
      </c>
      <c r="DU54" s="939" t="str">
        <f t="shared" si="6"/>
        <v/>
      </c>
      <c r="DV54" s="939" t="str">
        <f t="shared" si="13"/>
        <v/>
      </c>
      <c r="DW54" s="939"/>
      <c r="DX54" s="939"/>
      <c r="DY54" s="939"/>
      <c r="DZ54" s="939"/>
      <c r="EA54" s="939"/>
      <c r="EB54" s="939"/>
      <c r="EC54" s="952"/>
      <c r="ED54" s="952"/>
      <c r="EE54" s="952"/>
      <c r="EF54" s="952"/>
      <c r="EG54" s="952"/>
      <c r="EH54" s="952"/>
      <c r="EI54" s="952"/>
      <c r="EJ54" s="952"/>
      <c r="EK54" s="952"/>
      <c r="EL54" s="952"/>
      <c r="EM54" s="952"/>
      <c r="EN54" s="952"/>
      <c r="EO54" s="953"/>
    </row>
    <row r="55" spans="1:145" ht="19.5" customHeight="1" x14ac:dyDescent="0.35">
      <c r="A55" s="921" t="str">
        <f>IF(codegen8="","",codegen8)</f>
        <v/>
      </c>
      <c r="B55" s="922"/>
      <c r="C55" s="922"/>
      <c r="D55" s="922"/>
      <c r="E55" s="922"/>
      <c r="F55" s="922"/>
      <c r="G55" s="922"/>
      <c r="H55" s="923" t="str">
        <f>IF(SubGen8="","",SubGen8)</f>
        <v/>
      </c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  <c r="Z55" s="924"/>
      <c r="AA55" s="924"/>
      <c r="AB55" s="924"/>
      <c r="AC55" s="924"/>
      <c r="AD55" s="924"/>
      <c r="AE55" s="925"/>
      <c r="AF55" s="926" t="str">
        <f>IF(CreditGen8="","",CreditGen8)</f>
        <v/>
      </c>
      <c r="AG55" s="927"/>
      <c r="AH55" s="927"/>
      <c r="AI55" s="927"/>
      <c r="AJ55" s="927"/>
      <c r="AK55" s="927"/>
      <c r="AL55" s="928"/>
      <c r="AM55" s="926" t="str">
        <f>IF($AL$2="","",IF(A55="","",VLOOKUP($AL$2,'6.คีย์ปลายภาค'!$A$6:$ET$50,45,FALSE)))</f>
        <v/>
      </c>
      <c r="AN55" s="927"/>
      <c r="AO55" s="927"/>
      <c r="AP55" s="927"/>
      <c r="AQ55" s="927"/>
      <c r="AR55" s="927"/>
      <c r="AS55" s="928"/>
      <c r="AT55" s="939" t="str">
        <f>IF($AL$2="","",IF(A55="","",VLOOKUP($AL$2,'6.คีย์ปลายภาค'!$A$6:$ET$50,46,FALSE)))</f>
        <v/>
      </c>
      <c r="AU55" s="939" t="str">
        <f t="shared" si="7"/>
        <v/>
      </c>
      <c r="AV55" s="939" t="str">
        <f t="shared" si="8"/>
        <v/>
      </c>
      <c r="AW55" s="939" t="str">
        <f t="shared" si="9"/>
        <v/>
      </c>
      <c r="AX55" s="939" t="str">
        <f t="shared" si="10"/>
        <v/>
      </c>
      <c r="AY55" s="939" t="str">
        <f t="shared" si="11"/>
        <v/>
      </c>
      <c r="AZ55" s="939" t="str">
        <f t="shared" si="12"/>
        <v/>
      </c>
      <c r="BA55" s="952"/>
      <c r="BB55" s="952"/>
      <c r="BC55" s="952"/>
      <c r="BD55" s="952"/>
      <c r="BE55" s="952"/>
      <c r="BF55" s="952"/>
      <c r="BG55" s="952"/>
      <c r="BH55" s="952"/>
      <c r="BI55" s="952"/>
      <c r="BJ55" s="952"/>
      <c r="BK55" s="952"/>
      <c r="BL55" s="952"/>
      <c r="BM55" s="952"/>
      <c r="BN55" s="952"/>
      <c r="BO55" s="952"/>
      <c r="BP55" s="952"/>
      <c r="BQ55" s="952"/>
      <c r="BR55" s="952"/>
      <c r="BS55" s="952"/>
      <c r="BT55" s="953"/>
      <c r="BV55" s="921" t="str">
        <f>IF(codegen8="","",codegen8)</f>
        <v/>
      </c>
      <c r="BW55" s="922"/>
      <c r="BX55" s="922"/>
      <c r="BY55" s="922"/>
      <c r="BZ55" s="922"/>
      <c r="CA55" s="922"/>
      <c r="CB55" s="922"/>
      <c r="CC55" s="923" t="str">
        <f>IF(SubGen8="","",SubGen8)</f>
        <v/>
      </c>
      <c r="CD55" s="924"/>
      <c r="CE55" s="924"/>
      <c r="CF55" s="924"/>
      <c r="CG55" s="924"/>
      <c r="CH55" s="924"/>
      <c r="CI55" s="924"/>
      <c r="CJ55" s="924"/>
      <c r="CK55" s="924"/>
      <c r="CL55" s="924"/>
      <c r="CM55" s="924"/>
      <c r="CN55" s="924"/>
      <c r="CO55" s="924"/>
      <c r="CP55" s="924"/>
      <c r="CQ55" s="924"/>
      <c r="CR55" s="924"/>
      <c r="CS55" s="924"/>
      <c r="CT55" s="924"/>
      <c r="CU55" s="924"/>
      <c r="CV55" s="924"/>
      <c r="CW55" s="924"/>
      <c r="CX55" s="924"/>
      <c r="CY55" s="924"/>
      <c r="CZ55" s="925"/>
      <c r="DA55" s="926" t="str">
        <f>IF(CreditGen8="","",CreditGen8)</f>
        <v/>
      </c>
      <c r="DB55" s="927"/>
      <c r="DC55" s="927"/>
      <c r="DD55" s="927"/>
      <c r="DE55" s="927"/>
      <c r="DF55" s="927"/>
      <c r="DG55" s="928"/>
      <c r="DH55" s="926" t="str">
        <f>IF($AL$2="","",IF(BV55="","",VLOOKUP($AL$2,'6.คีย์ปลายภาค'!$A$6:$ET$50,45,FALSE)))</f>
        <v/>
      </c>
      <c r="DI55" s="927"/>
      <c r="DJ55" s="927"/>
      <c r="DK55" s="927"/>
      <c r="DL55" s="927"/>
      <c r="DM55" s="927"/>
      <c r="DN55" s="928"/>
      <c r="DO55" s="939" t="str">
        <f>IF($AL$2="","",IF(BV55="","",VLOOKUP($AL$2,'6.คีย์ปลายภาค'!$A$6:$ET$50,46,FALSE)))</f>
        <v/>
      </c>
      <c r="DP55" s="939" t="str">
        <f t="shared" si="1"/>
        <v/>
      </c>
      <c r="DQ55" s="939" t="str">
        <f t="shared" si="2"/>
        <v/>
      </c>
      <c r="DR55" s="939" t="str">
        <f t="shared" si="3"/>
        <v/>
      </c>
      <c r="DS55" s="939" t="str">
        <f t="shared" si="4"/>
        <v/>
      </c>
      <c r="DT55" s="939" t="str">
        <f t="shared" si="5"/>
        <v/>
      </c>
      <c r="DU55" s="939" t="str">
        <f t="shared" si="6"/>
        <v/>
      </c>
      <c r="DV55" s="939" t="str">
        <f t="shared" si="13"/>
        <v/>
      </c>
      <c r="DW55" s="939"/>
      <c r="DX55" s="939"/>
      <c r="DY55" s="939"/>
      <c r="DZ55" s="939"/>
      <c r="EA55" s="939"/>
      <c r="EB55" s="939"/>
      <c r="EC55" s="952"/>
      <c r="ED55" s="952"/>
      <c r="EE55" s="952"/>
      <c r="EF55" s="952"/>
      <c r="EG55" s="952"/>
      <c r="EH55" s="952"/>
      <c r="EI55" s="952"/>
      <c r="EJ55" s="952"/>
      <c r="EK55" s="952"/>
      <c r="EL55" s="952"/>
      <c r="EM55" s="952"/>
      <c r="EN55" s="952"/>
      <c r="EO55" s="953"/>
    </row>
    <row r="56" spans="1:145" ht="19.5" customHeight="1" x14ac:dyDescent="0.35">
      <c r="A56" s="921" t="str">
        <f>IF(codegen9="","",codegen9)</f>
        <v/>
      </c>
      <c r="B56" s="922"/>
      <c r="C56" s="922"/>
      <c r="D56" s="922"/>
      <c r="E56" s="922"/>
      <c r="F56" s="922"/>
      <c r="G56" s="922"/>
      <c r="H56" s="923" t="str">
        <f>IF(SubGen9="","",SubGen9)</f>
        <v/>
      </c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924"/>
      <c r="Z56" s="924"/>
      <c r="AA56" s="924"/>
      <c r="AB56" s="924"/>
      <c r="AC56" s="924"/>
      <c r="AD56" s="924"/>
      <c r="AE56" s="925"/>
      <c r="AF56" s="926" t="str">
        <f>IF(CreditGen9="","",CreditGen9)</f>
        <v/>
      </c>
      <c r="AG56" s="927"/>
      <c r="AH56" s="927"/>
      <c r="AI56" s="927"/>
      <c r="AJ56" s="927"/>
      <c r="AK56" s="927"/>
      <c r="AL56" s="928"/>
      <c r="AM56" s="926" t="str">
        <f>IF($AL$2="","",IF(A56="","",VLOOKUP($AL$2,'6.คีย์ปลายภาค'!$A$6:$ET$50,50,FALSE)))</f>
        <v/>
      </c>
      <c r="AN56" s="927"/>
      <c r="AO56" s="927"/>
      <c r="AP56" s="927"/>
      <c r="AQ56" s="927"/>
      <c r="AR56" s="927"/>
      <c r="AS56" s="928"/>
      <c r="AT56" s="939" t="str">
        <f>IF($AL$2="","",IF(A56="","",VLOOKUP($AL$2,'6.คีย์ปลายภาค'!$A$6:$ET$50,51,FALSE)))</f>
        <v/>
      </c>
      <c r="AU56" s="939" t="str">
        <f t="shared" si="7"/>
        <v/>
      </c>
      <c r="AV56" s="939" t="str">
        <f t="shared" si="8"/>
        <v/>
      </c>
      <c r="AW56" s="939" t="str">
        <f t="shared" si="9"/>
        <v/>
      </c>
      <c r="AX56" s="939" t="str">
        <f t="shared" si="10"/>
        <v/>
      </c>
      <c r="AY56" s="939" t="str">
        <f t="shared" si="11"/>
        <v/>
      </c>
      <c r="AZ56" s="939" t="str">
        <f t="shared" si="12"/>
        <v/>
      </c>
      <c r="BA56" s="952"/>
      <c r="BB56" s="952"/>
      <c r="BC56" s="952"/>
      <c r="BD56" s="952"/>
      <c r="BE56" s="952"/>
      <c r="BF56" s="952"/>
      <c r="BG56" s="952"/>
      <c r="BH56" s="952"/>
      <c r="BI56" s="952"/>
      <c r="BJ56" s="952"/>
      <c r="BK56" s="952"/>
      <c r="BL56" s="952"/>
      <c r="BM56" s="952"/>
      <c r="BN56" s="952"/>
      <c r="BO56" s="952"/>
      <c r="BP56" s="952"/>
      <c r="BQ56" s="952"/>
      <c r="BR56" s="952"/>
      <c r="BS56" s="952"/>
      <c r="BT56" s="953"/>
      <c r="BV56" s="921" t="str">
        <f>IF(codegen9="","",codegen9)</f>
        <v/>
      </c>
      <c r="BW56" s="922"/>
      <c r="BX56" s="922"/>
      <c r="BY56" s="922"/>
      <c r="BZ56" s="922"/>
      <c r="CA56" s="922"/>
      <c r="CB56" s="922"/>
      <c r="CC56" s="923" t="str">
        <f>IF(SubGen9="","",SubGen9)</f>
        <v/>
      </c>
      <c r="CD56" s="924"/>
      <c r="CE56" s="924"/>
      <c r="CF56" s="924"/>
      <c r="CG56" s="924"/>
      <c r="CH56" s="924"/>
      <c r="CI56" s="924"/>
      <c r="CJ56" s="924"/>
      <c r="CK56" s="924"/>
      <c r="CL56" s="924"/>
      <c r="CM56" s="924"/>
      <c r="CN56" s="924"/>
      <c r="CO56" s="924"/>
      <c r="CP56" s="924"/>
      <c r="CQ56" s="924"/>
      <c r="CR56" s="924"/>
      <c r="CS56" s="924"/>
      <c r="CT56" s="924"/>
      <c r="CU56" s="924"/>
      <c r="CV56" s="924"/>
      <c r="CW56" s="924"/>
      <c r="CX56" s="924"/>
      <c r="CY56" s="924"/>
      <c r="CZ56" s="925"/>
      <c r="DA56" s="926" t="str">
        <f>IF(CreditGen9="","",CreditGen9)</f>
        <v/>
      </c>
      <c r="DB56" s="927"/>
      <c r="DC56" s="927"/>
      <c r="DD56" s="927"/>
      <c r="DE56" s="927"/>
      <c r="DF56" s="927"/>
      <c r="DG56" s="928"/>
      <c r="DH56" s="926" t="str">
        <f>IF($AL$2="","",IF(BV56="","",VLOOKUP($AL$2,'6.คีย์ปลายภาค'!$A$6:$ET$50,50,FALSE)))</f>
        <v/>
      </c>
      <c r="DI56" s="927"/>
      <c r="DJ56" s="927"/>
      <c r="DK56" s="927"/>
      <c r="DL56" s="927"/>
      <c r="DM56" s="927"/>
      <c r="DN56" s="928"/>
      <c r="DO56" s="939" t="str">
        <f>IF($AL$2="","",IF(BV56="","",VLOOKUP($AL$2,'6.คีย์ปลายภาค'!$A$6:$ET$50,51,FALSE)))</f>
        <v/>
      </c>
      <c r="DP56" s="939" t="str">
        <f t="shared" si="1"/>
        <v/>
      </c>
      <c r="DQ56" s="939" t="str">
        <f t="shared" si="2"/>
        <v/>
      </c>
      <c r="DR56" s="939" t="str">
        <f t="shared" si="3"/>
        <v/>
      </c>
      <c r="DS56" s="939" t="str">
        <f t="shared" si="4"/>
        <v/>
      </c>
      <c r="DT56" s="939" t="str">
        <f t="shared" si="5"/>
        <v/>
      </c>
      <c r="DU56" s="939" t="str">
        <f t="shared" si="6"/>
        <v/>
      </c>
      <c r="DV56" s="939" t="str">
        <f t="shared" si="13"/>
        <v/>
      </c>
      <c r="DW56" s="939"/>
      <c r="DX56" s="939"/>
      <c r="DY56" s="939"/>
      <c r="DZ56" s="939"/>
      <c r="EA56" s="939"/>
      <c r="EB56" s="939"/>
      <c r="EC56" s="952"/>
      <c r="ED56" s="952"/>
      <c r="EE56" s="952"/>
      <c r="EF56" s="952"/>
      <c r="EG56" s="952"/>
      <c r="EH56" s="952"/>
      <c r="EI56" s="952"/>
      <c r="EJ56" s="952"/>
      <c r="EK56" s="952"/>
      <c r="EL56" s="952"/>
      <c r="EM56" s="952"/>
      <c r="EN56" s="952"/>
      <c r="EO56" s="953"/>
    </row>
    <row r="57" spans="1:145" ht="19.5" customHeight="1" x14ac:dyDescent="0.35">
      <c r="A57" s="921" t="str">
        <f>IF(codegen10="","",codegen10)</f>
        <v/>
      </c>
      <c r="B57" s="922"/>
      <c r="C57" s="922"/>
      <c r="D57" s="922"/>
      <c r="E57" s="922"/>
      <c r="F57" s="922"/>
      <c r="G57" s="922"/>
      <c r="H57" s="923" t="str">
        <f>IF(SubGen10="","",SubGen10)</f>
        <v/>
      </c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924"/>
      <c r="V57" s="924"/>
      <c r="W57" s="924"/>
      <c r="X57" s="924"/>
      <c r="Y57" s="924"/>
      <c r="Z57" s="924"/>
      <c r="AA57" s="924"/>
      <c r="AB57" s="924"/>
      <c r="AC57" s="924"/>
      <c r="AD57" s="924"/>
      <c r="AE57" s="925"/>
      <c r="AF57" s="926" t="str">
        <f>IF(CreditGen10="","",CreditGen10)</f>
        <v/>
      </c>
      <c r="AG57" s="927"/>
      <c r="AH57" s="927"/>
      <c r="AI57" s="927"/>
      <c r="AJ57" s="927"/>
      <c r="AK57" s="927"/>
      <c r="AL57" s="928"/>
      <c r="AM57" s="926" t="str">
        <f>IF($AL$2="","",IF(A57="","",VLOOKUP($AL$2,'6.คีย์ปลายภาค'!$A$6:$ET$50,55,FALSE)))</f>
        <v/>
      </c>
      <c r="AN57" s="927"/>
      <c r="AO57" s="927"/>
      <c r="AP57" s="927"/>
      <c r="AQ57" s="927"/>
      <c r="AR57" s="927"/>
      <c r="AS57" s="928"/>
      <c r="AT57" s="939" t="str">
        <f>IF($AL$2="","",IF(A57="","",VLOOKUP($AL$2,'6.คีย์ปลายภาค'!$A$6:$ET$50,56,FALSE)))</f>
        <v/>
      </c>
      <c r="AU57" s="939" t="str">
        <f t="shared" si="7"/>
        <v/>
      </c>
      <c r="AV57" s="939" t="str">
        <f t="shared" si="8"/>
        <v/>
      </c>
      <c r="AW57" s="939" t="str">
        <f t="shared" si="9"/>
        <v/>
      </c>
      <c r="AX57" s="939" t="str">
        <f t="shared" si="10"/>
        <v/>
      </c>
      <c r="AY57" s="939" t="str">
        <f t="shared" si="11"/>
        <v/>
      </c>
      <c r="AZ57" s="939" t="str">
        <f t="shared" si="12"/>
        <v/>
      </c>
      <c r="BA57" s="952"/>
      <c r="BB57" s="952"/>
      <c r="BC57" s="952"/>
      <c r="BD57" s="952"/>
      <c r="BE57" s="952"/>
      <c r="BF57" s="952"/>
      <c r="BG57" s="952"/>
      <c r="BH57" s="952"/>
      <c r="BI57" s="952"/>
      <c r="BJ57" s="952"/>
      <c r="BK57" s="952"/>
      <c r="BL57" s="952"/>
      <c r="BM57" s="952"/>
      <c r="BN57" s="952"/>
      <c r="BO57" s="952"/>
      <c r="BP57" s="952"/>
      <c r="BQ57" s="952"/>
      <c r="BR57" s="952"/>
      <c r="BS57" s="952"/>
      <c r="BT57" s="953"/>
      <c r="BV57" s="921" t="str">
        <f>IF(codegen10="","",codegen10)</f>
        <v/>
      </c>
      <c r="BW57" s="922"/>
      <c r="BX57" s="922"/>
      <c r="BY57" s="922"/>
      <c r="BZ57" s="922"/>
      <c r="CA57" s="922"/>
      <c r="CB57" s="922"/>
      <c r="CC57" s="923" t="str">
        <f>IF(SubGen10="","",SubGen10)</f>
        <v/>
      </c>
      <c r="CD57" s="924"/>
      <c r="CE57" s="924"/>
      <c r="CF57" s="924"/>
      <c r="CG57" s="924"/>
      <c r="CH57" s="924"/>
      <c r="CI57" s="924"/>
      <c r="CJ57" s="924"/>
      <c r="CK57" s="924"/>
      <c r="CL57" s="924"/>
      <c r="CM57" s="924"/>
      <c r="CN57" s="924"/>
      <c r="CO57" s="924"/>
      <c r="CP57" s="924"/>
      <c r="CQ57" s="924"/>
      <c r="CR57" s="924"/>
      <c r="CS57" s="924"/>
      <c r="CT57" s="924"/>
      <c r="CU57" s="924"/>
      <c r="CV57" s="924"/>
      <c r="CW57" s="924"/>
      <c r="CX57" s="924"/>
      <c r="CY57" s="924"/>
      <c r="CZ57" s="925"/>
      <c r="DA57" s="926" t="str">
        <f>IF(CreditGen10="","",CreditGen10)</f>
        <v/>
      </c>
      <c r="DB57" s="927"/>
      <c r="DC57" s="927"/>
      <c r="DD57" s="927"/>
      <c r="DE57" s="927"/>
      <c r="DF57" s="927"/>
      <c r="DG57" s="928"/>
      <c r="DH57" s="926" t="str">
        <f>IF($AL$2="","",IF(BV57="","",VLOOKUP($AL$2,'6.คีย์ปลายภาค'!$A$6:$ET$50,55,FALSE)))</f>
        <v/>
      </c>
      <c r="DI57" s="927"/>
      <c r="DJ57" s="927"/>
      <c r="DK57" s="927"/>
      <c r="DL57" s="927"/>
      <c r="DM57" s="927"/>
      <c r="DN57" s="928"/>
      <c r="DO57" s="939" t="str">
        <f>IF($AL$2="","",IF(BV57="","",VLOOKUP($AL$2,'6.คีย์ปลายภาค'!$A$6:$ET$50,56,FALSE)))</f>
        <v/>
      </c>
      <c r="DP57" s="939" t="str">
        <f t="shared" si="1"/>
        <v/>
      </c>
      <c r="DQ57" s="939" t="str">
        <f t="shared" si="2"/>
        <v/>
      </c>
      <c r="DR57" s="939" t="str">
        <f t="shared" si="3"/>
        <v/>
      </c>
      <c r="DS57" s="939" t="str">
        <f t="shared" si="4"/>
        <v/>
      </c>
      <c r="DT57" s="939" t="str">
        <f t="shared" si="5"/>
        <v/>
      </c>
      <c r="DU57" s="939" t="str">
        <f t="shared" si="6"/>
        <v/>
      </c>
      <c r="DV57" s="939" t="str">
        <f t="shared" si="13"/>
        <v/>
      </c>
      <c r="DW57" s="939"/>
      <c r="DX57" s="939"/>
      <c r="DY57" s="939"/>
      <c r="DZ57" s="939"/>
      <c r="EA57" s="939"/>
      <c r="EB57" s="939"/>
      <c r="EC57" s="952"/>
      <c r="ED57" s="952"/>
      <c r="EE57" s="952"/>
      <c r="EF57" s="952"/>
      <c r="EG57" s="952"/>
      <c r="EH57" s="952"/>
      <c r="EI57" s="952"/>
      <c r="EJ57" s="952"/>
      <c r="EK57" s="952"/>
      <c r="EL57" s="952"/>
      <c r="EM57" s="952"/>
      <c r="EN57" s="952"/>
      <c r="EO57" s="953"/>
    </row>
    <row r="58" spans="1:145" ht="19.5" customHeight="1" x14ac:dyDescent="0.35">
      <c r="A58" s="921" t="str">
        <f>IF(codegen11="","",codegen11)</f>
        <v/>
      </c>
      <c r="B58" s="922"/>
      <c r="C58" s="922"/>
      <c r="D58" s="922"/>
      <c r="E58" s="922"/>
      <c r="F58" s="922"/>
      <c r="G58" s="922"/>
      <c r="H58" s="923" t="str">
        <f>IF(SubGen11="","",SubGen11)</f>
        <v/>
      </c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924"/>
      <c r="V58" s="924"/>
      <c r="W58" s="924"/>
      <c r="X58" s="924"/>
      <c r="Y58" s="924"/>
      <c r="Z58" s="924"/>
      <c r="AA58" s="924"/>
      <c r="AB58" s="924"/>
      <c r="AC58" s="924"/>
      <c r="AD58" s="924"/>
      <c r="AE58" s="925"/>
      <c r="AF58" s="926" t="str">
        <f>IF(CreditGen11="","",CreditGen11)</f>
        <v/>
      </c>
      <c r="AG58" s="927"/>
      <c r="AH58" s="927"/>
      <c r="AI58" s="927"/>
      <c r="AJ58" s="927"/>
      <c r="AK58" s="927"/>
      <c r="AL58" s="928"/>
      <c r="AM58" s="926" t="str">
        <f>IF($AL$2="","",IF(A58="","",VLOOKUP($AL$2,'6.คีย์ปลายภาค'!$A$6:$ET$50,60,FALSE)))</f>
        <v/>
      </c>
      <c r="AN58" s="927"/>
      <c r="AO58" s="927"/>
      <c r="AP58" s="927"/>
      <c r="AQ58" s="927"/>
      <c r="AR58" s="927"/>
      <c r="AS58" s="928"/>
      <c r="AT58" s="939" t="str">
        <f>IF($AL$2="","",IF(A58="","",VLOOKUP($AL$2,'6.คีย์ปลายภาค'!$A$6:$ET$50,61,FALSE)))</f>
        <v/>
      </c>
      <c r="AU58" s="939" t="str">
        <f t="shared" si="7"/>
        <v/>
      </c>
      <c r="AV58" s="939" t="str">
        <f t="shared" si="8"/>
        <v/>
      </c>
      <c r="AW58" s="939" t="str">
        <f t="shared" si="9"/>
        <v/>
      </c>
      <c r="AX58" s="939" t="str">
        <f t="shared" si="10"/>
        <v/>
      </c>
      <c r="AY58" s="939" t="str">
        <f t="shared" si="11"/>
        <v/>
      </c>
      <c r="AZ58" s="939" t="str">
        <f t="shared" si="12"/>
        <v/>
      </c>
      <c r="BA58" s="952"/>
      <c r="BB58" s="952"/>
      <c r="BC58" s="952"/>
      <c r="BD58" s="952"/>
      <c r="BE58" s="952"/>
      <c r="BF58" s="952"/>
      <c r="BG58" s="952"/>
      <c r="BH58" s="952"/>
      <c r="BI58" s="952"/>
      <c r="BJ58" s="952"/>
      <c r="BK58" s="952"/>
      <c r="BL58" s="952"/>
      <c r="BM58" s="952"/>
      <c r="BN58" s="952"/>
      <c r="BO58" s="952"/>
      <c r="BP58" s="952"/>
      <c r="BQ58" s="952"/>
      <c r="BR58" s="952"/>
      <c r="BS58" s="952"/>
      <c r="BT58" s="953"/>
      <c r="BV58" s="921" t="str">
        <f>IF(codegen11="","",codegen11)</f>
        <v/>
      </c>
      <c r="BW58" s="922"/>
      <c r="BX58" s="922"/>
      <c r="BY58" s="922"/>
      <c r="BZ58" s="922"/>
      <c r="CA58" s="922"/>
      <c r="CB58" s="922"/>
      <c r="CC58" s="923" t="str">
        <f>IF(SubGen11="","",SubGen11)</f>
        <v/>
      </c>
      <c r="CD58" s="924"/>
      <c r="CE58" s="924"/>
      <c r="CF58" s="924"/>
      <c r="CG58" s="924"/>
      <c r="CH58" s="924"/>
      <c r="CI58" s="924"/>
      <c r="CJ58" s="924"/>
      <c r="CK58" s="924"/>
      <c r="CL58" s="924"/>
      <c r="CM58" s="924"/>
      <c r="CN58" s="924"/>
      <c r="CO58" s="924"/>
      <c r="CP58" s="924"/>
      <c r="CQ58" s="924"/>
      <c r="CR58" s="924"/>
      <c r="CS58" s="924"/>
      <c r="CT58" s="924"/>
      <c r="CU58" s="924"/>
      <c r="CV58" s="924"/>
      <c r="CW58" s="924"/>
      <c r="CX58" s="924"/>
      <c r="CY58" s="924"/>
      <c r="CZ58" s="925"/>
      <c r="DA58" s="926" t="str">
        <f>IF(CreditGen11="","",CreditGen11)</f>
        <v/>
      </c>
      <c r="DB58" s="927"/>
      <c r="DC58" s="927"/>
      <c r="DD58" s="927"/>
      <c r="DE58" s="927"/>
      <c r="DF58" s="927"/>
      <c r="DG58" s="928"/>
      <c r="DH58" s="926" t="str">
        <f>IF($AL$2="","",IF(BV58="","",VLOOKUP($AL$2,'6.คีย์ปลายภาค'!$A$6:$ET$50,60,FALSE)))</f>
        <v/>
      </c>
      <c r="DI58" s="927"/>
      <c r="DJ58" s="927"/>
      <c r="DK58" s="927"/>
      <c r="DL58" s="927"/>
      <c r="DM58" s="927"/>
      <c r="DN58" s="928"/>
      <c r="DO58" s="939" t="str">
        <f>IF($AL$2="","",IF(BV58="","",VLOOKUP($AL$2,'6.คีย์ปลายภาค'!$A$6:$ET$50,61,FALSE)))</f>
        <v/>
      </c>
      <c r="DP58" s="939" t="str">
        <f t="shared" si="1"/>
        <v/>
      </c>
      <c r="DQ58" s="939" t="str">
        <f t="shared" si="2"/>
        <v/>
      </c>
      <c r="DR58" s="939" t="str">
        <f t="shared" si="3"/>
        <v/>
      </c>
      <c r="DS58" s="939" t="str">
        <f t="shared" si="4"/>
        <v/>
      </c>
      <c r="DT58" s="939" t="str">
        <f t="shared" si="5"/>
        <v/>
      </c>
      <c r="DU58" s="939" t="str">
        <f t="shared" si="6"/>
        <v/>
      </c>
      <c r="DV58" s="939" t="str">
        <f t="shared" si="13"/>
        <v/>
      </c>
      <c r="DW58" s="939"/>
      <c r="DX58" s="939"/>
      <c r="DY58" s="939"/>
      <c r="DZ58" s="939"/>
      <c r="EA58" s="939"/>
      <c r="EB58" s="939"/>
      <c r="EC58" s="952"/>
      <c r="ED58" s="952"/>
      <c r="EE58" s="952"/>
      <c r="EF58" s="952"/>
      <c r="EG58" s="952"/>
      <c r="EH58" s="952"/>
      <c r="EI58" s="952"/>
      <c r="EJ58" s="952"/>
      <c r="EK58" s="952"/>
      <c r="EL58" s="952"/>
      <c r="EM58" s="952"/>
      <c r="EN58" s="952"/>
      <c r="EO58" s="953"/>
    </row>
    <row r="59" spans="1:145" ht="19.5" customHeight="1" x14ac:dyDescent="0.35">
      <c r="A59" s="921" t="str">
        <f>IF(codegen12="","",codegen12)</f>
        <v/>
      </c>
      <c r="B59" s="922"/>
      <c r="C59" s="922"/>
      <c r="D59" s="922"/>
      <c r="E59" s="922"/>
      <c r="F59" s="922"/>
      <c r="G59" s="922"/>
      <c r="H59" s="923" t="str">
        <f>IF(SubGen12="","",SubGen12)</f>
        <v/>
      </c>
      <c r="I59" s="924"/>
      <c r="J59" s="924"/>
      <c r="K59" s="924"/>
      <c r="L59" s="924"/>
      <c r="M59" s="924"/>
      <c r="N59" s="924"/>
      <c r="O59" s="924"/>
      <c r="P59" s="924"/>
      <c r="Q59" s="924"/>
      <c r="R59" s="924"/>
      <c r="S59" s="924"/>
      <c r="T59" s="924"/>
      <c r="U59" s="924"/>
      <c r="V59" s="924"/>
      <c r="W59" s="924"/>
      <c r="X59" s="924"/>
      <c r="Y59" s="924"/>
      <c r="Z59" s="924"/>
      <c r="AA59" s="924"/>
      <c r="AB59" s="924"/>
      <c r="AC59" s="924"/>
      <c r="AD59" s="924"/>
      <c r="AE59" s="925"/>
      <c r="AF59" s="926" t="str">
        <f>IF(CreditGen12="","",CreditGen12)</f>
        <v/>
      </c>
      <c r="AG59" s="927"/>
      <c r="AH59" s="927"/>
      <c r="AI59" s="927"/>
      <c r="AJ59" s="927"/>
      <c r="AK59" s="927"/>
      <c r="AL59" s="928"/>
      <c r="AM59" s="926" t="str">
        <f>IF($AL$2="","",IF(A59="","",VLOOKUP($AL$2,'6.คีย์ปลายภาค'!$A$6:$ET$50,65,FALSE)))</f>
        <v/>
      </c>
      <c r="AN59" s="927"/>
      <c r="AO59" s="927"/>
      <c r="AP59" s="927"/>
      <c r="AQ59" s="927"/>
      <c r="AR59" s="927"/>
      <c r="AS59" s="928"/>
      <c r="AT59" s="939" t="str">
        <f>IF($AL$2="","",IF(A59="","",VLOOKUP($AL$2,'6.คีย์ปลายภาค'!$A$6:$ET$50,66,FALSE)))</f>
        <v/>
      </c>
      <c r="AU59" s="939" t="str">
        <f t="shared" si="7"/>
        <v/>
      </c>
      <c r="AV59" s="939" t="str">
        <f t="shared" si="8"/>
        <v/>
      </c>
      <c r="AW59" s="939" t="str">
        <f t="shared" si="9"/>
        <v/>
      </c>
      <c r="AX59" s="939" t="str">
        <f t="shared" si="10"/>
        <v/>
      </c>
      <c r="AY59" s="939" t="str">
        <f t="shared" si="11"/>
        <v/>
      </c>
      <c r="AZ59" s="939" t="str">
        <f t="shared" si="12"/>
        <v/>
      </c>
      <c r="BA59" s="952"/>
      <c r="BB59" s="952"/>
      <c r="BC59" s="952"/>
      <c r="BD59" s="952"/>
      <c r="BE59" s="952"/>
      <c r="BF59" s="952"/>
      <c r="BG59" s="952"/>
      <c r="BH59" s="952"/>
      <c r="BI59" s="952"/>
      <c r="BJ59" s="952"/>
      <c r="BK59" s="952"/>
      <c r="BL59" s="952"/>
      <c r="BM59" s="952"/>
      <c r="BN59" s="952"/>
      <c r="BO59" s="952"/>
      <c r="BP59" s="952"/>
      <c r="BQ59" s="952"/>
      <c r="BR59" s="952"/>
      <c r="BS59" s="952"/>
      <c r="BT59" s="953"/>
      <c r="BV59" s="921" t="str">
        <f>IF(codegen12="","",codegen12)</f>
        <v/>
      </c>
      <c r="BW59" s="922"/>
      <c r="BX59" s="922"/>
      <c r="BY59" s="922"/>
      <c r="BZ59" s="922"/>
      <c r="CA59" s="922"/>
      <c r="CB59" s="922"/>
      <c r="CC59" s="923" t="str">
        <f>IF(SubGen12="","",SubGen12)</f>
        <v/>
      </c>
      <c r="CD59" s="924"/>
      <c r="CE59" s="924"/>
      <c r="CF59" s="924"/>
      <c r="CG59" s="924"/>
      <c r="CH59" s="924"/>
      <c r="CI59" s="924"/>
      <c r="CJ59" s="924"/>
      <c r="CK59" s="924"/>
      <c r="CL59" s="924"/>
      <c r="CM59" s="924"/>
      <c r="CN59" s="924"/>
      <c r="CO59" s="924"/>
      <c r="CP59" s="924"/>
      <c r="CQ59" s="924"/>
      <c r="CR59" s="924"/>
      <c r="CS59" s="924"/>
      <c r="CT59" s="924"/>
      <c r="CU59" s="924"/>
      <c r="CV59" s="924"/>
      <c r="CW59" s="924"/>
      <c r="CX59" s="924"/>
      <c r="CY59" s="924"/>
      <c r="CZ59" s="925"/>
      <c r="DA59" s="926" t="str">
        <f>IF(CreditGen12="","",CreditGen12)</f>
        <v/>
      </c>
      <c r="DB59" s="927"/>
      <c r="DC59" s="927"/>
      <c r="DD59" s="927"/>
      <c r="DE59" s="927"/>
      <c r="DF59" s="927"/>
      <c r="DG59" s="928"/>
      <c r="DH59" s="926" t="str">
        <f>IF($AL$2="","",IF(BV59="","",VLOOKUP($AL$2,'6.คีย์ปลายภาค'!$A$6:$ET$50,65,FALSE)))</f>
        <v/>
      </c>
      <c r="DI59" s="927"/>
      <c r="DJ59" s="927"/>
      <c r="DK59" s="927"/>
      <c r="DL59" s="927"/>
      <c r="DM59" s="927"/>
      <c r="DN59" s="928"/>
      <c r="DO59" s="939" t="str">
        <f>IF($AL$2="","",IF(BV59="","",VLOOKUP($AL$2,'6.คีย์ปลายภาค'!$A$6:$ET$50,66,FALSE)))</f>
        <v/>
      </c>
      <c r="DP59" s="939" t="str">
        <f t="shared" si="1"/>
        <v/>
      </c>
      <c r="DQ59" s="939" t="str">
        <f t="shared" si="2"/>
        <v/>
      </c>
      <c r="DR59" s="939" t="str">
        <f t="shared" si="3"/>
        <v/>
      </c>
      <c r="DS59" s="939" t="str">
        <f t="shared" si="4"/>
        <v/>
      </c>
      <c r="DT59" s="939" t="str">
        <f t="shared" si="5"/>
        <v/>
      </c>
      <c r="DU59" s="939" t="str">
        <f t="shared" si="6"/>
        <v/>
      </c>
      <c r="DV59" s="939" t="str">
        <f t="shared" si="13"/>
        <v/>
      </c>
      <c r="DW59" s="939"/>
      <c r="DX59" s="939"/>
      <c r="DY59" s="939"/>
      <c r="DZ59" s="939"/>
      <c r="EA59" s="939"/>
      <c r="EB59" s="939"/>
      <c r="EC59" s="952"/>
      <c r="ED59" s="952"/>
      <c r="EE59" s="952"/>
      <c r="EF59" s="952"/>
      <c r="EG59" s="952"/>
      <c r="EH59" s="952"/>
      <c r="EI59" s="952"/>
      <c r="EJ59" s="952"/>
      <c r="EK59" s="952"/>
      <c r="EL59" s="952"/>
      <c r="EM59" s="952"/>
      <c r="EN59" s="952"/>
      <c r="EO59" s="953"/>
    </row>
    <row r="60" spans="1:145" ht="19.5" customHeight="1" x14ac:dyDescent="0.35">
      <c r="A60" s="886" t="s">
        <v>41</v>
      </c>
      <c r="B60" s="933"/>
      <c r="C60" s="933"/>
      <c r="D60" s="933"/>
      <c r="E60" s="933"/>
      <c r="F60" s="933"/>
      <c r="G60" s="933"/>
      <c r="H60" s="933"/>
      <c r="I60" s="933"/>
      <c r="J60" s="933"/>
      <c r="K60" s="933"/>
      <c r="L60" s="933"/>
      <c r="M60" s="933"/>
      <c r="N60" s="933"/>
      <c r="O60" s="933"/>
      <c r="P60" s="933"/>
      <c r="Q60" s="933"/>
      <c r="R60" s="933"/>
      <c r="S60" s="933"/>
      <c r="T60" s="933"/>
      <c r="U60" s="933"/>
      <c r="V60" s="933"/>
      <c r="W60" s="933"/>
      <c r="X60" s="933"/>
      <c r="Y60" s="933"/>
      <c r="Z60" s="933"/>
      <c r="AA60" s="933"/>
      <c r="AB60" s="933"/>
      <c r="AC60" s="933"/>
      <c r="AD60" s="933"/>
      <c r="AE60" s="933"/>
      <c r="AF60" s="933"/>
      <c r="AG60" s="933"/>
      <c r="AH60" s="933"/>
      <c r="AI60" s="933"/>
      <c r="AJ60" s="933"/>
      <c r="AK60" s="933"/>
      <c r="AL60" s="933"/>
      <c r="AM60" s="933"/>
      <c r="AN60" s="933"/>
      <c r="AO60" s="933"/>
      <c r="AP60" s="933"/>
      <c r="AQ60" s="933"/>
      <c r="AR60" s="933"/>
      <c r="AS60" s="933"/>
      <c r="AT60" s="933"/>
      <c r="AU60" s="933"/>
      <c r="AV60" s="933"/>
      <c r="AW60" s="933"/>
      <c r="AX60" s="933"/>
      <c r="AY60" s="933"/>
      <c r="AZ60" s="933"/>
      <c r="BA60" s="933"/>
      <c r="BB60" s="933"/>
      <c r="BC60" s="933"/>
      <c r="BD60" s="933"/>
      <c r="BE60" s="933"/>
      <c r="BF60" s="933"/>
      <c r="BG60" s="933"/>
      <c r="BH60" s="933"/>
      <c r="BI60" s="933"/>
      <c r="BJ60" s="933"/>
      <c r="BK60" s="933"/>
      <c r="BL60" s="933"/>
      <c r="BM60" s="933"/>
      <c r="BN60" s="933"/>
      <c r="BO60" s="933"/>
      <c r="BP60" s="933"/>
      <c r="BQ60" s="933"/>
      <c r="BR60" s="933"/>
      <c r="BS60" s="933"/>
      <c r="BT60" s="934"/>
      <c r="BV60" s="886" t="s">
        <v>41</v>
      </c>
      <c r="BW60" s="933"/>
      <c r="BX60" s="933"/>
      <c r="BY60" s="933"/>
      <c r="BZ60" s="933"/>
      <c r="CA60" s="933"/>
      <c r="CB60" s="933"/>
      <c r="CC60" s="933"/>
      <c r="CD60" s="933"/>
      <c r="CE60" s="933"/>
      <c r="CF60" s="933"/>
      <c r="CG60" s="933"/>
      <c r="CH60" s="933"/>
      <c r="CI60" s="933"/>
      <c r="CJ60" s="933"/>
      <c r="CK60" s="933"/>
      <c r="CL60" s="933"/>
      <c r="CM60" s="933"/>
      <c r="CN60" s="933"/>
      <c r="CO60" s="933"/>
      <c r="CP60" s="933"/>
      <c r="CQ60" s="933"/>
      <c r="CR60" s="933"/>
      <c r="CS60" s="933"/>
      <c r="CT60" s="933"/>
      <c r="CU60" s="933"/>
      <c r="CV60" s="933"/>
      <c r="CW60" s="933"/>
      <c r="CX60" s="933"/>
      <c r="CY60" s="933"/>
      <c r="CZ60" s="933"/>
      <c r="DA60" s="933"/>
      <c r="DB60" s="933"/>
      <c r="DC60" s="933"/>
      <c r="DD60" s="933"/>
      <c r="DE60" s="933"/>
      <c r="DF60" s="933"/>
      <c r="DG60" s="933"/>
      <c r="DH60" s="933"/>
      <c r="DI60" s="933"/>
      <c r="DJ60" s="933"/>
      <c r="DK60" s="933"/>
      <c r="DL60" s="933"/>
      <c r="DM60" s="933"/>
      <c r="DN60" s="933"/>
      <c r="DO60" s="933"/>
      <c r="DP60" s="933"/>
      <c r="DQ60" s="933"/>
      <c r="DR60" s="933"/>
      <c r="DS60" s="933"/>
      <c r="DT60" s="933"/>
      <c r="DU60" s="933"/>
      <c r="DV60" s="933"/>
      <c r="DW60" s="933"/>
      <c r="DX60" s="933"/>
      <c r="DY60" s="933"/>
      <c r="DZ60" s="933"/>
      <c r="EA60" s="933"/>
      <c r="EB60" s="933"/>
      <c r="EC60" s="933"/>
      <c r="ED60" s="933"/>
      <c r="EE60" s="933"/>
      <c r="EF60" s="933"/>
      <c r="EG60" s="933"/>
      <c r="EH60" s="933"/>
      <c r="EI60" s="933"/>
      <c r="EJ60" s="933"/>
      <c r="EK60" s="933"/>
      <c r="EL60" s="933"/>
      <c r="EM60" s="933"/>
      <c r="EN60" s="933"/>
      <c r="EO60" s="934"/>
    </row>
    <row r="61" spans="1:145" ht="19.5" customHeight="1" x14ac:dyDescent="0.35">
      <c r="A61" s="921" t="str">
        <f>IF('5.กลางภาค'!$AL$6="","",IF('1.ข้อมูลเบื้องต้น'!$F$20="SBMLD",VLOOKUP($AL$2,'2.ชื่อนักเรียน'!$A$11:$Y$55,23),CodeEle1))</f>
        <v/>
      </c>
      <c r="B61" s="922"/>
      <c r="C61" s="922"/>
      <c r="D61" s="922"/>
      <c r="E61" s="922"/>
      <c r="F61" s="922"/>
      <c r="G61" s="922"/>
      <c r="H61" s="932" t="str">
        <f>IF(A61="","",VLOOKUP(A61,Subject!$A$3:$C$500,2,FALSE))</f>
        <v/>
      </c>
      <c r="I61" s="932"/>
      <c r="J61" s="932"/>
      <c r="K61" s="932"/>
      <c r="L61" s="932"/>
      <c r="M61" s="932"/>
      <c r="N61" s="932"/>
      <c r="O61" s="932"/>
      <c r="P61" s="932"/>
      <c r="Q61" s="932"/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/>
      <c r="AD61" s="932"/>
      <c r="AE61" s="932"/>
      <c r="AF61" s="926" t="str">
        <f>IF(A61="","",VLOOKUP(A61,Subject!$A$3:$C$500,3,FALSE))</f>
        <v/>
      </c>
      <c r="AG61" s="927"/>
      <c r="AH61" s="927"/>
      <c r="AI61" s="927"/>
      <c r="AJ61" s="927"/>
      <c r="AK61" s="927"/>
      <c r="AL61" s="928"/>
      <c r="AM61" s="954" t="str">
        <f>IF($AL$2="","",IF(A61="","",VLOOKUP($AL$2,'6.คีย์ปลายภาค'!$A$6:$ET$50,141,FALSE)))</f>
        <v/>
      </c>
      <c r="AN61" s="954"/>
      <c r="AO61" s="954"/>
      <c r="AP61" s="954"/>
      <c r="AQ61" s="954"/>
      <c r="AR61" s="954"/>
      <c r="AS61" s="954"/>
      <c r="AT61" s="939" t="str">
        <f>IF($AL$2="","",IF(A61="","",VLOOKUP($AL$2,'6.คีย์ปลายภาค'!$A$6:$ET$50,142,FALSE)))</f>
        <v/>
      </c>
      <c r="AU61" s="939" t="str">
        <f t="shared" ref="AU61:AU65" si="14">IF(AT61="","",IF(AT61="ร","ร",IF(AT61="มส","มส",IF(AT61&gt;=80,4,IF(AT61&gt;=75,3.5,IF(AT61&gt;=70,3,IF(AT61&gt;=65,2.5,IF(AT61&gt;=60,2,IF(AT61&gt;=55,1.5,IF(AT61&gt;=50,1,0))))))))))</f>
        <v/>
      </c>
      <c r="AV61" s="939" t="str">
        <f t="shared" ref="AV61:AV65" si="15">IF(AU61="","",IF(AU61="ร","ร",IF(AU61="มส","มส",IF(AU61&gt;=80,4,IF(AU61&gt;=75,3.5,IF(AU61&gt;=70,3,IF(AU61&gt;=65,2.5,IF(AU61&gt;=60,2,IF(AU61&gt;=55,1.5,IF(AU61&gt;=50,1,0))))))))))</f>
        <v/>
      </c>
      <c r="AW61" s="939" t="str">
        <f t="shared" ref="AW61:AW65" si="16">IF(AV61="","",IF(AV61="ร","ร",IF(AV61="มส","มส",IF(AV61&gt;=80,4,IF(AV61&gt;=75,3.5,IF(AV61&gt;=70,3,IF(AV61&gt;=65,2.5,IF(AV61&gt;=60,2,IF(AV61&gt;=55,1.5,IF(AV61&gt;=50,1,0))))))))))</f>
        <v/>
      </c>
      <c r="AX61" s="939" t="str">
        <f t="shared" ref="AX61:AX65" si="17">IF(AW61="","",IF(AW61="ร","ร",IF(AW61="มส","มส",IF(AW61&gt;=80,4,IF(AW61&gt;=75,3.5,IF(AW61&gt;=70,3,IF(AW61&gt;=65,2.5,IF(AW61&gt;=60,2,IF(AW61&gt;=55,1.5,IF(AW61&gt;=50,1,0))))))))))</f>
        <v/>
      </c>
      <c r="AY61" s="939" t="str">
        <f t="shared" ref="AY61:AY65" si="18">IF(AX61="","",IF(AX61="ร","ร",IF(AX61="มส","มส",IF(AX61&gt;=80,4,IF(AX61&gt;=75,3.5,IF(AX61&gt;=70,3,IF(AX61&gt;=65,2.5,IF(AX61&gt;=60,2,IF(AX61&gt;=55,1.5,IF(AX61&gt;=50,1,0))))))))))</f>
        <v/>
      </c>
      <c r="AZ61" s="939" t="str">
        <f t="shared" ref="AZ61:AZ65" si="19">IF(AY61="","",IF(AY61="ร","ร",IF(AY61="มส","มส",IF(AY61&gt;=80,4,IF(AY61&gt;=75,3.5,IF(AY61&gt;=70,3,IF(AY61&gt;=65,2.5,IF(AY61&gt;=60,2,IF(AY61&gt;=55,1.5,IF(AY61&gt;=50,1,0))))))))))</f>
        <v/>
      </c>
      <c r="BA61" s="952"/>
      <c r="BB61" s="952"/>
      <c r="BC61" s="952"/>
      <c r="BD61" s="952"/>
      <c r="BE61" s="952"/>
      <c r="BF61" s="952"/>
      <c r="BG61" s="952"/>
      <c r="BH61" s="952"/>
      <c r="BI61" s="952"/>
      <c r="BJ61" s="952"/>
      <c r="BK61" s="952"/>
      <c r="BL61" s="952"/>
      <c r="BM61" s="952"/>
      <c r="BN61" s="952"/>
      <c r="BO61" s="952"/>
      <c r="BP61" s="952"/>
      <c r="BQ61" s="952"/>
      <c r="BR61" s="952"/>
      <c r="BS61" s="952"/>
      <c r="BT61" s="953"/>
      <c r="BV61" s="921" t="str">
        <f>IF('5.กลางภาค'!$AL$6="","",IF('1.ข้อมูลเบื้องต้น'!$F$20="SBMLD",VLOOKUP($AL$2,'2.ชื่อนักเรียน'!$A$11:$Y$55,20),CodeEle1))</f>
        <v/>
      </c>
      <c r="BW61" s="922"/>
      <c r="BX61" s="922"/>
      <c r="BY61" s="922"/>
      <c r="BZ61" s="922"/>
      <c r="CA61" s="922"/>
      <c r="CB61" s="922"/>
      <c r="CC61" s="932" t="str">
        <f>IF(BV61="","",VLOOKUP(BV61,Subject!$A$3:$C$500,2,FALSE))</f>
        <v/>
      </c>
      <c r="CD61" s="932"/>
      <c r="CE61" s="932"/>
      <c r="CF61" s="932"/>
      <c r="CG61" s="932"/>
      <c r="CH61" s="932"/>
      <c r="CI61" s="932"/>
      <c r="CJ61" s="932"/>
      <c r="CK61" s="932"/>
      <c r="CL61" s="932"/>
      <c r="CM61" s="932"/>
      <c r="CN61" s="932"/>
      <c r="CO61" s="932"/>
      <c r="CP61" s="932"/>
      <c r="CQ61" s="932"/>
      <c r="CR61" s="932"/>
      <c r="CS61" s="932"/>
      <c r="CT61" s="932"/>
      <c r="CU61" s="932"/>
      <c r="CV61" s="932"/>
      <c r="CW61" s="932"/>
      <c r="CX61" s="932"/>
      <c r="CY61" s="932"/>
      <c r="CZ61" s="932"/>
      <c r="DA61" s="926" t="str">
        <f>IF(BV61="","",VLOOKUP(BV61,Subject!$A$3:$C$500,3,FALSE))</f>
        <v/>
      </c>
      <c r="DB61" s="927"/>
      <c r="DC61" s="927"/>
      <c r="DD61" s="927"/>
      <c r="DE61" s="927"/>
      <c r="DF61" s="927"/>
      <c r="DG61" s="928"/>
      <c r="DH61" s="954" t="str">
        <f>IF($AL$2="","",IF(BV61="","",VLOOKUP($AL$2,'6.คีย์ปลายภาค'!$A$6:$ET$50,141,FALSE)))</f>
        <v/>
      </c>
      <c r="DI61" s="954"/>
      <c r="DJ61" s="954"/>
      <c r="DK61" s="954"/>
      <c r="DL61" s="954"/>
      <c r="DM61" s="954"/>
      <c r="DN61" s="954"/>
      <c r="DO61" s="939" t="str">
        <f>IF($AL$2="","",IF(BV61="","",VLOOKUP($AL$2,'6.คีย์ปลายภาค'!$A$6:$ET$50,142,FALSE)))</f>
        <v/>
      </c>
      <c r="DP61" s="939" t="str">
        <f t="shared" ref="DP61:DP65" si="20">IF(DO61="","",IF(DO61="ร","ร",IF(DO61="มส","มส",IF(DO61&gt;=80,4,IF(DO61&gt;=75,3.5,IF(DO61&gt;=70,3,IF(DO61&gt;=65,2.5,IF(DO61&gt;=60,2,IF(DO61&gt;=55,1.5,IF(DO61&gt;=50,1,0))))))))))</f>
        <v/>
      </c>
      <c r="DQ61" s="939" t="str">
        <f t="shared" ref="DQ61:DQ65" si="21">IF(DP61="","",IF(DP61="ร","ร",IF(DP61="มส","มส",IF(DP61&gt;=80,4,IF(DP61&gt;=75,3.5,IF(DP61&gt;=70,3,IF(DP61&gt;=65,2.5,IF(DP61&gt;=60,2,IF(DP61&gt;=55,1.5,IF(DP61&gt;=50,1,0))))))))))</f>
        <v/>
      </c>
      <c r="DR61" s="939" t="str">
        <f t="shared" ref="DR61:DR65" si="22">IF(DQ61="","",IF(DQ61="ร","ร",IF(DQ61="มส","มส",IF(DQ61&gt;=80,4,IF(DQ61&gt;=75,3.5,IF(DQ61&gt;=70,3,IF(DQ61&gt;=65,2.5,IF(DQ61&gt;=60,2,IF(DQ61&gt;=55,1.5,IF(DQ61&gt;=50,1,0))))))))))</f>
        <v/>
      </c>
      <c r="DS61" s="939" t="str">
        <f t="shared" ref="DS61:DS65" si="23">IF(DR61="","",IF(DR61="ร","ร",IF(DR61="มส","มส",IF(DR61&gt;=80,4,IF(DR61&gt;=75,3.5,IF(DR61&gt;=70,3,IF(DR61&gt;=65,2.5,IF(DR61&gt;=60,2,IF(DR61&gt;=55,1.5,IF(DR61&gt;=50,1,0))))))))))</f>
        <v/>
      </c>
      <c r="DT61" s="939" t="str">
        <f t="shared" ref="DT61:DT65" si="24">IF(DS61="","",IF(DS61="ร","ร",IF(DS61="มส","มส",IF(DS61&gt;=80,4,IF(DS61&gt;=75,3.5,IF(DS61&gt;=70,3,IF(DS61&gt;=65,2.5,IF(DS61&gt;=60,2,IF(DS61&gt;=55,1.5,IF(DS61&gt;=50,1,0))))))))))</f>
        <v/>
      </c>
      <c r="DU61" s="939" t="str">
        <f t="shared" ref="DU61:DU65" si="25">IF(DT61="","",IF(DT61="ร","ร",IF(DT61="มส","มส",IF(DT61&gt;=80,4,IF(DT61&gt;=75,3.5,IF(DT61&gt;=70,3,IF(DT61&gt;=65,2.5,IF(DT61&gt;=60,2,IF(DT61&gt;=55,1.5,IF(DT61&gt;=50,1,0))))))))))</f>
        <v/>
      </c>
      <c r="DV61" s="939" t="str">
        <f>IF(DH61&lt;50,0,IF(DH61="ร",0,IF(DH61="มส",0,IF(DH61="","",DA61))))</f>
        <v/>
      </c>
      <c r="DW61" s="939"/>
      <c r="DX61" s="939"/>
      <c r="DY61" s="939"/>
      <c r="DZ61" s="939"/>
      <c r="EA61" s="939"/>
      <c r="EB61" s="939"/>
      <c r="EC61" s="939"/>
      <c r="ED61" s="939"/>
      <c r="EE61" s="939"/>
      <c r="EF61" s="939"/>
      <c r="EG61" s="939"/>
      <c r="EH61" s="939"/>
      <c r="EI61" s="939"/>
      <c r="EJ61" s="939"/>
      <c r="EK61" s="939"/>
      <c r="EL61" s="939"/>
      <c r="EM61" s="939"/>
      <c r="EN61" s="939"/>
      <c r="EO61" s="955"/>
    </row>
    <row r="62" spans="1:145" ht="19.5" customHeight="1" x14ac:dyDescent="0.35">
      <c r="A62" s="921" t="str">
        <f>IF('5.กลางภาค'!$AM$6="","",IF('1.ข้อมูลเบื้องต้น'!$F$21="SBMLD",VLOOKUP($AL$2,'2.ชื่อนักเรียน'!$A$11:$Y$55,23),CodeEle2))</f>
        <v/>
      </c>
      <c r="B62" s="922"/>
      <c r="C62" s="922"/>
      <c r="D62" s="922"/>
      <c r="E62" s="922"/>
      <c r="F62" s="922"/>
      <c r="G62" s="922"/>
      <c r="H62" s="932" t="str">
        <f>IF(A62="","",VLOOKUP(A62,Subject!$A$3:$C$500,2,FALSE))</f>
        <v/>
      </c>
      <c r="I62" s="932"/>
      <c r="J62" s="932"/>
      <c r="K62" s="932"/>
      <c r="L62" s="932"/>
      <c r="M62" s="932"/>
      <c r="N62" s="932"/>
      <c r="O62" s="932"/>
      <c r="P62" s="932"/>
      <c r="Q62" s="932"/>
      <c r="R62" s="932"/>
      <c r="S62" s="932"/>
      <c r="T62" s="932"/>
      <c r="U62" s="932"/>
      <c r="V62" s="932"/>
      <c r="W62" s="932"/>
      <c r="X62" s="932"/>
      <c r="Y62" s="932"/>
      <c r="Z62" s="932"/>
      <c r="AA62" s="932"/>
      <c r="AB62" s="932"/>
      <c r="AC62" s="932"/>
      <c r="AD62" s="932"/>
      <c r="AE62" s="932"/>
      <c r="AF62" s="926" t="str">
        <f>IF(A62="","",VLOOKUP(A62,Subject!$A$3:$C$500,3,FALSE))</f>
        <v/>
      </c>
      <c r="AG62" s="927"/>
      <c r="AH62" s="927"/>
      <c r="AI62" s="927"/>
      <c r="AJ62" s="927"/>
      <c r="AK62" s="927"/>
      <c r="AL62" s="928"/>
      <c r="AM62" s="954" t="str">
        <f>IF($AL$2="","",IF(A62="","",VLOOKUP($AL$2,'6.คีย์ปลายภาค'!$A$6:$ET$50,143,FALSE)))</f>
        <v/>
      </c>
      <c r="AN62" s="954"/>
      <c r="AO62" s="954"/>
      <c r="AP62" s="954"/>
      <c r="AQ62" s="954"/>
      <c r="AR62" s="954"/>
      <c r="AS62" s="954"/>
      <c r="AT62" s="939" t="str">
        <f>IF($AL$2="","",IF(A62="","",VLOOKUP($AL$2,'6.คีย์ปลายภาค'!$A$6:$ET$50,144,FALSE)))</f>
        <v/>
      </c>
      <c r="AU62" s="939" t="str">
        <f t="shared" si="14"/>
        <v/>
      </c>
      <c r="AV62" s="939" t="str">
        <f t="shared" si="15"/>
        <v/>
      </c>
      <c r="AW62" s="939" t="str">
        <f t="shared" si="16"/>
        <v/>
      </c>
      <c r="AX62" s="939" t="str">
        <f t="shared" si="17"/>
        <v/>
      </c>
      <c r="AY62" s="939" t="str">
        <f t="shared" si="18"/>
        <v/>
      </c>
      <c r="AZ62" s="939" t="str">
        <f t="shared" si="19"/>
        <v/>
      </c>
      <c r="BA62" s="952"/>
      <c r="BB62" s="952"/>
      <c r="BC62" s="952"/>
      <c r="BD62" s="952"/>
      <c r="BE62" s="952"/>
      <c r="BF62" s="952"/>
      <c r="BG62" s="952"/>
      <c r="BH62" s="952"/>
      <c r="BI62" s="952"/>
      <c r="BJ62" s="952"/>
      <c r="BK62" s="952"/>
      <c r="BL62" s="952"/>
      <c r="BM62" s="952"/>
      <c r="BN62" s="952"/>
      <c r="BO62" s="952"/>
      <c r="BP62" s="952"/>
      <c r="BQ62" s="952"/>
      <c r="BR62" s="952"/>
      <c r="BS62" s="952"/>
      <c r="BT62" s="953"/>
      <c r="BV62" s="921" t="str">
        <f>IF('5.กลางภาค'!$AM$6="","",IF('1.ข้อมูลเบื้องต้น'!$F$21="SBMLD",VLOOKUP($AL$2,'2.ชื่อนักเรียน'!$A$11:$Y$55,20),CodeEle2))</f>
        <v/>
      </c>
      <c r="BW62" s="922"/>
      <c r="BX62" s="922"/>
      <c r="BY62" s="922"/>
      <c r="BZ62" s="922"/>
      <c r="CA62" s="922"/>
      <c r="CB62" s="922"/>
      <c r="CC62" s="932" t="str">
        <f>IF(BV62="","",VLOOKUP(BV62,Subject!$A$3:$C$500,2,FALSE))</f>
        <v/>
      </c>
      <c r="CD62" s="932"/>
      <c r="CE62" s="932"/>
      <c r="CF62" s="932"/>
      <c r="CG62" s="932"/>
      <c r="CH62" s="932"/>
      <c r="CI62" s="932"/>
      <c r="CJ62" s="932"/>
      <c r="CK62" s="932"/>
      <c r="CL62" s="932"/>
      <c r="CM62" s="932"/>
      <c r="CN62" s="932"/>
      <c r="CO62" s="932"/>
      <c r="CP62" s="932"/>
      <c r="CQ62" s="932"/>
      <c r="CR62" s="932"/>
      <c r="CS62" s="932"/>
      <c r="CT62" s="932"/>
      <c r="CU62" s="932"/>
      <c r="CV62" s="932"/>
      <c r="CW62" s="932"/>
      <c r="CX62" s="932"/>
      <c r="CY62" s="932"/>
      <c r="CZ62" s="932"/>
      <c r="DA62" s="926" t="str">
        <f>IF(BV62="","",VLOOKUP(BV62,Subject!$A$3:$C$500,3,FALSE))</f>
        <v/>
      </c>
      <c r="DB62" s="927"/>
      <c r="DC62" s="927"/>
      <c r="DD62" s="927"/>
      <c r="DE62" s="927"/>
      <c r="DF62" s="927"/>
      <c r="DG62" s="928"/>
      <c r="DH62" s="954" t="str">
        <f>IF($AL$2="","",IF(BV62="","",VLOOKUP($AL$2,'6.คีย์ปลายภาค'!$A$6:$ET$50,143,FALSE)))</f>
        <v/>
      </c>
      <c r="DI62" s="954"/>
      <c r="DJ62" s="954"/>
      <c r="DK62" s="954"/>
      <c r="DL62" s="954"/>
      <c r="DM62" s="954"/>
      <c r="DN62" s="954"/>
      <c r="DO62" s="939" t="str">
        <f>IF($AL$2="","",IF(BV62="","",VLOOKUP($AL$2,'6.คีย์ปลายภาค'!$A$6:$ET$50,144,FALSE)))</f>
        <v/>
      </c>
      <c r="DP62" s="939" t="str">
        <f t="shared" si="20"/>
        <v/>
      </c>
      <c r="DQ62" s="939" t="str">
        <f t="shared" si="21"/>
        <v/>
      </c>
      <c r="DR62" s="939" t="str">
        <f t="shared" si="22"/>
        <v/>
      </c>
      <c r="DS62" s="939" t="str">
        <f t="shared" si="23"/>
        <v/>
      </c>
      <c r="DT62" s="939" t="str">
        <f t="shared" si="24"/>
        <v/>
      </c>
      <c r="DU62" s="939" t="str">
        <f t="shared" si="25"/>
        <v/>
      </c>
      <c r="DV62" s="939" t="str">
        <f>IF(DH62&lt;50,0,IF(DH62="ร",0,IF(DH62="มส",0,IF(DH62="","",DA62))))</f>
        <v/>
      </c>
      <c r="DW62" s="939"/>
      <c r="DX62" s="939"/>
      <c r="DY62" s="939"/>
      <c r="DZ62" s="939"/>
      <c r="EA62" s="939"/>
      <c r="EB62" s="939"/>
      <c r="EC62" s="939"/>
      <c r="ED62" s="939"/>
      <c r="EE62" s="939"/>
      <c r="EF62" s="939"/>
      <c r="EG62" s="939"/>
      <c r="EH62" s="939"/>
      <c r="EI62" s="939"/>
      <c r="EJ62" s="939"/>
      <c r="EK62" s="939"/>
      <c r="EL62" s="939"/>
      <c r="EM62" s="939"/>
      <c r="EN62" s="939"/>
      <c r="EO62" s="955"/>
    </row>
    <row r="63" spans="1:145" ht="19.5" customHeight="1" x14ac:dyDescent="0.35">
      <c r="A63" s="921" t="str">
        <f>IF('5.กลางภาค'!$AN$6="","",IF('1.ข้อมูลเบื้องต้น'!$F$22="SBMLD",VLOOKUP($AL$2,'2.ชื่อนักเรียน'!$A$11:$Y$55,23),CodeEle3))</f>
        <v/>
      </c>
      <c r="B63" s="922"/>
      <c r="C63" s="922"/>
      <c r="D63" s="922"/>
      <c r="E63" s="922"/>
      <c r="F63" s="922"/>
      <c r="G63" s="922"/>
      <c r="H63" s="932" t="str">
        <f>IF(A63="","",VLOOKUP(A63,Subject!$A$3:$C$500,2,FALSE))</f>
        <v/>
      </c>
      <c r="I63" s="932"/>
      <c r="J63" s="932"/>
      <c r="K63" s="932"/>
      <c r="L63" s="932"/>
      <c r="M63" s="932"/>
      <c r="N63" s="932"/>
      <c r="O63" s="932"/>
      <c r="P63" s="932"/>
      <c r="Q63" s="932"/>
      <c r="R63" s="932"/>
      <c r="S63" s="932"/>
      <c r="T63" s="932"/>
      <c r="U63" s="932"/>
      <c r="V63" s="932"/>
      <c r="W63" s="932"/>
      <c r="X63" s="932"/>
      <c r="Y63" s="932"/>
      <c r="Z63" s="932"/>
      <c r="AA63" s="932"/>
      <c r="AB63" s="932"/>
      <c r="AC63" s="932"/>
      <c r="AD63" s="932"/>
      <c r="AE63" s="932"/>
      <c r="AF63" s="926" t="str">
        <f>IF(A63="","",VLOOKUP(A63,Subject!$A$3:$C$500,3,FALSE))</f>
        <v/>
      </c>
      <c r="AG63" s="927"/>
      <c r="AH63" s="927"/>
      <c r="AI63" s="927"/>
      <c r="AJ63" s="927"/>
      <c r="AK63" s="927"/>
      <c r="AL63" s="928"/>
      <c r="AM63" s="954" t="str">
        <f>IF($AL$2="","",IF(A63="","",VLOOKUP($AL$2,'6.คีย์ปลายภาค'!$A$6:$ET$50,145,FALSE)))</f>
        <v/>
      </c>
      <c r="AN63" s="954"/>
      <c r="AO63" s="954"/>
      <c r="AP63" s="954"/>
      <c r="AQ63" s="954"/>
      <c r="AR63" s="954"/>
      <c r="AS63" s="954"/>
      <c r="AT63" s="939" t="str">
        <f>IF($AL$2="","",IF(A63="","",VLOOKUP($AL$2,'6.คีย์ปลายภาค'!$A$6:$ET$50,146,FALSE)))</f>
        <v/>
      </c>
      <c r="AU63" s="939" t="str">
        <f t="shared" si="14"/>
        <v/>
      </c>
      <c r="AV63" s="939" t="str">
        <f t="shared" si="15"/>
        <v/>
      </c>
      <c r="AW63" s="939" t="str">
        <f t="shared" si="16"/>
        <v/>
      </c>
      <c r="AX63" s="939" t="str">
        <f t="shared" si="17"/>
        <v/>
      </c>
      <c r="AY63" s="939" t="str">
        <f t="shared" si="18"/>
        <v/>
      </c>
      <c r="AZ63" s="939" t="str">
        <f t="shared" si="19"/>
        <v/>
      </c>
      <c r="BA63" s="952"/>
      <c r="BB63" s="952"/>
      <c r="BC63" s="952"/>
      <c r="BD63" s="952"/>
      <c r="BE63" s="952"/>
      <c r="BF63" s="952"/>
      <c r="BG63" s="952"/>
      <c r="BH63" s="952"/>
      <c r="BI63" s="952"/>
      <c r="BJ63" s="952"/>
      <c r="BK63" s="952"/>
      <c r="BL63" s="952"/>
      <c r="BM63" s="952"/>
      <c r="BN63" s="952"/>
      <c r="BO63" s="952"/>
      <c r="BP63" s="952"/>
      <c r="BQ63" s="952"/>
      <c r="BR63" s="952"/>
      <c r="BS63" s="952"/>
      <c r="BT63" s="953"/>
      <c r="BV63" s="921" t="str">
        <f>IF('5.กลางภาค'!$AN$6="","",IF('1.ข้อมูลเบื้องต้น'!$F$22="SBMLD",VLOOKUP($AL$2,'2.ชื่อนักเรียน'!$A$11:$Y$55,23),CodeEle3))</f>
        <v/>
      </c>
      <c r="BW63" s="922"/>
      <c r="BX63" s="922"/>
      <c r="BY63" s="922"/>
      <c r="BZ63" s="922"/>
      <c r="CA63" s="922"/>
      <c r="CB63" s="922"/>
      <c r="CC63" s="932" t="str">
        <f>IF(BV63="","",VLOOKUP(BV63,Subject!$A$3:$C$500,2,FALSE))</f>
        <v/>
      </c>
      <c r="CD63" s="932"/>
      <c r="CE63" s="932"/>
      <c r="CF63" s="932"/>
      <c r="CG63" s="932"/>
      <c r="CH63" s="932"/>
      <c r="CI63" s="932"/>
      <c r="CJ63" s="932"/>
      <c r="CK63" s="932"/>
      <c r="CL63" s="932"/>
      <c r="CM63" s="932"/>
      <c r="CN63" s="932"/>
      <c r="CO63" s="932"/>
      <c r="CP63" s="932"/>
      <c r="CQ63" s="932"/>
      <c r="CR63" s="932"/>
      <c r="CS63" s="932"/>
      <c r="CT63" s="932"/>
      <c r="CU63" s="932"/>
      <c r="CV63" s="932"/>
      <c r="CW63" s="932"/>
      <c r="CX63" s="932"/>
      <c r="CY63" s="932"/>
      <c r="CZ63" s="932"/>
      <c r="DA63" s="926" t="str">
        <f>IF(BV63="","",VLOOKUP(BV63,Subject!$A$3:$C$500,3,FALSE))</f>
        <v/>
      </c>
      <c r="DB63" s="927"/>
      <c r="DC63" s="927"/>
      <c r="DD63" s="927"/>
      <c r="DE63" s="927"/>
      <c r="DF63" s="927"/>
      <c r="DG63" s="928"/>
      <c r="DH63" s="954" t="str">
        <f>IF($AL$2="","",IF(BV63="","",VLOOKUP($AL$2,'6.คีย์ปลายภาค'!$A$6:$ET$50,145,FALSE)))</f>
        <v/>
      </c>
      <c r="DI63" s="954"/>
      <c r="DJ63" s="954"/>
      <c r="DK63" s="954"/>
      <c r="DL63" s="954"/>
      <c r="DM63" s="954"/>
      <c r="DN63" s="954"/>
      <c r="DO63" s="939" t="str">
        <f>IF($AL$2="","",IF(BV63="","",VLOOKUP($AL$2,'6.คีย์ปลายภาค'!$A$6:$ET$50,146,FALSE)))</f>
        <v/>
      </c>
      <c r="DP63" s="939" t="str">
        <f t="shared" si="20"/>
        <v/>
      </c>
      <c r="DQ63" s="939" t="str">
        <f t="shared" si="21"/>
        <v/>
      </c>
      <c r="DR63" s="939" t="str">
        <f t="shared" si="22"/>
        <v/>
      </c>
      <c r="DS63" s="939" t="str">
        <f t="shared" si="23"/>
        <v/>
      </c>
      <c r="DT63" s="939" t="str">
        <f t="shared" si="24"/>
        <v/>
      </c>
      <c r="DU63" s="939" t="str">
        <f t="shared" si="25"/>
        <v/>
      </c>
      <c r="DV63" s="939" t="str">
        <f>IF(DH63&lt;50,0,IF(DH63="ร",0,IF(DH63="มส",0,IF(DH63="","",DA63))))</f>
        <v/>
      </c>
      <c r="DW63" s="939"/>
      <c r="DX63" s="939"/>
      <c r="DY63" s="939"/>
      <c r="DZ63" s="939"/>
      <c r="EA63" s="939"/>
      <c r="EB63" s="939"/>
      <c r="EC63" s="939"/>
      <c r="ED63" s="939"/>
      <c r="EE63" s="939"/>
      <c r="EF63" s="939"/>
      <c r="EG63" s="939"/>
      <c r="EH63" s="939"/>
      <c r="EI63" s="939"/>
      <c r="EJ63" s="939"/>
      <c r="EK63" s="939"/>
      <c r="EL63" s="939"/>
      <c r="EM63" s="939"/>
      <c r="EN63" s="939"/>
      <c r="EO63" s="955"/>
    </row>
    <row r="64" spans="1:145" ht="19.5" customHeight="1" x14ac:dyDescent="0.35">
      <c r="A64" s="921" t="str">
        <f>IF('5.กลางภาค'!$AO$6="","",IF('1.ข้อมูลเบื้องต้น'!$F$23="SBMLD",VLOOKUP($AL$2,'2.ชื่อนักเรียน'!$A$11:$Y$55,23),CodeEle4))</f>
        <v/>
      </c>
      <c r="B64" s="922"/>
      <c r="C64" s="922"/>
      <c r="D64" s="922"/>
      <c r="E64" s="922"/>
      <c r="F64" s="922"/>
      <c r="G64" s="922"/>
      <c r="H64" s="932" t="str">
        <f>IF(A64="","",VLOOKUP(A64,Subject!$A$3:$C$500,2,FALSE))</f>
        <v/>
      </c>
      <c r="I64" s="932"/>
      <c r="J64" s="932"/>
      <c r="K64" s="932"/>
      <c r="L64" s="932"/>
      <c r="M64" s="932"/>
      <c r="N64" s="932"/>
      <c r="O64" s="932"/>
      <c r="P64" s="932"/>
      <c r="Q64" s="932"/>
      <c r="R64" s="932"/>
      <c r="S64" s="932"/>
      <c r="T64" s="932"/>
      <c r="U64" s="932"/>
      <c r="V64" s="932"/>
      <c r="W64" s="932"/>
      <c r="X64" s="932"/>
      <c r="Y64" s="932"/>
      <c r="Z64" s="932"/>
      <c r="AA64" s="932"/>
      <c r="AB64" s="932"/>
      <c r="AC64" s="932"/>
      <c r="AD64" s="932"/>
      <c r="AE64" s="932"/>
      <c r="AF64" s="926" t="str">
        <f>IF(A64="","",VLOOKUP(A64,Subject!$A$3:$C$500,3,FALSE))</f>
        <v/>
      </c>
      <c r="AG64" s="927"/>
      <c r="AH64" s="927"/>
      <c r="AI64" s="927"/>
      <c r="AJ64" s="927"/>
      <c r="AK64" s="927"/>
      <c r="AL64" s="928"/>
      <c r="AM64" s="954" t="str">
        <f>IF($AL$2="","",IF(A64="","",VLOOKUP($AL$2,'6.คีย์ปลายภาค'!$A$6:$ET$50,147,FALSE)))</f>
        <v/>
      </c>
      <c r="AN64" s="954"/>
      <c r="AO64" s="954"/>
      <c r="AP64" s="954"/>
      <c r="AQ64" s="954"/>
      <c r="AR64" s="954"/>
      <c r="AS64" s="954"/>
      <c r="AT64" s="939" t="str">
        <f>IF($AL$2="","",IF(A64="","",VLOOKUP($AL$2,'6.คีย์ปลายภาค'!$A$6:$ET$50,148,FALSE)))</f>
        <v/>
      </c>
      <c r="AU64" s="939" t="str">
        <f t="shared" si="14"/>
        <v/>
      </c>
      <c r="AV64" s="939" t="str">
        <f t="shared" si="15"/>
        <v/>
      </c>
      <c r="AW64" s="939" t="str">
        <f t="shared" si="16"/>
        <v/>
      </c>
      <c r="AX64" s="939" t="str">
        <f t="shared" si="17"/>
        <v/>
      </c>
      <c r="AY64" s="939" t="str">
        <f t="shared" si="18"/>
        <v/>
      </c>
      <c r="AZ64" s="939" t="str">
        <f t="shared" si="19"/>
        <v/>
      </c>
      <c r="BA64" s="952"/>
      <c r="BB64" s="952"/>
      <c r="BC64" s="952"/>
      <c r="BD64" s="952"/>
      <c r="BE64" s="952"/>
      <c r="BF64" s="952"/>
      <c r="BG64" s="952"/>
      <c r="BH64" s="952"/>
      <c r="BI64" s="952"/>
      <c r="BJ64" s="952"/>
      <c r="BK64" s="952"/>
      <c r="BL64" s="952"/>
      <c r="BM64" s="952"/>
      <c r="BN64" s="952"/>
      <c r="BO64" s="952"/>
      <c r="BP64" s="952"/>
      <c r="BQ64" s="952"/>
      <c r="BR64" s="952"/>
      <c r="BS64" s="952"/>
      <c r="BT64" s="953"/>
      <c r="BV64" s="921" t="str">
        <f>IF('5.กลางภาค'!$AO$6="","",IF('1.ข้อมูลเบื้องต้น'!$F$23="SBMLD",VLOOKUP($AL$2,'2.ชื่อนักเรียน'!$A$11:$Y$55,23),CodeEle4))</f>
        <v/>
      </c>
      <c r="BW64" s="922"/>
      <c r="BX64" s="922"/>
      <c r="BY64" s="922"/>
      <c r="BZ64" s="922"/>
      <c r="CA64" s="922"/>
      <c r="CB64" s="922"/>
      <c r="CC64" s="932" t="str">
        <f>IF(BV64="","",VLOOKUP(BV64,Subject!$A$3:$C$500,2,FALSE))</f>
        <v/>
      </c>
      <c r="CD64" s="932"/>
      <c r="CE64" s="932"/>
      <c r="CF64" s="932"/>
      <c r="CG64" s="932"/>
      <c r="CH64" s="932"/>
      <c r="CI64" s="932"/>
      <c r="CJ64" s="932"/>
      <c r="CK64" s="932"/>
      <c r="CL64" s="932"/>
      <c r="CM64" s="932"/>
      <c r="CN64" s="932"/>
      <c r="CO64" s="932"/>
      <c r="CP64" s="932"/>
      <c r="CQ64" s="932"/>
      <c r="CR64" s="932"/>
      <c r="CS64" s="932"/>
      <c r="CT64" s="932"/>
      <c r="CU64" s="932"/>
      <c r="CV64" s="932"/>
      <c r="CW64" s="932"/>
      <c r="CX64" s="932"/>
      <c r="CY64" s="932"/>
      <c r="CZ64" s="932"/>
      <c r="DA64" s="926" t="str">
        <f>IF(BV64="","",VLOOKUP(BV64,Subject!$A$3:$C$500,3,FALSE))</f>
        <v/>
      </c>
      <c r="DB64" s="927"/>
      <c r="DC64" s="927"/>
      <c r="DD64" s="927"/>
      <c r="DE64" s="927"/>
      <c r="DF64" s="927"/>
      <c r="DG64" s="928"/>
      <c r="DH64" s="954" t="str">
        <f>IF($AL$2="","",IF(BV64="","",VLOOKUP($AL$2,'6.คีย์ปลายภาค'!$A$6:$ET$50,147,FALSE)))</f>
        <v/>
      </c>
      <c r="DI64" s="954"/>
      <c r="DJ64" s="954"/>
      <c r="DK64" s="954"/>
      <c r="DL64" s="954"/>
      <c r="DM64" s="954"/>
      <c r="DN64" s="954"/>
      <c r="DO64" s="939" t="str">
        <f>IF($AL$2="","",IF(BV64="","",VLOOKUP($AL$2,'6.คีย์ปลายภาค'!$A$6:$ET$50,148,FALSE)))</f>
        <v/>
      </c>
      <c r="DP64" s="939" t="str">
        <f t="shared" si="20"/>
        <v/>
      </c>
      <c r="DQ64" s="939" t="str">
        <f t="shared" si="21"/>
        <v/>
      </c>
      <c r="DR64" s="939" t="str">
        <f t="shared" si="22"/>
        <v/>
      </c>
      <c r="DS64" s="939" t="str">
        <f t="shared" si="23"/>
        <v/>
      </c>
      <c r="DT64" s="939" t="str">
        <f t="shared" si="24"/>
        <v/>
      </c>
      <c r="DU64" s="939" t="str">
        <f t="shared" si="25"/>
        <v/>
      </c>
      <c r="DV64" s="939" t="str">
        <f>IF(DH64&lt;50,0,IF(DH64="ร",0,IF(DH64="มส",0,IF(DH64="","",DA64))))</f>
        <v/>
      </c>
      <c r="DW64" s="939"/>
      <c r="DX64" s="939"/>
      <c r="DY64" s="939"/>
      <c r="DZ64" s="939"/>
      <c r="EA64" s="939"/>
      <c r="EB64" s="939"/>
      <c r="EC64" s="939"/>
      <c r="ED64" s="939"/>
      <c r="EE64" s="939"/>
      <c r="EF64" s="939"/>
      <c r="EG64" s="939"/>
      <c r="EH64" s="939"/>
      <c r="EI64" s="939"/>
      <c r="EJ64" s="939"/>
      <c r="EK64" s="939"/>
      <c r="EL64" s="939"/>
      <c r="EM64" s="939"/>
      <c r="EN64" s="939"/>
      <c r="EO64" s="955"/>
    </row>
    <row r="65" spans="1:145" ht="19.5" customHeight="1" x14ac:dyDescent="0.35">
      <c r="A65" s="921" t="str">
        <f>IF('5.กลางภาค'!$AP$6="","",IF('1.ข้อมูลเบื้องต้น'!$F$24="SBMLD",VLOOKUP($AL$2,'2.ชื่อนักเรียน'!$A$11:$Y$55,23),CodeEle5))</f>
        <v/>
      </c>
      <c r="B65" s="922"/>
      <c r="C65" s="922"/>
      <c r="D65" s="922"/>
      <c r="E65" s="922"/>
      <c r="F65" s="922"/>
      <c r="G65" s="922"/>
      <c r="H65" s="932" t="str">
        <f>IF(A65="","",VLOOKUP(A65,Subject!$A$3:$C$500,2,FALSE))</f>
        <v/>
      </c>
      <c r="I65" s="932"/>
      <c r="J65" s="932"/>
      <c r="K65" s="932"/>
      <c r="L65" s="932"/>
      <c r="M65" s="932"/>
      <c r="N65" s="932"/>
      <c r="O65" s="932"/>
      <c r="P65" s="932"/>
      <c r="Q65" s="932"/>
      <c r="R65" s="932"/>
      <c r="S65" s="932"/>
      <c r="T65" s="932"/>
      <c r="U65" s="932"/>
      <c r="V65" s="932"/>
      <c r="W65" s="932"/>
      <c r="X65" s="932"/>
      <c r="Y65" s="932"/>
      <c r="Z65" s="932"/>
      <c r="AA65" s="932"/>
      <c r="AB65" s="932"/>
      <c r="AC65" s="932"/>
      <c r="AD65" s="932"/>
      <c r="AE65" s="932"/>
      <c r="AF65" s="926" t="str">
        <f>IF(A65="","",VLOOKUP(A65,Subject!$A$3:$C$500,3,FALSE))</f>
        <v/>
      </c>
      <c r="AG65" s="927"/>
      <c r="AH65" s="927"/>
      <c r="AI65" s="927"/>
      <c r="AJ65" s="927"/>
      <c r="AK65" s="927"/>
      <c r="AL65" s="928"/>
      <c r="AM65" s="954" t="str">
        <f>IF($AL$2="","",IF(A65="","",VLOOKUP($AL$2,'6.คีย์ปลายภาค'!$A$6:$ET$50,149,FALSE)))</f>
        <v/>
      </c>
      <c r="AN65" s="954"/>
      <c r="AO65" s="954"/>
      <c r="AP65" s="954"/>
      <c r="AQ65" s="954"/>
      <c r="AR65" s="954"/>
      <c r="AS65" s="954"/>
      <c r="AT65" s="939" t="str">
        <f>IF($AL$2="","",IF(A65="","",VLOOKUP($AL$2,'6.คีย์ปลายภาค'!$A$6:$ET$50,150,FALSE)))</f>
        <v/>
      </c>
      <c r="AU65" s="939" t="str">
        <f t="shared" si="14"/>
        <v/>
      </c>
      <c r="AV65" s="939" t="str">
        <f t="shared" si="15"/>
        <v/>
      </c>
      <c r="AW65" s="939" t="str">
        <f t="shared" si="16"/>
        <v/>
      </c>
      <c r="AX65" s="939" t="str">
        <f t="shared" si="17"/>
        <v/>
      </c>
      <c r="AY65" s="939" t="str">
        <f t="shared" si="18"/>
        <v/>
      </c>
      <c r="AZ65" s="939" t="str">
        <f t="shared" si="19"/>
        <v/>
      </c>
      <c r="BA65" s="952"/>
      <c r="BB65" s="952"/>
      <c r="BC65" s="952"/>
      <c r="BD65" s="952"/>
      <c r="BE65" s="952"/>
      <c r="BF65" s="952"/>
      <c r="BG65" s="952"/>
      <c r="BH65" s="952"/>
      <c r="BI65" s="952"/>
      <c r="BJ65" s="952"/>
      <c r="BK65" s="952"/>
      <c r="BL65" s="952"/>
      <c r="BM65" s="952"/>
      <c r="BN65" s="952"/>
      <c r="BO65" s="952"/>
      <c r="BP65" s="952"/>
      <c r="BQ65" s="952"/>
      <c r="BR65" s="952"/>
      <c r="BS65" s="952"/>
      <c r="BT65" s="953"/>
      <c r="BV65" s="921" t="str">
        <f>IF('5.กลางภาค'!$AP$6="","",IF('1.ข้อมูลเบื้องต้น'!$F$24="SBMLD",VLOOKUP($AL$2,'2.ชื่อนักเรียน'!$A$11:$Y$55,23),CodeEle5))</f>
        <v/>
      </c>
      <c r="BW65" s="922"/>
      <c r="BX65" s="922"/>
      <c r="BY65" s="922"/>
      <c r="BZ65" s="922"/>
      <c r="CA65" s="922"/>
      <c r="CB65" s="922"/>
      <c r="CC65" s="932" t="str">
        <f>IF(BV65="","",VLOOKUP(BV65,Subject!$A$3:$C$500,2,FALSE))</f>
        <v/>
      </c>
      <c r="CD65" s="932"/>
      <c r="CE65" s="932"/>
      <c r="CF65" s="932"/>
      <c r="CG65" s="932"/>
      <c r="CH65" s="932"/>
      <c r="CI65" s="932"/>
      <c r="CJ65" s="932"/>
      <c r="CK65" s="932"/>
      <c r="CL65" s="932"/>
      <c r="CM65" s="932"/>
      <c r="CN65" s="932"/>
      <c r="CO65" s="932"/>
      <c r="CP65" s="932"/>
      <c r="CQ65" s="932"/>
      <c r="CR65" s="932"/>
      <c r="CS65" s="932"/>
      <c r="CT65" s="932"/>
      <c r="CU65" s="932"/>
      <c r="CV65" s="932"/>
      <c r="CW65" s="932"/>
      <c r="CX65" s="932"/>
      <c r="CY65" s="932"/>
      <c r="CZ65" s="932"/>
      <c r="DA65" s="926" t="str">
        <f>IF(BV65="","",VLOOKUP(BV65,Subject!$A$3:$C$500,3,FALSE))</f>
        <v/>
      </c>
      <c r="DB65" s="927"/>
      <c r="DC65" s="927"/>
      <c r="DD65" s="927"/>
      <c r="DE65" s="927"/>
      <c r="DF65" s="927"/>
      <c r="DG65" s="928"/>
      <c r="DH65" s="954" t="str">
        <f>IF($AL$2="","",IF(BV65="","",VLOOKUP($AL$2,'6.คีย์ปลายภาค'!$A$6:$ET$50,149,FALSE)))</f>
        <v/>
      </c>
      <c r="DI65" s="954"/>
      <c r="DJ65" s="954"/>
      <c r="DK65" s="954"/>
      <c r="DL65" s="954"/>
      <c r="DM65" s="954"/>
      <c r="DN65" s="954"/>
      <c r="DO65" s="939" t="str">
        <f>IF($AL$2="","",IF(BV65="","",VLOOKUP($AL$2,'6.คีย์ปลายภาค'!$A$6:$ET$50,150,FALSE)))</f>
        <v/>
      </c>
      <c r="DP65" s="939" t="str">
        <f t="shared" si="20"/>
        <v/>
      </c>
      <c r="DQ65" s="939" t="str">
        <f t="shared" si="21"/>
        <v/>
      </c>
      <c r="DR65" s="939" t="str">
        <f t="shared" si="22"/>
        <v/>
      </c>
      <c r="DS65" s="939" t="str">
        <f t="shared" si="23"/>
        <v/>
      </c>
      <c r="DT65" s="939" t="str">
        <f t="shared" si="24"/>
        <v/>
      </c>
      <c r="DU65" s="939" t="str">
        <f t="shared" si="25"/>
        <v/>
      </c>
      <c r="DV65" s="939" t="str">
        <f t="shared" ref="DV65" si="26">IF(DH65&lt;50,0,IF(DH65="ร",0,IF(DH65="มส",0,IF(DH65="","",DA65))))</f>
        <v/>
      </c>
      <c r="DW65" s="939"/>
      <c r="DX65" s="939"/>
      <c r="DY65" s="939"/>
      <c r="DZ65" s="939"/>
      <c r="EA65" s="939"/>
      <c r="EB65" s="939"/>
      <c r="EC65" s="939"/>
      <c r="ED65" s="939"/>
      <c r="EE65" s="939"/>
      <c r="EF65" s="939"/>
      <c r="EG65" s="939"/>
      <c r="EH65" s="939"/>
      <c r="EI65" s="939"/>
      <c r="EJ65" s="939"/>
      <c r="EK65" s="939"/>
      <c r="EL65" s="939"/>
      <c r="EM65" s="939"/>
      <c r="EN65" s="939"/>
      <c r="EO65" s="955"/>
    </row>
    <row r="66" spans="1:145" ht="19.5" customHeight="1" x14ac:dyDescent="0.35">
      <c r="A66" s="886" t="s">
        <v>42</v>
      </c>
      <c r="B66" s="887"/>
      <c r="C66" s="887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887"/>
      <c r="AC66" s="887"/>
      <c r="AD66" s="887"/>
      <c r="AE66" s="887"/>
      <c r="AF66" s="887"/>
      <c r="AG66" s="887"/>
      <c r="AH66" s="887"/>
      <c r="AI66" s="887"/>
      <c r="AJ66" s="887"/>
      <c r="AK66" s="887"/>
      <c r="AL66" s="887"/>
      <c r="AM66" s="887"/>
      <c r="AN66" s="887"/>
      <c r="AO66" s="887"/>
      <c r="AP66" s="887"/>
      <c r="AQ66" s="887"/>
      <c r="AR66" s="887"/>
      <c r="AS66" s="887"/>
      <c r="AT66" s="887"/>
      <c r="AU66" s="887"/>
      <c r="AV66" s="887"/>
      <c r="AW66" s="887"/>
      <c r="AX66" s="887"/>
      <c r="AY66" s="887"/>
      <c r="AZ66" s="887"/>
      <c r="BA66" s="887"/>
      <c r="BB66" s="887"/>
      <c r="BC66" s="887"/>
      <c r="BD66" s="887"/>
      <c r="BE66" s="887"/>
      <c r="BF66" s="887"/>
      <c r="BG66" s="887"/>
      <c r="BH66" s="887"/>
      <c r="BI66" s="887"/>
      <c r="BJ66" s="887"/>
      <c r="BK66" s="887"/>
      <c r="BL66" s="887"/>
      <c r="BM66" s="887"/>
      <c r="BN66" s="887"/>
      <c r="BO66" s="887"/>
      <c r="BP66" s="887"/>
      <c r="BQ66" s="887"/>
      <c r="BR66" s="887"/>
      <c r="BS66" s="887"/>
      <c r="BT66" s="888"/>
      <c r="BV66" s="886" t="s">
        <v>42</v>
      </c>
      <c r="BW66" s="887"/>
      <c r="BX66" s="887"/>
      <c r="BY66" s="887"/>
      <c r="BZ66" s="887"/>
      <c r="CA66" s="887"/>
      <c r="CB66" s="887"/>
      <c r="CC66" s="887"/>
      <c r="CD66" s="887"/>
      <c r="CE66" s="887"/>
      <c r="CF66" s="887"/>
      <c r="CG66" s="887"/>
      <c r="CH66" s="887"/>
      <c r="CI66" s="887"/>
      <c r="CJ66" s="887"/>
      <c r="CK66" s="887"/>
      <c r="CL66" s="887"/>
      <c r="CM66" s="887"/>
      <c r="CN66" s="887"/>
      <c r="CO66" s="887"/>
      <c r="CP66" s="887"/>
      <c r="CQ66" s="887"/>
      <c r="CR66" s="887"/>
      <c r="CS66" s="887"/>
      <c r="CT66" s="887"/>
      <c r="CU66" s="887"/>
      <c r="CV66" s="887"/>
      <c r="CW66" s="887"/>
      <c r="CX66" s="887"/>
      <c r="CY66" s="887"/>
      <c r="CZ66" s="887"/>
      <c r="DA66" s="887"/>
      <c r="DB66" s="887"/>
      <c r="DC66" s="887"/>
      <c r="DD66" s="887"/>
      <c r="DE66" s="887"/>
      <c r="DF66" s="887"/>
      <c r="DG66" s="887"/>
      <c r="DH66" s="887"/>
      <c r="DI66" s="887"/>
      <c r="DJ66" s="887"/>
      <c r="DK66" s="887"/>
      <c r="DL66" s="887"/>
      <c r="DM66" s="887"/>
      <c r="DN66" s="887"/>
      <c r="DO66" s="887"/>
      <c r="DP66" s="887"/>
      <c r="DQ66" s="887"/>
      <c r="DR66" s="887"/>
      <c r="DS66" s="887"/>
      <c r="DT66" s="887"/>
      <c r="DU66" s="887"/>
      <c r="DV66" s="887"/>
      <c r="DW66" s="887"/>
      <c r="DX66" s="887"/>
      <c r="DY66" s="887"/>
      <c r="DZ66" s="887"/>
      <c r="EA66" s="887"/>
      <c r="EB66" s="887"/>
      <c r="EC66" s="887"/>
      <c r="ED66" s="887"/>
      <c r="EE66" s="887"/>
      <c r="EF66" s="887"/>
      <c r="EG66" s="887"/>
      <c r="EH66" s="887"/>
      <c r="EI66" s="887"/>
      <c r="EJ66" s="887"/>
      <c r="EK66" s="887"/>
      <c r="EL66" s="887"/>
      <c r="EM66" s="887"/>
      <c r="EN66" s="887"/>
      <c r="EO66" s="888"/>
    </row>
    <row r="67" spans="1:145" ht="19.5" customHeight="1" x14ac:dyDescent="0.35">
      <c r="A67" s="956" t="str">
        <f>IF(Activity1="","",Activity1)</f>
        <v>กิจกรรมแนะแนว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924"/>
      <c r="V67" s="924"/>
      <c r="W67" s="924"/>
      <c r="X67" s="924"/>
      <c r="Y67" s="924"/>
      <c r="Z67" s="924"/>
      <c r="AA67" s="924"/>
      <c r="AB67" s="924"/>
      <c r="AC67" s="924"/>
      <c r="AD67" s="924"/>
      <c r="AE67" s="925"/>
      <c r="AF67" s="957">
        <f>IF(Time1="","",Time1)</f>
        <v>20</v>
      </c>
      <c r="AG67" s="958"/>
      <c r="AH67" s="958"/>
      <c r="AI67" s="958"/>
      <c r="AJ67" s="958"/>
      <c r="AK67" s="958"/>
      <c r="AL67" s="959"/>
      <c r="AM67" s="960"/>
      <c r="AN67" s="960"/>
      <c r="AO67" s="960"/>
      <c r="AP67" s="960"/>
      <c r="AQ67" s="960"/>
      <c r="AR67" s="960"/>
      <c r="AS67" s="960"/>
      <c r="AT67" s="939">
        <f>IF($AL$2="","",IF(A67="","",VLOOKUP($AL$2,'6.คีย์ปลายภาค'!$A$6:$ET$50,134,FALSE)))</f>
        <v>0</v>
      </c>
      <c r="AU67" s="939">
        <f t="shared" ref="AU67" si="27">IF(AT67="","",IF(AT67="ร","ร",IF(AT67="มส","มส",IF(AT67&gt;=80,4,IF(AT67&gt;=75,3.5,IF(AT67&gt;=70,3,IF(AT67&gt;=65,2.5,IF(AT67&gt;=60,2,IF(AT67&gt;=55,1.5,IF(AT67&gt;=50,1,0))))))))))</f>
        <v>0</v>
      </c>
      <c r="AV67" s="939">
        <f t="shared" ref="AV67" si="28">IF(AU67="","",IF(AU67="ร","ร",IF(AU67="มส","มส",IF(AU67&gt;=80,4,IF(AU67&gt;=75,3.5,IF(AU67&gt;=70,3,IF(AU67&gt;=65,2.5,IF(AU67&gt;=60,2,IF(AU67&gt;=55,1.5,IF(AU67&gt;=50,1,0))))))))))</f>
        <v>0</v>
      </c>
      <c r="AW67" s="939">
        <f t="shared" ref="AW67" si="29">IF(AV67="","",IF(AV67="ร","ร",IF(AV67="มส","มส",IF(AV67&gt;=80,4,IF(AV67&gt;=75,3.5,IF(AV67&gt;=70,3,IF(AV67&gt;=65,2.5,IF(AV67&gt;=60,2,IF(AV67&gt;=55,1.5,IF(AV67&gt;=50,1,0))))))))))</f>
        <v>0</v>
      </c>
      <c r="AX67" s="939">
        <f t="shared" ref="AX67" si="30">IF(AW67="","",IF(AW67="ร","ร",IF(AW67="มส","มส",IF(AW67&gt;=80,4,IF(AW67&gt;=75,3.5,IF(AW67&gt;=70,3,IF(AW67&gt;=65,2.5,IF(AW67&gt;=60,2,IF(AW67&gt;=55,1.5,IF(AW67&gt;=50,1,0))))))))))</f>
        <v>0</v>
      </c>
      <c r="AY67" s="939">
        <f t="shared" ref="AY67" si="31">IF(AX67="","",IF(AX67="ร","ร",IF(AX67="มส","มส",IF(AX67&gt;=80,4,IF(AX67&gt;=75,3.5,IF(AX67&gt;=70,3,IF(AX67&gt;=65,2.5,IF(AX67&gt;=60,2,IF(AX67&gt;=55,1.5,IF(AX67&gt;=50,1,0))))))))))</f>
        <v>0</v>
      </c>
      <c r="AZ67" s="939">
        <f t="shared" ref="AZ67" si="32">IF(AY67="","",IF(AY67="ร","ร",IF(AY67="มส","มส",IF(AY67&gt;=80,4,IF(AY67&gt;=75,3.5,IF(AY67&gt;=70,3,IF(AY67&gt;=65,2.5,IF(AY67&gt;=60,2,IF(AY67&gt;=55,1.5,IF(AY67&gt;=50,1,0))))))))))</f>
        <v>0</v>
      </c>
      <c r="BA67" s="952"/>
      <c r="BB67" s="952"/>
      <c r="BC67" s="952"/>
      <c r="BD67" s="952"/>
      <c r="BE67" s="952"/>
      <c r="BF67" s="952"/>
      <c r="BG67" s="952"/>
      <c r="BH67" s="952"/>
      <c r="BI67" s="952"/>
      <c r="BJ67" s="952"/>
      <c r="BK67" s="952"/>
      <c r="BL67" s="952"/>
      <c r="BM67" s="952"/>
      <c r="BN67" s="952"/>
      <c r="BO67" s="952"/>
      <c r="BP67" s="952"/>
      <c r="BQ67" s="952"/>
      <c r="BR67" s="952"/>
      <c r="BS67" s="952"/>
      <c r="BT67" s="953"/>
      <c r="BV67" s="956" t="str">
        <f>IF(Activity1="","",Activity1)</f>
        <v>กิจกรรมแนะแนว</v>
      </c>
      <c r="BW67" s="924"/>
      <c r="BX67" s="924"/>
      <c r="BY67" s="924"/>
      <c r="BZ67" s="924"/>
      <c r="CA67" s="924"/>
      <c r="CB67" s="924"/>
      <c r="CC67" s="924"/>
      <c r="CD67" s="924"/>
      <c r="CE67" s="924"/>
      <c r="CF67" s="924"/>
      <c r="CG67" s="924"/>
      <c r="CH67" s="924"/>
      <c r="CI67" s="924"/>
      <c r="CJ67" s="924"/>
      <c r="CK67" s="924"/>
      <c r="CL67" s="924"/>
      <c r="CM67" s="924"/>
      <c r="CN67" s="924"/>
      <c r="CO67" s="924"/>
      <c r="CP67" s="924"/>
      <c r="CQ67" s="924"/>
      <c r="CR67" s="924"/>
      <c r="CS67" s="924"/>
      <c r="CT67" s="924"/>
      <c r="CU67" s="924"/>
      <c r="CV67" s="924"/>
      <c r="CW67" s="924"/>
      <c r="CX67" s="924"/>
      <c r="CY67" s="924"/>
      <c r="CZ67" s="925"/>
      <c r="DA67" s="957">
        <f>IF(Time1="","",Time1)</f>
        <v>20</v>
      </c>
      <c r="DB67" s="958"/>
      <c r="DC67" s="958"/>
      <c r="DD67" s="958"/>
      <c r="DE67" s="958"/>
      <c r="DF67" s="958"/>
      <c r="DG67" s="959"/>
      <c r="DH67" s="960"/>
      <c r="DI67" s="960"/>
      <c r="DJ67" s="960"/>
      <c r="DK67" s="960"/>
      <c r="DL67" s="960"/>
      <c r="DM67" s="960"/>
      <c r="DN67" s="960"/>
      <c r="DO67" s="939">
        <f>IF($AL$2="","",IF(BV67="","",VLOOKUP($AL$2,'6.คีย์ปลายภาค'!$A$6:$ET$50,134,FALSE)))</f>
        <v>0</v>
      </c>
      <c r="DP67" s="939">
        <f t="shared" ref="DP67:DP70" si="33">IF(DO67="","",IF(DO67="ร","ร",IF(DO67="มส","มส",IF(DO67&gt;=80,4,IF(DO67&gt;=75,3.5,IF(DO67&gt;=70,3,IF(DO67&gt;=65,2.5,IF(DO67&gt;=60,2,IF(DO67&gt;=55,1.5,IF(DO67&gt;=50,1,0))))))))))</f>
        <v>0</v>
      </c>
      <c r="DQ67" s="939">
        <f t="shared" ref="DQ67:DQ70" si="34">IF(DP67="","",IF(DP67="ร","ร",IF(DP67="มส","มส",IF(DP67&gt;=80,4,IF(DP67&gt;=75,3.5,IF(DP67&gt;=70,3,IF(DP67&gt;=65,2.5,IF(DP67&gt;=60,2,IF(DP67&gt;=55,1.5,IF(DP67&gt;=50,1,0))))))))))</f>
        <v>0</v>
      </c>
      <c r="DR67" s="939">
        <f t="shared" ref="DR67:DR70" si="35">IF(DQ67="","",IF(DQ67="ร","ร",IF(DQ67="มส","มส",IF(DQ67&gt;=80,4,IF(DQ67&gt;=75,3.5,IF(DQ67&gt;=70,3,IF(DQ67&gt;=65,2.5,IF(DQ67&gt;=60,2,IF(DQ67&gt;=55,1.5,IF(DQ67&gt;=50,1,0))))))))))</f>
        <v>0</v>
      </c>
      <c r="DS67" s="939">
        <f t="shared" ref="DS67:DS70" si="36">IF(DR67="","",IF(DR67="ร","ร",IF(DR67="มส","มส",IF(DR67&gt;=80,4,IF(DR67&gt;=75,3.5,IF(DR67&gt;=70,3,IF(DR67&gt;=65,2.5,IF(DR67&gt;=60,2,IF(DR67&gt;=55,1.5,IF(DR67&gt;=50,1,0))))))))))</f>
        <v>0</v>
      </c>
      <c r="DT67" s="939">
        <f t="shared" ref="DT67:DT70" si="37">IF(DS67="","",IF(DS67="ร","ร",IF(DS67="มส","มส",IF(DS67&gt;=80,4,IF(DS67&gt;=75,3.5,IF(DS67&gt;=70,3,IF(DS67&gt;=65,2.5,IF(DS67&gt;=60,2,IF(DS67&gt;=55,1.5,IF(DS67&gt;=50,1,0))))))))))</f>
        <v>0</v>
      </c>
      <c r="DU67" s="939">
        <f t="shared" ref="DU67:DU70" si="38">IF(DT67="","",IF(DT67="ร","ร",IF(DT67="มส","มส",IF(DT67&gt;=80,4,IF(DT67&gt;=75,3.5,IF(DT67&gt;=70,3,IF(DT67&gt;=65,2.5,IF(DT67&gt;=60,2,IF(DT67&gt;=55,1.5,IF(DT67&gt;=50,1,0))))))))))</f>
        <v>0</v>
      </c>
      <c r="DV67" s="939"/>
      <c r="DW67" s="939"/>
      <c r="DX67" s="939"/>
      <c r="DY67" s="939"/>
      <c r="DZ67" s="939"/>
      <c r="EA67" s="939"/>
      <c r="EB67" s="939"/>
      <c r="EC67" s="939"/>
      <c r="ED67" s="939"/>
      <c r="EE67" s="939"/>
      <c r="EF67" s="939"/>
      <c r="EG67" s="939"/>
      <c r="EH67" s="939"/>
      <c r="EI67" s="939"/>
      <c r="EJ67" s="939"/>
      <c r="EK67" s="939"/>
      <c r="EL67" s="939"/>
      <c r="EM67" s="939"/>
      <c r="EN67" s="939"/>
      <c r="EO67" s="955"/>
    </row>
    <row r="68" spans="1:145" ht="19.5" customHeight="1" x14ac:dyDescent="0.35">
      <c r="A68" s="956" t="str">
        <f>IF(Activity2="","",Activity2)</f>
        <v>ลูกเสือ - เนตรนารี</v>
      </c>
      <c r="B68" s="924"/>
      <c r="C68" s="924"/>
      <c r="D68" s="924"/>
      <c r="E68" s="924"/>
      <c r="F68" s="924"/>
      <c r="G68" s="924"/>
      <c r="H68" s="924"/>
      <c r="I68" s="924"/>
      <c r="J68" s="924"/>
      <c r="K68" s="924"/>
      <c r="L68" s="924"/>
      <c r="M68" s="924"/>
      <c r="N68" s="924"/>
      <c r="O68" s="924"/>
      <c r="P68" s="924"/>
      <c r="Q68" s="924"/>
      <c r="R68" s="924"/>
      <c r="S68" s="924"/>
      <c r="T68" s="924"/>
      <c r="U68" s="924"/>
      <c r="V68" s="924"/>
      <c r="W68" s="924"/>
      <c r="X68" s="924"/>
      <c r="Y68" s="924"/>
      <c r="Z68" s="924"/>
      <c r="AA68" s="924"/>
      <c r="AB68" s="924"/>
      <c r="AC68" s="924"/>
      <c r="AD68" s="924"/>
      <c r="AE68" s="925"/>
      <c r="AF68" s="957">
        <f>IF(Time2="","",Time2)</f>
        <v>20</v>
      </c>
      <c r="AG68" s="958"/>
      <c r="AH68" s="958"/>
      <c r="AI68" s="958"/>
      <c r="AJ68" s="958"/>
      <c r="AK68" s="958"/>
      <c r="AL68" s="959"/>
      <c r="AM68" s="960"/>
      <c r="AN68" s="960"/>
      <c r="AO68" s="960"/>
      <c r="AP68" s="960"/>
      <c r="AQ68" s="960"/>
      <c r="AR68" s="960"/>
      <c r="AS68" s="960"/>
      <c r="AT68" s="939">
        <f>IF($AL$2="","",IF(A68="","",VLOOKUP($AL$2,'6.คีย์ปลายภาค'!$A$6:$ET$50,135,FALSE)))</f>
        <v>0</v>
      </c>
      <c r="AU68" s="939">
        <f t="shared" ref="AU68:AU70" si="39">IF(AT68="","",IF(AT68="ร","ร",IF(AT68="มส","มส",IF(AT68&gt;=80,4,IF(AT68&gt;=75,3.5,IF(AT68&gt;=70,3,IF(AT68&gt;=65,2.5,IF(AT68&gt;=60,2,IF(AT68&gt;=55,1.5,IF(AT68&gt;=50,1,0))))))))))</f>
        <v>0</v>
      </c>
      <c r="AV68" s="939">
        <f t="shared" ref="AV68:AV70" si="40">IF(AU68="","",IF(AU68="ร","ร",IF(AU68="มส","มส",IF(AU68&gt;=80,4,IF(AU68&gt;=75,3.5,IF(AU68&gt;=70,3,IF(AU68&gt;=65,2.5,IF(AU68&gt;=60,2,IF(AU68&gt;=55,1.5,IF(AU68&gt;=50,1,0))))))))))</f>
        <v>0</v>
      </c>
      <c r="AW68" s="939">
        <f t="shared" ref="AW68:AW70" si="41">IF(AV68="","",IF(AV68="ร","ร",IF(AV68="มส","มส",IF(AV68&gt;=80,4,IF(AV68&gt;=75,3.5,IF(AV68&gt;=70,3,IF(AV68&gt;=65,2.5,IF(AV68&gt;=60,2,IF(AV68&gt;=55,1.5,IF(AV68&gt;=50,1,0))))))))))</f>
        <v>0</v>
      </c>
      <c r="AX68" s="939">
        <f t="shared" ref="AX68:AX70" si="42">IF(AW68="","",IF(AW68="ร","ร",IF(AW68="มส","มส",IF(AW68&gt;=80,4,IF(AW68&gt;=75,3.5,IF(AW68&gt;=70,3,IF(AW68&gt;=65,2.5,IF(AW68&gt;=60,2,IF(AW68&gt;=55,1.5,IF(AW68&gt;=50,1,0))))))))))</f>
        <v>0</v>
      </c>
      <c r="AY68" s="939">
        <f t="shared" ref="AY68:AY70" si="43">IF(AX68="","",IF(AX68="ร","ร",IF(AX68="มส","มส",IF(AX68&gt;=80,4,IF(AX68&gt;=75,3.5,IF(AX68&gt;=70,3,IF(AX68&gt;=65,2.5,IF(AX68&gt;=60,2,IF(AX68&gt;=55,1.5,IF(AX68&gt;=50,1,0))))))))))</f>
        <v>0</v>
      </c>
      <c r="AZ68" s="939">
        <f t="shared" ref="AZ68:AZ70" si="44">IF(AY68="","",IF(AY68="ร","ร",IF(AY68="มส","มส",IF(AY68&gt;=80,4,IF(AY68&gt;=75,3.5,IF(AY68&gt;=70,3,IF(AY68&gt;=65,2.5,IF(AY68&gt;=60,2,IF(AY68&gt;=55,1.5,IF(AY68&gt;=50,1,0))))))))))</f>
        <v>0</v>
      </c>
      <c r="BA68" s="952"/>
      <c r="BB68" s="952"/>
      <c r="BC68" s="952"/>
      <c r="BD68" s="952"/>
      <c r="BE68" s="952"/>
      <c r="BF68" s="952"/>
      <c r="BG68" s="952"/>
      <c r="BH68" s="952"/>
      <c r="BI68" s="952"/>
      <c r="BJ68" s="952"/>
      <c r="BK68" s="952"/>
      <c r="BL68" s="952"/>
      <c r="BM68" s="952"/>
      <c r="BN68" s="952"/>
      <c r="BO68" s="952"/>
      <c r="BP68" s="952"/>
      <c r="BQ68" s="952"/>
      <c r="BR68" s="952"/>
      <c r="BS68" s="952"/>
      <c r="BT68" s="953"/>
      <c r="BV68" s="956" t="str">
        <f>IF(Activity2="","",Activity2)</f>
        <v>ลูกเสือ - เนตรนารี</v>
      </c>
      <c r="BW68" s="924"/>
      <c r="BX68" s="924"/>
      <c r="BY68" s="924"/>
      <c r="BZ68" s="924"/>
      <c r="CA68" s="924"/>
      <c r="CB68" s="924"/>
      <c r="CC68" s="924"/>
      <c r="CD68" s="924"/>
      <c r="CE68" s="924"/>
      <c r="CF68" s="924"/>
      <c r="CG68" s="924"/>
      <c r="CH68" s="924"/>
      <c r="CI68" s="924"/>
      <c r="CJ68" s="924"/>
      <c r="CK68" s="924"/>
      <c r="CL68" s="924"/>
      <c r="CM68" s="924"/>
      <c r="CN68" s="924"/>
      <c r="CO68" s="924"/>
      <c r="CP68" s="924"/>
      <c r="CQ68" s="924"/>
      <c r="CR68" s="924"/>
      <c r="CS68" s="924"/>
      <c r="CT68" s="924"/>
      <c r="CU68" s="924"/>
      <c r="CV68" s="924"/>
      <c r="CW68" s="924"/>
      <c r="CX68" s="924"/>
      <c r="CY68" s="924"/>
      <c r="CZ68" s="925"/>
      <c r="DA68" s="957">
        <f>IF(Time2="","",Time2)</f>
        <v>20</v>
      </c>
      <c r="DB68" s="958"/>
      <c r="DC68" s="958"/>
      <c r="DD68" s="958"/>
      <c r="DE68" s="958"/>
      <c r="DF68" s="958"/>
      <c r="DG68" s="959"/>
      <c r="DH68" s="960"/>
      <c r="DI68" s="960"/>
      <c r="DJ68" s="960"/>
      <c r="DK68" s="960"/>
      <c r="DL68" s="960"/>
      <c r="DM68" s="960"/>
      <c r="DN68" s="960"/>
      <c r="DO68" s="939">
        <f>IF($AL$2="","",IF(BV68="","",VLOOKUP($AL$2,'6.คีย์ปลายภาค'!$A$6:$ET$50,135,FALSE)))</f>
        <v>0</v>
      </c>
      <c r="DP68" s="939">
        <f t="shared" si="33"/>
        <v>0</v>
      </c>
      <c r="DQ68" s="939">
        <f t="shared" si="34"/>
        <v>0</v>
      </c>
      <c r="DR68" s="939">
        <f t="shared" si="35"/>
        <v>0</v>
      </c>
      <c r="DS68" s="939">
        <f t="shared" si="36"/>
        <v>0</v>
      </c>
      <c r="DT68" s="939">
        <f t="shared" si="37"/>
        <v>0</v>
      </c>
      <c r="DU68" s="939">
        <f t="shared" si="38"/>
        <v>0</v>
      </c>
      <c r="DV68" s="939"/>
      <c r="DW68" s="939"/>
      <c r="DX68" s="939"/>
      <c r="DY68" s="939"/>
      <c r="DZ68" s="939"/>
      <c r="EA68" s="939"/>
      <c r="EB68" s="939"/>
      <c r="EC68" s="939"/>
      <c r="ED68" s="939"/>
      <c r="EE68" s="939"/>
      <c r="EF68" s="939"/>
      <c r="EG68" s="939"/>
      <c r="EH68" s="939"/>
      <c r="EI68" s="939"/>
      <c r="EJ68" s="939"/>
      <c r="EK68" s="939"/>
      <c r="EL68" s="939"/>
      <c r="EM68" s="939"/>
      <c r="EN68" s="939"/>
      <c r="EO68" s="955"/>
    </row>
    <row r="69" spans="1:145" ht="19.5" customHeight="1" x14ac:dyDescent="0.35">
      <c r="A69" s="956" t="str">
        <f>IF(Activity3="","",Activity3)</f>
        <v>ชมรม</v>
      </c>
      <c r="B69" s="924"/>
      <c r="C69" s="924"/>
      <c r="D69" s="924"/>
      <c r="E69" s="924"/>
      <c r="F69" s="924"/>
      <c r="G69" s="924"/>
      <c r="H69" s="924">
        <f>IF($AL$2="","",VLOOKUP($AL$2,'6.คีย์ปลายภาค'!$A$6:$ET$50,139,FALSE))</f>
        <v>0</v>
      </c>
      <c r="I69" s="924"/>
      <c r="J69" s="924"/>
      <c r="K69" s="924"/>
      <c r="L69" s="924"/>
      <c r="M69" s="924"/>
      <c r="N69" s="924"/>
      <c r="O69" s="924"/>
      <c r="P69" s="924"/>
      <c r="Q69" s="924"/>
      <c r="R69" s="924"/>
      <c r="S69" s="924"/>
      <c r="T69" s="924"/>
      <c r="U69" s="924"/>
      <c r="V69" s="924"/>
      <c r="W69" s="924"/>
      <c r="X69" s="924"/>
      <c r="Y69" s="924"/>
      <c r="Z69" s="924"/>
      <c r="AA69" s="924"/>
      <c r="AB69" s="924"/>
      <c r="AC69" s="924"/>
      <c r="AD69" s="924"/>
      <c r="AE69" s="925"/>
      <c r="AF69" s="957">
        <f>IF(Time4="","",Time4)</f>
        <v>20</v>
      </c>
      <c r="AG69" s="958"/>
      <c r="AH69" s="958"/>
      <c r="AI69" s="958"/>
      <c r="AJ69" s="958"/>
      <c r="AK69" s="958"/>
      <c r="AL69" s="959"/>
      <c r="AM69" s="960"/>
      <c r="AN69" s="960"/>
      <c r="AO69" s="960"/>
      <c r="AP69" s="960"/>
      <c r="AQ69" s="960"/>
      <c r="AR69" s="960"/>
      <c r="AS69" s="960"/>
      <c r="AT69" s="939">
        <f>IF($AL$2="","",IF(A69="","",VLOOKUP($AL$2,'6.คีย์ปลายภาค'!$A$6:$ET$50,136,FALSE)))</f>
        <v>0</v>
      </c>
      <c r="AU69" s="939">
        <f t="shared" si="39"/>
        <v>0</v>
      </c>
      <c r="AV69" s="939">
        <f t="shared" si="40"/>
        <v>0</v>
      </c>
      <c r="AW69" s="939">
        <f t="shared" si="41"/>
        <v>0</v>
      </c>
      <c r="AX69" s="939">
        <f t="shared" si="42"/>
        <v>0</v>
      </c>
      <c r="AY69" s="939">
        <f t="shared" si="43"/>
        <v>0</v>
      </c>
      <c r="AZ69" s="939">
        <f t="shared" si="44"/>
        <v>0</v>
      </c>
      <c r="BA69" s="952"/>
      <c r="BB69" s="952"/>
      <c r="BC69" s="952"/>
      <c r="BD69" s="952"/>
      <c r="BE69" s="952"/>
      <c r="BF69" s="952"/>
      <c r="BG69" s="952"/>
      <c r="BH69" s="952"/>
      <c r="BI69" s="952"/>
      <c r="BJ69" s="952"/>
      <c r="BK69" s="952"/>
      <c r="BL69" s="952"/>
      <c r="BM69" s="952"/>
      <c r="BN69" s="952"/>
      <c r="BO69" s="952"/>
      <c r="BP69" s="952"/>
      <c r="BQ69" s="952"/>
      <c r="BR69" s="952"/>
      <c r="BS69" s="952"/>
      <c r="BT69" s="953"/>
      <c r="BV69" s="956" t="str">
        <f>IF(Activity3="","",Activity3)</f>
        <v>ชมรม</v>
      </c>
      <c r="BW69" s="924"/>
      <c r="BX69" s="924"/>
      <c r="BY69" s="924"/>
      <c r="BZ69" s="924"/>
      <c r="CA69" s="924"/>
      <c r="CB69" s="924"/>
      <c r="CC69" s="924">
        <f>IF($AL$2="","",VLOOKUP($AL$2,'6.คีย์ปลายภาค'!$A$6:$ET$50,139,FALSE))</f>
        <v>0</v>
      </c>
      <c r="CD69" s="924"/>
      <c r="CE69" s="924"/>
      <c r="CF69" s="924"/>
      <c r="CG69" s="924"/>
      <c r="CH69" s="924"/>
      <c r="CI69" s="924"/>
      <c r="CJ69" s="924"/>
      <c r="CK69" s="924"/>
      <c r="CL69" s="924"/>
      <c r="CM69" s="924"/>
      <c r="CN69" s="924"/>
      <c r="CO69" s="924"/>
      <c r="CP69" s="924"/>
      <c r="CQ69" s="924"/>
      <c r="CR69" s="924"/>
      <c r="CS69" s="924"/>
      <c r="CT69" s="924"/>
      <c r="CU69" s="924"/>
      <c r="CV69" s="924"/>
      <c r="CW69" s="924"/>
      <c r="CX69" s="924"/>
      <c r="CY69" s="924"/>
      <c r="CZ69" s="925"/>
      <c r="DA69" s="957">
        <f>IF(Time4="","",Time4)</f>
        <v>20</v>
      </c>
      <c r="DB69" s="958"/>
      <c r="DC69" s="958"/>
      <c r="DD69" s="958"/>
      <c r="DE69" s="958"/>
      <c r="DF69" s="958"/>
      <c r="DG69" s="959"/>
      <c r="DH69" s="960"/>
      <c r="DI69" s="960"/>
      <c r="DJ69" s="960"/>
      <c r="DK69" s="960"/>
      <c r="DL69" s="960"/>
      <c r="DM69" s="960"/>
      <c r="DN69" s="960"/>
      <c r="DO69" s="939">
        <f>IF($AL$2="","",IF(BV69="","",VLOOKUP($AL$2,'6.คีย์ปลายภาค'!$A$6:$ET$50,136,FALSE)))</f>
        <v>0</v>
      </c>
      <c r="DP69" s="939">
        <f t="shared" si="33"/>
        <v>0</v>
      </c>
      <c r="DQ69" s="939">
        <f t="shared" si="34"/>
        <v>0</v>
      </c>
      <c r="DR69" s="939">
        <f t="shared" si="35"/>
        <v>0</v>
      </c>
      <c r="DS69" s="939">
        <f t="shared" si="36"/>
        <v>0</v>
      </c>
      <c r="DT69" s="939">
        <f t="shared" si="37"/>
        <v>0</v>
      </c>
      <c r="DU69" s="939">
        <f t="shared" si="38"/>
        <v>0</v>
      </c>
      <c r="DV69" s="939"/>
      <c r="DW69" s="939"/>
      <c r="DX69" s="939"/>
      <c r="DY69" s="939"/>
      <c r="DZ69" s="939"/>
      <c r="EA69" s="939"/>
      <c r="EB69" s="939"/>
      <c r="EC69" s="939"/>
      <c r="ED69" s="939"/>
      <c r="EE69" s="939"/>
      <c r="EF69" s="939"/>
      <c r="EG69" s="939"/>
      <c r="EH69" s="939"/>
      <c r="EI69" s="939"/>
      <c r="EJ69" s="939"/>
      <c r="EK69" s="939"/>
      <c r="EL69" s="939"/>
      <c r="EM69" s="939"/>
      <c r="EN69" s="939"/>
      <c r="EO69" s="955"/>
    </row>
    <row r="70" spans="1:145" ht="19.5" customHeight="1" thickBot="1" x14ac:dyDescent="0.4">
      <c r="A70" s="961" t="str">
        <f>IF(Activity4="","",Activity4)</f>
        <v>กิจกรรมเพื่อสังคมและสาธารณประโยชน์</v>
      </c>
      <c r="B70" s="962"/>
      <c r="C70" s="962"/>
      <c r="D70" s="962"/>
      <c r="E70" s="962"/>
      <c r="F70" s="962"/>
      <c r="G70" s="962"/>
      <c r="H70" s="962"/>
      <c r="I70" s="962"/>
      <c r="J70" s="962"/>
      <c r="K70" s="962"/>
      <c r="L70" s="962"/>
      <c r="M70" s="962"/>
      <c r="N70" s="962"/>
      <c r="O70" s="962"/>
      <c r="P70" s="962"/>
      <c r="Q70" s="962"/>
      <c r="R70" s="962"/>
      <c r="S70" s="962"/>
      <c r="T70" s="962"/>
      <c r="U70" s="962"/>
      <c r="V70" s="962"/>
      <c r="W70" s="962"/>
      <c r="X70" s="962"/>
      <c r="Y70" s="962"/>
      <c r="Z70" s="962"/>
      <c r="AA70" s="962"/>
      <c r="AB70" s="962"/>
      <c r="AC70" s="962"/>
      <c r="AD70" s="962"/>
      <c r="AE70" s="963"/>
      <c r="AF70" s="957">
        <f>IF('1.ข้อมูลเบื้องต้น'!E37="","",'1.ข้อมูลเบื้องต้น'!E37)</f>
        <v>8</v>
      </c>
      <c r="AG70" s="958"/>
      <c r="AH70" s="958"/>
      <c r="AI70" s="958"/>
      <c r="AJ70" s="958"/>
      <c r="AK70" s="958"/>
      <c r="AL70" s="959"/>
      <c r="AM70" s="964"/>
      <c r="AN70" s="964"/>
      <c r="AO70" s="964"/>
      <c r="AP70" s="964"/>
      <c r="AQ70" s="964"/>
      <c r="AR70" s="964"/>
      <c r="AS70" s="964"/>
      <c r="AT70" s="965">
        <f>IF($AL$2="","",IF(A70="","",VLOOKUP($AL$2,'6.คีย์ปลายภาค'!$A$6:$ET$50,137,FALSE)))</f>
        <v>0</v>
      </c>
      <c r="AU70" s="965">
        <f t="shared" si="39"/>
        <v>0</v>
      </c>
      <c r="AV70" s="965">
        <f t="shared" si="40"/>
        <v>0</v>
      </c>
      <c r="AW70" s="965">
        <f t="shared" si="41"/>
        <v>0</v>
      </c>
      <c r="AX70" s="965">
        <f t="shared" si="42"/>
        <v>0</v>
      </c>
      <c r="AY70" s="965">
        <f t="shared" si="43"/>
        <v>0</v>
      </c>
      <c r="AZ70" s="965">
        <f t="shared" si="44"/>
        <v>0</v>
      </c>
      <c r="BA70" s="966"/>
      <c r="BB70" s="966"/>
      <c r="BC70" s="966"/>
      <c r="BD70" s="966"/>
      <c r="BE70" s="966"/>
      <c r="BF70" s="966"/>
      <c r="BG70" s="966"/>
      <c r="BH70" s="966"/>
      <c r="BI70" s="966"/>
      <c r="BJ70" s="966"/>
      <c r="BK70" s="966"/>
      <c r="BL70" s="966"/>
      <c r="BM70" s="966"/>
      <c r="BN70" s="966"/>
      <c r="BO70" s="966"/>
      <c r="BP70" s="966"/>
      <c r="BQ70" s="966"/>
      <c r="BR70" s="966"/>
      <c r="BS70" s="966"/>
      <c r="BT70" s="967"/>
      <c r="BV70" s="961" t="str">
        <f>IF(Activity4="","",Activity4)</f>
        <v>กิจกรรมเพื่อสังคมและสาธารณประโยชน์</v>
      </c>
      <c r="BW70" s="962"/>
      <c r="BX70" s="962"/>
      <c r="BY70" s="962"/>
      <c r="BZ70" s="962"/>
      <c r="CA70" s="962"/>
      <c r="CB70" s="962"/>
      <c r="CC70" s="962"/>
      <c r="CD70" s="962"/>
      <c r="CE70" s="962"/>
      <c r="CF70" s="962"/>
      <c r="CG70" s="962"/>
      <c r="CH70" s="962"/>
      <c r="CI70" s="962"/>
      <c r="CJ70" s="962"/>
      <c r="CK70" s="962"/>
      <c r="CL70" s="962"/>
      <c r="CM70" s="962"/>
      <c r="CN70" s="962"/>
      <c r="CO70" s="962"/>
      <c r="CP70" s="962"/>
      <c r="CQ70" s="962"/>
      <c r="CR70" s="962"/>
      <c r="CS70" s="962"/>
      <c r="CT70" s="962"/>
      <c r="CU70" s="962"/>
      <c r="CV70" s="962"/>
      <c r="CW70" s="962"/>
      <c r="CX70" s="962"/>
      <c r="CY70" s="962"/>
      <c r="CZ70" s="963"/>
      <c r="DA70" s="968">
        <f>IF(Time4="","",Time4)</f>
        <v>20</v>
      </c>
      <c r="DB70" s="969"/>
      <c r="DC70" s="969"/>
      <c r="DD70" s="969"/>
      <c r="DE70" s="969"/>
      <c r="DF70" s="969"/>
      <c r="DG70" s="970"/>
      <c r="DH70" s="964"/>
      <c r="DI70" s="964"/>
      <c r="DJ70" s="964"/>
      <c r="DK70" s="964"/>
      <c r="DL70" s="964"/>
      <c r="DM70" s="964"/>
      <c r="DN70" s="964"/>
      <c r="DO70" s="965">
        <f>IF($AL$2="","",IF(BV70="","",VLOOKUP($AL$2,'6.คีย์ปลายภาค'!$A$6:$ET$50,137,FALSE)))</f>
        <v>0</v>
      </c>
      <c r="DP70" s="965">
        <f t="shared" si="33"/>
        <v>0</v>
      </c>
      <c r="DQ70" s="965">
        <f t="shared" si="34"/>
        <v>0</v>
      </c>
      <c r="DR70" s="965">
        <f t="shared" si="35"/>
        <v>0</v>
      </c>
      <c r="DS70" s="965">
        <f t="shared" si="36"/>
        <v>0</v>
      </c>
      <c r="DT70" s="965">
        <f t="shared" si="37"/>
        <v>0</v>
      </c>
      <c r="DU70" s="965">
        <f t="shared" si="38"/>
        <v>0</v>
      </c>
      <c r="DV70" s="965"/>
      <c r="DW70" s="965"/>
      <c r="DX70" s="965"/>
      <c r="DY70" s="965"/>
      <c r="DZ70" s="965"/>
      <c r="EA70" s="965"/>
      <c r="EB70" s="965"/>
      <c r="EC70" s="965"/>
      <c r="ED70" s="965"/>
      <c r="EE70" s="965"/>
      <c r="EF70" s="965"/>
      <c r="EG70" s="965"/>
      <c r="EH70" s="965"/>
      <c r="EI70" s="965"/>
      <c r="EJ70" s="965"/>
      <c r="EK70" s="965"/>
      <c r="EL70" s="965"/>
      <c r="EM70" s="965"/>
      <c r="EN70" s="965"/>
      <c r="EO70" s="971"/>
    </row>
    <row r="71" spans="1:145" ht="9" customHeight="1" thickBot="1" x14ac:dyDescent="0.3">
      <c r="A71" s="274"/>
      <c r="B71" s="274"/>
      <c r="C71" s="274"/>
      <c r="D71" s="274"/>
      <c r="E71" s="274"/>
      <c r="F71" s="274"/>
      <c r="G71" s="274"/>
      <c r="H71" s="274"/>
      <c r="I71" s="274"/>
      <c r="J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</row>
    <row r="72" spans="1:145" ht="19.5" customHeight="1" x14ac:dyDescent="0.25">
      <c r="A72" s="895" t="s">
        <v>14</v>
      </c>
      <c r="B72" s="896"/>
      <c r="C72" s="896"/>
      <c r="D72" s="896"/>
      <c r="E72" s="896"/>
      <c r="F72" s="896"/>
      <c r="G72" s="896"/>
      <c r="H72" s="896"/>
      <c r="I72" s="896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896"/>
      <c r="AC72" s="896"/>
      <c r="AD72" s="896"/>
      <c r="AE72" s="896"/>
      <c r="AF72" s="905" t="s">
        <v>607</v>
      </c>
      <c r="AG72" s="906"/>
      <c r="AH72" s="906"/>
      <c r="AI72" s="906"/>
      <c r="AJ72" s="906"/>
      <c r="AK72" s="906"/>
      <c r="AL72" s="906"/>
      <c r="AM72" s="906"/>
      <c r="AN72" s="906"/>
      <c r="AO72" s="906"/>
      <c r="AP72" s="906"/>
      <c r="AQ72" s="906"/>
      <c r="AR72" s="906"/>
      <c r="AS72" s="974"/>
      <c r="BV72" s="895" t="s">
        <v>14</v>
      </c>
      <c r="BW72" s="896"/>
      <c r="BX72" s="896"/>
      <c r="BY72" s="896"/>
      <c r="BZ72" s="896"/>
      <c r="CA72" s="896"/>
      <c r="CB72" s="896"/>
      <c r="CC72" s="896"/>
      <c r="CD72" s="896"/>
      <c r="CE72" s="896"/>
      <c r="CF72" s="896"/>
      <c r="CG72" s="896"/>
      <c r="CH72" s="896"/>
      <c r="CI72" s="896"/>
      <c r="CJ72" s="896"/>
      <c r="CK72" s="896"/>
      <c r="CL72" s="896"/>
      <c r="CM72" s="896"/>
      <c r="CN72" s="896"/>
      <c r="CO72" s="896"/>
      <c r="CP72" s="896"/>
      <c r="CQ72" s="896"/>
      <c r="CR72" s="896"/>
      <c r="CS72" s="896"/>
      <c r="CT72" s="896"/>
      <c r="CU72" s="896"/>
      <c r="CV72" s="896"/>
      <c r="CW72" s="896"/>
      <c r="CX72" s="896"/>
      <c r="CY72" s="896"/>
      <c r="CZ72" s="896"/>
      <c r="DA72" s="905" t="s">
        <v>607</v>
      </c>
      <c r="DB72" s="906"/>
      <c r="DC72" s="906"/>
      <c r="DD72" s="906"/>
      <c r="DE72" s="906"/>
      <c r="DF72" s="906"/>
      <c r="DG72" s="906"/>
      <c r="DH72" s="906"/>
      <c r="DI72" s="906"/>
      <c r="DJ72" s="906"/>
      <c r="DK72" s="906"/>
      <c r="DL72" s="906"/>
      <c r="DM72" s="906"/>
      <c r="DN72" s="974"/>
    </row>
    <row r="73" spans="1:145" ht="19.5" customHeight="1" thickBot="1" x14ac:dyDescent="0.3">
      <c r="A73" s="972"/>
      <c r="B73" s="973"/>
      <c r="C73" s="973"/>
      <c r="D73" s="973"/>
      <c r="E73" s="973"/>
      <c r="F73" s="973"/>
      <c r="G73" s="973"/>
      <c r="H73" s="973"/>
      <c r="I73" s="973"/>
      <c r="J73" s="973"/>
      <c r="K73" s="973"/>
      <c r="L73" s="973"/>
      <c r="M73" s="973"/>
      <c r="N73" s="973"/>
      <c r="O73" s="973"/>
      <c r="P73" s="973"/>
      <c r="Q73" s="973"/>
      <c r="R73" s="973"/>
      <c r="S73" s="973"/>
      <c r="T73" s="973"/>
      <c r="U73" s="973"/>
      <c r="V73" s="973"/>
      <c r="W73" s="973"/>
      <c r="X73" s="973"/>
      <c r="Y73" s="973"/>
      <c r="Z73" s="973"/>
      <c r="AA73" s="973"/>
      <c r="AB73" s="973"/>
      <c r="AC73" s="973"/>
      <c r="AD73" s="973"/>
      <c r="AE73" s="973"/>
      <c r="AF73" s="975" t="s">
        <v>608</v>
      </c>
      <c r="AG73" s="944"/>
      <c r="AH73" s="944"/>
      <c r="AI73" s="944"/>
      <c r="AJ73" s="944"/>
      <c r="AK73" s="944"/>
      <c r="AL73" s="976"/>
      <c r="AM73" s="977" t="s">
        <v>609</v>
      </c>
      <c r="AN73" s="977"/>
      <c r="AO73" s="977"/>
      <c r="AP73" s="977"/>
      <c r="AQ73" s="977"/>
      <c r="AR73" s="977"/>
      <c r="AS73" s="978"/>
      <c r="BA73" s="946" t="s">
        <v>11</v>
      </c>
      <c r="BB73" s="946"/>
      <c r="BC73" s="946"/>
      <c r="BD73" s="280"/>
      <c r="BE73" s="280"/>
      <c r="BF73" s="280"/>
      <c r="BG73" s="280"/>
      <c r="BH73" s="280"/>
      <c r="BI73" s="280"/>
      <c r="BJ73" s="280"/>
      <c r="BK73" s="280"/>
      <c r="BL73" s="280"/>
      <c r="BM73" s="280"/>
      <c r="BN73" s="280"/>
      <c r="BO73" s="280"/>
      <c r="BP73" s="280"/>
      <c r="BQ73" s="280"/>
      <c r="BR73" s="280"/>
      <c r="BS73" s="280"/>
      <c r="BT73" s="280"/>
      <c r="BV73" s="972"/>
      <c r="BW73" s="973"/>
      <c r="BX73" s="973"/>
      <c r="BY73" s="973"/>
      <c r="BZ73" s="973"/>
      <c r="CA73" s="973"/>
      <c r="CB73" s="973"/>
      <c r="CC73" s="973"/>
      <c r="CD73" s="973"/>
      <c r="CE73" s="973"/>
      <c r="CF73" s="973"/>
      <c r="CG73" s="973"/>
      <c r="CH73" s="973"/>
      <c r="CI73" s="973"/>
      <c r="CJ73" s="973"/>
      <c r="CK73" s="973"/>
      <c r="CL73" s="973"/>
      <c r="CM73" s="973"/>
      <c r="CN73" s="973"/>
      <c r="CO73" s="973"/>
      <c r="CP73" s="973"/>
      <c r="CQ73" s="973"/>
      <c r="CR73" s="973"/>
      <c r="CS73" s="973"/>
      <c r="CT73" s="973"/>
      <c r="CU73" s="973"/>
      <c r="CV73" s="973"/>
      <c r="CW73" s="973"/>
      <c r="CX73" s="973"/>
      <c r="CY73" s="973"/>
      <c r="CZ73" s="973"/>
      <c r="DA73" s="975" t="s">
        <v>608</v>
      </c>
      <c r="DB73" s="944"/>
      <c r="DC73" s="944"/>
      <c r="DD73" s="944"/>
      <c r="DE73" s="944"/>
      <c r="DF73" s="944"/>
      <c r="DG73" s="976"/>
      <c r="DH73" s="977" t="s">
        <v>609</v>
      </c>
      <c r="DI73" s="977"/>
      <c r="DJ73" s="977"/>
      <c r="DK73" s="977"/>
      <c r="DL73" s="977"/>
      <c r="DM73" s="977"/>
      <c r="DN73" s="978"/>
      <c r="DV73" s="946" t="s">
        <v>11</v>
      </c>
      <c r="DW73" s="946"/>
      <c r="DX73" s="946"/>
      <c r="DY73" s="280"/>
      <c r="DZ73" s="280"/>
      <c r="EA73" s="280"/>
      <c r="EB73" s="280"/>
      <c r="EC73" s="280"/>
      <c r="ED73" s="280"/>
      <c r="EE73" s="280"/>
      <c r="EF73" s="280"/>
      <c r="EG73" s="280"/>
      <c r="EH73" s="280"/>
      <c r="EI73" s="280"/>
      <c r="EJ73" s="280"/>
      <c r="EK73" s="280"/>
      <c r="EL73" s="280"/>
      <c r="EM73" s="280"/>
      <c r="EN73" s="280"/>
      <c r="EO73" s="280"/>
    </row>
    <row r="74" spans="1:145" ht="19.5" customHeight="1" x14ac:dyDescent="0.25">
      <c r="A74" s="979" t="s">
        <v>610</v>
      </c>
      <c r="B74" s="980"/>
      <c r="C74" s="980"/>
      <c r="D74" s="980"/>
      <c r="E74" s="980"/>
      <c r="F74" s="980"/>
      <c r="G74" s="980"/>
      <c r="H74" s="980"/>
      <c r="I74" s="980"/>
      <c r="J74" s="980"/>
      <c r="K74" s="980"/>
      <c r="L74" s="980"/>
      <c r="M74" s="980"/>
      <c r="N74" s="980"/>
      <c r="O74" s="980"/>
      <c r="P74" s="980"/>
      <c r="Q74" s="980"/>
      <c r="R74" s="980"/>
      <c r="S74" s="980"/>
      <c r="T74" s="980"/>
      <c r="U74" s="980"/>
      <c r="V74" s="980"/>
      <c r="W74" s="980"/>
      <c r="X74" s="980"/>
      <c r="Y74" s="980"/>
      <c r="Z74" s="980"/>
      <c r="AA74" s="980"/>
      <c r="AB74" s="980"/>
      <c r="AC74" s="980"/>
      <c r="AD74" s="980"/>
      <c r="AE74" s="980"/>
      <c r="AF74" s="981" t="str">
        <f>IF(SUM(AF48:AL59)=0,"",SUM(AF48:AL59))</f>
        <v/>
      </c>
      <c r="AG74" s="982" t="str">
        <f>IF(SUM(AG48:AG57)=0,"",SUM(AG48:AG57))</f>
        <v/>
      </c>
      <c r="AH74" s="982"/>
      <c r="AI74" s="982" t="str">
        <f>IF(SUM(AI48:AI57)=0,"",SUM(AI48:AI57))</f>
        <v/>
      </c>
      <c r="AJ74" s="982" t="str">
        <f>IF(SUM(AJ48:AJ57)=0,"",SUM(AJ48:AJ57))</f>
        <v/>
      </c>
      <c r="AK74" s="982" t="str">
        <f>IF(SUM(AK48:AK57)=0,"",SUM(AK48:AK57))</f>
        <v/>
      </c>
      <c r="AL74" s="983" t="str">
        <f>IF(SUM(AL48:AL57)=0,"",SUM(AL48:AL57))</f>
        <v/>
      </c>
      <c r="AM74" s="981" t="str">
        <f>IF(SUM(AF48:AL59)&lt;11,"",IF(COUNT(DV48:EB59)=0,"",SUM(DV48:EB59)))</f>
        <v/>
      </c>
      <c r="AN74" s="982"/>
      <c r="AO74" s="982"/>
      <c r="AP74" s="982"/>
      <c r="AQ74" s="982"/>
      <c r="AR74" s="982"/>
      <c r="AS74" s="984"/>
      <c r="BA74" s="947" t="s">
        <v>12</v>
      </c>
      <c r="BB74" s="947"/>
      <c r="BC74" s="947"/>
      <c r="BD74" s="947"/>
      <c r="BE74" s="947"/>
      <c r="BF74" s="947"/>
      <c r="BG74" s="947"/>
      <c r="BH74" s="947"/>
      <c r="BI74" s="947"/>
      <c r="BJ74" s="947"/>
      <c r="BK74" s="947"/>
      <c r="BL74" s="947"/>
      <c r="BM74" s="947"/>
      <c r="BN74" s="947"/>
      <c r="BO74" s="947"/>
      <c r="BP74" s="947"/>
      <c r="BQ74" s="947"/>
      <c r="BR74" s="947"/>
      <c r="BS74" s="947"/>
      <c r="BT74" s="947"/>
      <c r="BV74" s="979" t="s">
        <v>610</v>
      </c>
      <c r="BW74" s="980"/>
      <c r="BX74" s="980"/>
      <c r="BY74" s="980"/>
      <c r="BZ74" s="980"/>
      <c r="CA74" s="980"/>
      <c r="CB74" s="980"/>
      <c r="CC74" s="980"/>
      <c r="CD74" s="980"/>
      <c r="CE74" s="980"/>
      <c r="CF74" s="980"/>
      <c r="CG74" s="980"/>
      <c r="CH74" s="980"/>
      <c r="CI74" s="980"/>
      <c r="CJ74" s="980"/>
      <c r="CK74" s="980"/>
      <c r="CL74" s="980"/>
      <c r="CM74" s="980"/>
      <c r="CN74" s="980"/>
      <c r="CO74" s="980"/>
      <c r="CP74" s="980"/>
      <c r="CQ74" s="980"/>
      <c r="CR74" s="980"/>
      <c r="CS74" s="980"/>
      <c r="CT74" s="980"/>
      <c r="CU74" s="980"/>
      <c r="CV74" s="980"/>
      <c r="CW74" s="980"/>
      <c r="CX74" s="980"/>
      <c r="CY74" s="980"/>
      <c r="CZ74" s="980"/>
      <c r="DA74" s="981" t="str">
        <f>IF(SUM(DA48:DG59)=0,"",SUM(DA48:DG59))</f>
        <v/>
      </c>
      <c r="DB74" s="982" t="str">
        <f>IF(SUM(DB48:DB57)=0,"",SUM(DB48:DB57))</f>
        <v/>
      </c>
      <c r="DC74" s="982"/>
      <c r="DD74" s="982" t="str">
        <f>IF(SUM(DD48:DD57)=0,"",SUM(DD48:DD57))</f>
        <v/>
      </c>
      <c r="DE74" s="982" t="str">
        <f>IF(SUM(DE48:DE57)=0,"",SUM(DE48:DE57))</f>
        <v/>
      </c>
      <c r="DF74" s="982" t="str">
        <f>IF(SUM(DF48:DF57)=0,"",SUM(DF48:DF57))</f>
        <v/>
      </c>
      <c r="DG74" s="983" t="str">
        <f>IF(SUM(DG48:DG57)=0,"",SUM(DG48:DG57))</f>
        <v/>
      </c>
      <c r="DH74" s="981" t="str">
        <f>IF(SUM(AF48:AL59)&lt;11,"",IF(COUNT(DV48:EB59)=0,"",SUM(DV48:EB59)))</f>
        <v/>
      </c>
      <c r="DI74" s="982"/>
      <c r="DJ74" s="982"/>
      <c r="DK74" s="982"/>
      <c r="DL74" s="982"/>
      <c r="DM74" s="982"/>
      <c r="DN74" s="984"/>
      <c r="DV74" s="947" t="s">
        <v>12</v>
      </c>
      <c r="DW74" s="947"/>
      <c r="DX74" s="947"/>
      <c r="DY74" s="947"/>
      <c r="DZ74" s="947"/>
      <c r="EA74" s="947"/>
      <c r="EB74" s="947"/>
      <c r="EC74" s="947"/>
      <c r="ED74" s="947"/>
      <c r="EE74" s="947"/>
      <c r="EF74" s="947"/>
      <c r="EG74" s="947"/>
      <c r="EH74" s="947"/>
      <c r="EI74" s="947"/>
      <c r="EJ74" s="947"/>
      <c r="EK74" s="947"/>
      <c r="EL74" s="947"/>
      <c r="EM74" s="947"/>
      <c r="EN74" s="947"/>
      <c r="EO74" s="947"/>
    </row>
    <row r="75" spans="1:145" ht="19.5" customHeight="1" x14ac:dyDescent="0.25">
      <c r="A75" s="985" t="s">
        <v>611</v>
      </c>
      <c r="B75" s="986"/>
      <c r="C75" s="986"/>
      <c r="D75" s="986"/>
      <c r="E75" s="986"/>
      <c r="F75" s="986"/>
      <c r="G75" s="986"/>
      <c r="H75" s="986"/>
      <c r="I75" s="986"/>
      <c r="J75" s="986"/>
      <c r="K75" s="986"/>
      <c r="L75" s="986"/>
      <c r="M75" s="986"/>
      <c r="N75" s="986"/>
      <c r="O75" s="986"/>
      <c r="P75" s="986"/>
      <c r="Q75" s="986"/>
      <c r="R75" s="986"/>
      <c r="S75" s="986"/>
      <c r="T75" s="986"/>
      <c r="U75" s="986"/>
      <c r="V75" s="986"/>
      <c r="W75" s="986"/>
      <c r="X75" s="986"/>
      <c r="Y75" s="986"/>
      <c r="Z75" s="986"/>
      <c r="AA75" s="986"/>
      <c r="AB75" s="986"/>
      <c r="AC75" s="986"/>
      <c r="AD75" s="986"/>
      <c r="AE75" s="986"/>
      <c r="AF75" s="938" t="str">
        <f>IF(SUM(AF61:AL65)=0,"",SUM(AF61:AL65))</f>
        <v/>
      </c>
      <c r="AG75" s="938" t="str">
        <f>IF(SUM(AG49:AG60)=0,"",SUM(AG49:AG60))</f>
        <v/>
      </c>
      <c r="AH75" s="938"/>
      <c r="AI75" s="938" t="str">
        <f>IF(SUM(AI49:AI60)=0,"",SUM(AI49:AI60))</f>
        <v/>
      </c>
      <c r="AJ75" s="938" t="str">
        <f>IF(SUM(AJ49:AJ60)=0,"",SUM(AJ49:AJ60))</f>
        <v/>
      </c>
      <c r="AK75" s="938" t="str">
        <f>IF(SUM(AK49:AK60)=0,"",SUM(AK49:AK60))</f>
        <v/>
      </c>
      <c r="AL75" s="938" t="str">
        <f>IF(SUM(AL49:AL60)=0,"",SUM(AL49:AL60))</f>
        <v/>
      </c>
      <c r="AM75" s="938" t="str">
        <f>IF(SUM(AF61:AL65)&lt;2.5,"",IF(COUNT(DV61:EB65)=0,"",SUM(DV61:EB65)))</f>
        <v/>
      </c>
      <c r="AN75" s="938"/>
      <c r="AO75" s="938"/>
      <c r="AP75" s="938"/>
      <c r="AQ75" s="938"/>
      <c r="AR75" s="938"/>
      <c r="AS75" s="987"/>
      <c r="BA75" s="947"/>
      <c r="BB75" s="947"/>
      <c r="BC75" s="947"/>
      <c r="BD75" s="947"/>
      <c r="BE75" s="947"/>
      <c r="BF75" s="947"/>
      <c r="BG75" s="947"/>
      <c r="BH75" s="947"/>
      <c r="BI75" s="947"/>
      <c r="BJ75" s="947"/>
      <c r="BK75" s="947"/>
      <c r="BL75" s="947"/>
      <c r="BM75" s="947"/>
      <c r="BN75" s="947"/>
      <c r="BO75" s="947"/>
      <c r="BP75" s="947"/>
      <c r="BQ75" s="947"/>
      <c r="BR75" s="947"/>
      <c r="BS75" s="947"/>
      <c r="BT75" s="947"/>
      <c r="BV75" s="985" t="s">
        <v>611</v>
      </c>
      <c r="BW75" s="986"/>
      <c r="BX75" s="986"/>
      <c r="BY75" s="986"/>
      <c r="BZ75" s="986"/>
      <c r="CA75" s="986"/>
      <c r="CB75" s="986"/>
      <c r="CC75" s="986"/>
      <c r="CD75" s="986"/>
      <c r="CE75" s="986"/>
      <c r="CF75" s="986"/>
      <c r="CG75" s="986"/>
      <c r="CH75" s="986"/>
      <c r="CI75" s="986"/>
      <c r="CJ75" s="986"/>
      <c r="CK75" s="986"/>
      <c r="CL75" s="986"/>
      <c r="CM75" s="986"/>
      <c r="CN75" s="986"/>
      <c r="CO75" s="986"/>
      <c r="CP75" s="986"/>
      <c r="CQ75" s="986"/>
      <c r="CR75" s="986"/>
      <c r="CS75" s="986"/>
      <c r="CT75" s="986"/>
      <c r="CU75" s="986"/>
      <c r="CV75" s="986"/>
      <c r="CW75" s="986"/>
      <c r="CX75" s="986"/>
      <c r="CY75" s="986"/>
      <c r="CZ75" s="986"/>
      <c r="DA75" s="938" t="str">
        <f>IF(SUM(DA61:DG65)=0,"",SUM(DA61:DG65))</f>
        <v/>
      </c>
      <c r="DB75" s="938" t="str">
        <f>IF(SUM(DB49:DB60)=0,"",SUM(DB49:DB60))</f>
        <v/>
      </c>
      <c r="DC75" s="938"/>
      <c r="DD75" s="938" t="str">
        <f>IF(SUM(DD49:DD60)=0,"",SUM(DD49:DD60))</f>
        <v/>
      </c>
      <c r="DE75" s="938" t="str">
        <f>IF(SUM(DE49:DE60)=0,"",SUM(DE49:DE60))</f>
        <v/>
      </c>
      <c r="DF75" s="938" t="str">
        <f>IF(SUM(DF49:DF60)=0,"",SUM(DF49:DF60))</f>
        <v/>
      </c>
      <c r="DG75" s="938" t="str">
        <f>IF(SUM(DG49:DG60)=0,"",SUM(DG49:DG60))</f>
        <v/>
      </c>
      <c r="DH75" s="938" t="str">
        <f>IF(SUM(AF61:AL65)&lt;2.5,"",IF(COUNT(DV61:EB65)=0,"",SUM(DV61:EB65)))</f>
        <v/>
      </c>
      <c r="DI75" s="938"/>
      <c r="DJ75" s="938"/>
      <c r="DK75" s="938"/>
      <c r="DL75" s="938"/>
      <c r="DM75" s="938"/>
      <c r="DN75" s="987"/>
      <c r="DV75" s="947"/>
      <c r="DW75" s="947"/>
      <c r="DX75" s="947"/>
      <c r="DY75" s="947"/>
      <c r="DZ75" s="947"/>
      <c r="EA75" s="947"/>
      <c r="EB75" s="947"/>
      <c r="EC75" s="947"/>
      <c r="ED75" s="947"/>
      <c r="EE75" s="947"/>
      <c r="EF75" s="947"/>
      <c r="EG75" s="947"/>
      <c r="EH75" s="947"/>
      <c r="EI75" s="947"/>
      <c r="EJ75" s="947"/>
      <c r="EK75" s="947"/>
      <c r="EL75" s="947"/>
      <c r="EM75" s="947"/>
      <c r="EN75" s="947"/>
      <c r="EO75" s="947"/>
    </row>
    <row r="76" spans="1:145" ht="19.5" customHeight="1" x14ac:dyDescent="0.25">
      <c r="A76" s="985" t="s">
        <v>612</v>
      </c>
      <c r="B76" s="986"/>
      <c r="C76" s="986"/>
      <c r="D76" s="986"/>
      <c r="E76" s="986"/>
      <c r="F76" s="986"/>
      <c r="G76" s="986"/>
      <c r="H76" s="986"/>
      <c r="I76" s="986"/>
      <c r="J76" s="986"/>
      <c r="K76" s="986"/>
      <c r="L76" s="986"/>
      <c r="M76" s="986"/>
      <c r="N76" s="986"/>
      <c r="O76" s="986"/>
      <c r="P76" s="986"/>
      <c r="Q76" s="986"/>
      <c r="R76" s="986"/>
      <c r="S76" s="986"/>
      <c r="T76" s="986"/>
      <c r="U76" s="986"/>
      <c r="V76" s="986"/>
      <c r="W76" s="986"/>
      <c r="X76" s="986"/>
      <c r="Y76" s="986"/>
      <c r="Z76" s="986"/>
      <c r="AA76" s="986"/>
      <c r="AB76" s="986"/>
      <c r="AC76" s="986"/>
      <c r="AD76" s="986"/>
      <c r="AE76" s="986"/>
      <c r="AF76" s="991" t="str">
        <f>IF(SUM(AF74:AL75)=0,"",SUM(AF74:AL75))</f>
        <v/>
      </c>
      <c r="AG76" s="992" t="str">
        <f t="shared" ref="AG76:AL76" si="45">IF(SUM(AG74:AG75)=0,"",SUM(AG74:AG75))</f>
        <v/>
      </c>
      <c r="AH76" s="992"/>
      <c r="AI76" s="992" t="str">
        <f t="shared" si="45"/>
        <v/>
      </c>
      <c r="AJ76" s="992" t="str">
        <f t="shared" si="45"/>
        <v/>
      </c>
      <c r="AK76" s="992" t="str">
        <f t="shared" si="45"/>
        <v/>
      </c>
      <c r="AL76" s="993" t="str">
        <f t="shared" si="45"/>
        <v/>
      </c>
      <c r="AM76" s="991" t="str">
        <f>IF(SUM(AM74:AS75)=0,"",SUM(AM74:AS75))</f>
        <v/>
      </c>
      <c r="AN76" s="992" t="str">
        <f t="shared" ref="AN76" si="46">IF(SUM(AN74:AN75)=0,"",SUM(AN74:AN75))</f>
        <v/>
      </c>
      <c r="AO76" s="992"/>
      <c r="AP76" s="992" t="str">
        <f t="shared" ref="AP76:AS76" si="47">IF(SUM(AP74:AP75)=0,"",SUM(AP74:AP75))</f>
        <v/>
      </c>
      <c r="AQ76" s="992" t="str">
        <f t="shared" si="47"/>
        <v/>
      </c>
      <c r="AR76" s="992" t="str">
        <f t="shared" si="47"/>
        <v/>
      </c>
      <c r="AS76" s="994" t="str">
        <f t="shared" si="47"/>
        <v/>
      </c>
      <c r="BA76" s="946" t="s">
        <v>11</v>
      </c>
      <c r="BB76" s="946"/>
      <c r="BC76" s="946"/>
      <c r="BD76" s="280"/>
      <c r="BE76" s="280"/>
      <c r="BF76" s="280"/>
      <c r="BG76" s="280"/>
      <c r="BH76" s="280"/>
      <c r="BI76" s="280"/>
      <c r="BJ76" s="280"/>
      <c r="BK76" s="280"/>
      <c r="BL76" s="280"/>
      <c r="BM76" s="280"/>
      <c r="BN76" s="280"/>
      <c r="BO76" s="280"/>
      <c r="BP76" s="280"/>
      <c r="BQ76" s="280"/>
      <c r="BR76" s="280"/>
      <c r="BS76" s="280"/>
      <c r="BT76" s="280"/>
      <c r="BV76" s="985" t="s">
        <v>612</v>
      </c>
      <c r="BW76" s="986"/>
      <c r="BX76" s="986"/>
      <c r="BY76" s="986"/>
      <c r="BZ76" s="986"/>
      <c r="CA76" s="986"/>
      <c r="CB76" s="986"/>
      <c r="CC76" s="986"/>
      <c r="CD76" s="986"/>
      <c r="CE76" s="986"/>
      <c r="CF76" s="986"/>
      <c r="CG76" s="986"/>
      <c r="CH76" s="986"/>
      <c r="CI76" s="986"/>
      <c r="CJ76" s="986"/>
      <c r="CK76" s="986"/>
      <c r="CL76" s="986"/>
      <c r="CM76" s="986"/>
      <c r="CN76" s="986"/>
      <c r="CO76" s="986"/>
      <c r="CP76" s="986"/>
      <c r="CQ76" s="986"/>
      <c r="CR76" s="986"/>
      <c r="CS76" s="986"/>
      <c r="CT76" s="986"/>
      <c r="CU76" s="986"/>
      <c r="CV76" s="986"/>
      <c r="CW76" s="986"/>
      <c r="CX76" s="986"/>
      <c r="CY76" s="986"/>
      <c r="CZ76" s="986"/>
      <c r="DA76" s="991" t="str">
        <f>IF(SUM(DA74:DG75)=0,"",SUM(DA74:DG75))</f>
        <v/>
      </c>
      <c r="DB76" s="992" t="str">
        <f t="shared" ref="DB76" si="48">IF(SUM(DB74:DB75)=0,"",SUM(DB74:DB75))</f>
        <v/>
      </c>
      <c r="DC76" s="992"/>
      <c r="DD76" s="992" t="str">
        <f t="shared" ref="DD76:DG76" si="49">IF(SUM(DD74:DD75)=0,"",SUM(DD74:DD75))</f>
        <v/>
      </c>
      <c r="DE76" s="992" t="str">
        <f t="shared" si="49"/>
        <v/>
      </c>
      <c r="DF76" s="992" t="str">
        <f t="shared" si="49"/>
        <v/>
      </c>
      <c r="DG76" s="993" t="str">
        <f t="shared" si="49"/>
        <v/>
      </c>
      <c r="DH76" s="991" t="str">
        <f>IF(SUM(DH74:DN75)=0,"",SUM(AM74:AS75))</f>
        <v/>
      </c>
      <c r="DI76" s="992"/>
      <c r="DJ76" s="992"/>
      <c r="DK76" s="992"/>
      <c r="DL76" s="992"/>
      <c r="DM76" s="992"/>
      <c r="DN76" s="994"/>
      <c r="DV76" s="946" t="s">
        <v>11</v>
      </c>
      <c r="DW76" s="946"/>
      <c r="DX76" s="946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</row>
    <row r="77" spans="1:145" ht="19.5" customHeight="1" x14ac:dyDescent="0.25">
      <c r="A77" s="985" t="s">
        <v>613</v>
      </c>
      <c r="B77" s="986"/>
      <c r="C77" s="986"/>
      <c r="D77" s="986"/>
      <c r="E77" s="986"/>
      <c r="F77" s="986"/>
      <c r="G77" s="986"/>
      <c r="H77" s="986"/>
      <c r="I77" s="986"/>
      <c r="J77" s="986"/>
      <c r="K77" s="986"/>
      <c r="L77" s="986"/>
      <c r="M77" s="986"/>
      <c r="N77" s="986"/>
      <c r="O77" s="986"/>
      <c r="P77" s="986"/>
      <c r="Q77" s="986"/>
      <c r="R77" s="986"/>
      <c r="S77" s="986"/>
      <c r="T77" s="986"/>
      <c r="U77" s="986"/>
      <c r="V77" s="986"/>
      <c r="W77" s="986"/>
      <c r="X77" s="986"/>
      <c r="Y77" s="986"/>
      <c r="Z77" s="986"/>
      <c r="AA77" s="986"/>
      <c r="AB77" s="986"/>
      <c r="AC77" s="986"/>
      <c r="AD77" s="986"/>
      <c r="AE77" s="986"/>
      <c r="AF77" s="988" t="str">
        <f>IF($AL$2="","",VLOOKUP($AL$2,'6.คีย์ปลายภาค'!$A$6:$ET$50,132,FALSE))</f>
        <v/>
      </c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90"/>
      <c r="BA77" s="947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BB77" s="947"/>
      <c r="BC77" s="947"/>
      <c r="BD77" s="947"/>
      <c r="BE77" s="947"/>
      <c r="BF77" s="947"/>
      <c r="BG77" s="947"/>
      <c r="BH77" s="947"/>
      <c r="BI77" s="947"/>
      <c r="BJ77" s="947"/>
      <c r="BK77" s="947"/>
      <c r="BL77" s="947"/>
      <c r="BM77" s="947"/>
      <c r="BN77" s="947"/>
      <c r="BO77" s="947"/>
      <c r="BP77" s="947"/>
      <c r="BQ77" s="947"/>
      <c r="BR77" s="947"/>
      <c r="BS77" s="947"/>
      <c r="BT77" s="947"/>
      <c r="BV77" s="985" t="s">
        <v>613</v>
      </c>
      <c r="BW77" s="986"/>
      <c r="BX77" s="986"/>
      <c r="BY77" s="986"/>
      <c r="BZ77" s="986"/>
      <c r="CA77" s="986"/>
      <c r="CB77" s="986"/>
      <c r="CC77" s="986"/>
      <c r="CD77" s="986"/>
      <c r="CE77" s="986"/>
      <c r="CF77" s="986"/>
      <c r="CG77" s="986"/>
      <c r="CH77" s="986"/>
      <c r="CI77" s="986"/>
      <c r="CJ77" s="986"/>
      <c r="CK77" s="986"/>
      <c r="CL77" s="986"/>
      <c r="CM77" s="986"/>
      <c r="CN77" s="986"/>
      <c r="CO77" s="986"/>
      <c r="CP77" s="986"/>
      <c r="CQ77" s="986"/>
      <c r="CR77" s="986"/>
      <c r="CS77" s="986"/>
      <c r="CT77" s="986"/>
      <c r="CU77" s="986"/>
      <c r="CV77" s="986"/>
      <c r="CW77" s="986"/>
      <c r="CX77" s="986"/>
      <c r="CY77" s="986"/>
      <c r="CZ77" s="986"/>
      <c r="DA77" s="988" t="str">
        <f>IF($AL$2="","",VLOOKUP($AL$2,'6.คีย์ปลายภาค'!$A$6:$ET$50,132,FALSE))</f>
        <v/>
      </c>
      <c r="DB77" s="989"/>
      <c r="DC77" s="989"/>
      <c r="DD77" s="989"/>
      <c r="DE77" s="989"/>
      <c r="DF77" s="989"/>
      <c r="DG77" s="989"/>
      <c r="DH77" s="989"/>
      <c r="DI77" s="989"/>
      <c r="DJ77" s="989"/>
      <c r="DK77" s="989"/>
      <c r="DL77" s="989"/>
      <c r="DM77" s="989"/>
      <c r="DN77" s="990"/>
      <c r="DV77" s="947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77" s="947"/>
      <c r="DX77" s="947"/>
      <c r="DY77" s="947"/>
      <c r="DZ77" s="947"/>
      <c r="EA77" s="947"/>
      <c r="EB77" s="947"/>
      <c r="EC77" s="947"/>
      <c r="ED77" s="947"/>
      <c r="EE77" s="947"/>
      <c r="EF77" s="947"/>
      <c r="EG77" s="947"/>
      <c r="EH77" s="947"/>
      <c r="EI77" s="947"/>
      <c r="EJ77" s="947"/>
      <c r="EK77" s="947"/>
      <c r="EL77" s="947"/>
      <c r="EM77" s="947"/>
      <c r="EN77" s="947"/>
      <c r="EO77" s="947"/>
    </row>
    <row r="78" spans="1:145" ht="19.5" customHeight="1" x14ac:dyDescent="0.25">
      <c r="A78" s="985" t="s">
        <v>615</v>
      </c>
      <c r="B78" s="986"/>
      <c r="C78" s="986"/>
      <c r="D78" s="986"/>
      <c r="E78" s="986"/>
      <c r="F78" s="986"/>
      <c r="G78" s="986"/>
      <c r="H78" s="986"/>
      <c r="I78" s="986"/>
      <c r="J78" s="986"/>
      <c r="K78" s="986"/>
      <c r="L78" s="986"/>
      <c r="M78" s="986"/>
      <c r="N78" s="986"/>
      <c r="O78" s="986"/>
      <c r="P78" s="986"/>
      <c r="Q78" s="986"/>
      <c r="R78" s="986"/>
      <c r="S78" s="986"/>
      <c r="T78" s="986"/>
      <c r="U78" s="986"/>
      <c r="V78" s="986"/>
      <c r="W78" s="986"/>
      <c r="X78" s="986"/>
      <c r="Y78" s="986"/>
      <c r="Z78" s="986"/>
      <c r="AA78" s="986"/>
      <c r="AB78" s="986"/>
      <c r="AC78" s="986"/>
      <c r="AD78" s="986"/>
      <c r="AE78" s="986"/>
      <c r="AF78" s="940" t="str">
        <f>IF($AL$2="","",VLOOKUP($AL$2,'8.คุณลักษณะ'!$A$11:$L$55,12))</f>
        <v/>
      </c>
      <c r="AG78" s="941"/>
      <c r="AH78" s="941"/>
      <c r="AI78" s="941"/>
      <c r="AJ78" s="941"/>
      <c r="AK78" s="941"/>
      <c r="AL78" s="941"/>
      <c r="AM78" s="941"/>
      <c r="AN78" s="941"/>
      <c r="AO78" s="941"/>
      <c r="AP78" s="941"/>
      <c r="AQ78" s="941"/>
      <c r="AR78" s="941"/>
      <c r="AS78" s="942"/>
      <c r="BA78" s="948" t="str">
        <f>IF(Director=AssDirector,"รักษาราชการแทนผู้อำนวยการสถานศึกษา","")</f>
        <v/>
      </c>
      <c r="BB78" s="948"/>
      <c r="BC78" s="948"/>
      <c r="BD78" s="948"/>
      <c r="BE78" s="948"/>
      <c r="BF78" s="948"/>
      <c r="BG78" s="948"/>
      <c r="BH78" s="948"/>
      <c r="BI78" s="948"/>
      <c r="BJ78" s="948"/>
      <c r="BK78" s="948"/>
      <c r="BL78" s="948"/>
      <c r="BM78" s="948"/>
      <c r="BN78" s="948"/>
      <c r="BO78" s="948"/>
      <c r="BP78" s="948"/>
      <c r="BQ78" s="948"/>
      <c r="BR78" s="948"/>
      <c r="BS78" s="948"/>
      <c r="BT78" s="948"/>
      <c r="BV78" s="985" t="s">
        <v>614</v>
      </c>
      <c r="BW78" s="986"/>
      <c r="BX78" s="986"/>
      <c r="BY78" s="986"/>
      <c r="BZ78" s="986"/>
      <c r="CA78" s="986"/>
      <c r="CB78" s="986"/>
      <c r="CC78" s="986"/>
      <c r="CD78" s="986"/>
      <c r="CE78" s="986"/>
      <c r="CF78" s="986"/>
      <c r="CG78" s="986"/>
      <c r="CH78" s="986"/>
      <c r="CI78" s="986"/>
      <c r="CJ78" s="986"/>
      <c r="CK78" s="986"/>
      <c r="CL78" s="986"/>
      <c r="CM78" s="986"/>
      <c r="CN78" s="986"/>
      <c r="CO78" s="986"/>
      <c r="CP78" s="986"/>
      <c r="CQ78" s="986"/>
      <c r="CR78" s="986"/>
      <c r="CS78" s="986"/>
      <c r="CT78" s="986"/>
      <c r="CU78" s="986"/>
      <c r="CV78" s="986"/>
      <c r="CW78" s="986"/>
      <c r="CX78" s="986"/>
      <c r="CY78" s="986"/>
      <c r="CZ78" s="986"/>
      <c r="DA78" s="940" t="str">
        <f>IF($AL$2="","",VLOOKUP($AL$2,'6.คีย์ปลายภาค'!$A$6:$ET$50,133,FALSE))</f>
        <v/>
      </c>
      <c r="DB78" s="941"/>
      <c r="DC78" s="941"/>
      <c r="DD78" s="941"/>
      <c r="DE78" s="941"/>
      <c r="DF78" s="941"/>
      <c r="DG78" s="941"/>
      <c r="DH78" s="941"/>
      <c r="DI78" s="941"/>
      <c r="DJ78" s="941"/>
      <c r="DK78" s="941"/>
      <c r="DL78" s="941"/>
      <c r="DM78" s="941"/>
      <c r="DN78" s="942"/>
      <c r="DV78" s="948" t="str">
        <f>IF(Director=AssDirector,"รักษาราชการแทนผู้อำนวยการสถานศึกษา","")</f>
        <v/>
      </c>
      <c r="DW78" s="948"/>
      <c r="DX78" s="948"/>
      <c r="DY78" s="948"/>
      <c r="DZ78" s="948"/>
      <c r="EA78" s="948"/>
      <c r="EB78" s="948"/>
      <c r="EC78" s="948"/>
      <c r="ED78" s="948"/>
      <c r="EE78" s="948"/>
      <c r="EF78" s="948"/>
      <c r="EG78" s="948"/>
      <c r="EH78" s="948"/>
      <c r="EI78" s="948"/>
      <c r="EJ78" s="948"/>
      <c r="EK78" s="948"/>
      <c r="EL78" s="948"/>
      <c r="EM78" s="948"/>
      <c r="EN78" s="948"/>
      <c r="EO78" s="948"/>
    </row>
    <row r="79" spans="1:145" ht="19.5" customHeight="1" x14ac:dyDescent="0.25">
      <c r="A79" s="985" t="s">
        <v>616</v>
      </c>
      <c r="B79" s="986"/>
      <c r="C79" s="986"/>
      <c r="D79" s="986"/>
      <c r="E79" s="986"/>
      <c r="F79" s="986"/>
      <c r="G79" s="986"/>
      <c r="H79" s="986"/>
      <c r="I79" s="986"/>
      <c r="J79" s="986"/>
      <c r="K79" s="986"/>
      <c r="L79" s="986"/>
      <c r="M79" s="986"/>
      <c r="N79" s="986"/>
      <c r="O79" s="986"/>
      <c r="P79" s="986"/>
      <c r="Q79" s="986"/>
      <c r="R79" s="986"/>
      <c r="S79" s="986"/>
      <c r="T79" s="986"/>
      <c r="U79" s="986"/>
      <c r="V79" s="986"/>
      <c r="W79" s="986"/>
      <c r="X79" s="986"/>
      <c r="Y79" s="986"/>
      <c r="Z79" s="986"/>
      <c r="AA79" s="986"/>
      <c r="AB79" s="986"/>
      <c r="AC79" s="986"/>
      <c r="AD79" s="986"/>
      <c r="AE79" s="986"/>
      <c r="AF79" s="940" t="str">
        <f>IF($AL$2="","",VLOOKUP($AL$2,'7.อ่านคิดวิเคราะห์'!A11:I55,9))</f>
        <v/>
      </c>
      <c r="AG79" s="941"/>
      <c r="AH79" s="941"/>
      <c r="AI79" s="941"/>
      <c r="AJ79" s="941"/>
      <c r="AK79" s="941"/>
      <c r="AL79" s="941"/>
      <c r="AM79" s="941"/>
      <c r="AN79" s="941"/>
      <c r="AO79" s="941"/>
      <c r="AP79" s="941"/>
      <c r="AQ79" s="941"/>
      <c r="AR79" s="941"/>
      <c r="AS79" s="942"/>
      <c r="BA79" s="946" t="s">
        <v>11</v>
      </c>
      <c r="BB79" s="946"/>
      <c r="BC79" s="946"/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0"/>
      <c r="BO79" s="280"/>
      <c r="BP79" s="280"/>
      <c r="BQ79" s="280"/>
      <c r="BR79" s="280"/>
      <c r="BS79" s="280"/>
      <c r="BT79" s="280"/>
      <c r="BV79" s="985" t="s">
        <v>615</v>
      </c>
      <c r="BW79" s="986"/>
      <c r="BX79" s="986"/>
      <c r="BY79" s="986"/>
      <c r="BZ79" s="986"/>
      <c r="CA79" s="986"/>
      <c r="CB79" s="986"/>
      <c r="CC79" s="986"/>
      <c r="CD79" s="986"/>
      <c r="CE79" s="986"/>
      <c r="CF79" s="986"/>
      <c r="CG79" s="986"/>
      <c r="CH79" s="986"/>
      <c r="CI79" s="986"/>
      <c r="CJ79" s="986"/>
      <c r="CK79" s="986"/>
      <c r="CL79" s="986"/>
      <c r="CM79" s="986"/>
      <c r="CN79" s="986"/>
      <c r="CO79" s="986"/>
      <c r="CP79" s="986"/>
      <c r="CQ79" s="986"/>
      <c r="CR79" s="986"/>
      <c r="CS79" s="986"/>
      <c r="CT79" s="986"/>
      <c r="CU79" s="986"/>
      <c r="CV79" s="986"/>
      <c r="CW79" s="986"/>
      <c r="CX79" s="986"/>
      <c r="CY79" s="986"/>
      <c r="CZ79" s="986"/>
      <c r="DA79" s="940" t="str">
        <f>IF($AL$2="","",VLOOKUP($AL$2,'8.คุณลักษณะ'!$A$11:$L$55,12))</f>
        <v/>
      </c>
      <c r="DB79" s="941"/>
      <c r="DC79" s="941"/>
      <c r="DD79" s="941"/>
      <c r="DE79" s="941"/>
      <c r="DF79" s="941"/>
      <c r="DG79" s="941"/>
      <c r="DH79" s="941"/>
      <c r="DI79" s="941"/>
      <c r="DJ79" s="941"/>
      <c r="DK79" s="941"/>
      <c r="DL79" s="941"/>
      <c r="DM79" s="941"/>
      <c r="DN79" s="942"/>
      <c r="DV79" s="946" t="s">
        <v>11</v>
      </c>
      <c r="DW79" s="946"/>
      <c r="DX79" s="946"/>
      <c r="DY79" s="280"/>
      <c r="DZ79" s="280"/>
      <c r="EA79" s="280"/>
      <c r="EB79" s="280"/>
      <c r="EC79" s="280"/>
      <c r="ED79" s="280"/>
      <c r="EE79" s="280"/>
      <c r="EF79" s="280"/>
      <c r="EG79" s="280"/>
      <c r="EH79" s="280"/>
      <c r="EI79" s="280"/>
      <c r="EJ79" s="280"/>
      <c r="EK79" s="280"/>
      <c r="EL79" s="280"/>
      <c r="EM79" s="280"/>
      <c r="EN79" s="280"/>
      <c r="EO79" s="280"/>
    </row>
    <row r="80" spans="1:145" ht="19.5" customHeight="1" thickBot="1" x14ac:dyDescent="0.3">
      <c r="A80" s="998" t="s">
        <v>617</v>
      </c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999"/>
      <c r="AD80" s="999"/>
      <c r="AE80" s="999"/>
      <c r="AF80" s="1000" t="str">
        <f>IF($AL$2="","",VLOOKUP($AL$2,'6.คีย์ปลายภาค'!$A$6:$ET$50,138,FALSE))</f>
        <v/>
      </c>
      <c r="AG80" s="1001"/>
      <c r="AH80" s="1001"/>
      <c r="AI80" s="1001"/>
      <c r="AJ80" s="1001"/>
      <c r="AK80" s="1001"/>
      <c r="AL80" s="1001"/>
      <c r="AM80" s="1001"/>
      <c r="AN80" s="1001"/>
      <c r="AO80" s="1001"/>
      <c r="AP80" s="1001"/>
      <c r="AQ80" s="1001"/>
      <c r="AR80" s="1001"/>
      <c r="AS80" s="1002"/>
      <c r="BA80" s="947" t="s">
        <v>602</v>
      </c>
      <c r="BB80" s="947"/>
      <c r="BC80" s="947"/>
      <c r="BD80" s="947"/>
      <c r="BE80" s="947"/>
      <c r="BF80" s="947"/>
      <c r="BG80" s="947"/>
      <c r="BH80" s="947"/>
      <c r="BI80" s="947"/>
      <c r="BJ80" s="947"/>
      <c r="BK80" s="947"/>
      <c r="BL80" s="947"/>
      <c r="BM80" s="947"/>
      <c r="BN80" s="947"/>
      <c r="BO80" s="947"/>
      <c r="BP80" s="947"/>
      <c r="BQ80" s="947"/>
      <c r="BR80" s="947"/>
      <c r="BS80" s="947"/>
      <c r="BT80" s="947"/>
      <c r="BV80" s="985" t="s">
        <v>616</v>
      </c>
      <c r="BW80" s="986"/>
      <c r="BX80" s="986"/>
      <c r="BY80" s="986"/>
      <c r="BZ80" s="986"/>
      <c r="CA80" s="986"/>
      <c r="CB80" s="986"/>
      <c r="CC80" s="986"/>
      <c r="CD80" s="986"/>
      <c r="CE80" s="986"/>
      <c r="CF80" s="986"/>
      <c r="CG80" s="986"/>
      <c r="CH80" s="986"/>
      <c r="CI80" s="986"/>
      <c r="CJ80" s="986"/>
      <c r="CK80" s="986"/>
      <c r="CL80" s="986"/>
      <c r="CM80" s="986"/>
      <c r="CN80" s="986"/>
      <c r="CO80" s="986"/>
      <c r="CP80" s="986"/>
      <c r="CQ80" s="986"/>
      <c r="CR80" s="986"/>
      <c r="CS80" s="986"/>
      <c r="CT80" s="986"/>
      <c r="CU80" s="986"/>
      <c r="CV80" s="986"/>
      <c r="CW80" s="986"/>
      <c r="CX80" s="986"/>
      <c r="CY80" s="986"/>
      <c r="CZ80" s="986"/>
      <c r="DA80" s="940" t="str">
        <f>IF($AL$2="","",VLOOKUP($AL$2,'7.อ่านคิดวิเคราะห์'!A11:I55,9))</f>
        <v/>
      </c>
      <c r="DB80" s="941"/>
      <c r="DC80" s="941"/>
      <c r="DD80" s="941"/>
      <c r="DE80" s="941"/>
      <c r="DF80" s="941"/>
      <c r="DG80" s="941"/>
      <c r="DH80" s="941"/>
      <c r="DI80" s="941"/>
      <c r="DJ80" s="941"/>
      <c r="DK80" s="941"/>
      <c r="DL80" s="941"/>
      <c r="DM80" s="941"/>
      <c r="DN80" s="942"/>
      <c r="DV80" s="947" t="s">
        <v>602</v>
      </c>
      <c r="DW80" s="947"/>
      <c r="DX80" s="947"/>
      <c r="DY80" s="947"/>
      <c r="DZ80" s="947"/>
      <c r="EA80" s="947"/>
      <c r="EB80" s="947"/>
      <c r="EC80" s="947"/>
      <c r="ED80" s="947"/>
      <c r="EE80" s="947"/>
      <c r="EF80" s="947"/>
      <c r="EG80" s="947"/>
      <c r="EH80" s="947"/>
      <c r="EI80" s="947"/>
      <c r="EJ80" s="947"/>
      <c r="EK80" s="947"/>
      <c r="EL80" s="947"/>
      <c r="EM80" s="947"/>
      <c r="EN80" s="947"/>
      <c r="EO80" s="947"/>
    </row>
    <row r="81" spans="74:118" ht="19.5" customHeight="1" thickBot="1" x14ac:dyDescent="0.3">
      <c r="BV81" s="998" t="s">
        <v>617</v>
      </c>
      <c r="BW81" s="999"/>
      <c r="BX81" s="999"/>
      <c r="BY81" s="999"/>
      <c r="BZ81" s="999"/>
      <c r="CA81" s="999"/>
      <c r="CB81" s="999"/>
      <c r="CC81" s="999"/>
      <c r="CD81" s="999"/>
      <c r="CE81" s="999"/>
      <c r="CF81" s="999"/>
      <c r="CG81" s="999"/>
      <c r="CH81" s="999"/>
      <c r="CI81" s="999"/>
      <c r="CJ81" s="999"/>
      <c r="CK81" s="999"/>
      <c r="CL81" s="999"/>
      <c r="CM81" s="999"/>
      <c r="CN81" s="999"/>
      <c r="CO81" s="999"/>
      <c r="CP81" s="999"/>
      <c r="CQ81" s="999"/>
      <c r="CR81" s="999"/>
      <c r="CS81" s="999"/>
      <c r="CT81" s="999"/>
      <c r="CU81" s="999"/>
      <c r="CV81" s="999"/>
      <c r="CW81" s="999"/>
      <c r="CX81" s="999"/>
      <c r="CY81" s="999"/>
      <c r="CZ81" s="999"/>
      <c r="DA81" s="1000" t="str">
        <f>IF($AL$2="","",VLOOKUP($AL$2,'6.คีย์ปลายภาค'!$A$6:$ET$50,138,FALSE))</f>
        <v/>
      </c>
      <c r="DB81" s="1001"/>
      <c r="DC81" s="1001"/>
      <c r="DD81" s="1001"/>
      <c r="DE81" s="1001"/>
      <c r="DF81" s="1001"/>
      <c r="DG81" s="1001"/>
      <c r="DH81" s="1001"/>
      <c r="DI81" s="1001"/>
      <c r="DJ81" s="1001"/>
      <c r="DK81" s="1001"/>
      <c r="DL81" s="1001"/>
      <c r="DM81" s="1001"/>
      <c r="DN81" s="1002"/>
    </row>
  </sheetData>
  <sheetProtection algorithmName="SHA-512" hashValue="LEOjNjZwMNfJcnWCl6BdOLXdauSqUWgWFSzkg2KOemRT7fc5QaoKLpvH/TCbmQ7Wgv5i1zFokwEyOpWazrW7bQ==" saltValue="4h4Ewhc5OMrGxORnFfOd3A==" spinCount="100000" sheet="1" objects="1" scenarios="1"/>
  <mergeCells count="513">
    <mergeCell ref="EQ40:EV40"/>
    <mergeCell ref="EQ41:EV43"/>
    <mergeCell ref="A80:AE80"/>
    <mergeCell ref="AF80:AS80"/>
    <mergeCell ref="BV81:CZ81"/>
    <mergeCell ref="DA81:DN81"/>
    <mergeCell ref="A79:AE79"/>
    <mergeCell ref="AF79:AS79"/>
    <mergeCell ref="BA80:BT80"/>
    <mergeCell ref="BV80:CZ80"/>
    <mergeCell ref="DA80:DN80"/>
    <mergeCell ref="DV80:EO80"/>
    <mergeCell ref="A78:AE78"/>
    <mergeCell ref="AF78:AS78"/>
    <mergeCell ref="BA79:BC79"/>
    <mergeCell ref="BV79:CZ79"/>
    <mergeCell ref="DA79:DN79"/>
    <mergeCell ref="DV79:DX79"/>
    <mergeCell ref="BA78:BT78"/>
    <mergeCell ref="BV78:CZ78"/>
    <mergeCell ref="DA78:DN78"/>
    <mergeCell ref="DV78:EO78"/>
    <mergeCell ref="DH76:DN76"/>
    <mergeCell ref="DV76:DX76"/>
    <mergeCell ref="A77:AE77"/>
    <mergeCell ref="AF77:AS77"/>
    <mergeCell ref="BA77:BT77"/>
    <mergeCell ref="BV77:CZ77"/>
    <mergeCell ref="DA77:DN77"/>
    <mergeCell ref="DV77:EO77"/>
    <mergeCell ref="A76:AE76"/>
    <mergeCell ref="AF76:AL76"/>
    <mergeCell ref="AM76:AS76"/>
    <mergeCell ref="BA76:BC76"/>
    <mergeCell ref="BV76:CZ76"/>
    <mergeCell ref="DA76:DG76"/>
    <mergeCell ref="A74:AE74"/>
    <mergeCell ref="AF74:AL74"/>
    <mergeCell ref="AM74:AS74"/>
    <mergeCell ref="BA74:BT74"/>
    <mergeCell ref="BV74:CZ74"/>
    <mergeCell ref="DA74:DG74"/>
    <mergeCell ref="DH74:DN74"/>
    <mergeCell ref="DV74:EO74"/>
    <mergeCell ref="A75:AE75"/>
    <mergeCell ref="AF75:AL75"/>
    <mergeCell ref="AM75:AS75"/>
    <mergeCell ref="BA75:BT75"/>
    <mergeCell ref="BV75:CZ75"/>
    <mergeCell ref="DA75:DG75"/>
    <mergeCell ref="DH75:DN75"/>
    <mergeCell ref="DV75:EO75"/>
    <mergeCell ref="DV70:EB70"/>
    <mergeCell ref="EC70:EO70"/>
    <mergeCell ref="A72:AE73"/>
    <mergeCell ref="AF72:AS72"/>
    <mergeCell ref="BV72:CZ73"/>
    <mergeCell ref="DA72:DN72"/>
    <mergeCell ref="AF73:AL73"/>
    <mergeCell ref="AM73:AS73"/>
    <mergeCell ref="BA73:BC73"/>
    <mergeCell ref="DA73:DG73"/>
    <mergeCell ref="DH73:DN73"/>
    <mergeCell ref="DV73:DX73"/>
    <mergeCell ref="DV69:EB69"/>
    <mergeCell ref="EC69:EO69"/>
    <mergeCell ref="A70:AE70"/>
    <mergeCell ref="AF70:AL70"/>
    <mergeCell ref="AM70:AS70"/>
    <mergeCell ref="AT70:AZ70"/>
    <mergeCell ref="BA70:BG70"/>
    <mergeCell ref="BH70:BT70"/>
    <mergeCell ref="BV70:CZ70"/>
    <mergeCell ref="DA70:DG70"/>
    <mergeCell ref="BH69:BT69"/>
    <mergeCell ref="BV69:CB69"/>
    <mergeCell ref="CC69:CZ69"/>
    <mergeCell ref="DA69:DG69"/>
    <mergeCell ref="DH69:DN69"/>
    <mergeCell ref="DO69:DU69"/>
    <mergeCell ref="A69:G69"/>
    <mergeCell ref="H69:AE69"/>
    <mergeCell ref="AF69:AL69"/>
    <mergeCell ref="AM69:AS69"/>
    <mergeCell ref="AT69:AZ69"/>
    <mergeCell ref="BA69:BG69"/>
    <mergeCell ref="DH70:DN70"/>
    <mergeCell ref="DO70:DU70"/>
    <mergeCell ref="BV68:CZ68"/>
    <mergeCell ref="DA68:DG68"/>
    <mergeCell ref="DH68:DN68"/>
    <mergeCell ref="DO68:DU68"/>
    <mergeCell ref="DV68:EB68"/>
    <mergeCell ref="EC68:EO68"/>
    <mergeCell ref="A68:AE68"/>
    <mergeCell ref="AF68:AL68"/>
    <mergeCell ref="AM68:AS68"/>
    <mergeCell ref="AT68:AZ68"/>
    <mergeCell ref="BA68:BG68"/>
    <mergeCell ref="BH68:BT68"/>
    <mergeCell ref="BV67:CZ67"/>
    <mergeCell ref="DA67:DG67"/>
    <mergeCell ref="DH67:DN67"/>
    <mergeCell ref="DO67:DU67"/>
    <mergeCell ref="DV67:EB67"/>
    <mergeCell ref="EC67:EO67"/>
    <mergeCell ref="DV65:EB65"/>
    <mergeCell ref="EC65:EO65"/>
    <mergeCell ref="A66:BT66"/>
    <mergeCell ref="BV66:EO66"/>
    <mergeCell ref="A67:AE67"/>
    <mergeCell ref="AF67:AL67"/>
    <mergeCell ref="AM67:AS67"/>
    <mergeCell ref="AT67:AZ67"/>
    <mergeCell ref="BA67:BG67"/>
    <mergeCell ref="BH67:BT67"/>
    <mergeCell ref="BH65:BT65"/>
    <mergeCell ref="BV65:CB65"/>
    <mergeCell ref="CC65:CZ65"/>
    <mergeCell ref="DA65:DG65"/>
    <mergeCell ref="DH65:DN65"/>
    <mergeCell ref="DO65:DU65"/>
    <mergeCell ref="A65:G65"/>
    <mergeCell ref="H65:AE65"/>
    <mergeCell ref="AF65:AL65"/>
    <mergeCell ref="AM65:AS65"/>
    <mergeCell ref="AT65:AZ65"/>
    <mergeCell ref="BA65:BG65"/>
    <mergeCell ref="CC64:CZ64"/>
    <mergeCell ref="DA64:DG64"/>
    <mergeCell ref="DH64:DN64"/>
    <mergeCell ref="DO64:DU64"/>
    <mergeCell ref="DV64:EB64"/>
    <mergeCell ref="EC64:EO64"/>
    <mergeCell ref="DV63:EB63"/>
    <mergeCell ref="EC63:EO63"/>
    <mergeCell ref="A64:G64"/>
    <mergeCell ref="H64:AE64"/>
    <mergeCell ref="AF64:AL64"/>
    <mergeCell ref="AM64:AS64"/>
    <mergeCell ref="AT64:AZ64"/>
    <mergeCell ref="BA64:BG64"/>
    <mergeCell ref="BH64:BT64"/>
    <mergeCell ref="BV64:CB64"/>
    <mergeCell ref="BH63:BT63"/>
    <mergeCell ref="BV63:CB63"/>
    <mergeCell ref="CC63:CZ63"/>
    <mergeCell ref="DA63:DG63"/>
    <mergeCell ref="DH63:DN63"/>
    <mergeCell ref="DO63:DU63"/>
    <mergeCell ref="A63:G63"/>
    <mergeCell ref="H63:AE63"/>
    <mergeCell ref="AF63:AL63"/>
    <mergeCell ref="AM63:AS63"/>
    <mergeCell ref="AT63:AZ63"/>
    <mergeCell ref="BA63:BG63"/>
    <mergeCell ref="CC62:CZ62"/>
    <mergeCell ref="DA62:DG62"/>
    <mergeCell ref="DH62:DN62"/>
    <mergeCell ref="DO62:DU62"/>
    <mergeCell ref="DV62:EB62"/>
    <mergeCell ref="EC62:EO62"/>
    <mergeCell ref="DV61:EB61"/>
    <mergeCell ref="EC61:EO61"/>
    <mergeCell ref="A62:G62"/>
    <mergeCell ref="H62:AE62"/>
    <mergeCell ref="AF62:AL62"/>
    <mergeCell ref="AM62:AS62"/>
    <mergeCell ref="AT62:AZ62"/>
    <mergeCell ref="BA62:BG62"/>
    <mergeCell ref="BH62:BT62"/>
    <mergeCell ref="BV62:CB62"/>
    <mergeCell ref="BH61:BT61"/>
    <mergeCell ref="BV61:CB61"/>
    <mergeCell ref="CC61:CZ61"/>
    <mergeCell ref="DA61:DG61"/>
    <mergeCell ref="DH61:DN61"/>
    <mergeCell ref="DO61:DU61"/>
    <mergeCell ref="DV59:EB59"/>
    <mergeCell ref="EC59:EO59"/>
    <mergeCell ref="A60:BT60"/>
    <mergeCell ref="BV60:EO60"/>
    <mergeCell ref="A61:G61"/>
    <mergeCell ref="H61:AE61"/>
    <mergeCell ref="AF61:AL61"/>
    <mergeCell ref="AM61:AS61"/>
    <mergeCell ref="AT61:AZ61"/>
    <mergeCell ref="BA61:BG61"/>
    <mergeCell ref="BH59:BT59"/>
    <mergeCell ref="BV59:CB59"/>
    <mergeCell ref="CC59:CZ59"/>
    <mergeCell ref="DA59:DG59"/>
    <mergeCell ref="DH59:DN59"/>
    <mergeCell ref="DO59:DU59"/>
    <mergeCell ref="A59:G59"/>
    <mergeCell ref="H59:AE59"/>
    <mergeCell ref="AF59:AL59"/>
    <mergeCell ref="AM59:AS59"/>
    <mergeCell ref="AT59:AZ59"/>
    <mergeCell ref="BA59:BG59"/>
    <mergeCell ref="CC58:CZ58"/>
    <mergeCell ref="DA58:DG58"/>
    <mergeCell ref="DH58:DN58"/>
    <mergeCell ref="DO58:DU58"/>
    <mergeCell ref="DV58:EB58"/>
    <mergeCell ref="EC58:EO58"/>
    <mergeCell ref="DV57:EB57"/>
    <mergeCell ref="EC57:EO57"/>
    <mergeCell ref="A58:G58"/>
    <mergeCell ref="H58:AE58"/>
    <mergeCell ref="AF58:AL58"/>
    <mergeCell ref="AM58:AS58"/>
    <mergeCell ref="AT58:AZ58"/>
    <mergeCell ref="BA58:BG58"/>
    <mergeCell ref="BH58:BT58"/>
    <mergeCell ref="BV58:CB58"/>
    <mergeCell ref="BH57:BT57"/>
    <mergeCell ref="BV57:CB57"/>
    <mergeCell ref="CC57:CZ57"/>
    <mergeCell ref="DA57:DG57"/>
    <mergeCell ref="DH57:DN57"/>
    <mergeCell ref="DO57:DU57"/>
    <mergeCell ref="A57:G57"/>
    <mergeCell ref="H57:AE57"/>
    <mergeCell ref="AF57:AL57"/>
    <mergeCell ref="AM57:AS57"/>
    <mergeCell ref="AT57:AZ57"/>
    <mergeCell ref="BA57:BG57"/>
    <mergeCell ref="CC56:CZ56"/>
    <mergeCell ref="DA56:DG56"/>
    <mergeCell ref="DH56:DN56"/>
    <mergeCell ref="DO56:DU56"/>
    <mergeCell ref="DV56:EB56"/>
    <mergeCell ref="EC56:EO56"/>
    <mergeCell ref="DV55:EB55"/>
    <mergeCell ref="EC55:EO55"/>
    <mergeCell ref="A56:G56"/>
    <mergeCell ref="H56:AE56"/>
    <mergeCell ref="AF56:AL56"/>
    <mergeCell ref="AM56:AS56"/>
    <mergeCell ref="AT56:AZ56"/>
    <mergeCell ref="BA56:BG56"/>
    <mergeCell ref="BH56:BT56"/>
    <mergeCell ref="BV56:CB56"/>
    <mergeCell ref="BH55:BT55"/>
    <mergeCell ref="BV55:CB55"/>
    <mergeCell ref="CC55:CZ55"/>
    <mergeCell ref="DA55:DG55"/>
    <mergeCell ref="DH55:DN55"/>
    <mergeCell ref="DO55:DU55"/>
    <mergeCell ref="A55:G55"/>
    <mergeCell ref="H55:AE55"/>
    <mergeCell ref="AF55:AL55"/>
    <mergeCell ref="AM55:AS55"/>
    <mergeCell ref="AT55:AZ55"/>
    <mergeCell ref="BA55:BG55"/>
    <mergeCell ref="CC54:CZ54"/>
    <mergeCell ref="DA54:DG54"/>
    <mergeCell ref="DH54:DN54"/>
    <mergeCell ref="DO54:DU54"/>
    <mergeCell ref="DV54:EB54"/>
    <mergeCell ref="EC54:EO54"/>
    <mergeCell ref="DV53:EB53"/>
    <mergeCell ref="EC53:EO53"/>
    <mergeCell ref="A54:G54"/>
    <mergeCell ref="H54:AE54"/>
    <mergeCell ref="AF54:AL54"/>
    <mergeCell ref="AM54:AS54"/>
    <mergeCell ref="AT54:AZ54"/>
    <mergeCell ref="BA54:BG54"/>
    <mergeCell ref="BH54:BT54"/>
    <mergeCell ref="BV54:CB54"/>
    <mergeCell ref="BH53:BT53"/>
    <mergeCell ref="BV53:CB53"/>
    <mergeCell ref="CC53:CZ53"/>
    <mergeCell ref="DA53:DG53"/>
    <mergeCell ref="DH53:DN53"/>
    <mergeCell ref="DO53:DU53"/>
    <mergeCell ref="A53:G53"/>
    <mergeCell ref="H53:AE53"/>
    <mergeCell ref="AF53:AL53"/>
    <mergeCell ref="AM53:AS53"/>
    <mergeCell ref="AT53:AZ53"/>
    <mergeCell ref="BA53:BG53"/>
    <mergeCell ref="CC52:CZ52"/>
    <mergeCell ref="DA52:DG52"/>
    <mergeCell ref="DH52:DN52"/>
    <mergeCell ref="DO52:DU52"/>
    <mergeCell ref="DV52:EB52"/>
    <mergeCell ref="EC52:EO52"/>
    <mergeCell ref="DV51:EB51"/>
    <mergeCell ref="EC51:EO51"/>
    <mergeCell ref="A52:G52"/>
    <mergeCell ref="H52:AE52"/>
    <mergeCell ref="AF52:AL52"/>
    <mergeCell ref="AM52:AS52"/>
    <mergeCell ref="AT52:AZ52"/>
    <mergeCell ref="BA52:BG52"/>
    <mergeCell ref="BH52:BT52"/>
    <mergeCell ref="BV52:CB52"/>
    <mergeCell ref="BH51:BT51"/>
    <mergeCell ref="BV51:CB51"/>
    <mergeCell ref="CC51:CZ51"/>
    <mergeCell ref="DA51:DG51"/>
    <mergeCell ref="DH51:DN51"/>
    <mergeCell ref="DO51:DU51"/>
    <mergeCell ref="A51:G51"/>
    <mergeCell ref="H51:AE51"/>
    <mergeCell ref="AF51:AL51"/>
    <mergeCell ref="AM51:AS51"/>
    <mergeCell ref="AT51:AZ51"/>
    <mergeCell ref="BA51:BG51"/>
    <mergeCell ref="CC50:CZ50"/>
    <mergeCell ref="DA50:DG50"/>
    <mergeCell ref="DH50:DN50"/>
    <mergeCell ref="DO50:DU50"/>
    <mergeCell ref="DV50:EB50"/>
    <mergeCell ref="EC50:EO50"/>
    <mergeCell ref="DV49:EB49"/>
    <mergeCell ref="EC49:EO49"/>
    <mergeCell ref="A50:G50"/>
    <mergeCell ref="H50:AE50"/>
    <mergeCell ref="AF50:AL50"/>
    <mergeCell ref="AM50:AS50"/>
    <mergeCell ref="AT50:AZ50"/>
    <mergeCell ref="BA50:BG50"/>
    <mergeCell ref="BH50:BT50"/>
    <mergeCell ref="BV50:CB50"/>
    <mergeCell ref="BH49:BT49"/>
    <mergeCell ref="BV49:CB49"/>
    <mergeCell ref="CC49:CZ49"/>
    <mergeCell ref="DA49:DG49"/>
    <mergeCell ref="DH49:DN49"/>
    <mergeCell ref="DO49:DU49"/>
    <mergeCell ref="A49:G49"/>
    <mergeCell ref="H49:AE49"/>
    <mergeCell ref="AF49:AL49"/>
    <mergeCell ref="AM49:AS49"/>
    <mergeCell ref="AT49:AZ49"/>
    <mergeCell ref="BA49:BG49"/>
    <mergeCell ref="CC48:CZ48"/>
    <mergeCell ref="DA48:DG48"/>
    <mergeCell ref="DH48:DN48"/>
    <mergeCell ref="DO48:DU48"/>
    <mergeCell ref="DV48:EB48"/>
    <mergeCell ref="EC48:EO48"/>
    <mergeCell ref="A47:BT47"/>
    <mergeCell ref="BV47:EO47"/>
    <mergeCell ref="A48:G48"/>
    <mergeCell ref="H48:AE48"/>
    <mergeCell ref="AF48:AL48"/>
    <mergeCell ref="AM48:AS48"/>
    <mergeCell ref="AT48:AZ48"/>
    <mergeCell ref="BA48:BG48"/>
    <mergeCell ref="BH48:BT48"/>
    <mergeCell ref="BV48:CB48"/>
    <mergeCell ref="DH45:EB45"/>
    <mergeCell ref="EC45:EO46"/>
    <mergeCell ref="AM46:AS46"/>
    <mergeCell ref="AT46:AZ46"/>
    <mergeCell ref="BA46:BG46"/>
    <mergeCell ref="DH46:DN46"/>
    <mergeCell ref="DO46:DU46"/>
    <mergeCell ref="DV46:EB46"/>
    <mergeCell ref="A43:BT43"/>
    <mergeCell ref="BV43:EO43"/>
    <mergeCell ref="A45:G46"/>
    <mergeCell ref="H45:AE46"/>
    <mergeCell ref="AF45:AL46"/>
    <mergeCell ref="AM45:BG45"/>
    <mergeCell ref="BH45:BT46"/>
    <mergeCell ref="BV45:CB46"/>
    <mergeCell ref="CC45:CZ46"/>
    <mergeCell ref="DA45:DG46"/>
    <mergeCell ref="BV39:EO39"/>
    <mergeCell ref="A40:BT40"/>
    <mergeCell ref="BV40:EO40"/>
    <mergeCell ref="A41:BT41"/>
    <mergeCell ref="BV41:EO41"/>
    <mergeCell ref="A42:BT42"/>
    <mergeCell ref="BV42:EO42"/>
    <mergeCell ref="D35:W35"/>
    <mergeCell ref="AX35:BQ35"/>
    <mergeCell ref="AX36:BQ36"/>
    <mergeCell ref="Z37:AB37"/>
    <mergeCell ref="Z38:AS38"/>
    <mergeCell ref="A39:BT39"/>
    <mergeCell ref="A31:AL31"/>
    <mergeCell ref="AM31:AS31"/>
    <mergeCell ref="AT31:AZ31"/>
    <mergeCell ref="BA31:BT31"/>
    <mergeCell ref="A32:BT32"/>
    <mergeCell ref="D34:F34"/>
    <mergeCell ref="AX34:AZ34"/>
    <mergeCell ref="A30:G30"/>
    <mergeCell ref="H30:AE30"/>
    <mergeCell ref="AF30:AL30"/>
    <mergeCell ref="AM30:AS30"/>
    <mergeCell ref="AT30:AZ30"/>
    <mergeCell ref="BA30:BT30"/>
    <mergeCell ref="A29:G29"/>
    <mergeCell ref="H29:AE29"/>
    <mergeCell ref="AF29:AL29"/>
    <mergeCell ref="AM29:AS29"/>
    <mergeCell ref="AT29:AZ29"/>
    <mergeCell ref="BA29:BT29"/>
    <mergeCell ref="A28:G28"/>
    <mergeCell ref="H28:AE28"/>
    <mergeCell ref="AF28:AL28"/>
    <mergeCell ref="AM28:AS28"/>
    <mergeCell ref="AT28:AZ28"/>
    <mergeCell ref="BA28:BT28"/>
    <mergeCell ref="A27:G27"/>
    <mergeCell ref="H27:AE27"/>
    <mergeCell ref="AF27:AL27"/>
    <mergeCell ref="AM27:AS27"/>
    <mergeCell ref="AT27:AZ27"/>
    <mergeCell ref="BA27:BT27"/>
    <mergeCell ref="A25:BT25"/>
    <mergeCell ref="A26:G26"/>
    <mergeCell ref="H26:AE26"/>
    <mergeCell ref="AF26:AL26"/>
    <mergeCell ref="AM26:AS26"/>
    <mergeCell ref="AT26:AZ26"/>
    <mergeCell ref="BA26:BT26"/>
    <mergeCell ref="A24:G24"/>
    <mergeCell ref="H24:AE24"/>
    <mergeCell ref="AF24:AL24"/>
    <mergeCell ref="AM24:AS24"/>
    <mergeCell ref="AT24:AZ24"/>
    <mergeCell ref="BA24:BT24"/>
    <mergeCell ref="A23:G23"/>
    <mergeCell ref="H23:AE23"/>
    <mergeCell ref="AF23:AL23"/>
    <mergeCell ref="AM23:AS23"/>
    <mergeCell ref="AT23:AZ23"/>
    <mergeCell ref="BA23:BT23"/>
    <mergeCell ref="A22:G22"/>
    <mergeCell ref="H22:AE22"/>
    <mergeCell ref="AF22:AL22"/>
    <mergeCell ref="AM22:AS22"/>
    <mergeCell ref="AT22:AZ22"/>
    <mergeCell ref="BA22:BT22"/>
    <mergeCell ref="A21:G21"/>
    <mergeCell ref="H21:AE21"/>
    <mergeCell ref="AF21:AL21"/>
    <mergeCell ref="AM21:AS21"/>
    <mergeCell ref="AT21:AZ21"/>
    <mergeCell ref="BA21:BT21"/>
    <mergeCell ref="A20:G20"/>
    <mergeCell ref="H20:AE20"/>
    <mergeCell ref="AF20:AL20"/>
    <mergeCell ref="AM20:AS20"/>
    <mergeCell ref="AT20:AZ20"/>
    <mergeCell ref="BA20:BT20"/>
    <mergeCell ref="A19:G19"/>
    <mergeCell ref="H19:AE19"/>
    <mergeCell ref="AF19:AL19"/>
    <mergeCell ref="AM19:AS19"/>
    <mergeCell ref="AT19:AZ19"/>
    <mergeCell ref="BA19:BT19"/>
    <mergeCell ref="A18:G18"/>
    <mergeCell ref="H18:AE18"/>
    <mergeCell ref="AF18:AL18"/>
    <mergeCell ref="AM18:AS18"/>
    <mergeCell ref="AT18:AZ18"/>
    <mergeCell ref="BA18:BT18"/>
    <mergeCell ref="A17:G17"/>
    <mergeCell ref="H17:AE17"/>
    <mergeCell ref="AF17:AL17"/>
    <mergeCell ref="AM17:AS17"/>
    <mergeCell ref="AT17:AZ17"/>
    <mergeCell ref="BA17:BT17"/>
    <mergeCell ref="A13:G13"/>
    <mergeCell ref="H13:AE13"/>
    <mergeCell ref="AF13:AL13"/>
    <mergeCell ref="AM13:AS13"/>
    <mergeCell ref="AT13:AZ13"/>
    <mergeCell ref="BA13:BT13"/>
    <mergeCell ref="A16:G16"/>
    <mergeCell ref="H16:AE16"/>
    <mergeCell ref="AF16:AL16"/>
    <mergeCell ref="AM16:AS16"/>
    <mergeCell ref="AT16:AZ16"/>
    <mergeCell ref="BA16:BT16"/>
    <mergeCell ref="A15:G15"/>
    <mergeCell ref="H15:AE15"/>
    <mergeCell ref="AF15:AL15"/>
    <mergeCell ref="AM15:AS15"/>
    <mergeCell ref="AT15:AZ15"/>
    <mergeCell ref="BA15:BT15"/>
    <mergeCell ref="A14:G14"/>
    <mergeCell ref="H14:AE14"/>
    <mergeCell ref="AF14:AL14"/>
    <mergeCell ref="AM14:AS14"/>
    <mergeCell ref="AT14:AZ14"/>
    <mergeCell ref="BA14:BT14"/>
    <mergeCell ref="A12:BT12"/>
    <mergeCell ref="AL2:BU2"/>
    <mergeCell ref="EP5:EU5"/>
    <mergeCell ref="A10:G11"/>
    <mergeCell ref="H10:AE11"/>
    <mergeCell ref="AF10:AL11"/>
    <mergeCell ref="AM10:AZ10"/>
    <mergeCell ref="BA10:BT11"/>
    <mergeCell ref="AM11:AS11"/>
    <mergeCell ref="AT11:AZ11"/>
    <mergeCell ref="A4:BT4"/>
    <mergeCell ref="A5:BT5"/>
    <mergeCell ref="A6:BT6"/>
    <mergeCell ref="A7:BT7"/>
    <mergeCell ref="A8:BT8"/>
    <mergeCell ref="EP6:EU8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3" verticalDpi="300" r:id="rId1"/>
  <rowBreaks count="2" manualBreakCount="2">
    <brk id="3" max="72" man="1"/>
    <brk id="38" max="7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tabColor theme="1"/>
  </sheetPr>
  <dimension ref="A1:H504"/>
  <sheetViews>
    <sheetView topLeftCell="A460" workbookViewId="0">
      <selection activeCell="A460" sqref="A1:XFD1048576"/>
    </sheetView>
  </sheetViews>
  <sheetFormatPr defaultColWidth="9.109375" defaultRowHeight="24.6" x14ac:dyDescent="0.7"/>
  <cols>
    <col min="1" max="1" width="13.109375" style="565" customWidth="1"/>
    <col min="2" max="2" width="46.44140625" style="559" customWidth="1"/>
    <col min="3" max="3" width="9.109375" style="565"/>
    <col min="4" max="4" width="8.44140625" style="565" customWidth="1"/>
    <col min="5" max="5" width="16.44140625" style="565" customWidth="1"/>
    <col min="6" max="6" width="9.109375" style="565"/>
    <col min="7" max="7" width="23" style="559" customWidth="1"/>
    <col min="8" max="16384" width="9.109375" style="559"/>
  </cols>
  <sheetData>
    <row r="1" spans="1:8" x14ac:dyDescent="0.7">
      <c r="A1" s="1003" t="s">
        <v>755</v>
      </c>
      <c r="B1" s="1003"/>
      <c r="C1" s="1003"/>
      <c r="D1" s="1003"/>
      <c r="E1" s="1003"/>
      <c r="F1" s="558"/>
      <c r="G1" s="523"/>
    </row>
    <row r="2" spans="1:8" x14ac:dyDescent="0.7">
      <c r="A2" s="524" t="s">
        <v>19</v>
      </c>
      <c r="B2" s="525" t="s">
        <v>167</v>
      </c>
      <c r="C2" s="526" t="s">
        <v>39</v>
      </c>
      <c r="D2" s="524" t="s">
        <v>20</v>
      </c>
      <c r="E2" s="524" t="s">
        <v>16</v>
      </c>
      <c r="F2" s="524" t="s">
        <v>618</v>
      </c>
      <c r="G2" s="524" t="s">
        <v>756</v>
      </c>
      <c r="H2" s="523"/>
    </row>
    <row r="3" spans="1:8" x14ac:dyDescent="0.7">
      <c r="A3" s="527" t="s">
        <v>168</v>
      </c>
      <c r="B3" s="528" t="s">
        <v>168</v>
      </c>
      <c r="C3" s="529">
        <v>1</v>
      </c>
      <c r="D3" s="527" t="s">
        <v>169</v>
      </c>
      <c r="E3" s="527" t="s">
        <v>164</v>
      </c>
      <c r="F3" s="527" t="s">
        <v>168</v>
      </c>
      <c r="G3" s="527">
        <f>C3*2</f>
        <v>2</v>
      </c>
      <c r="H3" s="558" t="str">
        <f>IF(E3="-","-",IF(E3="มัธยมศึกษาปีที่ 1","ม.1",IF(E3="มัธยมศึกษาปีที่ 2","ม.2",IF(E3="มัธยมศึกษาปีที่ 3","ม.3",IF(E3="มัธยมศึกษาปีที่ 4","ม.4",IF(E3="มัธยมศึกษาปีที่ 5","ม.5",IF(E3="มัธยมศึกษาปีที่ 6","ม.6",IF(E3="มัธยมศึกษาปีที่ 1-3","ม.1-3",E3))))))))</f>
        <v>-</v>
      </c>
    </row>
    <row r="4" spans="1:8" x14ac:dyDescent="0.7">
      <c r="A4" s="527" t="s">
        <v>274</v>
      </c>
      <c r="B4" s="530" t="s">
        <v>275</v>
      </c>
      <c r="C4" s="527">
        <v>1.5</v>
      </c>
      <c r="D4" s="527" t="s">
        <v>273</v>
      </c>
      <c r="E4" s="527" t="s">
        <v>177</v>
      </c>
      <c r="F4" s="527"/>
      <c r="G4" s="527">
        <f t="shared" ref="G4:G67" si="0">C4*2</f>
        <v>3</v>
      </c>
      <c r="H4" s="558" t="str">
        <f t="shared" ref="H4:H67" si="1">IF(E4="-","-",IF(E4="มัธยมศึกษาปีที่ 1","ม.1",IF(E4="มัธยมศึกษาปีที่ 2","ม.2",IF(E4="มัธยมศึกษาปีที่ 3","ม.3",IF(E4="มัธยมศึกษาปีที่ 4","ม.4",IF(E4="มัธยมศึกษาปีที่ 5","ม.5",IF(E4="มัธยมศึกษาปีที่ 6","ม.6",IF(E4="มัธยมศึกษาปีที่ 1-3","ม.1-3",E4))))))))</f>
        <v>ม.1</v>
      </c>
    </row>
    <row r="5" spans="1:8" x14ac:dyDescent="0.7">
      <c r="A5" s="527" t="s">
        <v>127</v>
      </c>
      <c r="B5" s="530" t="s">
        <v>128</v>
      </c>
      <c r="C5" s="527">
        <v>1.5</v>
      </c>
      <c r="D5" s="527" t="s">
        <v>273</v>
      </c>
      <c r="E5" s="527" t="s">
        <v>177</v>
      </c>
      <c r="F5" s="527"/>
      <c r="G5" s="527">
        <f t="shared" si="0"/>
        <v>3</v>
      </c>
      <c r="H5" s="558" t="str">
        <f t="shared" si="1"/>
        <v>ม.1</v>
      </c>
    </row>
    <row r="6" spans="1:8" x14ac:dyDescent="0.7">
      <c r="A6" s="527" t="s">
        <v>395</v>
      </c>
      <c r="B6" s="530" t="s">
        <v>396</v>
      </c>
      <c r="C6" s="527">
        <v>1.5</v>
      </c>
      <c r="D6" s="527" t="s">
        <v>273</v>
      </c>
      <c r="E6" s="527" t="s">
        <v>298</v>
      </c>
      <c r="F6" s="527"/>
      <c r="G6" s="527">
        <f t="shared" si="0"/>
        <v>3</v>
      </c>
      <c r="H6" s="558" t="str">
        <f t="shared" si="1"/>
        <v>ม.2</v>
      </c>
    </row>
    <row r="7" spans="1:8" x14ac:dyDescent="0.7">
      <c r="A7" s="527" t="s">
        <v>397</v>
      </c>
      <c r="B7" s="530" t="s">
        <v>398</v>
      </c>
      <c r="C7" s="527">
        <v>1.5</v>
      </c>
      <c r="D7" s="527" t="s">
        <v>273</v>
      </c>
      <c r="E7" s="527" t="s">
        <v>298</v>
      </c>
      <c r="F7" s="527"/>
      <c r="G7" s="527">
        <f t="shared" si="0"/>
        <v>3</v>
      </c>
      <c r="H7" s="558" t="str">
        <f t="shared" si="1"/>
        <v>ม.2</v>
      </c>
    </row>
    <row r="8" spans="1:8" x14ac:dyDescent="0.7">
      <c r="A8" s="527" t="s">
        <v>436</v>
      </c>
      <c r="B8" s="530" t="s">
        <v>437</v>
      </c>
      <c r="C8" s="527">
        <v>1.5</v>
      </c>
      <c r="D8" s="527" t="s">
        <v>273</v>
      </c>
      <c r="E8" s="527" t="s">
        <v>433</v>
      </c>
      <c r="F8" s="527"/>
      <c r="G8" s="527">
        <f t="shared" si="0"/>
        <v>3</v>
      </c>
      <c r="H8" s="558" t="str">
        <f t="shared" si="1"/>
        <v>ม.3</v>
      </c>
    </row>
    <row r="9" spans="1:8" x14ac:dyDescent="0.7">
      <c r="A9" s="527" t="s">
        <v>438</v>
      </c>
      <c r="B9" s="530" t="s">
        <v>439</v>
      </c>
      <c r="C9" s="527">
        <v>1.5</v>
      </c>
      <c r="D9" s="527" t="s">
        <v>273</v>
      </c>
      <c r="E9" s="527" t="s">
        <v>433</v>
      </c>
      <c r="F9" s="527"/>
      <c r="G9" s="527">
        <f t="shared" si="0"/>
        <v>3</v>
      </c>
      <c r="H9" s="558" t="str">
        <f t="shared" si="1"/>
        <v>ม.3</v>
      </c>
    </row>
    <row r="10" spans="1:8" x14ac:dyDescent="0.7">
      <c r="A10" s="527" t="s">
        <v>700</v>
      </c>
      <c r="B10" s="530" t="s">
        <v>701</v>
      </c>
      <c r="C10" s="527">
        <v>0.5</v>
      </c>
      <c r="D10" s="527" t="s">
        <v>169</v>
      </c>
      <c r="E10" s="527" t="s">
        <v>177</v>
      </c>
      <c r="F10" s="527"/>
      <c r="G10" s="527">
        <f t="shared" si="0"/>
        <v>1</v>
      </c>
      <c r="H10" s="558" t="str">
        <f t="shared" si="1"/>
        <v>ม.1</v>
      </c>
    </row>
    <row r="11" spans="1:8" x14ac:dyDescent="0.7">
      <c r="A11" s="527" t="s">
        <v>702</v>
      </c>
      <c r="B11" s="530" t="s">
        <v>703</v>
      </c>
      <c r="C11" s="527">
        <v>0.5</v>
      </c>
      <c r="D11" s="527" t="s">
        <v>169</v>
      </c>
      <c r="E11" s="527" t="s">
        <v>177</v>
      </c>
      <c r="F11" s="527"/>
      <c r="G11" s="527">
        <f t="shared" si="0"/>
        <v>1</v>
      </c>
      <c r="H11" s="558" t="str">
        <f t="shared" si="1"/>
        <v>ม.1</v>
      </c>
    </row>
    <row r="12" spans="1:8" x14ac:dyDescent="0.7">
      <c r="A12" s="527" t="s">
        <v>704</v>
      </c>
      <c r="B12" s="530" t="s">
        <v>705</v>
      </c>
      <c r="C12" s="527">
        <v>0.5</v>
      </c>
      <c r="D12" s="527" t="s">
        <v>169</v>
      </c>
      <c r="E12" s="527" t="s">
        <v>298</v>
      </c>
      <c r="F12" s="527"/>
      <c r="G12" s="527">
        <f t="shared" si="0"/>
        <v>1</v>
      </c>
      <c r="H12" s="558" t="str">
        <f t="shared" si="1"/>
        <v>ม.2</v>
      </c>
    </row>
    <row r="13" spans="1:8" x14ac:dyDescent="0.7">
      <c r="A13" s="527" t="s">
        <v>706</v>
      </c>
      <c r="B13" s="530" t="s">
        <v>707</v>
      </c>
      <c r="C13" s="527">
        <v>0.5</v>
      </c>
      <c r="D13" s="527" t="s">
        <v>169</v>
      </c>
      <c r="E13" s="527" t="s">
        <v>298</v>
      </c>
      <c r="F13" s="527"/>
      <c r="G13" s="527">
        <f t="shared" si="0"/>
        <v>1</v>
      </c>
      <c r="H13" s="558" t="str">
        <f t="shared" si="1"/>
        <v>ม.2</v>
      </c>
    </row>
    <row r="14" spans="1:8" x14ac:dyDescent="0.7">
      <c r="A14" s="527" t="s">
        <v>708</v>
      </c>
      <c r="B14" s="530" t="s">
        <v>709</v>
      </c>
      <c r="C14" s="527">
        <v>0.5</v>
      </c>
      <c r="D14" s="527" t="s">
        <v>169</v>
      </c>
      <c r="E14" s="527" t="s">
        <v>433</v>
      </c>
      <c r="F14" s="527"/>
      <c r="G14" s="527">
        <f t="shared" si="0"/>
        <v>1</v>
      </c>
      <c r="H14" s="558" t="str">
        <f t="shared" si="1"/>
        <v>ม.3</v>
      </c>
    </row>
    <row r="15" spans="1:8" x14ac:dyDescent="0.7">
      <c r="A15" s="527" t="s">
        <v>710</v>
      </c>
      <c r="B15" s="530" t="s">
        <v>711</v>
      </c>
      <c r="C15" s="527">
        <v>0.5</v>
      </c>
      <c r="D15" s="527" t="s">
        <v>169</v>
      </c>
      <c r="E15" s="527" t="s">
        <v>433</v>
      </c>
      <c r="F15" s="527"/>
      <c r="G15" s="527">
        <f t="shared" si="0"/>
        <v>1</v>
      </c>
      <c r="H15" s="558" t="str">
        <f t="shared" si="1"/>
        <v>ม.3</v>
      </c>
    </row>
    <row r="16" spans="1:8" x14ac:dyDescent="0.7">
      <c r="A16" s="527" t="s">
        <v>170</v>
      </c>
      <c r="B16" s="530" t="s">
        <v>171</v>
      </c>
      <c r="C16" s="527">
        <v>0.5</v>
      </c>
      <c r="D16" s="527" t="s">
        <v>169</v>
      </c>
      <c r="E16" s="527" t="s">
        <v>172</v>
      </c>
      <c r="F16" s="527"/>
      <c r="G16" s="527">
        <f t="shared" si="0"/>
        <v>1</v>
      </c>
      <c r="H16" s="558" t="str">
        <f t="shared" si="1"/>
        <v>ม.1-3</v>
      </c>
    </row>
    <row r="17" spans="1:8" x14ac:dyDescent="0.7">
      <c r="A17" s="527" t="s">
        <v>173</v>
      </c>
      <c r="B17" s="530" t="s">
        <v>174</v>
      </c>
      <c r="C17" s="527">
        <v>0.5</v>
      </c>
      <c r="D17" s="527" t="s">
        <v>169</v>
      </c>
      <c r="E17" s="527" t="s">
        <v>172</v>
      </c>
      <c r="F17" s="527"/>
      <c r="G17" s="527">
        <f t="shared" si="0"/>
        <v>1</v>
      </c>
      <c r="H17" s="558" t="str">
        <f t="shared" si="1"/>
        <v>ม.1-3</v>
      </c>
    </row>
    <row r="18" spans="1:8" x14ac:dyDescent="0.7">
      <c r="A18" s="527" t="s">
        <v>293</v>
      </c>
      <c r="B18" s="530" t="s">
        <v>294</v>
      </c>
      <c r="C18" s="527">
        <v>0.5</v>
      </c>
      <c r="D18" s="527" t="s">
        <v>273</v>
      </c>
      <c r="E18" s="527" t="s">
        <v>177</v>
      </c>
      <c r="F18" s="527"/>
      <c r="G18" s="527">
        <f t="shared" si="0"/>
        <v>1</v>
      </c>
      <c r="H18" s="558" t="str">
        <f t="shared" si="1"/>
        <v>ม.1</v>
      </c>
    </row>
    <row r="19" spans="1:8" x14ac:dyDescent="0.7">
      <c r="A19" s="527" t="s">
        <v>143</v>
      </c>
      <c r="B19" s="530" t="s">
        <v>295</v>
      </c>
      <c r="C19" s="527">
        <v>0.5</v>
      </c>
      <c r="D19" s="527" t="s">
        <v>273</v>
      </c>
      <c r="E19" s="527" t="s">
        <v>177</v>
      </c>
      <c r="F19" s="527"/>
      <c r="G19" s="527">
        <f t="shared" si="0"/>
        <v>1</v>
      </c>
      <c r="H19" s="558" t="str">
        <f t="shared" si="1"/>
        <v>ม.1</v>
      </c>
    </row>
    <row r="20" spans="1:8" x14ac:dyDescent="0.7">
      <c r="A20" s="527" t="s">
        <v>247</v>
      </c>
      <c r="B20" s="530" t="s">
        <v>248</v>
      </c>
      <c r="C20" s="527">
        <v>1</v>
      </c>
      <c r="D20" s="527" t="s">
        <v>169</v>
      </c>
      <c r="E20" s="527" t="s">
        <v>177</v>
      </c>
      <c r="F20" s="527"/>
      <c r="G20" s="527">
        <f t="shared" si="0"/>
        <v>2</v>
      </c>
      <c r="H20" s="558" t="str">
        <f t="shared" si="1"/>
        <v>ม.1</v>
      </c>
    </row>
    <row r="21" spans="1:8" x14ac:dyDescent="0.7">
      <c r="A21" s="527" t="s">
        <v>249</v>
      </c>
      <c r="B21" s="530" t="s">
        <v>250</v>
      </c>
      <c r="C21" s="527">
        <v>1</v>
      </c>
      <c r="D21" s="527" t="s">
        <v>169</v>
      </c>
      <c r="E21" s="527" t="s">
        <v>177</v>
      </c>
      <c r="F21" s="527"/>
      <c r="G21" s="527">
        <f t="shared" si="0"/>
        <v>2</v>
      </c>
      <c r="H21" s="558" t="str">
        <f t="shared" si="1"/>
        <v>ม.1</v>
      </c>
    </row>
    <row r="22" spans="1:8" x14ac:dyDescent="0.7">
      <c r="A22" s="527" t="s">
        <v>251</v>
      </c>
      <c r="B22" s="530" t="s">
        <v>252</v>
      </c>
      <c r="C22" s="527">
        <v>1</v>
      </c>
      <c r="D22" s="527" t="s">
        <v>169</v>
      </c>
      <c r="E22" s="527" t="s">
        <v>177</v>
      </c>
      <c r="F22" s="527"/>
      <c r="G22" s="527">
        <f t="shared" si="0"/>
        <v>2</v>
      </c>
      <c r="H22" s="558" t="str">
        <f t="shared" si="1"/>
        <v>ม.1</v>
      </c>
    </row>
    <row r="23" spans="1:8" x14ac:dyDescent="0.7">
      <c r="A23" s="527" t="s">
        <v>253</v>
      </c>
      <c r="B23" s="530" t="s">
        <v>254</v>
      </c>
      <c r="C23" s="527">
        <v>1</v>
      </c>
      <c r="D23" s="527" t="s">
        <v>169</v>
      </c>
      <c r="E23" s="527" t="s">
        <v>177</v>
      </c>
      <c r="F23" s="527"/>
      <c r="G23" s="527">
        <f t="shared" si="0"/>
        <v>2</v>
      </c>
      <c r="H23" s="558" t="str">
        <f t="shared" si="1"/>
        <v>ม.1</v>
      </c>
    </row>
    <row r="24" spans="1:8" x14ac:dyDescent="0.7">
      <c r="A24" s="527" t="s">
        <v>255</v>
      </c>
      <c r="B24" s="530" t="s">
        <v>256</v>
      </c>
      <c r="C24" s="527">
        <v>1</v>
      </c>
      <c r="D24" s="527" t="s">
        <v>169</v>
      </c>
      <c r="E24" s="527" t="s">
        <v>177</v>
      </c>
      <c r="F24" s="527"/>
      <c r="G24" s="527">
        <f t="shared" si="0"/>
        <v>2</v>
      </c>
      <c r="H24" s="558" t="str">
        <f t="shared" si="1"/>
        <v>ม.1</v>
      </c>
    </row>
    <row r="25" spans="1:8" x14ac:dyDescent="0.7">
      <c r="A25" s="527" t="s">
        <v>257</v>
      </c>
      <c r="B25" s="530" t="s">
        <v>258</v>
      </c>
      <c r="C25" s="527">
        <v>1</v>
      </c>
      <c r="D25" s="527" t="s">
        <v>169</v>
      </c>
      <c r="E25" s="527" t="s">
        <v>177</v>
      </c>
      <c r="F25" s="527"/>
      <c r="G25" s="527">
        <f t="shared" si="0"/>
        <v>2</v>
      </c>
      <c r="H25" s="558" t="str">
        <f t="shared" si="1"/>
        <v>ม.1</v>
      </c>
    </row>
    <row r="26" spans="1:8" x14ac:dyDescent="0.7">
      <c r="A26" s="527" t="s">
        <v>259</v>
      </c>
      <c r="B26" s="530" t="s">
        <v>260</v>
      </c>
      <c r="C26" s="527">
        <v>1</v>
      </c>
      <c r="D26" s="527" t="s">
        <v>169</v>
      </c>
      <c r="E26" s="527" t="s">
        <v>177</v>
      </c>
      <c r="F26" s="527"/>
      <c r="G26" s="527">
        <f t="shared" si="0"/>
        <v>2</v>
      </c>
      <c r="H26" s="558" t="str">
        <f t="shared" si="1"/>
        <v>ม.1</v>
      </c>
    </row>
    <row r="27" spans="1:8" x14ac:dyDescent="0.7">
      <c r="A27" s="527" t="s">
        <v>261</v>
      </c>
      <c r="B27" s="530" t="s">
        <v>262</v>
      </c>
      <c r="C27" s="527">
        <v>1</v>
      </c>
      <c r="D27" s="527" t="s">
        <v>169</v>
      </c>
      <c r="E27" s="527" t="s">
        <v>177</v>
      </c>
      <c r="F27" s="527"/>
      <c r="G27" s="527">
        <f t="shared" si="0"/>
        <v>2</v>
      </c>
      <c r="H27" s="558" t="str">
        <f t="shared" si="1"/>
        <v>ม.1</v>
      </c>
    </row>
    <row r="28" spans="1:8" x14ac:dyDescent="0.7">
      <c r="A28" s="527" t="s">
        <v>263</v>
      </c>
      <c r="B28" s="530" t="s">
        <v>264</v>
      </c>
      <c r="C28" s="527">
        <v>1</v>
      </c>
      <c r="D28" s="527" t="s">
        <v>169</v>
      </c>
      <c r="E28" s="527" t="s">
        <v>177</v>
      </c>
      <c r="F28" s="527"/>
      <c r="G28" s="527">
        <f t="shared" si="0"/>
        <v>2</v>
      </c>
      <c r="H28" s="558" t="str">
        <f t="shared" si="1"/>
        <v>ม.1</v>
      </c>
    </row>
    <row r="29" spans="1:8" x14ac:dyDescent="0.7">
      <c r="A29" s="527" t="s">
        <v>265</v>
      </c>
      <c r="B29" s="530" t="s">
        <v>266</v>
      </c>
      <c r="C29" s="527">
        <v>1</v>
      </c>
      <c r="D29" s="527" t="s">
        <v>169</v>
      </c>
      <c r="E29" s="527" t="s">
        <v>177</v>
      </c>
      <c r="F29" s="527"/>
      <c r="G29" s="527">
        <f t="shared" si="0"/>
        <v>2</v>
      </c>
      <c r="H29" s="558" t="str">
        <f t="shared" si="1"/>
        <v>ม.1</v>
      </c>
    </row>
    <row r="30" spans="1:8" x14ac:dyDescent="0.7">
      <c r="A30" s="527" t="s">
        <v>267</v>
      </c>
      <c r="B30" s="530" t="s">
        <v>268</v>
      </c>
      <c r="C30" s="527">
        <v>1</v>
      </c>
      <c r="D30" s="527" t="s">
        <v>169</v>
      </c>
      <c r="E30" s="527" t="s">
        <v>177</v>
      </c>
      <c r="F30" s="527"/>
      <c r="G30" s="527">
        <f t="shared" si="0"/>
        <v>2</v>
      </c>
      <c r="H30" s="558" t="str">
        <f t="shared" si="1"/>
        <v>ม.1</v>
      </c>
    </row>
    <row r="31" spans="1:8" x14ac:dyDescent="0.7">
      <c r="A31" s="527" t="s">
        <v>269</v>
      </c>
      <c r="B31" s="530" t="s">
        <v>270</v>
      </c>
      <c r="C31" s="527">
        <v>1</v>
      </c>
      <c r="D31" s="527" t="s">
        <v>169</v>
      </c>
      <c r="E31" s="527" t="s">
        <v>177</v>
      </c>
      <c r="F31" s="527"/>
      <c r="G31" s="527">
        <f t="shared" si="0"/>
        <v>2</v>
      </c>
      <c r="H31" s="558" t="str">
        <f t="shared" si="1"/>
        <v>ม.1</v>
      </c>
    </row>
    <row r="32" spans="1:8" x14ac:dyDescent="0.7">
      <c r="A32" s="527" t="s">
        <v>655</v>
      </c>
      <c r="B32" s="530" t="s">
        <v>656</v>
      </c>
      <c r="C32" s="527">
        <v>1</v>
      </c>
      <c r="D32" s="527" t="s">
        <v>169</v>
      </c>
      <c r="E32" s="527" t="s">
        <v>177</v>
      </c>
      <c r="F32" s="527" t="s">
        <v>168</v>
      </c>
      <c r="G32" s="527">
        <f t="shared" si="0"/>
        <v>2</v>
      </c>
      <c r="H32" s="558" t="str">
        <f t="shared" si="1"/>
        <v>ม.1</v>
      </c>
    </row>
    <row r="33" spans="1:8" x14ac:dyDescent="0.7">
      <c r="A33" s="527" t="s">
        <v>657</v>
      </c>
      <c r="B33" s="530" t="s">
        <v>658</v>
      </c>
      <c r="C33" s="527">
        <v>1</v>
      </c>
      <c r="D33" s="527" t="s">
        <v>169</v>
      </c>
      <c r="E33" s="527" t="s">
        <v>177</v>
      </c>
      <c r="F33" s="527" t="s">
        <v>168</v>
      </c>
      <c r="G33" s="527">
        <f t="shared" si="0"/>
        <v>2</v>
      </c>
      <c r="H33" s="558" t="str">
        <f t="shared" si="1"/>
        <v>ม.1</v>
      </c>
    </row>
    <row r="34" spans="1:8" x14ac:dyDescent="0.7">
      <c r="A34" s="527" t="s">
        <v>427</v>
      </c>
      <c r="B34" s="530" t="s">
        <v>428</v>
      </c>
      <c r="C34" s="527">
        <v>0.5</v>
      </c>
      <c r="D34" s="527" t="s">
        <v>273</v>
      </c>
      <c r="E34" s="527" t="s">
        <v>298</v>
      </c>
      <c r="F34" s="527"/>
      <c r="G34" s="527">
        <f t="shared" si="0"/>
        <v>1</v>
      </c>
      <c r="H34" s="558" t="str">
        <f t="shared" si="1"/>
        <v>ม.2</v>
      </c>
    </row>
    <row r="35" spans="1:8" x14ac:dyDescent="0.7">
      <c r="A35" s="527" t="s">
        <v>429</v>
      </c>
      <c r="B35" s="530" t="s">
        <v>430</v>
      </c>
      <c r="C35" s="527">
        <v>0.5</v>
      </c>
      <c r="D35" s="527" t="s">
        <v>273</v>
      </c>
      <c r="E35" s="527" t="s">
        <v>298</v>
      </c>
      <c r="F35" s="527"/>
      <c r="G35" s="527">
        <f t="shared" si="0"/>
        <v>1</v>
      </c>
      <c r="H35" s="558" t="str">
        <f t="shared" si="1"/>
        <v>ม.2</v>
      </c>
    </row>
    <row r="36" spans="1:8" x14ac:dyDescent="0.7">
      <c r="A36" s="527" t="s">
        <v>369</v>
      </c>
      <c r="B36" s="530" t="s">
        <v>370</v>
      </c>
      <c r="C36" s="527">
        <v>1</v>
      </c>
      <c r="D36" s="527" t="s">
        <v>169</v>
      </c>
      <c r="E36" s="527" t="s">
        <v>298</v>
      </c>
      <c r="F36" s="527"/>
      <c r="G36" s="527">
        <f t="shared" si="0"/>
        <v>2</v>
      </c>
      <c r="H36" s="558" t="str">
        <f t="shared" si="1"/>
        <v>ม.2</v>
      </c>
    </row>
    <row r="37" spans="1:8" x14ac:dyDescent="0.7">
      <c r="A37" s="527" t="s">
        <v>371</v>
      </c>
      <c r="B37" s="530" t="s">
        <v>372</v>
      </c>
      <c r="C37" s="527">
        <v>1</v>
      </c>
      <c r="D37" s="527" t="s">
        <v>169</v>
      </c>
      <c r="E37" s="527" t="s">
        <v>298</v>
      </c>
      <c r="F37" s="527"/>
      <c r="G37" s="527">
        <f t="shared" si="0"/>
        <v>2</v>
      </c>
      <c r="H37" s="558" t="str">
        <f t="shared" si="1"/>
        <v>ม.2</v>
      </c>
    </row>
    <row r="38" spans="1:8" x14ac:dyDescent="0.7">
      <c r="A38" s="527" t="s">
        <v>373</v>
      </c>
      <c r="B38" s="530" t="s">
        <v>374</v>
      </c>
      <c r="C38" s="527">
        <v>1</v>
      </c>
      <c r="D38" s="527" t="s">
        <v>169</v>
      </c>
      <c r="E38" s="527" t="s">
        <v>298</v>
      </c>
      <c r="F38" s="527"/>
      <c r="G38" s="527">
        <f t="shared" si="0"/>
        <v>2</v>
      </c>
      <c r="H38" s="558" t="str">
        <f t="shared" si="1"/>
        <v>ม.2</v>
      </c>
    </row>
    <row r="39" spans="1:8" x14ac:dyDescent="0.7">
      <c r="A39" s="527" t="s">
        <v>375</v>
      </c>
      <c r="B39" s="530" t="s">
        <v>376</v>
      </c>
      <c r="C39" s="527">
        <v>1</v>
      </c>
      <c r="D39" s="527" t="s">
        <v>169</v>
      </c>
      <c r="E39" s="527" t="s">
        <v>298</v>
      </c>
      <c r="F39" s="527"/>
      <c r="G39" s="527">
        <f t="shared" si="0"/>
        <v>2</v>
      </c>
      <c r="H39" s="558" t="str">
        <f t="shared" si="1"/>
        <v>ม.2</v>
      </c>
    </row>
    <row r="40" spans="1:8" x14ac:dyDescent="0.7">
      <c r="A40" s="527" t="s">
        <v>377</v>
      </c>
      <c r="B40" s="530" t="s">
        <v>378</v>
      </c>
      <c r="C40" s="527">
        <v>1</v>
      </c>
      <c r="D40" s="527" t="s">
        <v>169</v>
      </c>
      <c r="E40" s="527" t="s">
        <v>298</v>
      </c>
      <c r="F40" s="527"/>
      <c r="G40" s="527">
        <f t="shared" si="0"/>
        <v>2</v>
      </c>
      <c r="H40" s="558" t="str">
        <f t="shared" si="1"/>
        <v>ม.2</v>
      </c>
    </row>
    <row r="41" spans="1:8" x14ac:dyDescent="0.7">
      <c r="A41" s="527" t="s">
        <v>379</v>
      </c>
      <c r="B41" s="530" t="s">
        <v>380</v>
      </c>
      <c r="C41" s="527">
        <v>1</v>
      </c>
      <c r="D41" s="527" t="s">
        <v>169</v>
      </c>
      <c r="E41" s="527" t="s">
        <v>298</v>
      </c>
      <c r="F41" s="527"/>
      <c r="G41" s="527">
        <f t="shared" si="0"/>
        <v>2</v>
      </c>
      <c r="H41" s="558" t="str">
        <f t="shared" si="1"/>
        <v>ม.2</v>
      </c>
    </row>
    <row r="42" spans="1:8" x14ac:dyDescent="0.7">
      <c r="A42" s="527" t="s">
        <v>381</v>
      </c>
      <c r="B42" s="530" t="s">
        <v>382</v>
      </c>
      <c r="C42" s="527">
        <v>1</v>
      </c>
      <c r="D42" s="527" t="s">
        <v>169</v>
      </c>
      <c r="E42" s="527" t="s">
        <v>298</v>
      </c>
      <c r="F42" s="527"/>
      <c r="G42" s="527">
        <f t="shared" si="0"/>
        <v>2</v>
      </c>
      <c r="H42" s="558" t="str">
        <f t="shared" si="1"/>
        <v>ม.2</v>
      </c>
    </row>
    <row r="43" spans="1:8" x14ac:dyDescent="0.7">
      <c r="A43" s="527" t="s">
        <v>383</v>
      </c>
      <c r="B43" s="530" t="s">
        <v>384</v>
      </c>
      <c r="C43" s="527">
        <v>1</v>
      </c>
      <c r="D43" s="527" t="s">
        <v>169</v>
      </c>
      <c r="E43" s="527" t="s">
        <v>298</v>
      </c>
      <c r="F43" s="527"/>
      <c r="G43" s="527">
        <f t="shared" si="0"/>
        <v>2</v>
      </c>
      <c r="H43" s="558" t="str">
        <f t="shared" si="1"/>
        <v>ม.2</v>
      </c>
    </row>
    <row r="44" spans="1:8" x14ac:dyDescent="0.7">
      <c r="A44" s="527" t="s">
        <v>385</v>
      </c>
      <c r="B44" s="530" t="s">
        <v>386</v>
      </c>
      <c r="C44" s="527">
        <v>1</v>
      </c>
      <c r="D44" s="527" t="s">
        <v>169</v>
      </c>
      <c r="E44" s="527" t="s">
        <v>298</v>
      </c>
      <c r="F44" s="527"/>
      <c r="G44" s="527">
        <f t="shared" si="0"/>
        <v>2</v>
      </c>
      <c r="H44" s="558" t="str">
        <f t="shared" si="1"/>
        <v>ม.2</v>
      </c>
    </row>
    <row r="45" spans="1:8" x14ac:dyDescent="0.7">
      <c r="A45" s="527" t="s">
        <v>387</v>
      </c>
      <c r="B45" s="530" t="s">
        <v>388</v>
      </c>
      <c r="C45" s="527">
        <v>1</v>
      </c>
      <c r="D45" s="527" t="s">
        <v>169</v>
      </c>
      <c r="E45" s="527" t="s">
        <v>298</v>
      </c>
      <c r="F45" s="527" t="s">
        <v>168</v>
      </c>
      <c r="G45" s="527">
        <f t="shared" si="0"/>
        <v>2</v>
      </c>
      <c r="H45" s="558" t="str">
        <f t="shared" si="1"/>
        <v>ม.2</v>
      </c>
    </row>
    <row r="46" spans="1:8" x14ac:dyDescent="0.7">
      <c r="A46" s="527" t="s">
        <v>389</v>
      </c>
      <c r="B46" s="530" t="s">
        <v>390</v>
      </c>
      <c r="C46" s="527">
        <v>1</v>
      </c>
      <c r="D46" s="527" t="s">
        <v>169</v>
      </c>
      <c r="E46" s="527" t="s">
        <v>298</v>
      </c>
      <c r="F46" s="527" t="s">
        <v>168</v>
      </c>
      <c r="G46" s="527">
        <f t="shared" si="0"/>
        <v>2</v>
      </c>
      <c r="H46" s="558" t="str">
        <f t="shared" si="1"/>
        <v>ม.2</v>
      </c>
    </row>
    <row r="47" spans="1:8" x14ac:dyDescent="0.7">
      <c r="A47" s="527" t="s">
        <v>659</v>
      </c>
      <c r="B47" s="530" t="s">
        <v>660</v>
      </c>
      <c r="C47" s="527">
        <v>1</v>
      </c>
      <c r="D47" s="527" t="s">
        <v>169</v>
      </c>
      <c r="E47" s="527" t="s">
        <v>298</v>
      </c>
      <c r="F47" s="527"/>
      <c r="G47" s="527">
        <f t="shared" si="0"/>
        <v>2</v>
      </c>
      <c r="H47" s="558" t="str">
        <f t="shared" si="1"/>
        <v>ม.2</v>
      </c>
    </row>
    <row r="48" spans="1:8" x14ac:dyDescent="0.7">
      <c r="A48" s="527" t="s">
        <v>661</v>
      </c>
      <c r="B48" s="530" t="s">
        <v>662</v>
      </c>
      <c r="C48" s="527">
        <v>1</v>
      </c>
      <c r="D48" s="527" t="s">
        <v>169</v>
      </c>
      <c r="E48" s="527" t="s">
        <v>298</v>
      </c>
      <c r="F48" s="527"/>
      <c r="G48" s="527">
        <f t="shared" si="0"/>
        <v>2</v>
      </c>
      <c r="H48" s="558" t="str">
        <f t="shared" si="1"/>
        <v>ม.2</v>
      </c>
    </row>
    <row r="49" spans="1:8" x14ac:dyDescent="0.7">
      <c r="A49" s="527" t="s">
        <v>468</v>
      </c>
      <c r="B49" s="530" t="s">
        <v>469</v>
      </c>
      <c r="C49" s="527">
        <v>0.5</v>
      </c>
      <c r="D49" s="527" t="s">
        <v>273</v>
      </c>
      <c r="E49" s="527" t="s">
        <v>433</v>
      </c>
      <c r="F49" s="527"/>
      <c r="G49" s="527">
        <f t="shared" si="0"/>
        <v>1</v>
      </c>
      <c r="H49" s="558" t="str">
        <f t="shared" si="1"/>
        <v>ม.3</v>
      </c>
    </row>
    <row r="50" spans="1:8" x14ac:dyDescent="0.7">
      <c r="A50" s="527" t="s">
        <v>470</v>
      </c>
      <c r="B50" s="530" t="s">
        <v>471</v>
      </c>
      <c r="C50" s="527">
        <v>0.5</v>
      </c>
      <c r="D50" s="527" t="s">
        <v>273</v>
      </c>
      <c r="E50" s="527" t="s">
        <v>433</v>
      </c>
      <c r="F50" s="527"/>
      <c r="G50" s="527">
        <f t="shared" si="0"/>
        <v>1</v>
      </c>
      <c r="H50" s="558" t="str">
        <f t="shared" si="1"/>
        <v>ม.3</v>
      </c>
    </row>
    <row r="51" spans="1:8" x14ac:dyDescent="0.7">
      <c r="A51" s="527" t="s">
        <v>542</v>
      </c>
      <c r="B51" s="530" t="s">
        <v>543</v>
      </c>
      <c r="C51" s="527">
        <v>1</v>
      </c>
      <c r="D51" s="527" t="s">
        <v>169</v>
      </c>
      <c r="E51" s="527" t="s">
        <v>433</v>
      </c>
      <c r="F51" s="527"/>
      <c r="G51" s="527">
        <f t="shared" si="0"/>
        <v>2</v>
      </c>
      <c r="H51" s="558" t="str">
        <f t="shared" si="1"/>
        <v>ม.3</v>
      </c>
    </row>
    <row r="52" spans="1:8" x14ac:dyDescent="0.7">
      <c r="A52" s="527" t="s">
        <v>544</v>
      </c>
      <c r="B52" s="530" t="s">
        <v>545</v>
      </c>
      <c r="C52" s="527">
        <v>1</v>
      </c>
      <c r="D52" s="527" t="s">
        <v>169</v>
      </c>
      <c r="E52" s="527" t="s">
        <v>433</v>
      </c>
      <c r="F52" s="527"/>
      <c r="G52" s="527">
        <f t="shared" si="0"/>
        <v>2</v>
      </c>
      <c r="H52" s="558" t="str">
        <f t="shared" si="1"/>
        <v>ม.3</v>
      </c>
    </row>
    <row r="53" spans="1:8" x14ac:dyDescent="0.7">
      <c r="A53" s="527" t="s">
        <v>546</v>
      </c>
      <c r="B53" s="530" t="s">
        <v>547</v>
      </c>
      <c r="C53" s="527">
        <v>1</v>
      </c>
      <c r="D53" s="527" t="s">
        <v>169</v>
      </c>
      <c r="E53" s="527" t="s">
        <v>433</v>
      </c>
      <c r="F53" s="527"/>
      <c r="G53" s="527">
        <f t="shared" si="0"/>
        <v>2</v>
      </c>
      <c r="H53" s="558" t="str">
        <f t="shared" si="1"/>
        <v>ม.3</v>
      </c>
    </row>
    <row r="54" spans="1:8" x14ac:dyDescent="0.7">
      <c r="A54" s="527" t="s">
        <v>548</v>
      </c>
      <c r="B54" s="530" t="s">
        <v>549</v>
      </c>
      <c r="C54" s="527">
        <v>1</v>
      </c>
      <c r="D54" s="527" t="s">
        <v>169</v>
      </c>
      <c r="E54" s="527" t="s">
        <v>433</v>
      </c>
      <c r="F54" s="527"/>
      <c r="G54" s="527">
        <f t="shared" si="0"/>
        <v>2</v>
      </c>
      <c r="H54" s="558" t="str">
        <f t="shared" si="1"/>
        <v>ม.3</v>
      </c>
    </row>
    <row r="55" spans="1:8" x14ac:dyDescent="0.7">
      <c r="A55" s="527" t="s">
        <v>663</v>
      </c>
      <c r="B55" s="530" t="s">
        <v>664</v>
      </c>
      <c r="C55" s="527">
        <v>1</v>
      </c>
      <c r="D55" s="527" t="s">
        <v>169</v>
      </c>
      <c r="E55" s="527" t="s">
        <v>433</v>
      </c>
      <c r="F55" s="527" t="s">
        <v>168</v>
      </c>
      <c r="G55" s="527">
        <f t="shared" si="0"/>
        <v>2</v>
      </c>
      <c r="H55" s="558" t="str">
        <f t="shared" si="1"/>
        <v>ม.3</v>
      </c>
    </row>
    <row r="56" spans="1:8" x14ac:dyDescent="0.7">
      <c r="A56" s="527" t="s">
        <v>665</v>
      </c>
      <c r="B56" s="530" t="s">
        <v>666</v>
      </c>
      <c r="C56" s="527">
        <v>1</v>
      </c>
      <c r="D56" s="527" t="s">
        <v>169</v>
      </c>
      <c r="E56" s="527" t="s">
        <v>433</v>
      </c>
      <c r="F56" s="527" t="s">
        <v>168</v>
      </c>
      <c r="G56" s="527">
        <f t="shared" si="0"/>
        <v>2</v>
      </c>
      <c r="H56" s="558" t="str">
        <f t="shared" si="1"/>
        <v>ม.3</v>
      </c>
    </row>
    <row r="57" spans="1:8" x14ac:dyDescent="0.7">
      <c r="A57" s="527" t="s">
        <v>667</v>
      </c>
      <c r="B57" s="530" t="s">
        <v>668</v>
      </c>
      <c r="C57" s="527">
        <v>1</v>
      </c>
      <c r="D57" s="527" t="s">
        <v>169</v>
      </c>
      <c r="E57" s="527" t="s">
        <v>177</v>
      </c>
      <c r="F57" s="527"/>
      <c r="G57" s="527">
        <f t="shared" si="0"/>
        <v>2</v>
      </c>
      <c r="H57" s="558" t="str">
        <f t="shared" si="1"/>
        <v>ม.1</v>
      </c>
    </row>
    <row r="58" spans="1:8" x14ac:dyDescent="0.7">
      <c r="A58" s="527" t="s">
        <v>669</v>
      </c>
      <c r="B58" s="530" t="s">
        <v>670</v>
      </c>
      <c r="C58" s="527">
        <v>1</v>
      </c>
      <c r="D58" s="527" t="s">
        <v>169</v>
      </c>
      <c r="E58" s="527" t="s">
        <v>177</v>
      </c>
      <c r="F58" s="527"/>
      <c r="G58" s="527">
        <f t="shared" si="0"/>
        <v>2</v>
      </c>
      <c r="H58" s="558" t="str">
        <f t="shared" si="1"/>
        <v>ม.1</v>
      </c>
    </row>
    <row r="59" spans="1:8" x14ac:dyDescent="0.7">
      <c r="A59" s="527" t="s">
        <v>671</v>
      </c>
      <c r="B59" s="530" t="s">
        <v>672</v>
      </c>
      <c r="C59" s="527">
        <v>1</v>
      </c>
      <c r="D59" s="527" t="s">
        <v>169</v>
      </c>
      <c r="E59" s="527" t="s">
        <v>298</v>
      </c>
      <c r="F59" s="527"/>
      <c r="G59" s="527">
        <f t="shared" si="0"/>
        <v>2</v>
      </c>
      <c r="H59" s="558" t="str">
        <f t="shared" si="1"/>
        <v>ม.2</v>
      </c>
    </row>
    <row r="60" spans="1:8" x14ac:dyDescent="0.7">
      <c r="A60" s="527" t="s">
        <v>673</v>
      </c>
      <c r="B60" s="530" t="s">
        <v>674</v>
      </c>
      <c r="C60" s="527">
        <v>1</v>
      </c>
      <c r="D60" s="527" t="s">
        <v>169</v>
      </c>
      <c r="E60" s="527" t="s">
        <v>298</v>
      </c>
      <c r="F60" s="527"/>
      <c r="G60" s="527">
        <f t="shared" si="0"/>
        <v>2</v>
      </c>
      <c r="H60" s="558" t="str">
        <f t="shared" si="1"/>
        <v>ม.2</v>
      </c>
    </row>
    <row r="61" spans="1:8" x14ac:dyDescent="0.7">
      <c r="A61" s="527" t="s">
        <v>675</v>
      </c>
      <c r="B61" s="530" t="s">
        <v>676</v>
      </c>
      <c r="C61" s="527">
        <v>1</v>
      </c>
      <c r="D61" s="527" t="s">
        <v>169</v>
      </c>
      <c r="E61" s="527" t="s">
        <v>433</v>
      </c>
      <c r="F61" s="527"/>
      <c r="G61" s="527">
        <f t="shared" si="0"/>
        <v>2</v>
      </c>
      <c r="H61" s="558" t="str">
        <f t="shared" si="1"/>
        <v>ม.3</v>
      </c>
    </row>
    <row r="62" spans="1:8" x14ac:dyDescent="0.7">
      <c r="A62" s="527" t="s">
        <v>677</v>
      </c>
      <c r="B62" s="530" t="s">
        <v>678</v>
      </c>
      <c r="C62" s="527">
        <v>1</v>
      </c>
      <c r="D62" s="527" t="s">
        <v>169</v>
      </c>
      <c r="E62" s="527" t="s">
        <v>433</v>
      </c>
      <c r="F62" s="527"/>
      <c r="G62" s="527">
        <f t="shared" si="0"/>
        <v>2</v>
      </c>
      <c r="H62" s="558" t="str">
        <f t="shared" si="1"/>
        <v>ม.3</v>
      </c>
    </row>
    <row r="63" spans="1:8" x14ac:dyDescent="0.7">
      <c r="A63" s="527" t="s">
        <v>271</v>
      </c>
      <c r="B63" s="530" t="s">
        <v>272</v>
      </c>
      <c r="C63" s="527">
        <v>1.5</v>
      </c>
      <c r="D63" s="527" t="s">
        <v>273</v>
      </c>
      <c r="E63" s="527" t="s">
        <v>177</v>
      </c>
      <c r="F63" s="527"/>
      <c r="G63" s="527">
        <f t="shared" si="0"/>
        <v>3</v>
      </c>
      <c r="H63" s="558" t="str">
        <f t="shared" si="1"/>
        <v>ม.1</v>
      </c>
    </row>
    <row r="64" spans="1:8" x14ac:dyDescent="0.7">
      <c r="A64" s="527" t="s">
        <v>125</v>
      </c>
      <c r="B64" s="530" t="s">
        <v>126</v>
      </c>
      <c r="C64" s="527">
        <v>1.5</v>
      </c>
      <c r="D64" s="527" t="s">
        <v>273</v>
      </c>
      <c r="E64" s="527" t="s">
        <v>177</v>
      </c>
      <c r="F64" s="527"/>
      <c r="G64" s="527">
        <f t="shared" si="0"/>
        <v>3</v>
      </c>
      <c r="H64" s="558" t="str">
        <f t="shared" si="1"/>
        <v>ม.1</v>
      </c>
    </row>
    <row r="65" spans="1:8" x14ac:dyDescent="0.7">
      <c r="A65" s="527" t="s">
        <v>175</v>
      </c>
      <c r="B65" s="530" t="s">
        <v>176</v>
      </c>
      <c r="C65" s="527">
        <v>0.5</v>
      </c>
      <c r="D65" s="527" t="s">
        <v>169</v>
      </c>
      <c r="E65" s="527" t="s">
        <v>177</v>
      </c>
      <c r="F65" s="527"/>
      <c r="G65" s="527">
        <f t="shared" si="0"/>
        <v>1</v>
      </c>
      <c r="H65" s="558" t="str">
        <f t="shared" si="1"/>
        <v>ม.1</v>
      </c>
    </row>
    <row r="66" spans="1:8" x14ac:dyDescent="0.7">
      <c r="A66" s="527" t="s">
        <v>178</v>
      </c>
      <c r="B66" s="530" t="s">
        <v>179</v>
      </c>
      <c r="C66" s="527">
        <v>0.5</v>
      </c>
      <c r="D66" s="527" t="s">
        <v>169</v>
      </c>
      <c r="E66" s="527" t="s">
        <v>177</v>
      </c>
      <c r="F66" s="527"/>
      <c r="G66" s="527">
        <f t="shared" si="0"/>
        <v>1</v>
      </c>
      <c r="H66" s="558" t="str">
        <f t="shared" si="1"/>
        <v>ม.1</v>
      </c>
    </row>
    <row r="67" spans="1:8" x14ac:dyDescent="0.7">
      <c r="A67" s="527" t="s">
        <v>180</v>
      </c>
      <c r="B67" s="530" t="s">
        <v>181</v>
      </c>
      <c r="C67" s="527">
        <v>1</v>
      </c>
      <c r="D67" s="527" t="s">
        <v>169</v>
      </c>
      <c r="E67" s="527" t="s">
        <v>177</v>
      </c>
      <c r="F67" s="527" t="s">
        <v>168</v>
      </c>
      <c r="G67" s="527">
        <f t="shared" si="0"/>
        <v>2</v>
      </c>
      <c r="H67" s="558" t="str">
        <f t="shared" si="1"/>
        <v>ม.1</v>
      </c>
    </row>
    <row r="68" spans="1:8" x14ac:dyDescent="0.7">
      <c r="A68" s="527" t="s">
        <v>182</v>
      </c>
      <c r="B68" s="530" t="s">
        <v>183</v>
      </c>
      <c r="C68" s="527">
        <v>1</v>
      </c>
      <c r="D68" s="527" t="s">
        <v>169</v>
      </c>
      <c r="E68" s="527" t="s">
        <v>177</v>
      </c>
      <c r="F68" s="527" t="s">
        <v>168</v>
      </c>
      <c r="G68" s="527">
        <f t="shared" ref="G68:G137" si="2">C68*2</f>
        <v>2</v>
      </c>
      <c r="H68" s="558" t="str">
        <f t="shared" ref="H68:H137" si="3">IF(E68="-","-",IF(E68="มัธยมศึกษาปีที่ 1","ม.1",IF(E68="มัธยมศึกษาปีที่ 2","ม.2",IF(E68="มัธยมศึกษาปีที่ 3","ม.3",IF(E68="มัธยมศึกษาปีที่ 4","ม.4",IF(E68="มัธยมศึกษาปีที่ 5","ม.5",IF(E68="มัธยมศึกษาปีที่ 6","ม.6",IF(E68="มัธยมศึกษาปีที่ 1-3","ม.1-3",E68))))))))</f>
        <v>ม.1</v>
      </c>
    </row>
    <row r="69" spans="1:8" x14ac:dyDescent="0.7">
      <c r="A69" s="527" t="s">
        <v>184</v>
      </c>
      <c r="B69" s="530" t="s">
        <v>185</v>
      </c>
      <c r="C69" s="527">
        <v>1</v>
      </c>
      <c r="D69" s="527" t="s">
        <v>169</v>
      </c>
      <c r="E69" s="527" t="s">
        <v>177</v>
      </c>
      <c r="F69" s="527" t="s">
        <v>168</v>
      </c>
      <c r="G69" s="527">
        <f t="shared" si="2"/>
        <v>2</v>
      </c>
      <c r="H69" s="558" t="str">
        <f t="shared" si="3"/>
        <v>ม.1</v>
      </c>
    </row>
    <row r="70" spans="1:8" x14ac:dyDescent="0.7">
      <c r="A70" s="527" t="s">
        <v>186</v>
      </c>
      <c r="B70" s="530" t="s">
        <v>187</v>
      </c>
      <c r="C70" s="527">
        <v>1</v>
      </c>
      <c r="D70" s="527" t="s">
        <v>169</v>
      </c>
      <c r="E70" s="527" t="s">
        <v>177</v>
      </c>
      <c r="F70" s="527" t="s">
        <v>168</v>
      </c>
      <c r="G70" s="527">
        <f t="shared" si="2"/>
        <v>2</v>
      </c>
      <c r="H70" s="558" t="str">
        <f t="shared" si="3"/>
        <v>ม.1</v>
      </c>
    </row>
    <row r="71" spans="1:8" x14ac:dyDescent="0.7">
      <c r="A71" s="527" t="s">
        <v>391</v>
      </c>
      <c r="B71" s="530" t="s">
        <v>392</v>
      </c>
      <c r="C71" s="527">
        <v>1.5</v>
      </c>
      <c r="D71" s="527" t="s">
        <v>273</v>
      </c>
      <c r="E71" s="527" t="s">
        <v>298</v>
      </c>
      <c r="F71" s="527"/>
      <c r="G71" s="527">
        <f t="shared" si="2"/>
        <v>3</v>
      </c>
      <c r="H71" s="558" t="str">
        <f t="shared" si="3"/>
        <v>ม.2</v>
      </c>
    </row>
    <row r="72" spans="1:8" x14ac:dyDescent="0.7">
      <c r="A72" s="527" t="s">
        <v>393</v>
      </c>
      <c r="B72" s="530" t="s">
        <v>394</v>
      </c>
      <c r="C72" s="527">
        <v>1.5</v>
      </c>
      <c r="D72" s="527" t="s">
        <v>273</v>
      </c>
      <c r="E72" s="527" t="s">
        <v>298</v>
      </c>
      <c r="F72" s="527"/>
      <c r="G72" s="527">
        <f t="shared" si="2"/>
        <v>3</v>
      </c>
      <c r="H72" s="558" t="str">
        <f t="shared" si="3"/>
        <v>ม.2</v>
      </c>
    </row>
    <row r="73" spans="1:8" x14ac:dyDescent="0.7">
      <c r="A73" s="527" t="s">
        <v>296</v>
      </c>
      <c r="B73" s="530" t="s">
        <v>297</v>
      </c>
      <c r="C73" s="527">
        <v>1</v>
      </c>
      <c r="D73" s="527" t="s">
        <v>169</v>
      </c>
      <c r="E73" s="527" t="s">
        <v>298</v>
      </c>
      <c r="F73" s="527" t="s">
        <v>168</v>
      </c>
      <c r="G73" s="527">
        <f t="shared" si="2"/>
        <v>2</v>
      </c>
      <c r="H73" s="558" t="str">
        <f t="shared" si="3"/>
        <v>ม.2</v>
      </c>
    </row>
    <row r="74" spans="1:8" x14ac:dyDescent="0.7">
      <c r="A74" s="527" t="s">
        <v>299</v>
      </c>
      <c r="B74" s="530" t="s">
        <v>300</v>
      </c>
      <c r="C74" s="527">
        <v>1</v>
      </c>
      <c r="D74" s="527" t="s">
        <v>169</v>
      </c>
      <c r="E74" s="527" t="s">
        <v>298</v>
      </c>
      <c r="F74" s="527" t="s">
        <v>168</v>
      </c>
      <c r="G74" s="527">
        <f t="shared" si="2"/>
        <v>2</v>
      </c>
      <c r="H74" s="558" t="str">
        <f t="shared" si="3"/>
        <v>ม.2</v>
      </c>
    </row>
    <row r="75" spans="1:8" x14ac:dyDescent="0.7">
      <c r="A75" s="527" t="s">
        <v>301</v>
      </c>
      <c r="B75" s="530" t="s">
        <v>302</v>
      </c>
      <c r="C75" s="527">
        <v>1</v>
      </c>
      <c r="D75" s="527" t="s">
        <v>169</v>
      </c>
      <c r="E75" s="527" t="s">
        <v>298</v>
      </c>
      <c r="F75" s="527" t="s">
        <v>168</v>
      </c>
      <c r="G75" s="527">
        <f t="shared" si="2"/>
        <v>2</v>
      </c>
      <c r="H75" s="558" t="str">
        <f t="shared" si="3"/>
        <v>ม.2</v>
      </c>
    </row>
    <row r="76" spans="1:8" x14ac:dyDescent="0.7">
      <c r="A76" s="527" t="s">
        <v>303</v>
      </c>
      <c r="B76" s="530" t="s">
        <v>304</v>
      </c>
      <c r="C76" s="527">
        <v>1</v>
      </c>
      <c r="D76" s="527" t="s">
        <v>169</v>
      </c>
      <c r="E76" s="527" t="s">
        <v>298</v>
      </c>
      <c r="F76" s="527" t="s">
        <v>168</v>
      </c>
      <c r="G76" s="527">
        <f t="shared" si="2"/>
        <v>2</v>
      </c>
      <c r="H76" s="558" t="str">
        <f t="shared" si="3"/>
        <v>ม.2</v>
      </c>
    </row>
    <row r="77" spans="1:8" x14ac:dyDescent="0.7">
      <c r="A77" s="527" t="s">
        <v>431</v>
      </c>
      <c r="B77" s="530" t="s">
        <v>432</v>
      </c>
      <c r="C77" s="527">
        <v>1.5</v>
      </c>
      <c r="D77" s="527" t="s">
        <v>273</v>
      </c>
      <c r="E77" s="527" t="s">
        <v>433</v>
      </c>
      <c r="F77" s="527"/>
      <c r="G77" s="527">
        <f t="shared" si="2"/>
        <v>3</v>
      </c>
      <c r="H77" s="558" t="str">
        <f t="shared" si="3"/>
        <v>ม.3</v>
      </c>
    </row>
    <row r="78" spans="1:8" x14ac:dyDescent="0.7">
      <c r="A78" s="527" t="s">
        <v>434</v>
      </c>
      <c r="B78" s="530" t="s">
        <v>435</v>
      </c>
      <c r="C78" s="527">
        <v>1.5</v>
      </c>
      <c r="D78" s="527" t="s">
        <v>273</v>
      </c>
      <c r="E78" s="527" t="s">
        <v>433</v>
      </c>
      <c r="F78" s="527"/>
      <c r="G78" s="527">
        <f t="shared" si="2"/>
        <v>3</v>
      </c>
      <c r="H78" s="558" t="str">
        <f t="shared" si="3"/>
        <v>ม.3</v>
      </c>
    </row>
    <row r="79" spans="1:8" x14ac:dyDescent="0.7">
      <c r="A79" s="527" t="s">
        <v>480</v>
      </c>
      <c r="B79" s="530" t="s">
        <v>481</v>
      </c>
      <c r="C79" s="527">
        <v>1</v>
      </c>
      <c r="D79" s="527" t="s">
        <v>169</v>
      </c>
      <c r="E79" s="527" t="s">
        <v>433</v>
      </c>
      <c r="F79" s="527" t="s">
        <v>168</v>
      </c>
      <c r="G79" s="527">
        <f t="shared" si="2"/>
        <v>2</v>
      </c>
      <c r="H79" s="558" t="str">
        <f t="shared" si="3"/>
        <v>ม.3</v>
      </c>
    </row>
    <row r="80" spans="1:8" x14ac:dyDescent="0.7">
      <c r="A80" s="527" t="s">
        <v>482</v>
      </c>
      <c r="B80" s="530" t="s">
        <v>483</v>
      </c>
      <c r="C80" s="527">
        <v>1</v>
      </c>
      <c r="D80" s="527" t="s">
        <v>169</v>
      </c>
      <c r="E80" s="527" t="s">
        <v>433</v>
      </c>
      <c r="F80" s="527" t="s">
        <v>168</v>
      </c>
      <c r="G80" s="527">
        <f t="shared" si="2"/>
        <v>2</v>
      </c>
      <c r="H80" s="558" t="str">
        <f t="shared" si="3"/>
        <v>ม.3</v>
      </c>
    </row>
    <row r="81" spans="1:8" x14ac:dyDescent="0.7">
      <c r="A81" s="527" t="s">
        <v>484</v>
      </c>
      <c r="B81" s="530" t="s">
        <v>485</v>
      </c>
      <c r="C81" s="527">
        <v>1</v>
      </c>
      <c r="D81" s="527" t="s">
        <v>169</v>
      </c>
      <c r="E81" s="527" t="s">
        <v>433</v>
      </c>
      <c r="F81" s="527" t="s">
        <v>168</v>
      </c>
      <c r="G81" s="527">
        <f t="shared" si="2"/>
        <v>2</v>
      </c>
      <c r="H81" s="558" t="str">
        <f t="shared" si="3"/>
        <v>ม.3</v>
      </c>
    </row>
    <row r="82" spans="1:8" x14ac:dyDescent="0.7">
      <c r="A82" s="527" t="s">
        <v>486</v>
      </c>
      <c r="B82" s="530" t="s">
        <v>487</v>
      </c>
      <c r="C82" s="527">
        <v>1</v>
      </c>
      <c r="D82" s="527" t="s">
        <v>169</v>
      </c>
      <c r="E82" s="527" t="s">
        <v>433</v>
      </c>
      <c r="F82" s="527" t="s">
        <v>168</v>
      </c>
      <c r="G82" s="527">
        <f t="shared" si="2"/>
        <v>2</v>
      </c>
      <c r="H82" s="558" t="str">
        <f t="shared" si="3"/>
        <v>ม.3</v>
      </c>
    </row>
    <row r="83" spans="1:8" x14ac:dyDescent="0.7">
      <c r="A83" s="527" t="s">
        <v>284</v>
      </c>
      <c r="B83" s="530" t="s">
        <v>285</v>
      </c>
      <c r="C83" s="527">
        <v>0.5</v>
      </c>
      <c r="D83" s="527" t="s">
        <v>273</v>
      </c>
      <c r="E83" s="527" t="s">
        <v>177</v>
      </c>
      <c r="F83" s="527"/>
      <c r="G83" s="527">
        <f t="shared" si="2"/>
        <v>1</v>
      </c>
      <c r="H83" s="558" t="str">
        <f t="shared" si="3"/>
        <v>ม.1</v>
      </c>
    </row>
    <row r="84" spans="1:8" x14ac:dyDescent="0.7">
      <c r="A84" s="527" t="s">
        <v>286</v>
      </c>
      <c r="B84" s="530" t="s">
        <v>287</v>
      </c>
      <c r="C84" s="527">
        <v>0.5</v>
      </c>
      <c r="D84" s="527" t="s">
        <v>273</v>
      </c>
      <c r="E84" s="527" t="s">
        <v>177</v>
      </c>
      <c r="F84" s="527"/>
      <c r="G84" s="527">
        <f t="shared" si="2"/>
        <v>1</v>
      </c>
      <c r="H84" s="558" t="str">
        <f t="shared" si="3"/>
        <v>ม.1</v>
      </c>
    </row>
    <row r="85" spans="1:8" x14ac:dyDescent="0.7">
      <c r="A85" s="527" t="s">
        <v>137</v>
      </c>
      <c r="B85" s="530" t="s">
        <v>138</v>
      </c>
      <c r="C85" s="527">
        <v>0.5</v>
      </c>
      <c r="D85" s="527" t="s">
        <v>273</v>
      </c>
      <c r="E85" s="527" t="s">
        <v>177</v>
      </c>
      <c r="F85" s="527"/>
      <c r="G85" s="527">
        <f t="shared" si="2"/>
        <v>1</v>
      </c>
      <c r="H85" s="558" t="str">
        <f t="shared" si="3"/>
        <v>ม.1</v>
      </c>
    </row>
    <row r="86" spans="1:8" x14ac:dyDescent="0.7">
      <c r="A86" s="527" t="s">
        <v>139</v>
      </c>
      <c r="B86" s="530" t="s">
        <v>140</v>
      </c>
      <c r="C86" s="527">
        <v>0.5</v>
      </c>
      <c r="D86" s="527" t="s">
        <v>273</v>
      </c>
      <c r="E86" s="527" t="s">
        <v>177</v>
      </c>
      <c r="F86" s="527"/>
      <c r="G86" s="527">
        <f t="shared" si="2"/>
        <v>1</v>
      </c>
      <c r="H86" s="558" t="str">
        <f t="shared" si="3"/>
        <v>ม.1</v>
      </c>
    </row>
    <row r="87" spans="1:8" x14ac:dyDescent="0.7">
      <c r="A87" s="527" t="s">
        <v>218</v>
      </c>
      <c r="B87" s="530" t="s">
        <v>219</v>
      </c>
      <c r="C87" s="527">
        <v>1</v>
      </c>
      <c r="D87" s="527" t="s">
        <v>169</v>
      </c>
      <c r="E87" s="527" t="s">
        <v>177</v>
      </c>
      <c r="F87" s="527" t="s">
        <v>168</v>
      </c>
      <c r="G87" s="527">
        <f t="shared" si="2"/>
        <v>2</v>
      </c>
      <c r="H87" s="558" t="str">
        <f t="shared" si="3"/>
        <v>ม.1</v>
      </c>
    </row>
    <row r="88" spans="1:8" x14ac:dyDescent="0.7">
      <c r="A88" s="527" t="s">
        <v>220</v>
      </c>
      <c r="B88" s="530" t="s">
        <v>221</v>
      </c>
      <c r="C88" s="527">
        <v>1</v>
      </c>
      <c r="D88" s="527" t="s">
        <v>169</v>
      </c>
      <c r="E88" s="527" t="s">
        <v>177</v>
      </c>
      <c r="F88" s="527" t="s">
        <v>168</v>
      </c>
      <c r="G88" s="527">
        <f t="shared" si="2"/>
        <v>2</v>
      </c>
      <c r="H88" s="558" t="str">
        <f t="shared" si="3"/>
        <v>ม.1</v>
      </c>
    </row>
    <row r="89" spans="1:8" x14ac:dyDescent="0.7">
      <c r="A89" s="527" t="s">
        <v>222</v>
      </c>
      <c r="B89" s="530" t="s">
        <v>223</v>
      </c>
      <c r="C89" s="527">
        <v>1</v>
      </c>
      <c r="D89" s="527" t="s">
        <v>169</v>
      </c>
      <c r="E89" s="527" t="s">
        <v>177</v>
      </c>
      <c r="F89" s="527" t="s">
        <v>168</v>
      </c>
      <c r="G89" s="527">
        <f t="shared" si="2"/>
        <v>2</v>
      </c>
      <c r="H89" s="558" t="str">
        <f t="shared" si="3"/>
        <v>ม.1</v>
      </c>
    </row>
    <row r="90" spans="1:8" x14ac:dyDescent="0.7">
      <c r="A90" s="527" t="s">
        <v>156</v>
      </c>
      <c r="B90" s="530" t="s">
        <v>151</v>
      </c>
      <c r="C90" s="527">
        <v>1</v>
      </c>
      <c r="D90" s="527" t="s">
        <v>169</v>
      </c>
      <c r="E90" s="527" t="s">
        <v>177</v>
      </c>
      <c r="F90" s="527" t="s">
        <v>168</v>
      </c>
      <c r="G90" s="527">
        <f t="shared" si="2"/>
        <v>2</v>
      </c>
      <c r="H90" s="558" t="str">
        <f t="shared" si="3"/>
        <v>ม.1</v>
      </c>
    </row>
    <row r="91" spans="1:8" x14ac:dyDescent="0.7">
      <c r="A91" s="527" t="s">
        <v>224</v>
      </c>
      <c r="B91" s="530" t="s">
        <v>225</v>
      </c>
      <c r="C91" s="527">
        <v>1</v>
      </c>
      <c r="D91" s="527" t="s">
        <v>169</v>
      </c>
      <c r="E91" s="527" t="s">
        <v>177</v>
      </c>
      <c r="F91" s="527" t="s">
        <v>168</v>
      </c>
      <c r="G91" s="527">
        <f t="shared" si="2"/>
        <v>2</v>
      </c>
      <c r="H91" s="558" t="str">
        <f t="shared" si="3"/>
        <v>ม.1</v>
      </c>
    </row>
    <row r="92" spans="1:8" x14ac:dyDescent="0.7">
      <c r="A92" s="527" t="s">
        <v>157</v>
      </c>
      <c r="B92" s="530" t="s">
        <v>152</v>
      </c>
      <c r="C92" s="527">
        <v>1</v>
      </c>
      <c r="D92" s="527" t="s">
        <v>169</v>
      </c>
      <c r="E92" s="527" t="s">
        <v>177</v>
      </c>
      <c r="F92" s="527" t="s">
        <v>168</v>
      </c>
      <c r="G92" s="527">
        <f t="shared" si="2"/>
        <v>2</v>
      </c>
      <c r="H92" s="558" t="str">
        <f t="shared" si="3"/>
        <v>ม.1</v>
      </c>
    </row>
    <row r="93" spans="1:8" x14ac:dyDescent="0.7">
      <c r="A93" s="527" t="s">
        <v>712</v>
      </c>
      <c r="B93" s="530" t="s">
        <v>713</v>
      </c>
      <c r="C93" s="527">
        <v>1</v>
      </c>
      <c r="D93" s="527" t="s">
        <v>169</v>
      </c>
      <c r="E93" s="527" t="s">
        <v>177</v>
      </c>
      <c r="F93" s="527" t="s">
        <v>168</v>
      </c>
      <c r="G93" s="527">
        <f t="shared" si="2"/>
        <v>2</v>
      </c>
      <c r="H93" s="558" t="str">
        <f t="shared" si="3"/>
        <v>ม.1</v>
      </c>
    </row>
    <row r="94" spans="1:8" x14ac:dyDescent="0.7">
      <c r="A94" s="527" t="s">
        <v>714</v>
      </c>
      <c r="B94" s="530" t="s">
        <v>715</v>
      </c>
      <c r="C94" s="527">
        <v>1</v>
      </c>
      <c r="D94" s="527" t="s">
        <v>169</v>
      </c>
      <c r="E94" s="527" t="s">
        <v>177</v>
      </c>
      <c r="F94" s="527" t="s">
        <v>168</v>
      </c>
      <c r="G94" s="527">
        <f t="shared" si="2"/>
        <v>2</v>
      </c>
      <c r="H94" s="558" t="str">
        <f t="shared" si="3"/>
        <v>ม.1</v>
      </c>
    </row>
    <row r="95" spans="1:8" x14ac:dyDescent="0.7">
      <c r="A95" s="527" t="s">
        <v>1142</v>
      </c>
      <c r="B95" s="530" t="s">
        <v>1143</v>
      </c>
      <c r="C95" s="527">
        <v>1</v>
      </c>
      <c r="D95" s="527" t="s">
        <v>169</v>
      </c>
      <c r="E95" s="527" t="s">
        <v>177</v>
      </c>
      <c r="F95" s="527" t="s">
        <v>168</v>
      </c>
      <c r="G95" s="527">
        <f t="shared" si="2"/>
        <v>2</v>
      </c>
      <c r="H95" s="558" t="str">
        <f t="shared" si="3"/>
        <v>ม.1</v>
      </c>
    </row>
    <row r="96" spans="1:8" x14ac:dyDescent="0.7">
      <c r="A96" s="527" t="s">
        <v>1144</v>
      </c>
      <c r="B96" s="530" t="s">
        <v>1145</v>
      </c>
      <c r="C96" s="527">
        <v>1</v>
      </c>
      <c r="D96" s="527" t="s">
        <v>169</v>
      </c>
      <c r="E96" s="527" t="s">
        <v>177</v>
      </c>
      <c r="F96" s="527" t="s">
        <v>168</v>
      </c>
      <c r="G96" s="527">
        <f t="shared" si="2"/>
        <v>2</v>
      </c>
      <c r="H96" s="558" t="str">
        <f t="shared" si="3"/>
        <v>ม.1</v>
      </c>
    </row>
    <row r="97" spans="1:8" x14ac:dyDescent="0.7">
      <c r="A97" s="527" t="s">
        <v>415</v>
      </c>
      <c r="B97" s="530" t="s">
        <v>416</v>
      </c>
      <c r="C97" s="527">
        <v>0.5</v>
      </c>
      <c r="D97" s="527" t="s">
        <v>273</v>
      </c>
      <c r="E97" s="527" t="s">
        <v>298</v>
      </c>
      <c r="F97" s="527"/>
      <c r="G97" s="527">
        <f t="shared" si="2"/>
        <v>1</v>
      </c>
      <c r="H97" s="558" t="str">
        <f t="shared" si="3"/>
        <v>ม.2</v>
      </c>
    </row>
    <row r="98" spans="1:8" x14ac:dyDescent="0.7">
      <c r="A98" s="527" t="s">
        <v>417</v>
      </c>
      <c r="B98" s="530" t="s">
        <v>418</v>
      </c>
      <c r="C98" s="527">
        <v>0.5</v>
      </c>
      <c r="D98" s="527" t="s">
        <v>273</v>
      </c>
      <c r="E98" s="527" t="s">
        <v>298</v>
      </c>
      <c r="F98" s="560"/>
      <c r="G98" s="527">
        <f t="shared" si="2"/>
        <v>1</v>
      </c>
      <c r="H98" s="558" t="str">
        <f t="shared" si="3"/>
        <v>ม.2</v>
      </c>
    </row>
    <row r="99" spans="1:8" x14ac:dyDescent="0.7">
      <c r="A99" s="527" t="s">
        <v>419</v>
      </c>
      <c r="B99" s="530" t="s">
        <v>420</v>
      </c>
      <c r="C99" s="527">
        <v>0.5</v>
      </c>
      <c r="D99" s="527" t="s">
        <v>273</v>
      </c>
      <c r="E99" s="527" t="s">
        <v>298</v>
      </c>
      <c r="F99" s="560"/>
      <c r="G99" s="527">
        <f t="shared" si="2"/>
        <v>1</v>
      </c>
      <c r="H99" s="558" t="str">
        <f t="shared" si="3"/>
        <v>ม.2</v>
      </c>
    </row>
    <row r="100" spans="1:8" x14ac:dyDescent="0.7">
      <c r="A100" s="527" t="s">
        <v>421</v>
      </c>
      <c r="B100" s="530" t="s">
        <v>422</v>
      </c>
      <c r="C100" s="527">
        <v>0.5</v>
      </c>
      <c r="D100" s="527" t="s">
        <v>273</v>
      </c>
      <c r="E100" s="527" t="s">
        <v>298</v>
      </c>
      <c r="F100" s="527"/>
      <c r="G100" s="527">
        <f t="shared" si="2"/>
        <v>1</v>
      </c>
      <c r="H100" s="558" t="str">
        <f t="shared" si="3"/>
        <v>ม.2</v>
      </c>
    </row>
    <row r="101" spans="1:8" x14ac:dyDescent="0.7">
      <c r="A101" s="527" t="s">
        <v>333</v>
      </c>
      <c r="B101" s="530" t="s">
        <v>334</v>
      </c>
      <c r="C101" s="527">
        <v>1</v>
      </c>
      <c r="D101" s="527" t="s">
        <v>169</v>
      </c>
      <c r="E101" s="527" t="s">
        <v>298</v>
      </c>
      <c r="F101" s="527"/>
      <c r="G101" s="527">
        <f t="shared" si="2"/>
        <v>2</v>
      </c>
      <c r="H101" s="558" t="str">
        <f t="shared" si="3"/>
        <v>ม.2</v>
      </c>
    </row>
    <row r="102" spans="1:8" x14ac:dyDescent="0.7">
      <c r="A102" s="527" t="s">
        <v>335</v>
      </c>
      <c r="B102" s="530" t="s">
        <v>336</v>
      </c>
      <c r="C102" s="527">
        <v>1</v>
      </c>
      <c r="D102" s="527" t="s">
        <v>169</v>
      </c>
      <c r="E102" s="527" t="s">
        <v>298</v>
      </c>
      <c r="F102" s="527" t="s">
        <v>168</v>
      </c>
      <c r="G102" s="527">
        <f t="shared" si="2"/>
        <v>2</v>
      </c>
      <c r="H102" s="558" t="str">
        <f t="shared" si="3"/>
        <v>ม.2</v>
      </c>
    </row>
    <row r="103" spans="1:8" x14ac:dyDescent="0.7">
      <c r="A103" s="527" t="s">
        <v>337</v>
      </c>
      <c r="B103" s="530" t="s">
        <v>338</v>
      </c>
      <c r="C103" s="527">
        <v>1</v>
      </c>
      <c r="D103" s="527" t="s">
        <v>169</v>
      </c>
      <c r="E103" s="527" t="s">
        <v>298</v>
      </c>
      <c r="F103" s="527" t="s">
        <v>168</v>
      </c>
      <c r="G103" s="527">
        <f t="shared" si="2"/>
        <v>2</v>
      </c>
      <c r="H103" s="558" t="str">
        <f t="shared" si="3"/>
        <v>ม.2</v>
      </c>
    </row>
    <row r="104" spans="1:8" x14ac:dyDescent="0.7">
      <c r="A104" s="527" t="s">
        <v>339</v>
      </c>
      <c r="B104" s="530" t="s">
        <v>340</v>
      </c>
      <c r="C104" s="527">
        <v>1</v>
      </c>
      <c r="D104" s="527" t="s">
        <v>169</v>
      </c>
      <c r="E104" s="527" t="s">
        <v>298</v>
      </c>
      <c r="F104" s="527" t="s">
        <v>168</v>
      </c>
      <c r="G104" s="527">
        <f t="shared" si="2"/>
        <v>2</v>
      </c>
      <c r="H104" s="558" t="str">
        <f t="shared" si="3"/>
        <v>ม.2</v>
      </c>
    </row>
    <row r="105" spans="1:8" x14ac:dyDescent="0.7">
      <c r="A105" s="527" t="s">
        <v>341</v>
      </c>
      <c r="B105" s="530" t="s">
        <v>342</v>
      </c>
      <c r="C105" s="527">
        <v>1</v>
      </c>
      <c r="D105" s="527" t="s">
        <v>169</v>
      </c>
      <c r="E105" s="527" t="s">
        <v>298</v>
      </c>
      <c r="F105" s="527" t="s">
        <v>168</v>
      </c>
      <c r="G105" s="527">
        <f t="shared" si="2"/>
        <v>2</v>
      </c>
      <c r="H105" s="558" t="str">
        <f t="shared" si="3"/>
        <v>ม.2</v>
      </c>
    </row>
    <row r="106" spans="1:8" x14ac:dyDescent="0.7">
      <c r="A106" s="527" t="s">
        <v>716</v>
      </c>
      <c r="B106" s="530" t="s">
        <v>717</v>
      </c>
      <c r="C106" s="527">
        <v>1</v>
      </c>
      <c r="D106" s="527" t="s">
        <v>169</v>
      </c>
      <c r="E106" s="527" t="s">
        <v>298</v>
      </c>
      <c r="F106" s="527" t="s">
        <v>168</v>
      </c>
      <c r="G106" s="527">
        <f t="shared" si="2"/>
        <v>2</v>
      </c>
      <c r="H106" s="558" t="str">
        <f t="shared" si="3"/>
        <v>ม.2</v>
      </c>
    </row>
    <row r="107" spans="1:8" x14ac:dyDescent="0.7">
      <c r="A107" s="527" t="s">
        <v>718</v>
      </c>
      <c r="B107" s="530" t="s">
        <v>719</v>
      </c>
      <c r="C107" s="527">
        <v>1</v>
      </c>
      <c r="D107" s="527" t="s">
        <v>169</v>
      </c>
      <c r="E107" s="527" t="s">
        <v>298</v>
      </c>
      <c r="F107" s="527" t="s">
        <v>168</v>
      </c>
      <c r="G107" s="527">
        <f t="shared" si="2"/>
        <v>2</v>
      </c>
      <c r="H107" s="558" t="str">
        <f t="shared" si="3"/>
        <v>ม.2</v>
      </c>
    </row>
    <row r="108" spans="1:8" x14ac:dyDescent="0.7">
      <c r="A108" s="527" t="s">
        <v>1146</v>
      </c>
      <c r="B108" s="530" t="s">
        <v>1147</v>
      </c>
      <c r="C108" s="527">
        <v>1</v>
      </c>
      <c r="D108" s="527" t="s">
        <v>169</v>
      </c>
      <c r="E108" s="527" t="s">
        <v>298</v>
      </c>
      <c r="F108" s="527" t="s">
        <v>168</v>
      </c>
      <c r="G108" s="527">
        <f t="shared" si="2"/>
        <v>2</v>
      </c>
      <c r="H108" s="558" t="str">
        <f t="shared" si="3"/>
        <v>ม.2</v>
      </c>
    </row>
    <row r="109" spans="1:8" x14ac:dyDescent="0.7">
      <c r="A109" s="527" t="s">
        <v>1148</v>
      </c>
      <c r="B109" s="530" t="s">
        <v>1149</v>
      </c>
      <c r="C109" s="527">
        <v>1</v>
      </c>
      <c r="D109" s="527" t="s">
        <v>169</v>
      </c>
      <c r="E109" s="527" t="s">
        <v>298</v>
      </c>
      <c r="F109" s="527" t="s">
        <v>168</v>
      </c>
      <c r="G109" s="527">
        <f t="shared" si="2"/>
        <v>2</v>
      </c>
      <c r="H109" s="558" t="str">
        <f t="shared" si="3"/>
        <v>ม.2</v>
      </c>
    </row>
    <row r="110" spans="1:8" x14ac:dyDescent="0.7">
      <c r="A110" s="527" t="s">
        <v>456</v>
      </c>
      <c r="B110" s="530" t="s">
        <v>457</v>
      </c>
      <c r="C110" s="527">
        <v>0.5</v>
      </c>
      <c r="D110" s="527" t="s">
        <v>273</v>
      </c>
      <c r="E110" s="527" t="s">
        <v>433</v>
      </c>
      <c r="F110" s="527"/>
      <c r="G110" s="527">
        <f t="shared" si="2"/>
        <v>1</v>
      </c>
      <c r="H110" s="558" t="str">
        <f t="shared" si="3"/>
        <v>ม.3</v>
      </c>
    </row>
    <row r="111" spans="1:8" x14ac:dyDescent="0.7">
      <c r="A111" s="527" t="s">
        <v>458</v>
      </c>
      <c r="B111" s="530" t="s">
        <v>459</v>
      </c>
      <c r="C111" s="527">
        <v>0.5</v>
      </c>
      <c r="D111" s="527" t="s">
        <v>273</v>
      </c>
      <c r="E111" s="527" t="s">
        <v>433</v>
      </c>
      <c r="F111" s="527"/>
      <c r="G111" s="527">
        <f t="shared" si="2"/>
        <v>1</v>
      </c>
      <c r="H111" s="558" t="str">
        <f t="shared" si="3"/>
        <v>ม.3</v>
      </c>
    </row>
    <row r="112" spans="1:8" x14ac:dyDescent="0.7">
      <c r="A112" s="527" t="s">
        <v>460</v>
      </c>
      <c r="B112" s="530" t="s">
        <v>461</v>
      </c>
      <c r="C112" s="527">
        <v>0.5</v>
      </c>
      <c r="D112" s="527" t="s">
        <v>273</v>
      </c>
      <c r="E112" s="527" t="s">
        <v>433</v>
      </c>
      <c r="F112" s="527"/>
      <c r="G112" s="527">
        <f t="shared" si="2"/>
        <v>1</v>
      </c>
      <c r="H112" s="558" t="str">
        <f t="shared" si="3"/>
        <v>ม.3</v>
      </c>
    </row>
    <row r="113" spans="1:8" x14ac:dyDescent="0.7">
      <c r="A113" s="527" t="s">
        <v>462</v>
      </c>
      <c r="B113" s="530" t="s">
        <v>463</v>
      </c>
      <c r="C113" s="527">
        <v>0.5</v>
      </c>
      <c r="D113" s="527" t="s">
        <v>273</v>
      </c>
      <c r="E113" s="527" t="s">
        <v>433</v>
      </c>
      <c r="F113" s="560"/>
      <c r="G113" s="527">
        <f t="shared" si="2"/>
        <v>1</v>
      </c>
      <c r="H113" s="558" t="str">
        <f t="shared" si="3"/>
        <v>ม.3</v>
      </c>
    </row>
    <row r="114" spans="1:8" x14ac:dyDescent="0.7">
      <c r="A114" s="527" t="s">
        <v>512</v>
      </c>
      <c r="B114" s="530" t="s">
        <v>513</v>
      </c>
      <c r="C114" s="527">
        <v>1</v>
      </c>
      <c r="D114" s="527" t="s">
        <v>169</v>
      </c>
      <c r="E114" s="527" t="s">
        <v>433</v>
      </c>
      <c r="F114" s="560"/>
      <c r="G114" s="527">
        <f t="shared" si="2"/>
        <v>2</v>
      </c>
      <c r="H114" s="558" t="str">
        <f t="shared" si="3"/>
        <v>ม.3</v>
      </c>
    </row>
    <row r="115" spans="1:8" x14ac:dyDescent="0.7">
      <c r="A115" s="527" t="s">
        <v>514</v>
      </c>
      <c r="B115" s="530" t="s">
        <v>515</v>
      </c>
      <c r="C115" s="527">
        <v>1</v>
      </c>
      <c r="D115" s="527" t="s">
        <v>169</v>
      </c>
      <c r="E115" s="527" t="s">
        <v>433</v>
      </c>
      <c r="F115" s="560" t="s">
        <v>168</v>
      </c>
      <c r="G115" s="527">
        <f t="shared" si="2"/>
        <v>2</v>
      </c>
      <c r="H115" s="558" t="str">
        <f t="shared" si="3"/>
        <v>ม.3</v>
      </c>
    </row>
    <row r="116" spans="1:8" x14ac:dyDescent="0.7">
      <c r="A116" s="527" t="s">
        <v>516</v>
      </c>
      <c r="B116" s="530" t="s">
        <v>517</v>
      </c>
      <c r="C116" s="527">
        <v>1</v>
      </c>
      <c r="D116" s="527" t="s">
        <v>169</v>
      </c>
      <c r="E116" s="527" t="s">
        <v>433</v>
      </c>
      <c r="F116" s="527" t="s">
        <v>168</v>
      </c>
      <c r="G116" s="527">
        <f t="shared" si="2"/>
        <v>2</v>
      </c>
      <c r="H116" s="558" t="str">
        <f t="shared" si="3"/>
        <v>ม.3</v>
      </c>
    </row>
    <row r="117" spans="1:8" x14ac:dyDescent="0.7">
      <c r="A117" s="527" t="s">
        <v>518</v>
      </c>
      <c r="B117" s="530" t="s">
        <v>519</v>
      </c>
      <c r="C117" s="527">
        <v>1</v>
      </c>
      <c r="D117" s="527" t="s">
        <v>169</v>
      </c>
      <c r="E117" s="527" t="s">
        <v>433</v>
      </c>
      <c r="F117" s="527" t="s">
        <v>168</v>
      </c>
      <c r="G117" s="527">
        <f t="shared" si="2"/>
        <v>2</v>
      </c>
      <c r="H117" s="558" t="str">
        <f t="shared" si="3"/>
        <v>ม.3</v>
      </c>
    </row>
    <row r="118" spans="1:8" x14ac:dyDescent="0.7">
      <c r="A118" s="527" t="s">
        <v>520</v>
      </c>
      <c r="B118" s="530" t="s">
        <v>521</v>
      </c>
      <c r="C118" s="527">
        <v>1</v>
      </c>
      <c r="D118" s="527" t="s">
        <v>169</v>
      </c>
      <c r="E118" s="527" t="s">
        <v>433</v>
      </c>
      <c r="F118" s="527" t="s">
        <v>168</v>
      </c>
      <c r="G118" s="527">
        <f t="shared" si="2"/>
        <v>2</v>
      </c>
      <c r="H118" s="558" t="str">
        <f t="shared" si="3"/>
        <v>ม.3</v>
      </c>
    </row>
    <row r="119" spans="1:8" x14ac:dyDescent="0.7">
      <c r="A119" s="527" t="s">
        <v>720</v>
      </c>
      <c r="B119" s="530" t="s">
        <v>721</v>
      </c>
      <c r="C119" s="527">
        <v>1</v>
      </c>
      <c r="D119" s="527" t="s">
        <v>169</v>
      </c>
      <c r="E119" s="527" t="s">
        <v>433</v>
      </c>
      <c r="F119" s="527" t="s">
        <v>168</v>
      </c>
      <c r="G119" s="527">
        <f t="shared" si="2"/>
        <v>2</v>
      </c>
      <c r="H119" s="558" t="str">
        <f t="shared" si="3"/>
        <v>ม.3</v>
      </c>
    </row>
    <row r="120" spans="1:8" x14ac:dyDescent="0.7">
      <c r="A120" s="527" t="s">
        <v>722</v>
      </c>
      <c r="B120" s="530" t="s">
        <v>723</v>
      </c>
      <c r="C120" s="527">
        <v>1</v>
      </c>
      <c r="D120" s="527" t="s">
        <v>169</v>
      </c>
      <c r="E120" s="527" t="s">
        <v>433</v>
      </c>
      <c r="F120" s="527" t="s">
        <v>168</v>
      </c>
      <c r="G120" s="527">
        <f t="shared" si="2"/>
        <v>2</v>
      </c>
      <c r="H120" s="558" t="str">
        <f t="shared" si="3"/>
        <v>ม.3</v>
      </c>
    </row>
    <row r="121" spans="1:8" x14ac:dyDescent="0.7">
      <c r="A121" s="527" t="s">
        <v>1150</v>
      </c>
      <c r="B121" s="530" t="s">
        <v>1151</v>
      </c>
      <c r="C121" s="527">
        <v>1</v>
      </c>
      <c r="D121" s="527" t="s">
        <v>169</v>
      </c>
      <c r="E121" s="527" t="s">
        <v>433</v>
      </c>
      <c r="F121" s="527" t="s">
        <v>168</v>
      </c>
      <c r="G121" s="527">
        <f t="shared" si="2"/>
        <v>2</v>
      </c>
      <c r="H121" s="558" t="str">
        <f t="shared" si="3"/>
        <v>ม.3</v>
      </c>
    </row>
    <row r="122" spans="1:8" x14ac:dyDescent="0.7">
      <c r="A122" s="527" t="s">
        <v>1152</v>
      </c>
      <c r="B122" s="530" t="s">
        <v>1153</v>
      </c>
      <c r="C122" s="527">
        <v>1</v>
      </c>
      <c r="D122" s="527" t="s">
        <v>169</v>
      </c>
      <c r="E122" s="527" t="s">
        <v>433</v>
      </c>
      <c r="F122" s="527" t="s">
        <v>168</v>
      </c>
      <c r="G122" s="527">
        <f t="shared" si="2"/>
        <v>2</v>
      </c>
      <c r="H122" s="558" t="str">
        <f t="shared" si="3"/>
        <v>ม.3</v>
      </c>
    </row>
    <row r="123" spans="1:8" x14ac:dyDescent="0.7">
      <c r="A123" s="527" t="s">
        <v>276</v>
      </c>
      <c r="B123" s="530" t="s">
        <v>277</v>
      </c>
      <c r="C123" s="527">
        <v>1.5</v>
      </c>
      <c r="D123" s="527" t="s">
        <v>273</v>
      </c>
      <c r="E123" s="527" t="s">
        <v>177</v>
      </c>
      <c r="F123" s="527"/>
      <c r="G123" s="527">
        <f t="shared" si="2"/>
        <v>3</v>
      </c>
      <c r="H123" s="558" t="str">
        <f t="shared" si="3"/>
        <v>ม.1</v>
      </c>
    </row>
    <row r="124" spans="1:8" x14ac:dyDescent="0.7">
      <c r="A124" s="527" t="s">
        <v>278</v>
      </c>
      <c r="B124" s="530" t="s">
        <v>279</v>
      </c>
      <c r="C124" s="527">
        <v>0.5</v>
      </c>
      <c r="D124" s="527" t="s">
        <v>273</v>
      </c>
      <c r="E124" s="527" t="s">
        <v>177</v>
      </c>
      <c r="F124" s="527"/>
      <c r="G124" s="527">
        <f t="shared" si="2"/>
        <v>1</v>
      </c>
      <c r="H124" s="558" t="str">
        <f t="shared" si="3"/>
        <v>ม.1</v>
      </c>
    </row>
    <row r="125" spans="1:8" x14ac:dyDescent="0.7">
      <c r="A125" s="527" t="s">
        <v>129</v>
      </c>
      <c r="B125" s="530" t="s">
        <v>130</v>
      </c>
      <c r="C125" s="527">
        <v>1.5</v>
      </c>
      <c r="D125" s="527" t="s">
        <v>273</v>
      </c>
      <c r="E125" s="527" t="s">
        <v>177</v>
      </c>
      <c r="F125" s="527"/>
      <c r="G125" s="527">
        <f t="shared" si="2"/>
        <v>3</v>
      </c>
      <c r="H125" s="558" t="str">
        <f t="shared" si="3"/>
        <v>ม.1</v>
      </c>
    </row>
    <row r="126" spans="1:8" x14ac:dyDescent="0.7">
      <c r="A126" s="527" t="s">
        <v>131</v>
      </c>
      <c r="B126" s="530" t="s">
        <v>132</v>
      </c>
      <c r="C126" s="527">
        <v>0.5</v>
      </c>
      <c r="D126" s="527" t="s">
        <v>273</v>
      </c>
      <c r="E126" s="527" t="s">
        <v>177</v>
      </c>
      <c r="F126" s="527"/>
      <c r="G126" s="527">
        <f t="shared" si="2"/>
        <v>1</v>
      </c>
      <c r="H126" s="558" t="str">
        <f t="shared" si="3"/>
        <v>ม.1</v>
      </c>
    </row>
    <row r="127" spans="1:8" x14ac:dyDescent="0.7">
      <c r="A127" s="527" t="s">
        <v>196</v>
      </c>
      <c r="B127" s="530" t="s">
        <v>197</v>
      </c>
      <c r="C127" s="527">
        <v>1</v>
      </c>
      <c r="D127" s="527" t="s">
        <v>169</v>
      </c>
      <c r="E127" s="527" t="s">
        <v>177</v>
      </c>
      <c r="F127" s="527"/>
      <c r="G127" s="527">
        <f t="shared" si="2"/>
        <v>2</v>
      </c>
      <c r="H127" s="558" t="str">
        <f t="shared" si="3"/>
        <v>ม.1</v>
      </c>
    </row>
    <row r="128" spans="1:8" x14ac:dyDescent="0.7">
      <c r="A128" s="527" t="s">
        <v>198</v>
      </c>
      <c r="B128" s="530" t="s">
        <v>199</v>
      </c>
      <c r="C128" s="527">
        <v>1</v>
      </c>
      <c r="D128" s="527" t="s">
        <v>169</v>
      </c>
      <c r="E128" s="527" t="s">
        <v>177</v>
      </c>
      <c r="F128" s="527"/>
      <c r="G128" s="527">
        <f t="shared" si="2"/>
        <v>2</v>
      </c>
      <c r="H128" s="558" t="str">
        <f t="shared" si="3"/>
        <v>ม.1</v>
      </c>
    </row>
    <row r="129" spans="1:8" x14ac:dyDescent="0.7">
      <c r="A129" s="527" t="s">
        <v>200</v>
      </c>
      <c r="B129" s="530" t="s">
        <v>201</v>
      </c>
      <c r="C129" s="527">
        <v>1</v>
      </c>
      <c r="D129" s="527" t="s">
        <v>169</v>
      </c>
      <c r="E129" s="527" t="s">
        <v>177</v>
      </c>
      <c r="F129" s="527"/>
      <c r="G129" s="527">
        <f t="shared" si="2"/>
        <v>2</v>
      </c>
      <c r="H129" s="558" t="str">
        <f t="shared" si="3"/>
        <v>ม.1</v>
      </c>
    </row>
    <row r="130" spans="1:8" x14ac:dyDescent="0.7">
      <c r="A130" s="527" t="s">
        <v>202</v>
      </c>
      <c r="B130" s="530" t="s">
        <v>203</v>
      </c>
      <c r="C130" s="527">
        <v>1</v>
      </c>
      <c r="D130" s="527" t="s">
        <v>169</v>
      </c>
      <c r="E130" s="527" t="s">
        <v>177</v>
      </c>
      <c r="F130" s="527"/>
      <c r="G130" s="527">
        <f t="shared" si="2"/>
        <v>2</v>
      </c>
      <c r="H130" s="558" t="str">
        <f t="shared" si="3"/>
        <v>ม.1</v>
      </c>
    </row>
    <row r="131" spans="1:8" x14ac:dyDescent="0.7">
      <c r="A131" s="527" t="s">
        <v>204</v>
      </c>
      <c r="B131" s="530" t="s">
        <v>205</v>
      </c>
      <c r="C131" s="527">
        <v>1</v>
      </c>
      <c r="D131" s="527" t="s">
        <v>169</v>
      </c>
      <c r="E131" s="527" t="s">
        <v>177</v>
      </c>
      <c r="F131" s="527" t="s">
        <v>168</v>
      </c>
      <c r="G131" s="527">
        <f t="shared" si="2"/>
        <v>2</v>
      </c>
      <c r="H131" s="558" t="str">
        <f t="shared" si="3"/>
        <v>ม.1</v>
      </c>
    </row>
    <row r="132" spans="1:8" x14ac:dyDescent="0.7">
      <c r="A132" s="527" t="s">
        <v>206</v>
      </c>
      <c r="B132" s="530" t="s">
        <v>207</v>
      </c>
      <c r="C132" s="527">
        <v>1</v>
      </c>
      <c r="D132" s="527" t="s">
        <v>169</v>
      </c>
      <c r="E132" s="527" t="s">
        <v>177</v>
      </c>
      <c r="F132" s="527" t="s">
        <v>168</v>
      </c>
      <c r="G132" s="527">
        <f t="shared" si="2"/>
        <v>2</v>
      </c>
      <c r="H132" s="558" t="str">
        <f t="shared" si="3"/>
        <v>ม.1</v>
      </c>
    </row>
    <row r="133" spans="1:8" x14ac:dyDescent="0.7">
      <c r="A133" s="527" t="s">
        <v>208</v>
      </c>
      <c r="B133" s="530" t="s">
        <v>209</v>
      </c>
      <c r="C133" s="527">
        <v>0.5</v>
      </c>
      <c r="D133" s="527" t="s">
        <v>169</v>
      </c>
      <c r="E133" s="527" t="s">
        <v>177</v>
      </c>
      <c r="F133" s="527"/>
      <c r="G133" s="527">
        <f t="shared" si="2"/>
        <v>1</v>
      </c>
      <c r="H133" s="558" t="str">
        <f t="shared" si="3"/>
        <v>ม.1</v>
      </c>
    </row>
    <row r="134" spans="1:8" x14ac:dyDescent="0.7">
      <c r="A134" s="527" t="s">
        <v>210</v>
      </c>
      <c r="B134" s="530" t="s">
        <v>211</v>
      </c>
      <c r="C134" s="527">
        <v>0.5</v>
      </c>
      <c r="D134" s="527" t="s">
        <v>169</v>
      </c>
      <c r="E134" s="527" t="s">
        <v>177</v>
      </c>
      <c r="F134" s="527"/>
      <c r="G134" s="527">
        <f t="shared" si="2"/>
        <v>1</v>
      </c>
      <c r="H134" s="558" t="str">
        <f t="shared" si="3"/>
        <v>ม.1</v>
      </c>
    </row>
    <row r="135" spans="1:8" x14ac:dyDescent="0.7">
      <c r="A135" s="527" t="s">
        <v>724</v>
      </c>
      <c r="B135" s="530" t="s">
        <v>725</v>
      </c>
      <c r="C135" s="527">
        <v>0.5</v>
      </c>
      <c r="D135" s="527" t="s">
        <v>169</v>
      </c>
      <c r="E135" s="527" t="s">
        <v>177</v>
      </c>
      <c r="F135" s="527"/>
      <c r="G135" s="527">
        <f t="shared" si="2"/>
        <v>1</v>
      </c>
      <c r="H135" s="558" t="str">
        <f t="shared" si="3"/>
        <v>ม.1</v>
      </c>
    </row>
    <row r="136" spans="1:8" x14ac:dyDescent="0.7">
      <c r="A136" s="527" t="s">
        <v>726</v>
      </c>
      <c r="B136" s="530" t="s">
        <v>727</v>
      </c>
      <c r="C136" s="527">
        <v>0.5</v>
      </c>
      <c r="D136" s="527" t="s">
        <v>169</v>
      </c>
      <c r="E136" s="527" t="s">
        <v>177</v>
      </c>
      <c r="F136" s="527"/>
      <c r="G136" s="527">
        <f t="shared" si="2"/>
        <v>1</v>
      </c>
      <c r="H136" s="558" t="str">
        <f t="shared" si="3"/>
        <v>ม.1</v>
      </c>
    </row>
    <row r="137" spans="1:8" x14ac:dyDescent="0.7">
      <c r="A137" s="527" t="s">
        <v>728</v>
      </c>
      <c r="B137" s="530" t="s">
        <v>729</v>
      </c>
      <c r="C137" s="527">
        <v>1</v>
      </c>
      <c r="D137" s="527" t="s">
        <v>169</v>
      </c>
      <c r="E137" s="527" t="s">
        <v>177</v>
      </c>
      <c r="F137" s="560"/>
      <c r="G137" s="527">
        <f t="shared" si="2"/>
        <v>2</v>
      </c>
      <c r="H137" s="558" t="str">
        <f t="shared" si="3"/>
        <v>ม.1</v>
      </c>
    </row>
    <row r="138" spans="1:8" x14ac:dyDescent="0.7">
      <c r="A138" s="527" t="s">
        <v>730</v>
      </c>
      <c r="B138" s="530" t="s">
        <v>731</v>
      </c>
      <c r="C138" s="527">
        <v>1</v>
      </c>
      <c r="D138" s="527" t="s">
        <v>169</v>
      </c>
      <c r="E138" s="527" t="s">
        <v>177</v>
      </c>
      <c r="F138" s="560"/>
      <c r="G138" s="527">
        <f t="shared" ref="G138:G201" si="4">C138*2</f>
        <v>2</v>
      </c>
      <c r="H138" s="558" t="str">
        <f t="shared" ref="H138:H201" si="5">IF(E138="-","-",IF(E138="มัธยมศึกษาปีที่ 1","ม.1",IF(E138="มัธยมศึกษาปีที่ 2","ม.2",IF(E138="มัธยมศึกษาปีที่ 3","ม.3",IF(E138="มัธยมศึกษาปีที่ 4","ม.4",IF(E138="มัธยมศึกษาปีที่ 5","ม.5",IF(E138="มัธยมศึกษาปีที่ 6","ม.6",IF(E138="มัธยมศึกษาปีที่ 1-3","ม.1-3",E138))))))))</f>
        <v>ม.1</v>
      </c>
    </row>
    <row r="139" spans="1:8" x14ac:dyDescent="0.7">
      <c r="A139" s="527" t="s">
        <v>399</v>
      </c>
      <c r="B139" s="530" t="s">
        <v>400</v>
      </c>
      <c r="C139" s="527">
        <v>1.5</v>
      </c>
      <c r="D139" s="527" t="s">
        <v>273</v>
      </c>
      <c r="E139" s="527" t="s">
        <v>298</v>
      </c>
      <c r="F139" s="527"/>
      <c r="G139" s="527">
        <f t="shared" si="4"/>
        <v>3</v>
      </c>
      <c r="H139" s="558" t="str">
        <f t="shared" si="5"/>
        <v>ม.2</v>
      </c>
    </row>
    <row r="140" spans="1:8" x14ac:dyDescent="0.7">
      <c r="A140" s="527" t="s">
        <v>401</v>
      </c>
      <c r="B140" s="530" t="s">
        <v>402</v>
      </c>
      <c r="C140" s="527">
        <v>0.5</v>
      </c>
      <c r="D140" s="527" t="s">
        <v>273</v>
      </c>
      <c r="E140" s="527" t="s">
        <v>298</v>
      </c>
      <c r="F140" s="527"/>
      <c r="G140" s="527">
        <f t="shared" si="4"/>
        <v>1</v>
      </c>
      <c r="H140" s="558" t="str">
        <f t="shared" si="5"/>
        <v>ม.2</v>
      </c>
    </row>
    <row r="141" spans="1:8" x14ac:dyDescent="0.7">
      <c r="A141" s="527" t="s">
        <v>403</v>
      </c>
      <c r="B141" s="530" t="s">
        <v>404</v>
      </c>
      <c r="C141" s="527">
        <v>1.5</v>
      </c>
      <c r="D141" s="527" t="s">
        <v>273</v>
      </c>
      <c r="E141" s="527" t="s">
        <v>298</v>
      </c>
      <c r="F141" s="527"/>
      <c r="G141" s="527">
        <f t="shared" si="4"/>
        <v>3</v>
      </c>
      <c r="H141" s="558" t="str">
        <f t="shared" si="5"/>
        <v>ม.2</v>
      </c>
    </row>
    <row r="142" spans="1:8" x14ac:dyDescent="0.7">
      <c r="A142" s="527" t="s">
        <v>405</v>
      </c>
      <c r="B142" s="530" t="s">
        <v>406</v>
      </c>
      <c r="C142" s="527">
        <v>0.5</v>
      </c>
      <c r="D142" s="527" t="s">
        <v>273</v>
      </c>
      <c r="E142" s="527" t="s">
        <v>298</v>
      </c>
      <c r="F142" s="527"/>
      <c r="G142" s="527">
        <f t="shared" si="4"/>
        <v>1</v>
      </c>
      <c r="H142" s="558" t="str">
        <f t="shared" si="5"/>
        <v>ม.2</v>
      </c>
    </row>
    <row r="143" spans="1:8" x14ac:dyDescent="0.7">
      <c r="A143" s="527" t="s">
        <v>305</v>
      </c>
      <c r="B143" s="530" t="s">
        <v>306</v>
      </c>
      <c r="C143" s="527">
        <v>1</v>
      </c>
      <c r="D143" s="527" t="s">
        <v>169</v>
      </c>
      <c r="E143" s="527" t="s">
        <v>298</v>
      </c>
      <c r="F143" s="527"/>
      <c r="G143" s="527">
        <f t="shared" si="4"/>
        <v>2</v>
      </c>
      <c r="H143" s="558" t="str">
        <f t="shared" si="5"/>
        <v>ม.2</v>
      </c>
    </row>
    <row r="144" spans="1:8" x14ac:dyDescent="0.7">
      <c r="A144" s="527" t="s">
        <v>307</v>
      </c>
      <c r="B144" s="530" t="s">
        <v>308</v>
      </c>
      <c r="C144" s="527">
        <v>1</v>
      </c>
      <c r="D144" s="527" t="s">
        <v>169</v>
      </c>
      <c r="E144" s="527" t="s">
        <v>298</v>
      </c>
      <c r="F144" s="527"/>
      <c r="G144" s="527">
        <f t="shared" si="4"/>
        <v>2</v>
      </c>
      <c r="H144" s="558" t="str">
        <f t="shared" si="5"/>
        <v>ม.2</v>
      </c>
    </row>
    <row r="145" spans="1:8" x14ac:dyDescent="0.7">
      <c r="A145" s="527" t="s">
        <v>309</v>
      </c>
      <c r="B145" s="530" t="s">
        <v>310</v>
      </c>
      <c r="C145" s="527">
        <v>1</v>
      </c>
      <c r="D145" s="527" t="s">
        <v>169</v>
      </c>
      <c r="E145" s="527" t="s">
        <v>298</v>
      </c>
      <c r="F145" s="527"/>
      <c r="G145" s="527">
        <f t="shared" si="4"/>
        <v>2</v>
      </c>
      <c r="H145" s="558" t="str">
        <f t="shared" si="5"/>
        <v>ม.2</v>
      </c>
    </row>
    <row r="146" spans="1:8" x14ac:dyDescent="0.7">
      <c r="A146" s="527" t="s">
        <v>311</v>
      </c>
      <c r="B146" s="530" t="s">
        <v>312</v>
      </c>
      <c r="C146" s="527">
        <v>1</v>
      </c>
      <c r="D146" s="527" t="s">
        <v>169</v>
      </c>
      <c r="E146" s="527" t="s">
        <v>298</v>
      </c>
      <c r="F146" s="527"/>
      <c r="G146" s="527">
        <f t="shared" si="4"/>
        <v>2</v>
      </c>
      <c r="H146" s="558" t="str">
        <f t="shared" si="5"/>
        <v>ม.2</v>
      </c>
    </row>
    <row r="147" spans="1:8" x14ac:dyDescent="0.7">
      <c r="A147" s="527" t="s">
        <v>313</v>
      </c>
      <c r="B147" s="530" t="s">
        <v>314</v>
      </c>
      <c r="C147" s="527">
        <v>1</v>
      </c>
      <c r="D147" s="527" t="s">
        <v>169</v>
      </c>
      <c r="E147" s="527" t="s">
        <v>298</v>
      </c>
      <c r="F147" s="527" t="s">
        <v>168</v>
      </c>
      <c r="G147" s="527">
        <f t="shared" si="4"/>
        <v>2</v>
      </c>
      <c r="H147" s="558" t="str">
        <f t="shared" si="5"/>
        <v>ม.2</v>
      </c>
    </row>
    <row r="148" spans="1:8" x14ac:dyDescent="0.7">
      <c r="A148" s="527" t="s">
        <v>315</v>
      </c>
      <c r="B148" s="530" t="s">
        <v>316</v>
      </c>
      <c r="C148" s="527">
        <v>1</v>
      </c>
      <c r="D148" s="527" t="s">
        <v>169</v>
      </c>
      <c r="E148" s="527" t="s">
        <v>298</v>
      </c>
      <c r="F148" s="527" t="s">
        <v>168</v>
      </c>
      <c r="G148" s="527">
        <f t="shared" si="4"/>
        <v>2</v>
      </c>
      <c r="H148" s="558" t="str">
        <f t="shared" si="5"/>
        <v>ม.2</v>
      </c>
    </row>
    <row r="149" spans="1:8" x14ac:dyDescent="0.7">
      <c r="A149" s="527" t="s">
        <v>317</v>
      </c>
      <c r="B149" s="530" t="s">
        <v>318</v>
      </c>
      <c r="C149" s="527">
        <v>0.5</v>
      </c>
      <c r="D149" s="527" t="s">
        <v>169</v>
      </c>
      <c r="E149" s="527" t="s">
        <v>298</v>
      </c>
      <c r="F149" s="527"/>
      <c r="G149" s="527">
        <f t="shared" si="4"/>
        <v>1</v>
      </c>
      <c r="H149" s="558" t="str">
        <f t="shared" si="5"/>
        <v>ม.2</v>
      </c>
    </row>
    <row r="150" spans="1:8" x14ac:dyDescent="0.7">
      <c r="A150" s="527" t="s">
        <v>319</v>
      </c>
      <c r="B150" s="530" t="s">
        <v>320</v>
      </c>
      <c r="C150" s="527">
        <v>0.5</v>
      </c>
      <c r="D150" s="527" t="s">
        <v>169</v>
      </c>
      <c r="E150" s="527" t="s">
        <v>298</v>
      </c>
      <c r="F150" s="527"/>
      <c r="G150" s="527">
        <f t="shared" si="4"/>
        <v>1</v>
      </c>
      <c r="H150" s="558" t="str">
        <f t="shared" si="5"/>
        <v>ม.2</v>
      </c>
    </row>
    <row r="151" spans="1:8" x14ac:dyDescent="0.7">
      <c r="A151" s="527" t="s">
        <v>732</v>
      </c>
      <c r="B151" s="530" t="s">
        <v>733</v>
      </c>
      <c r="C151" s="527">
        <v>0.5</v>
      </c>
      <c r="D151" s="527" t="s">
        <v>169</v>
      </c>
      <c r="E151" s="527" t="s">
        <v>298</v>
      </c>
      <c r="F151" s="527"/>
      <c r="G151" s="527">
        <f t="shared" si="4"/>
        <v>1</v>
      </c>
      <c r="H151" s="558" t="str">
        <f t="shared" si="5"/>
        <v>ม.2</v>
      </c>
    </row>
    <row r="152" spans="1:8" x14ac:dyDescent="0.7">
      <c r="A152" s="527" t="s">
        <v>734</v>
      </c>
      <c r="B152" s="530" t="s">
        <v>735</v>
      </c>
      <c r="C152" s="527">
        <v>0.5</v>
      </c>
      <c r="D152" s="527" t="s">
        <v>169</v>
      </c>
      <c r="E152" s="527" t="s">
        <v>298</v>
      </c>
      <c r="F152" s="527"/>
      <c r="G152" s="527">
        <f t="shared" si="4"/>
        <v>1</v>
      </c>
      <c r="H152" s="558" t="str">
        <f t="shared" si="5"/>
        <v>ม.2</v>
      </c>
    </row>
    <row r="153" spans="1:8" x14ac:dyDescent="0.7">
      <c r="A153" s="527" t="s">
        <v>736</v>
      </c>
      <c r="B153" s="530" t="s">
        <v>737</v>
      </c>
      <c r="C153" s="527">
        <v>1</v>
      </c>
      <c r="D153" s="527" t="s">
        <v>169</v>
      </c>
      <c r="E153" s="527" t="s">
        <v>298</v>
      </c>
      <c r="F153" s="527"/>
      <c r="G153" s="527">
        <f t="shared" si="4"/>
        <v>2</v>
      </c>
      <c r="H153" s="558" t="str">
        <f t="shared" si="5"/>
        <v>ม.2</v>
      </c>
    </row>
    <row r="154" spans="1:8" x14ac:dyDescent="0.7">
      <c r="A154" s="527" t="s">
        <v>738</v>
      </c>
      <c r="B154" s="530" t="s">
        <v>739</v>
      </c>
      <c r="C154" s="527">
        <v>1</v>
      </c>
      <c r="D154" s="527" t="s">
        <v>169</v>
      </c>
      <c r="E154" s="527" t="s">
        <v>298</v>
      </c>
      <c r="F154" s="527"/>
      <c r="G154" s="527">
        <f t="shared" si="4"/>
        <v>2</v>
      </c>
      <c r="H154" s="558" t="str">
        <f t="shared" si="5"/>
        <v>ม.2</v>
      </c>
    </row>
    <row r="155" spans="1:8" x14ac:dyDescent="0.7">
      <c r="A155" s="527" t="s">
        <v>440</v>
      </c>
      <c r="B155" s="530" t="s">
        <v>441</v>
      </c>
      <c r="C155" s="527">
        <v>1.5</v>
      </c>
      <c r="D155" s="527" t="s">
        <v>273</v>
      </c>
      <c r="E155" s="527" t="s">
        <v>433</v>
      </c>
      <c r="F155" s="527"/>
      <c r="G155" s="527">
        <f t="shared" si="4"/>
        <v>3</v>
      </c>
      <c r="H155" s="558" t="str">
        <f t="shared" si="5"/>
        <v>ม.3</v>
      </c>
    </row>
    <row r="156" spans="1:8" x14ac:dyDescent="0.7">
      <c r="A156" s="527" t="s">
        <v>442</v>
      </c>
      <c r="B156" s="530" t="s">
        <v>443</v>
      </c>
      <c r="C156" s="527">
        <v>0.5</v>
      </c>
      <c r="D156" s="527" t="s">
        <v>273</v>
      </c>
      <c r="E156" s="527" t="s">
        <v>433</v>
      </c>
      <c r="F156" s="527"/>
      <c r="G156" s="527">
        <f t="shared" si="4"/>
        <v>1</v>
      </c>
      <c r="H156" s="558" t="str">
        <f t="shared" si="5"/>
        <v>ม.3</v>
      </c>
    </row>
    <row r="157" spans="1:8" x14ac:dyDescent="0.7">
      <c r="A157" s="527" t="s">
        <v>444</v>
      </c>
      <c r="B157" s="530" t="s">
        <v>445</v>
      </c>
      <c r="C157" s="527">
        <v>1.5</v>
      </c>
      <c r="D157" s="527" t="s">
        <v>273</v>
      </c>
      <c r="E157" s="527" t="s">
        <v>433</v>
      </c>
      <c r="F157" s="527"/>
      <c r="G157" s="527">
        <f t="shared" si="4"/>
        <v>3</v>
      </c>
      <c r="H157" s="558" t="str">
        <f t="shared" si="5"/>
        <v>ม.3</v>
      </c>
    </row>
    <row r="158" spans="1:8" x14ac:dyDescent="0.7">
      <c r="A158" s="527" t="s">
        <v>446</v>
      </c>
      <c r="B158" s="530" t="s">
        <v>447</v>
      </c>
      <c r="C158" s="527">
        <v>0.5</v>
      </c>
      <c r="D158" s="527" t="s">
        <v>273</v>
      </c>
      <c r="E158" s="527" t="s">
        <v>433</v>
      </c>
      <c r="F158" s="527"/>
      <c r="G158" s="527">
        <f t="shared" si="4"/>
        <v>1</v>
      </c>
      <c r="H158" s="558" t="str">
        <f t="shared" si="5"/>
        <v>ม.3</v>
      </c>
    </row>
    <row r="159" spans="1:8" x14ac:dyDescent="0.7">
      <c r="A159" s="527" t="s">
        <v>488</v>
      </c>
      <c r="B159" s="530" t="s">
        <v>489</v>
      </c>
      <c r="C159" s="527">
        <v>1</v>
      </c>
      <c r="D159" s="527" t="s">
        <v>169</v>
      </c>
      <c r="E159" s="527" t="s">
        <v>433</v>
      </c>
      <c r="F159" s="527"/>
      <c r="G159" s="527">
        <f t="shared" si="4"/>
        <v>2</v>
      </c>
      <c r="H159" s="558" t="str">
        <f t="shared" si="5"/>
        <v>ม.3</v>
      </c>
    </row>
    <row r="160" spans="1:8" x14ac:dyDescent="0.7">
      <c r="A160" s="527" t="s">
        <v>490</v>
      </c>
      <c r="B160" s="530" t="s">
        <v>491</v>
      </c>
      <c r="C160" s="527">
        <v>1</v>
      </c>
      <c r="D160" s="527" t="s">
        <v>169</v>
      </c>
      <c r="E160" s="527" t="s">
        <v>433</v>
      </c>
      <c r="F160" s="527"/>
      <c r="G160" s="527">
        <f t="shared" si="4"/>
        <v>2</v>
      </c>
      <c r="H160" s="558" t="str">
        <f t="shared" si="5"/>
        <v>ม.3</v>
      </c>
    </row>
    <row r="161" spans="1:8" x14ac:dyDescent="0.7">
      <c r="A161" s="527" t="s">
        <v>492</v>
      </c>
      <c r="B161" s="530" t="s">
        <v>493</v>
      </c>
      <c r="C161" s="527">
        <v>0.5</v>
      </c>
      <c r="D161" s="527" t="s">
        <v>169</v>
      </c>
      <c r="E161" s="527" t="s">
        <v>433</v>
      </c>
      <c r="F161" s="527"/>
      <c r="G161" s="527">
        <f t="shared" si="4"/>
        <v>1</v>
      </c>
      <c r="H161" s="558" t="str">
        <f t="shared" si="5"/>
        <v>ม.3</v>
      </c>
    </row>
    <row r="162" spans="1:8" x14ac:dyDescent="0.7">
      <c r="A162" s="527" t="s">
        <v>494</v>
      </c>
      <c r="B162" s="530" t="s">
        <v>495</v>
      </c>
      <c r="C162" s="527">
        <v>0.5</v>
      </c>
      <c r="D162" s="527" t="s">
        <v>169</v>
      </c>
      <c r="E162" s="527" t="s">
        <v>433</v>
      </c>
      <c r="F162" s="527"/>
      <c r="G162" s="527">
        <f t="shared" si="4"/>
        <v>1</v>
      </c>
      <c r="H162" s="558" t="str">
        <f t="shared" si="5"/>
        <v>ม.3</v>
      </c>
    </row>
    <row r="163" spans="1:8" x14ac:dyDescent="0.7">
      <c r="A163" s="527" t="s">
        <v>496</v>
      </c>
      <c r="B163" s="530" t="s">
        <v>497</v>
      </c>
      <c r="C163" s="527">
        <v>1</v>
      </c>
      <c r="D163" s="527" t="s">
        <v>169</v>
      </c>
      <c r="E163" s="527" t="s">
        <v>433</v>
      </c>
      <c r="F163" s="527" t="s">
        <v>168</v>
      </c>
      <c r="G163" s="527">
        <f t="shared" si="4"/>
        <v>2</v>
      </c>
      <c r="H163" s="558" t="str">
        <f t="shared" si="5"/>
        <v>ม.3</v>
      </c>
    </row>
    <row r="164" spans="1:8" x14ac:dyDescent="0.7">
      <c r="A164" s="527" t="s">
        <v>498</v>
      </c>
      <c r="B164" s="530" t="s">
        <v>499</v>
      </c>
      <c r="C164" s="527">
        <v>1</v>
      </c>
      <c r="D164" s="527" t="s">
        <v>169</v>
      </c>
      <c r="E164" s="527" t="s">
        <v>433</v>
      </c>
      <c r="F164" s="527" t="s">
        <v>168</v>
      </c>
      <c r="G164" s="527">
        <f t="shared" si="4"/>
        <v>2</v>
      </c>
      <c r="H164" s="558" t="str">
        <f t="shared" si="5"/>
        <v>ม.3</v>
      </c>
    </row>
    <row r="165" spans="1:8" x14ac:dyDescent="0.7">
      <c r="A165" s="527" t="s">
        <v>630</v>
      </c>
      <c r="B165" s="530" t="s">
        <v>631</v>
      </c>
      <c r="C165" s="527">
        <v>1</v>
      </c>
      <c r="D165" s="527" t="s">
        <v>169</v>
      </c>
      <c r="E165" s="527" t="s">
        <v>433</v>
      </c>
      <c r="F165" s="527"/>
      <c r="G165" s="527">
        <f t="shared" si="4"/>
        <v>2</v>
      </c>
      <c r="H165" s="558" t="str">
        <f t="shared" si="5"/>
        <v>ม.3</v>
      </c>
    </row>
    <row r="166" spans="1:8" x14ac:dyDescent="0.7">
      <c r="A166" s="527" t="s">
        <v>632</v>
      </c>
      <c r="B166" s="530" t="s">
        <v>633</v>
      </c>
      <c r="C166" s="527">
        <v>1</v>
      </c>
      <c r="D166" s="527" t="s">
        <v>169</v>
      </c>
      <c r="E166" s="527" t="s">
        <v>433</v>
      </c>
      <c r="F166" s="527"/>
      <c r="G166" s="527">
        <f t="shared" si="4"/>
        <v>2</v>
      </c>
      <c r="H166" s="558" t="str">
        <f t="shared" si="5"/>
        <v>ม.3</v>
      </c>
    </row>
    <row r="167" spans="1:8" x14ac:dyDescent="0.7">
      <c r="A167" s="527" t="s">
        <v>740</v>
      </c>
      <c r="B167" s="530" t="s">
        <v>741</v>
      </c>
      <c r="C167" s="527">
        <v>0.5</v>
      </c>
      <c r="D167" s="527" t="s">
        <v>169</v>
      </c>
      <c r="E167" s="527" t="s">
        <v>433</v>
      </c>
      <c r="F167" s="527"/>
      <c r="G167" s="527">
        <f t="shared" si="4"/>
        <v>1</v>
      </c>
      <c r="H167" s="558" t="str">
        <f t="shared" si="5"/>
        <v>ม.3</v>
      </c>
    </row>
    <row r="168" spans="1:8" x14ac:dyDescent="0.7">
      <c r="A168" s="527" t="s">
        <v>742</v>
      </c>
      <c r="B168" s="530" t="s">
        <v>743</v>
      </c>
      <c r="C168" s="527">
        <v>0.5</v>
      </c>
      <c r="D168" s="527" t="s">
        <v>169</v>
      </c>
      <c r="E168" s="527" t="s">
        <v>433</v>
      </c>
      <c r="F168" s="527"/>
      <c r="G168" s="527">
        <f t="shared" si="4"/>
        <v>1</v>
      </c>
      <c r="H168" s="558" t="str">
        <f t="shared" si="5"/>
        <v>ม.3</v>
      </c>
    </row>
    <row r="169" spans="1:8" x14ac:dyDescent="0.7">
      <c r="A169" s="527" t="s">
        <v>744</v>
      </c>
      <c r="B169" s="530" t="s">
        <v>745</v>
      </c>
      <c r="C169" s="527">
        <v>1</v>
      </c>
      <c r="D169" s="527" t="s">
        <v>169</v>
      </c>
      <c r="E169" s="527" t="s">
        <v>433</v>
      </c>
      <c r="F169" s="527"/>
      <c r="G169" s="527">
        <f t="shared" si="4"/>
        <v>2</v>
      </c>
      <c r="H169" s="558" t="str">
        <f t="shared" si="5"/>
        <v>ม.3</v>
      </c>
    </row>
    <row r="170" spans="1:8" x14ac:dyDescent="0.7">
      <c r="A170" s="527" t="s">
        <v>746</v>
      </c>
      <c r="B170" s="530" t="s">
        <v>747</v>
      </c>
      <c r="C170" s="527">
        <v>1</v>
      </c>
      <c r="D170" s="527" t="s">
        <v>169</v>
      </c>
      <c r="E170" s="527" t="s">
        <v>433</v>
      </c>
      <c r="F170" s="527"/>
      <c r="G170" s="527">
        <f t="shared" si="4"/>
        <v>2</v>
      </c>
      <c r="H170" s="558" t="str">
        <f t="shared" si="5"/>
        <v>ม.3</v>
      </c>
    </row>
    <row r="171" spans="1:8" x14ac:dyDescent="0.7">
      <c r="A171" s="527" t="s">
        <v>288</v>
      </c>
      <c r="B171" s="530" t="s">
        <v>289</v>
      </c>
      <c r="C171" s="527">
        <v>1</v>
      </c>
      <c r="D171" s="527" t="s">
        <v>273</v>
      </c>
      <c r="E171" s="527" t="s">
        <v>177</v>
      </c>
      <c r="F171" s="527"/>
      <c r="G171" s="527">
        <f t="shared" si="4"/>
        <v>2</v>
      </c>
      <c r="H171" s="558" t="str">
        <f t="shared" si="5"/>
        <v>ม.1</v>
      </c>
    </row>
    <row r="172" spans="1:8" x14ac:dyDescent="0.7">
      <c r="A172" s="527" t="s">
        <v>141</v>
      </c>
      <c r="B172" s="530" t="s">
        <v>142</v>
      </c>
      <c r="C172" s="527">
        <v>1</v>
      </c>
      <c r="D172" s="527" t="s">
        <v>273</v>
      </c>
      <c r="E172" s="527" t="s">
        <v>177</v>
      </c>
      <c r="F172" s="527"/>
      <c r="G172" s="527">
        <f t="shared" si="4"/>
        <v>2</v>
      </c>
      <c r="H172" s="558" t="str">
        <f t="shared" si="5"/>
        <v>ม.1</v>
      </c>
    </row>
    <row r="173" spans="1:8" x14ac:dyDescent="0.7">
      <c r="A173" s="527" t="s">
        <v>226</v>
      </c>
      <c r="B173" s="530" t="s">
        <v>227</v>
      </c>
      <c r="C173" s="527">
        <v>0.5</v>
      </c>
      <c r="D173" s="527" t="s">
        <v>169</v>
      </c>
      <c r="E173" s="527" t="s">
        <v>177</v>
      </c>
      <c r="F173" s="527"/>
      <c r="G173" s="527">
        <f t="shared" si="4"/>
        <v>1</v>
      </c>
      <c r="H173" s="558" t="str">
        <f t="shared" si="5"/>
        <v>ม.1</v>
      </c>
    </row>
    <row r="174" spans="1:8" x14ac:dyDescent="0.7">
      <c r="A174" s="527" t="s">
        <v>228</v>
      </c>
      <c r="B174" s="530" t="s">
        <v>229</v>
      </c>
      <c r="C174" s="527">
        <v>0.5</v>
      </c>
      <c r="D174" s="527" t="s">
        <v>169</v>
      </c>
      <c r="E174" s="527" t="s">
        <v>177</v>
      </c>
      <c r="F174" s="527"/>
      <c r="G174" s="527">
        <f t="shared" si="4"/>
        <v>1</v>
      </c>
      <c r="H174" s="558" t="str">
        <f t="shared" si="5"/>
        <v>ม.1</v>
      </c>
    </row>
    <row r="175" spans="1:8" x14ac:dyDescent="0.7">
      <c r="A175" s="527" t="s">
        <v>230</v>
      </c>
      <c r="B175" s="530" t="s">
        <v>231</v>
      </c>
      <c r="C175" s="527">
        <v>0.5</v>
      </c>
      <c r="D175" s="527" t="s">
        <v>169</v>
      </c>
      <c r="E175" s="527" t="s">
        <v>177</v>
      </c>
      <c r="F175" s="527"/>
      <c r="G175" s="527">
        <f t="shared" si="4"/>
        <v>1</v>
      </c>
      <c r="H175" s="558" t="str">
        <f t="shared" si="5"/>
        <v>ม.1</v>
      </c>
    </row>
    <row r="176" spans="1:8" x14ac:dyDescent="0.7">
      <c r="A176" s="527" t="s">
        <v>232</v>
      </c>
      <c r="B176" s="530" t="s">
        <v>233</v>
      </c>
      <c r="C176" s="527">
        <v>0.5</v>
      </c>
      <c r="D176" s="527" t="s">
        <v>169</v>
      </c>
      <c r="E176" s="527" t="s">
        <v>177</v>
      </c>
      <c r="F176" s="527"/>
      <c r="G176" s="527">
        <f t="shared" si="4"/>
        <v>1</v>
      </c>
      <c r="H176" s="558" t="str">
        <f t="shared" si="5"/>
        <v>ม.1</v>
      </c>
    </row>
    <row r="177" spans="1:8" x14ac:dyDescent="0.7">
      <c r="A177" s="527" t="s">
        <v>234</v>
      </c>
      <c r="B177" s="530" t="s">
        <v>235</v>
      </c>
      <c r="C177" s="527">
        <v>0.5</v>
      </c>
      <c r="D177" s="527" t="s">
        <v>169</v>
      </c>
      <c r="E177" s="527" t="s">
        <v>177</v>
      </c>
      <c r="F177" s="527"/>
      <c r="G177" s="527">
        <f t="shared" si="4"/>
        <v>1</v>
      </c>
      <c r="H177" s="558" t="str">
        <f t="shared" si="5"/>
        <v>ม.1</v>
      </c>
    </row>
    <row r="178" spans="1:8" x14ac:dyDescent="0.7">
      <c r="A178" s="527" t="s">
        <v>146</v>
      </c>
      <c r="B178" s="530" t="s">
        <v>149</v>
      </c>
      <c r="C178" s="527">
        <v>0.5</v>
      </c>
      <c r="D178" s="527" t="s">
        <v>169</v>
      </c>
      <c r="E178" s="527" t="s">
        <v>177</v>
      </c>
      <c r="F178" s="527"/>
      <c r="G178" s="527">
        <f t="shared" si="4"/>
        <v>1</v>
      </c>
      <c r="H178" s="558" t="str">
        <f t="shared" si="5"/>
        <v>ม.1</v>
      </c>
    </row>
    <row r="179" spans="1:8" x14ac:dyDescent="0.7">
      <c r="A179" s="527" t="s">
        <v>236</v>
      </c>
      <c r="B179" s="530" t="s">
        <v>237</v>
      </c>
      <c r="C179" s="527">
        <v>0.5</v>
      </c>
      <c r="D179" s="527" t="s">
        <v>169</v>
      </c>
      <c r="E179" s="527" t="s">
        <v>177</v>
      </c>
      <c r="F179" s="527"/>
      <c r="G179" s="527">
        <f t="shared" si="4"/>
        <v>1</v>
      </c>
      <c r="H179" s="558" t="str">
        <f t="shared" si="5"/>
        <v>ม.1</v>
      </c>
    </row>
    <row r="180" spans="1:8" x14ac:dyDescent="0.7">
      <c r="A180" s="527" t="s">
        <v>147</v>
      </c>
      <c r="B180" s="530" t="s">
        <v>150</v>
      </c>
      <c r="C180" s="527">
        <v>0.5</v>
      </c>
      <c r="D180" s="527" t="s">
        <v>169</v>
      </c>
      <c r="E180" s="527" t="s">
        <v>177</v>
      </c>
      <c r="F180" s="527"/>
      <c r="G180" s="527">
        <f t="shared" si="4"/>
        <v>1</v>
      </c>
      <c r="H180" s="558" t="str">
        <f t="shared" si="5"/>
        <v>ม.1</v>
      </c>
    </row>
    <row r="181" spans="1:8" x14ac:dyDescent="0.7">
      <c r="A181" s="527" t="s">
        <v>238</v>
      </c>
      <c r="B181" s="530" t="s">
        <v>239</v>
      </c>
      <c r="C181" s="527">
        <v>1</v>
      </c>
      <c r="D181" s="527" t="s">
        <v>169</v>
      </c>
      <c r="E181" s="527" t="s">
        <v>177</v>
      </c>
      <c r="F181" s="527" t="s">
        <v>168</v>
      </c>
      <c r="G181" s="527">
        <f t="shared" si="4"/>
        <v>2</v>
      </c>
      <c r="H181" s="558" t="str">
        <f t="shared" si="5"/>
        <v>ม.1</v>
      </c>
    </row>
    <row r="182" spans="1:8" x14ac:dyDescent="0.7">
      <c r="A182" s="527" t="s">
        <v>158</v>
      </c>
      <c r="B182" s="530" t="s">
        <v>153</v>
      </c>
      <c r="C182" s="527">
        <v>1</v>
      </c>
      <c r="D182" s="527" t="s">
        <v>169</v>
      </c>
      <c r="E182" s="527" t="s">
        <v>177</v>
      </c>
      <c r="F182" s="527" t="s">
        <v>168</v>
      </c>
      <c r="G182" s="527">
        <f t="shared" si="4"/>
        <v>2</v>
      </c>
      <c r="H182" s="558" t="str">
        <f t="shared" si="5"/>
        <v>ม.1</v>
      </c>
    </row>
    <row r="183" spans="1:8" x14ac:dyDescent="0.7">
      <c r="A183" s="527" t="s">
        <v>240</v>
      </c>
      <c r="B183" s="530" t="s">
        <v>241</v>
      </c>
      <c r="C183" s="527">
        <v>1</v>
      </c>
      <c r="D183" s="527" t="s">
        <v>169</v>
      </c>
      <c r="E183" s="527" t="s">
        <v>177</v>
      </c>
      <c r="F183" s="527" t="s">
        <v>168</v>
      </c>
      <c r="G183" s="527">
        <f t="shared" si="4"/>
        <v>2</v>
      </c>
      <c r="H183" s="558" t="str">
        <f t="shared" si="5"/>
        <v>ม.1</v>
      </c>
    </row>
    <row r="184" spans="1:8" x14ac:dyDescent="0.7">
      <c r="A184" s="527" t="s">
        <v>159</v>
      </c>
      <c r="B184" s="530" t="s">
        <v>154</v>
      </c>
      <c r="C184" s="527">
        <v>1</v>
      </c>
      <c r="D184" s="527" t="s">
        <v>169</v>
      </c>
      <c r="E184" s="527" t="s">
        <v>177</v>
      </c>
      <c r="F184" s="527" t="s">
        <v>168</v>
      </c>
      <c r="G184" s="527">
        <f t="shared" si="4"/>
        <v>2</v>
      </c>
      <c r="H184" s="558" t="str">
        <f t="shared" si="5"/>
        <v>ม.1</v>
      </c>
    </row>
    <row r="185" spans="1:8" x14ac:dyDescent="0.7">
      <c r="A185" s="527" t="s">
        <v>242</v>
      </c>
      <c r="B185" s="530" t="s">
        <v>243</v>
      </c>
      <c r="C185" s="527">
        <v>1</v>
      </c>
      <c r="D185" s="527" t="s">
        <v>169</v>
      </c>
      <c r="E185" s="527" t="s">
        <v>177</v>
      </c>
      <c r="F185" s="527" t="s">
        <v>168</v>
      </c>
      <c r="G185" s="527">
        <f t="shared" si="4"/>
        <v>2</v>
      </c>
      <c r="H185" s="558" t="str">
        <f t="shared" si="5"/>
        <v>ม.1</v>
      </c>
    </row>
    <row r="186" spans="1:8" x14ac:dyDescent="0.7">
      <c r="A186" s="527" t="s">
        <v>160</v>
      </c>
      <c r="B186" s="530" t="s">
        <v>244</v>
      </c>
      <c r="C186" s="527">
        <v>1</v>
      </c>
      <c r="D186" s="527" t="s">
        <v>169</v>
      </c>
      <c r="E186" s="527" t="s">
        <v>177</v>
      </c>
      <c r="F186" s="527" t="s">
        <v>168</v>
      </c>
      <c r="G186" s="527">
        <f t="shared" si="4"/>
        <v>2</v>
      </c>
      <c r="H186" s="558" t="str">
        <f t="shared" si="5"/>
        <v>ม.1</v>
      </c>
    </row>
    <row r="187" spans="1:8" x14ac:dyDescent="0.7">
      <c r="A187" s="527" t="s">
        <v>245</v>
      </c>
      <c r="B187" s="530" t="s">
        <v>246</v>
      </c>
      <c r="C187" s="527">
        <v>1</v>
      </c>
      <c r="D187" s="527" t="s">
        <v>169</v>
      </c>
      <c r="E187" s="527" t="s">
        <v>177</v>
      </c>
      <c r="F187" s="527" t="s">
        <v>168</v>
      </c>
      <c r="G187" s="527">
        <f t="shared" si="4"/>
        <v>2</v>
      </c>
      <c r="H187" s="558" t="str">
        <f t="shared" si="5"/>
        <v>ม.1</v>
      </c>
    </row>
    <row r="188" spans="1:8" x14ac:dyDescent="0.7">
      <c r="A188" s="527" t="s">
        <v>161</v>
      </c>
      <c r="B188" s="530" t="s">
        <v>155</v>
      </c>
      <c r="C188" s="527">
        <v>1</v>
      </c>
      <c r="D188" s="527" t="s">
        <v>169</v>
      </c>
      <c r="E188" s="527" t="s">
        <v>177</v>
      </c>
      <c r="F188" s="527" t="s">
        <v>168</v>
      </c>
      <c r="G188" s="527">
        <f t="shared" si="4"/>
        <v>2</v>
      </c>
      <c r="H188" s="558" t="str">
        <f t="shared" si="5"/>
        <v>ม.1</v>
      </c>
    </row>
    <row r="189" spans="1:8" x14ac:dyDescent="0.7">
      <c r="A189" s="527" t="s">
        <v>679</v>
      </c>
      <c r="B189" s="530" t="s">
        <v>680</v>
      </c>
      <c r="C189" s="527">
        <v>1</v>
      </c>
      <c r="D189" s="527" t="s">
        <v>169</v>
      </c>
      <c r="E189" s="527" t="s">
        <v>177</v>
      </c>
      <c r="F189" s="527" t="s">
        <v>168</v>
      </c>
      <c r="G189" s="527">
        <f t="shared" si="4"/>
        <v>2</v>
      </c>
      <c r="H189" s="558" t="str">
        <f t="shared" si="5"/>
        <v>ม.1</v>
      </c>
    </row>
    <row r="190" spans="1:8" x14ac:dyDescent="0.7">
      <c r="A190" s="527" t="s">
        <v>681</v>
      </c>
      <c r="B190" s="530" t="s">
        <v>682</v>
      </c>
      <c r="C190" s="527">
        <v>1</v>
      </c>
      <c r="D190" s="527" t="s">
        <v>169</v>
      </c>
      <c r="E190" s="527" t="s">
        <v>177</v>
      </c>
      <c r="F190" s="527" t="s">
        <v>168</v>
      </c>
      <c r="G190" s="527">
        <f t="shared" si="4"/>
        <v>2</v>
      </c>
      <c r="H190" s="558" t="str">
        <f t="shared" si="5"/>
        <v>ม.1</v>
      </c>
    </row>
    <row r="191" spans="1:8" x14ac:dyDescent="0.7">
      <c r="A191" s="527" t="s">
        <v>423</v>
      </c>
      <c r="B191" s="530" t="s">
        <v>424</v>
      </c>
      <c r="C191" s="527">
        <v>1</v>
      </c>
      <c r="D191" s="527" t="s">
        <v>273</v>
      </c>
      <c r="E191" s="527" t="s">
        <v>298</v>
      </c>
      <c r="F191" s="527"/>
      <c r="G191" s="527">
        <f t="shared" si="4"/>
        <v>2</v>
      </c>
      <c r="H191" s="558" t="str">
        <f t="shared" si="5"/>
        <v>ม.2</v>
      </c>
    </row>
    <row r="192" spans="1:8" x14ac:dyDescent="0.7">
      <c r="A192" s="527" t="s">
        <v>425</v>
      </c>
      <c r="B192" s="530" t="s">
        <v>426</v>
      </c>
      <c r="C192" s="527">
        <v>1</v>
      </c>
      <c r="D192" s="527" t="s">
        <v>273</v>
      </c>
      <c r="E192" s="527" t="s">
        <v>298</v>
      </c>
      <c r="F192" s="527"/>
      <c r="G192" s="527">
        <f t="shared" si="4"/>
        <v>2</v>
      </c>
      <c r="H192" s="558" t="str">
        <f t="shared" si="5"/>
        <v>ม.2</v>
      </c>
    </row>
    <row r="193" spans="1:8" x14ac:dyDescent="0.7">
      <c r="A193" s="527" t="s">
        <v>343</v>
      </c>
      <c r="B193" s="530" t="s">
        <v>344</v>
      </c>
      <c r="C193" s="527">
        <v>0.5</v>
      </c>
      <c r="D193" s="527" t="s">
        <v>169</v>
      </c>
      <c r="E193" s="527" t="s">
        <v>298</v>
      </c>
      <c r="F193" s="527" t="s">
        <v>168</v>
      </c>
      <c r="G193" s="527">
        <f t="shared" si="4"/>
        <v>1</v>
      </c>
      <c r="H193" s="558" t="str">
        <f t="shared" si="5"/>
        <v>ม.2</v>
      </c>
    </row>
    <row r="194" spans="1:8" x14ac:dyDescent="0.7">
      <c r="A194" s="527" t="s">
        <v>345</v>
      </c>
      <c r="B194" s="530" t="s">
        <v>346</v>
      </c>
      <c r="C194" s="527">
        <v>0.5</v>
      </c>
      <c r="D194" s="527" t="s">
        <v>169</v>
      </c>
      <c r="E194" s="527" t="s">
        <v>298</v>
      </c>
      <c r="F194" s="527" t="s">
        <v>168</v>
      </c>
      <c r="G194" s="527">
        <f t="shared" si="4"/>
        <v>1</v>
      </c>
      <c r="H194" s="558" t="str">
        <f t="shared" si="5"/>
        <v>ม.2</v>
      </c>
    </row>
    <row r="195" spans="1:8" x14ac:dyDescent="0.7">
      <c r="A195" s="527" t="s">
        <v>347</v>
      </c>
      <c r="B195" s="530" t="s">
        <v>348</v>
      </c>
      <c r="C195" s="527">
        <v>0.5</v>
      </c>
      <c r="D195" s="527" t="s">
        <v>169</v>
      </c>
      <c r="E195" s="527" t="s">
        <v>298</v>
      </c>
      <c r="F195" s="527"/>
      <c r="G195" s="527">
        <f t="shared" si="4"/>
        <v>1</v>
      </c>
      <c r="H195" s="558" t="str">
        <f t="shared" si="5"/>
        <v>ม.2</v>
      </c>
    </row>
    <row r="196" spans="1:8" x14ac:dyDescent="0.7">
      <c r="A196" s="527" t="s">
        <v>349</v>
      </c>
      <c r="B196" s="530" t="s">
        <v>350</v>
      </c>
      <c r="C196" s="527">
        <v>0.5</v>
      </c>
      <c r="D196" s="527" t="s">
        <v>169</v>
      </c>
      <c r="E196" s="527" t="s">
        <v>298</v>
      </c>
      <c r="F196" s="527"/>
      <c r="G196" s="527">
        <f t="shared" si="4"/>
        <v>1</v>
      </c>
      <c r="H196" s="558" t="str">
        <f t="shared" si="5"/>
        <v>ม.2</v>
      </c>
    </row>
    <row r="197" spans="1:8" x14ac:dyDescent="0.7">
      <c r="A197" s="527" t="s">
        <v>351</v>
      </c>
      <c r="B197" s="530" t="s">
        <v>352</v>
      </c>
      <c r="C197" s="527">
        <v>1</v>
      </c>
      <c r="D197" s="527" t="s">
        <v>169</v>
      </c>
      <c r="E197" s="527" t="s">
        <v>298</v>
      </c>
      <c r="F197" s="527"/>
      <c r="G197" s="527">
        <f t="shared" si="4"/>
        <v>2</v>
      </c>
      <c r="H197" s="558" t="str">
        <f t="shared" si="5"/>
        <v>ม.2</v>
      </c>
    </row>
    <row r="198" spans="1:8" x14ac:dyDescent="0.7">
      <c r="A198" s="527" t="s">
        <v>353</v>
      </c>
      <c r="B198" s="530" t="s">
        <v>354</v>
      </c>
      <c r="C198" s="527">
        <v>1</v>
      </c>
      <c r="D198" s="527" t="s">
        <v>169</v>
      </c>
      <c r="E198" s="527" t="s">
        <v>298</v>
      </c>
      <c r="F198" s="527" t="s">
        <v>168</v>
      </c>
      <c r="G198" s="527">
        <f t="shared" si="4"/>
        <v>2</v>
      </c>
      <c r="H198" s="558" t="str">
        <f t="shared" si="5"/>
        <v>ม.2</v>
      </c>
    </row>
    <row r="199" spans="1:8" x14ac:dyDescent="0.7">
      <c r="A199" s="527" t="s">
        <v>355</v>
      </c>
      <c r="B199" s="530" t="s">
        <v>356</v>
      </c>
      <c r="C199" s="527">
        <v>1</v>
      </c>
      <c r="D199" s="527" t="s">
        <v>169</v>
      </c>
      <c r="E199" s="527" t="s">
        <v>298</v>
      </c>
      <c r="F199" s="527" t="s">
        <v>168</v>
      </c>
      <c r="G199" s="527">
        <f t="shared" si="4"/>
        <v>2</v>
      </c>
      <c r="H199" s="558" t="str">
        <f t="shared" si="5"/>
        <v>ม.2</v>
      </c>
    </row>
    <row r="200" spans="1:8" x14ac:dyDescent="0.7">
      <c r="A200" s="527" t="s">
        <v>357</v>
      </c>
      <c r="B200" s="530" t="s">
        <v>358</v>
      </c>
      <c r="C200" s="527">
        <v>1</v>
      </c>
      <c r="D200" s="527" t="s">
        <v>169</v>
      </c>
      <c r="E200" s="527" t="s">
        <v>298</v>
      </c>
      <c r="F200" s="527" t="s">
        <v>168</v>
      </c>
      <c r="G200" s="527">
        <f t="shared" si="4"/>
        <v>2</v>
      </c>
      <c r="H200" s="558" t="str">
        <f t="shared" si="5"/>
        <v>ม.2</v>
      </c>
    </row>
    <row r="201" spans="1:8" x14ac:dyDescent="0.7">
      <c r="A201" s="527" t="s">
        <v>359</v>
      </c>
      <c r="B201" s="530" t="s">
        <v>360</v>
      </c>
      <c r="C201" s="527">
        <v>1</v>
      </c>
      <c r="D201" s="527" t="s">
        <v>169</v>
      </c>
      <c r="E201" s="527" t="s">
        <v>298</v>
      </c>
      <c r="F201" s="527" t="s">
        <v>168</v>
      </c>
      <c r="G201" s="527">
        <f t="shared" si="4"/>
        <v>2</v>
      </c>
      <c r="H201" s="558" t="str">
        <f t="shared" si="5"/>
        <v>ม.2</v>
      </c>
    </row>
    <row r="202" spans="1:8" x14ac:dyDescent="0.7">
      <c r="A202" s="527" t="s">
        <v>361</v>
      </c>
      <c r="B202" s="530" t="s">
        <v>362</v>
      </c>
      <c r="C202" s="527">
        <v>1</v>
      </c>
      <c r="D202" s="527" t="s">
        <v>169</v>
      </c>
      <c r="E202" s="527" t="s">
        <v>298</v>
      </c>
      <c r="F202" s="527" t="s">
        <v>168</v>
      </c>
      <c r="G202" s="527">
        <f t="shared" ref="G202:G265" si="6">C202*2</f>
        <v>2</v>
      </c>
      <c r="H202" s="558" t="str">
        <f t="shared" ref="H202:H265" si="7">IF(E202="-","-",IF(E202="มัธยมศึกษาปีที่ 1","ม.1",IF(E202="มัธยมศึกษาปีที่ 2","ม.2",IF(E202="มัธยมศึกษาปีที่ 3","ม.3",IF(E202="มัธยมศึกษาปีที่ 4","ม.4",IF(E202="มัธยมศึกษาปีที่ 5","ม.5",IF(E202="มัธยมศึกษาปีที่ 6","ม.6",IF(E202="มัธยมศึกษาปีที่ 1-3","ม.1-3",E202))))))))</f>
        <v>ม.2</v>
      </c>
    </row>
    <row r="203" spans="1:8" x14ac:dyDescent="0.7">
      <c r="A203" s="527" t="s">
        <v>363</v>
      </c>
      <c r="B203" s="530" t="s">
        <v>364</v>
      </c>
      <c r="C203" s="527">
        <v>1</v>
      </c>
      <c r="D203" s="527" t="s">
        <v>169</v>
      </c>
      <c r="E203" s="527" t="s">
        <v>298</v>
      </c>
      <c r="F203" s="527" t="s">
        <v>168</v>
      </c>
      <c r="G203" s="527">
        <f t="shared" si="6"/>
        <v>2</v>
      </c>
      <c r="H203" s="558" t="str">
        <f t="shared" si="7"/>
        <v>ม.2</v>
      </c>
    </row>
    <row r="204" spans="1:8" x14ac:dyDescent="0.7">
      <c r="A204" s="527" t="s">
        <v>365</v>
      </c>
      <c r="B204" s="530" t="s">
        <v>366</v>
      </c>
      <c r="C204" s="527">
        <v>1</v>
      </c>
      <c r="D204" s="527" t="s">
        <v>169</v>
      </c>
      <c r="E204" s="527" t="s">
        <v>298</v>
      </c>
      <c r="F204" s="527" t="s">
        <v>168</v>
      </c>
      <c r="G204" s="527">
        <f t="shared" si="6"/>
        <v>2</v>
      </c>
      <c r="H204" s="558" t="str">
        <f t="shared" si="7"/>
        <v>ม.2</v>
      </c>
    </row>
    <row r="205" spans="1:8" x14ac:dyDescent="0.7">
      <c r="A205" s="527" t="s">
        <v>367</v>
      </c>
      <c r="B205" s="530" t="s">
        <v>368</v>
      </c>
      <c r="C205" s="527">
        <v>1</v>
      </c>
      <c r="D205" s="527" t="s">
        <v>169</v>
      </c>
      <c r="E205" s="527" t="s">
        <v>298</v>
      </c>
      <c r="F205" s="527" t="s">
        <v>168</v>
      </c>
      <c r="G205" s="527">
        <f t="shared" si="6"/>
        <v>2</v>
      </c>
      <c r="H205" s="558" t="str">
        <f t="shared" si="7"/>
        <v>ม.2</v>
      </c>
    </row>
    <row r="206" spans="1:8" x14ac:dyDescent="0.7">
      <c r="A206" s="527" t="s">
        <v>683</v>
      </c>
      <c r="B206" s="530" t="s">
        <v>684</v>
      </c>
      <c r="C206" s="527">
        <v>1</v>
      </c>
      <c r="D206" s="527" t="s">
        <v>169</v>
      </c>
      <c r="E206" s="527" t="s">
        <v>298</v>
      </c>
      <c r="F206" s="527" t="s">
        <v>168</v>
      </c>
      <c r="G206" s="527">
        <f t="shared" si="6"/>
        <v>2</v>
      </c>
      <c r="H206" s="558" t="str">
        <f t="shared" si="7"/>
        <v>ม.2</v>
      </c>
    </row>
    <row r="207" spans="1:8" x14ac:dyDescent="0.7">
      <c r="A207" s="527" t="s">
        <v>685</v>
      </c>
      <c r="B207" s="530" t="s">
        <v>686</v>
      </c>
      <c r="C207" s="527">
        <v>1</v>
      </c>
      <c r="D207" s="527" t="s">
        <v>169</v>
      </c>
      <c r="E207" s="527" t="s">
        <v>298</v>
      </c>
      <c r="F207" s="527" t="s">
        <v>168</v>
      </c>
      <c r="G207" s="527">
        <f t="shared" si="6"/>
        <v>2</v>
      </c>
      <c r="H207" s="558" t="str">
        <f t="shared" si="7"/>
        <v>ม.2</v>
      </c>
    </row>
    <row r="208" spans="1:8" x14ac:dyDescent="0.7">
      <c r="A208" s="527" t="s">
        <v>464</v>
      </c>
      <c r="B208" s="530" t="s">
        <v>465</v>
      </c>
      <c r="C208" s="527">
        <v>1</v>
      </c>
      <c r="D208" s="527" t="s">
        <v>273</v>
      </c>
      <c r="E208" s="527" t="s">
        <v>433</v>
      </c>
      <c r="F208" s="527"/>
      <c r="G208" s="527">
        <f t="shared" si="6"/>
        <v>2</v>
      </c>
      <c r="H208" s="558" t="str">
        <f t="shared" si="7"/>
        <v>ม.3</v>
      </c>
    </row>
    <row r="209" spans="1:8" x14ac:dyDescent="0.7">
      <c r="A209" s="527" t="s">
        <v>466</v>
      </c>
      <c r="B209" s="530" t="s">
        <v>467</v>
      </c>
      <c r="C209" s="527">
        <v>1</v>
      </c>
      <c r="D209" s="527" t="s">
        <v>273</v>
      </c>
      <c r="E209" s="527" t="s">
        <v>433</v>
      </c>
      <c r="F209" s="527"/>
      <c r="G209" s="527">
        <f t="shared" si="6"/>
        <v>2</v>
      </c>
      <c r="H209" s="558" t="str">
        <f t="shared" si="7"/>
        <v>ม.3</v>
      </c>
    </row>
    <row r="210" spans="1:8" x14ac:dyDescent="0.7">
      <c r="A210" s="527" t="s">
        <v>522</v>
      </c>
      <c r="B210" s="530" t="s">
        <v>523</v>
      </c>
      <c r="C210" s="527">
        <v>1</v>
      </c>
      <c r="D210" s="527" t="s">
        <v>169</v>
      </c>
      <c r="E210" s="527" t="s">
        <v>433</v>
      </c>
      <c r="F210" s="527" t="s">
        <v>168</v>
      </c>
      <c r="G210" s="527">
        <f t="shared" si="6"/>
        <v>2</v>
      </c>
      <c r="H210" s="558" t="str">
        <f t="shared" si="7"/>
        <v>ม.3</v>
      </c>
    </row>
    <row r="211" spans="1:8" x14ac:dyDescent="0.7">
      <c r="A211" s="527" t="s">
        <v>524</v>
      </c>
      <c r="B211" s="530" t="s">
        <v>525</v>
      </c>
      <c r="C211" s="527">
        <v>1</v>
      </c>
      <c r="D211" s="527" t="s">
        <v>169</v>
      </c>
      <c r="E211" s="527" t="s">
        <v>433</v>
      </c>
      <c r="F211" s="527" t="s">
        <v>168</v>
      </c>
      <c r="G211" s="527">
        <f t="shared" si="6"/>
        <v>2</v>
      </c>
      <c r="H211" s="558" t="str">
        <f t="shared" si="7"/>
        <v>ม.3</v>
      </c>
    </row>
    <row r="212" spans="1:8" x14ac:dyDescent="0.7">
      <c r="A212" s="527" t="s">
        <v>526</v>
      </c>
      <c r="B212" s="530" t="s">
        <v>527</v>
      </c>
      <c r="C212" s="527">
        <v>0.5</v>
      </c>
      <c r="D212" s="527" t="s">
        <v>169</v>
      </c>
      <c r="E212" s="527" t="s">
        <v>433</v>
      </c>
      <c r="F212" s="527"/>
      <c r="G212" s="527">
        <f t="shared" si="6"/>
        <v>1</v>
      </c>
      <c r="H212" s="558" t="str">
        <f t="shared" si="7"/>
        <v>ม.3</v>
      </c>
    </row>
    <row r="213" spans="1:8" x14ac:dyDescent="0.7">
      <c r="A213" s="527" t="s">
        <v>528</v>
      </c>
      <c r="B213" s="530" t="s">
        <v>529</v>
      </c>
      <c r="C213" s="527">
        <v>0.5</v>
      </c>
      <c r="D213" s="527" t="s">
        <v>169</v>
      </c>
      <c r="E213" s="527" t="s">
        <v>433</v>
      </c>
      <c r="F213" s="527"/>
      <c r="G213" s="527">
        <f t="shared" si="6"/>
        <v>1</v>
      </c>
      <c r="H213" s="558" t="str">
        <f t="shared" si="7"/>
        <v>ม.3</v>
      </c>
    </row>
    <row r="214" spans="1:8" x14ac:dyDescent="0.7">
      <c r="A214" s="527" t="s">
        <v>530</v>
      </c>
      <c r="B214" s="530" t="s">
        <v>531</v>
      </c>
      <c r="C214" s="527">
        <v>1</v>
      </c>
      <c r="D214" s="527" t="s">
        <v>169</v>
      </c>
      <c r="E214" s="527" t="s">
        <v>433</v>
      </c>
      <c r="F214" s="527" t="s">
        <v>168</v>
      </c>
      <c r="G214" s="527">
        <f t="shared" si="6"/>
        <v>2</v>
      </c>
      <c r="H214" s="558" t="str">
        <f t="shared" si="7"/>
        <v>ม.3</v>
      </c>
    </row>
    <row r="215" spans="1:8" x14ac:dyDescent="0.7">
      <c r="A215" s="527" t="s">
        <v>532</v>
      </c>
      <c r="B215" s="530" t="s">
        <v>533</v>
      </c>
      <c r="C215" s="527">
        <v>1</v>
      </c>
      <c r="D215" s="527" t="s">
        <v>169</v>
      </c>
      <c r="E215" s="527" t="s">
        <v>433</v>
      </c>
      <c r="F215" s="527" t="s">
        <v>168</v>
      </c>
      <c r="G215" s="527">
        <f t="shared" si="6"/>
        <v>2</v>
      </c>
      <c r="H215" s="558" t="str">
        <f t="shared" si="7"/>
        <v>ม.3</v>
      </c>
    </row>
    <row r="216" spans="1:8" x14ac:dyDescent="0.7">
      <c r="A216" s="527" t="s">
        <v>534</v>
      </c>
      <c r="B216" s="530" t="s">
        <v>535</v>
      </c>
      <c r="C216" s="527">
        <v>1</v>
      </c>
      <c r="D216" s="527" t="s">
        <v>169</v>
      </c>
      <c r="E216" s="527" t="s">
        <v>433</v>
      </c>
      <c r="F216" s="560" t="s">
        <v>168</v>
      </c>
      <c r="G216" s="527">
        <f t="shared" si="6"/>
        <v>2</v>
      </c>
      <c r="H216" s="558" t="str">
        <f t="shared" si="7"/>
        <v>ม.3</v>
      </c>
    </row>
    <row r="217" spans="1:8" x14ac:dyDescent="0.7">
      <c r="A217" s="527" t="s">
        <v>536</v>
      </c>
      <c r="B217" s="530" t="s">
        <v>537</v>
      </c>
      <c r="C217" s="527">
        <v>1</v>
      </c>
      <c r="D217" s="527" t="s">
        <v>169</v>
      </c>
      <c r="E217" s="527" t="s">
        <v>433</v>
      </c>
      <c r="F217" s="560" t="s">
        <v>168</v>
      </c>
      <c r="G217" s="527">
        <f t="shared" si="6"/>
        <v>2</v>
      </c>
      <c r="H217" s="558" t="str">
        <f t="shared" si="7"/>
        <v>ม.3</v>
      </c>
    </row>
    <row r="218" spans="1:8" x14ac:dyDescent="0.7">
      <c r="A218" s="527" t="s">
        <v>538</v>
      </c>
      <c r="B218" s="530" t="s">
        <v>539</v>
      </c>
      <c r="C218" s="527">
        <v>1</v>
      </c>
      <c r="D218" s="527" t="s">
        <v>169</v>
      </c>
      <c r="E218" s="527" t="s">
        <v>433</v>
      </c>
      <c r="F218" s="560" t="s">
        <v>168</v>
      </c>
      <c r="G218" s="527">
        <f t="shared" si="6"/>
        <v>2</v>
      </c>
      <c r="H218" s="558" t="str">
        <f t="shared" si="7"/>
        <v>ม.3</v>
      </c>
    </row>
    <row r="219" spans="1:8" x14ac:dyDescent="0.7">
      <c r="A219" s="527" t="s">
        <v>540</v>
      </c>
      <c r="B219" s="530" t="s">
        <v>541</v>
      </c>
      <c r="C219" s="527">
        <v>1</v>
      </c>
      <c r="D219" s="527" t="s">
        <v>169</v>
      </c>
      <c r="E219" s="527" t="s">
        <v>433</v>
      </c>
      <c r="F219" s="560" t="s">
        <v>168</v>
      </c>
      <c r="G219" s="527">
        <f t="shared" si="6"/>
        <v>2</v>
      </c>
      <c r="H219" s="558" t="str">
        <f t="shared" si="7"/>
        <v>ม.3</v>
      </c>
    </row>
    <row r="220" spans="1:8" x14ac:dyDescent="0.7">
      <c r="A220" s="527" t="s">
        <v>687</v>
      </c>
      <c r="B220" s="530" t="s">
        <v>688</v>
      </c>
      <c r="C220" s="527">
        <v>1</v>
      </c>
      <c r="D220" s="527" t="s">
        <v>169</v>
      </c>
      <c r="E220" s="527" t="s">
        <v>433</v>
      </c>
      <c r="F220" s="527" t="s">
        <v>168</v>
      </c>
      <c r="G220" s="527">
        <f t="shared" si="6"/>
        <v>2</v>
      </c>
      <c r="H220" s="558" t="str">
        <f t="shared" si="7"/>
        <v>ม.3</v>
      </c>
    </row>
    <row r="221" spans="1:8" x14ac:dyDescent="0.7">
      <c r="A221" s="527" t="s">
        <v>689</v>
      </c>
      <c r="B221" s="530" t="s">
        <v>691</v>
      </c>
      <c r="C221" s="527">
        <v>1</v>
      </c>
      <c r="D221" s="527" t="s">
        <v>169</v>
      </c>
      <c r="E221" s="527" t="s">
        <v>433</v>
      </c>
      <c r="F221" s="527" t="s">
        <v>168</v>
      </c>
      <c r="G221" s="527">
        <f t="shared" si="6"/>
        <v>2</v>
      </c>
      <c r="H221" s="558" t="str">
        <f t="shared" si="7"/>
        <v>ม.3</v>
      </c>
    </row>
    <row r="222" spans="1:8" x14ac:dyDescent="0.7">
      <c r="A222" s="527" t="s">
        <v>280</v>
      </c>
      <c r="B222" s="530" t="s">
        <v>281</v>
      </c>
      <c r="C222" s="527">
        <v>1.5</v>
      </c>
      <c r="D222" s="527" t="s">
        <v>273</v>
      </c>
      <c r="E222" s="527" t="s">
        <v>177</v>
      </c>
      <c r="F222" s="527"/>
      <c r="G222" s="527">
        <f t="shared" si="6"/>
        <v>3</v>
      </c>
      <c r="H222" s="558" t="str">
        <f t="shared" si="7"/>
        <v>ม.1</v>
      </c>
    </row>
    <row r="223" spans="1:8" x14ac:dyDescent="0.7">
      <c r="A223" s="527" t="s">
        <v>282</v>
      </c>
      <c r="B223" s="530" t="s">
        <v>283</v>
      </c>
      <c r="C223" s="527">
        <v>0.5</v>
      </c>
      <c r="D223" s="527" t="s">
        <v>273</v>
      </c>
      <c r="E223" s="527" t="s">
        <v>177</v>
      </c>
      <c r="F223" s="527"/>
      <c r="G223" s="527">
        <f t="shared" si="6"/>
        <v>1</v>
      </c>
      <c r="H223" s="558" t="str">
        <f t="shared" si="7"/>
        <v>ม.1</v>
      </c>
    </row>
    <row r="224" spans="1:8" x14ac:dyDescent="0.7">
      <c r="A224" s="527" t="s">
        <v>133</v>
      </c>
      <c r="B224" s="530" t="s">
        <v>134</v>
      </c>
      <c r="C224" s="527">
        <v>1.5</v>
      </c>
      <c r="D224" s="527" t="s">
        <v>273</v>
      </c>
      <c r="E224" s="527" t="s">
        <v>177</v>
      </c>
      <c r="F224" s="527"/>
      <c r="G224" s="527">
        <f t="shared" si="6"/>
        <v>3</v>
      </c>
      <c r="H224" s="558" t="str">
        <f t="shared" si="7"/>
        <v>ม.1</v>
      </c>
    </row>
    <row r="225" spans="1:8" x14ac:dyDescent="0.7">
      <c r="A225" s="527" t="s">
        <v>135</v>
      </c>
      <c r="B225" s="530" t="s">
        <v>136</v>
      </c>
      <c r="C225" s="527">
        <v>0.5</v>
      </c>
      <c r="D225" s="527" t="s">
        <v>273</v>
      </c>
      <c r="E225" s="527" t="s">
        <v>177</v>
      </c>
      <c r="F225" s="527"/>
      <c r="G225" s="527">
        <f t="shared" si="6"/>
        <v>1</v>
      </c>
      <c r="H225" s="558" t="str">
        <f t="shared" si="7"/>
        <v>ม.1</v>
      </c>
    </row>
    <row r="226" spans="1:8" x14ac:dyDescent="0.7">
      <c r="A226" s="527" t="s">
        <v>212</v>
      </c>
      <c r="B226" s="530" t="s">
        <v>213</v>
      </c>
      <c r="C226" s="527">
        <v>0.5</v>
      </c>
      <c r="D226" s="527" t="s">
        <v>169</v>
      </c>
      <c r="E226" s="527" t="s">
        <v>177</v>
      </c>
      <c r="F226" s="527"/>
      <c r="G226" s="527">
        <f t="shared" si="6"/>
        <v>1</v>
      </c>
      <c r="H226" s="558" t="str">
        <f t="shared" si="7"/>
        <v>ม.1</v>
      </c>
    </row>
    <row r="227" spans="1:8" x14ac:dyDescent="0.7">
      <c r="A227" s="527" t="s">
        <v>214</v>
      </c>
      <c r="B227" s="530" t="s">
        <v>215</v>
      </c>
      <c r="C227" s="527">
        <v>0.5</v>
      </c>
      <c r="D227" s="527" t="s">
        <v>169</v>
      </c>
      <c r="E227" s="527" t="s">
        <v>177</v>
      </c>
      <c r="F227" s="527"/>
      <c r="G227" s="527">
        <f t="shared" si="6"/>
        <v>1</v>
      </c>
      <c r="H227" s="558" t="str">
        <f t="shared" si="7"/>
        <v>ม.1</v>
      </c>
    </row>
    <row r="228" spans="1:8" x14ac:dyDescent="0.7">
      <c r="A228" s="527" t="s">
        <v>216</v>
      </c>
      <c r="B228" s="530" t="s">
        <v>217</v>
      </c>
      <c r="C228" s="527">
        <v>0.5</v>
      </c>
      <c r="D228" s="527" t="s">
        <v>169</v>
      </c>
      <c r="E228" s="527" t="s">
        <v>177</v>
      </c>
      <c r="F228" s="527"/>
      <c r="G228" s="527">
        <f t="shared" si="6"/>
        <v>1</v>
      </c>
      <c r="H228" s="558" t="str">
        <f t="shared" si="7"/>
        <v>ม.1</v>
      </c>
    </row>
    <row r="229" spans="1:8" x14ac:dyDescent="0.7">
      <c r="A229" s="527" t="s">
        <v>145</v>
      </c>
      <c r="B229" s="530" t="s">
        <v>148</v>
      </c>
      <c r="C229" s="527">
        <v>0.5</v>
      </c>
      <c r="D229" s="527" t="s">
        <v>169</v>
      </c>
      <c r="E229" s="527" t="s">
        <v>177</v>
      </c>
      <c r="F229" s="527"/>
      <c r="G229" s="527">
        <f t="shared" si="6"/>
        <v>1</v>
      </c>
      <c r="H229" s="558" t="str">
        <f t="shared" si="7"/>
        <v>ม.1</v>
      </c>
    </row>
    <row r="230" spans="1:8" x14ac:dyDescent="0.7">
      <c r="A230" s="527" t="s">
        <v>407</v>
      </c>
      <c r="B230" s="530" t="s">
        <v>408</v>
      </c>
      <c r="C230" s="527">
        <v>1.5</v>
      </c>
      <c r="D230" s="527" t="s">
        <v>273</v>
      </c>
      <c r="E230" s="527" t="s">
        <v>298</v>
      </c>
      <c r="F230" s="527"/>
      <c r="G230" s="527">
        <f t="shared" si="6"/>
        <v>3</v>
      </c>
      <c r="H230" s="558" t="str">
        <f t="shared" si="7"/>
        <v>ม.2</v>
      </c>
    </row>
    <row r="231" spans="1:8" x14ac:dyDescent="0.7">
      <c r="A231" s="527" t="s">
        <v>409</v>
      </c>
      <c r="B231" s="530" t="s">
        <v>410</v>
      </c>
      <c r="C231" s="527">
        <v>0.5</v>
      </c>
      <c r="D231" s="527" t="s">
        <v>273</v>
      </c>
      <c r="E231" s="527" t="s">
        <v>298</v>
      </c>
      <c r="F231" s="560"/>
      <c r="G231" s="527">
        <f t="shared" si="6"/>
        <v>1</v>
      </c>
      <c r="H231" s="558" t="str">
        <f t="shared" si="7"/>
        <v>ม.2</v>
      </c>
    </row>
    <row r="232" spans="1:8" x14ac:dyDescent="0.7">
      <c r="A232" s="527" t="s">
        <v>411</v>
      </c>
      <c r="B232" s="530" t="s">
        <v>412</v>
      </c>
      <c r="C232" s="527">
        <v>1.5</v>
      </c>
      <c r="D232" s="527" t="s">
        <v>273</v>
      </c>
      <c r="E232" s="527" t="s">
        <v>298</v>
      </c>
      <c r="F232" s="527"/>
      <c r="G232" s="527">
        <f t="shared" si="6"/>
        <v>3</v>
      </c>
      <c r="H232" s="558" t="str">
        <f t="shared" si="7"/>
        <v>ม.2</v>
      </c>
    </row>
    <row r="233" spans="1:8" x14ac:dyDescent="0.7">
      <c r="A233" s="527" t="s">
        <v>413</v>
      </c>
      <c r="B233" s="530" t="s">
        <v>414</v>
      </c>
      <c r="C233" s="527">
        <v>0.5</v>
      </c>
      <c r="D233" s="527" t="s">
        <v>273</v>
      </c>
      <c r="E233" s="527" t="s">
        <v>298</v>
      </c>
      <c r="F233" s="527"/>
      <c r="G233" s="527">
        <f t="shared" si="6"/>
        <v>1</v>
      </c>
      <c r="H233" s="558" t="str">
        <f t="shared" si="7"/>
        <v>ม.2</v>
      </c>
    </row>
    <row r="234" spans="1:8" x14ac:dyDescent="0.7">
      <c r="A234" s="527" t="s">
        <v>321</v>
      </c>
      <c r="B234" s="530" t="s">
        <v>322</v>
      </c>
      <c r="C234" s="527">
        <v>0.5</v>
      </c>
      <c r="D234" s="527" t="s">
        <v>169</v>
      </c>
      <c r="E234" s="527" t="s">
        <v>298</v>
      </c>
      <c r="F234" s="527"/>
      <c r="G234" s="527">
        <f t="shared" si="6"/>
        <v>1</v>
      </c>
      <c r="H234" s="558" t="str">
        <f t="shared" si="7"/>
        <v>ม.2</v>
      </c>
    </row>
    <row r="235" spans="1:8" x14ac:dyDescent="0.7">
      <c r="A235" s="527" t="s">
        <v>323</v>
      </c>
      <c r="B235" s="530" t="s">
        <v>324</v>
      </c>
      <c r="C235" s="527">
        <v>0.5</v>
      </c>
      <c r="D235" s="527" t="s">
        <v>169</v>
      </c>
      <c r="E235" s="527" t="s">
        <v>298</v>
      </c>
      <c r="F235" s="527"/>
      <c r="G235" s="527">
        <f t="shared" si="6"/>
        <v>1</v>
      </c>
      <c r="H235" s="558" t="str">
        <f t="shared" si="7"/>
        <v>ม.2</v>
      </c>
    </row>
    <row r="236" spans="1:8" x14ac:dyDescent="0.7">
      <c r="A236" s="527" t="s">
        <v>325</v>
      </c>
      <c r="B236" s="530" t="s">
        <v>326</v>
      </c>
      <c r="C236" s="527">
        <v>0.5</v>
      </c>
      <c r="D236" s="527" t="s">
        <v>169</v>
      </c>
      <c r="E236" s="527" t="s">
        <v>298</v>
      </c>
      <c r="F236" s="527"/>
      <c r="G236" s="527">
        <f t="shared" si="6"/>
        <v>1</v>
      </c>
      <c r="H236" s="558" t="str">
        <f t="shared" si="7"/>
        <v>ม.2</v>
      </c>
    </row>
    <row r="237" spans="1:8" x14ac:dyDescent="0.7">
      <c r="A237" s="527" t="s">
        <v>327</v>
      </c>
      <c r="B237" s="530" t="s">
        <v>328</v>
      </c>
      <c r="C237" s="527">
        <v>0.5</v>
      </c>
      <c r="D237" s="527" t="s">
        <v>169</v>
      </c>
      <c r="E237" s="527" t="s">
        <v>298</v>
      </c>
      <c r="F237" s="527"/>
      <c r="G237" s="527">
        <f t="shared" si="6"/>
        <v>1</v>
      </c>
      <c r="H237" s="558" t="str">
        <f t="shared" si="7"/>
        <v>ม.2</v>
      </c>
    </row>
    <row r="238" spans="1:8" x14ac:dyDescent="0.7">
      <c r="A238" s="527" t="s">
        <v>329</v>
      </c>
      <c r="B238" s="530" t="s">
        <v>330</v>
      </c>
      <c r="C238" s="527">
        <v>0.5</v>
      </c>
      <c r="D238" s="527" t="s">
        <v>169</v>
      </c>
      <c r="E238" s="527" t="s">
        <v>298</v>
      </c>
      <c r="F238" s="527"/>
      <c r="G238" s="527">
        <f t="shared" si="6"/>
        <v>1</v>
      </c>
      <c r="H238" s="558" t="str">
        <f t="shared" si="7"/>
        <v>ม.2</v>
      </c>
    </row>
    <row r="239" spans="1:8" x14ac:dyDescent="0.7">
      <c r="A239" s="527" t="s">
        <v>331</v>
      </c>
      <c r="B239" s="530" t="s">
        <v>332</v>
      </c>
      <c r="C239" s="527">
        <v>0.5</v>
      </c>
      <c r="D239" s="527" t="s">
        <v>169</v>
      </c>
      <c r="E239" s="527" t="s">
        <v>298</v>
      </c>
      <c r="F239" s="527"/>
      <c r="G239" s="527">
        <f t="shared" si="6"/>
        <v>1</v>
      </c>
      <c r="H239" s="558" t="str">
        <f t="shared" si="7"/>
        <v>ม.2</v>
      </c>
    </row>
    <row r="240" spans="1:8" x14ac:dyDescent="0.7">
      <c r="A240" s="527" t="s">
        <v>448</v>
      </c>
      <c r="B240" s="530" t="s">
        <v>449</v>
      </c>
      <c r="C240" s="527">
        <v>1.5</v>
      </c>
      <c r="D240" s="527" t="s">
        <v>273</v>
      </c>
      <c r="E240" s="527" t="s">
        <v>433</v>
      </c>
      <c r="F240" s="527"/>
      <c r="G240" s="527">
        <f t="shared" si="6"/>
        <v>3</v>
      </c>
      <c r="H240" s="558" t="str">
        <f t="shared" si="7"/>
        <v>ม.3</v>
      </c>
    </row>
    <row r="241" spans="1:8" x14ac:dyDescent="0.7">
      <c r="A241" s="527" t="s">
        <v>450</v>
      </c>
      <c r="B241" s="530" t="s">
        <v>451</v>
      </c>
      <c r="C241" s="527">
        <v>0.5</v>
      </c>
      <c r="D241" s="527" t="s">
        <v>273</v>
      </c>
      <c r="E241" s="527" t="s">
        <v>433</v>
      </c>
      <c r="F241" s="527"/>
      <c r="G241" s="527">
        <f t="shared" si="6"/>
        <v>1</v>
      </c>
      <c r="H241" s="558" t="str">
        <f t="shared" si="7"/>
        <v>ม.3</v>
      </c>
    </row>
    <row r="242" spans="1:8" x14ac:dyDescent="0.7">
      <c r="A242" s="527" t="s">
        <v>452</v>
      </c>
      <c r="B242" s="530" t="s">
        <v>453</v>
      </c>
      <c r="C242" s="527">
        <v>1.5</v>
      </c>
      <c r="D242" s="527" t="s">
        <v>273</v>
      </c>
      <c r="E242" s="527" t="s">
        <v>433</v>
      </c>
      <c r="F242" s="527"/>
      <c r="G242" s="527">
        <f t="shared" si="6"/>
        <v>3</v>
      </c>
      <c r="H242" s="558" t="str">
        <f t="shared" si="7"/>
        <v>ม.3</v>
      </c>
    </row>
    <row r="243" spans="1:8" x14ac:dyDescent="0.7">
      <c r="A243" s="527" t="s">
        <v>454</v>
      </c>
      <c r="B243" s="530" t="s">
        <v>455</v>
      </c>
      <c r="C243" s="527">
        <v>0.5</v>
      </c>
      <c r="D243" s="527" t="s">
        <v>273</v>
      </c>
      <c r="E243" s="527" t="s">
        <v>433</v>
      </c>
      <c r="F243" s="527"/>
      <c r="G243" s="527">
        <f t="shared" si="6"/>
        <v>1</v>
      </c>
      <c r="H243" s="558" t="str">
        <f t="shared" si="7"/>
        <v>ม.3</v>
      </c>
    </row>
    <row r="244" spans="1:8" x14ac:dyDescent="0.7">
      <c r="A244" s="527" t="s">
        <v>500</v>
      </c>
      <c r="B244" s="530" t="s">
        <v>501</v>
      </c>
      <c r="C244" s="527">
        <v>0.5</v>
      </c>
      <c r="D244" s="527" t="s">
        <v>169</v>
      </c>
      <c r="E244" s="527" t="s">
        <v>433</v>
      </c>
      <c r="F244" s="527"/>
      <c r="G244" s="527">
        <f t="shared" si="6"/>
        <v>1</v>
      </c>
      <c r="H244" s="558" t="str">
        <f t="shared" si="7"/>
        <v>ม.3</v>
      </c>
    </row>
    <row r="245" spans="1:8" x14ac:dyDescent="0.7">
      <c r="A245" s="527" t="s">
        <v>502</v>
      </c>
      <c r="B245" s="530" t="s">
        <v>503</v>
      </c>
      <c r="C245" s="527">
        <v>0.5</v>
      </c>
      <c r="D245" s="527" t="s">
        <v>169</v>
      </c>
      <c r="E245" s="527" t="s">
        <v>433</v>
      </c>
      <c r="F245" s="527"/>
      <c r="G245" s="527">
        <f t="shared" si="6"/>
        <v>1</v>
      </c>
      <c r="H245" s="558" t="str">
        <f t="shared" si="7"/>
        <v>ม.3</v>
      </c>
    </row>
    <row r="246" spans="1:8" x14ac:dyDescent="0.7">
      <c r="A246" s="527" t="s">
        <v>504</v>
      </c>
      <c r="B246" s="530" t="s">
        <v>505</v>
      </c>
      <c r="C246" s="527">
        <v>0.5</v>
      </c>
      <c r="D246" s="527" t="s">
        <v>169</v>
      </c>
      <c r="E246" s="527" t="s">
        <v>433</v>
      </c>
      <c r="F246" s="527"/>
      <c r="G246" s="527">
        <f t="shared" si="6"/>
        <v>1</v>
      </c>
      <c r="H246" s="558" t="str">
        <f t="shared" si="7"/>
        <v>ม.3</v>
      </c>
    </row>
    <row r="247" spans="1:8" x14ac:dyDescent="0.7">
      <c r="A247" s="527" t="s">
        <v>506</v>
      </c>
      <c r="B247" s="530" t="s">
        <v>507</v>
      </c>
      <c r="C247" s="527">
        <v>0.5</v>
      </c>
      <c r="D247" s="527" t="s">
        <v>169</v>
      </c>
      <c r="E247" s="527" t="s">
        <v>433</v>
      </c>
      <c r="F247" s="527"/>
      <c r="G247" s="527">
        <f t="shared" si="6"/>
        <v>1</v>
      </c>
      <c r="H247" s="558" t="str">
        <f t="shared" si="7"/>
        <v>ม.3</v>
      </c>
    </row>
    <row r="248" spans="1:8" x14ac:dyDescent="0.7">
      <c r="A248" s="527" t="s">
        <v>508</v>
      </c>
      <c r="B248" s="530" t="s">
        <v>509</v>
      </c>
      <c r="C248" s="527">
        <v>0.5</v>
      </c>
      <c r="D248" s="527" t="s">
        <v>169</v>
      </c>
      <c r="E248" s="527" t="s">
        <v>433</v>
      </c>
      <c r="F248" s="527"/>
      <c r="G248" s="527">
        <f t="shared" si="6"/>
        <v>1</v>
      </c>
      <c r="H248" s="558" t="str">
        <f t="shared" si="7"/>
        <v>ม.3</v>
      </c>
    </row>
    <row r="249" spans="1:8" x14ac:dyDescent="0.7">
      <c r="A249" s="527" t="s">
        <v>510</v>
      </c>
      <c r="B249" s="530" t="s">
        <v>511</v>
      </c>
      <c r="C249" s="527">
        <v>0.5</v>
      </c>
      <c r="D249" s="527" t="s">
        <v>169</v>
      </c>
      <c r="E249" s="527" t="s">
        <v>433</v>
      </c>
      <c r="F249" s="527"/>
      <c r="G249" s="527">
        <f t="shared" si="6"/>
        <v>1</v>
      </c>
      <c r="H249" s="558" t="str">
        <f t="shared" si="7"/>
        <v>ม.3</v>
      </c>
    </row>
    <row r="250" spans="1:8" x14ac:dyDescent="0.7">
      <c r="A250" s="527" t="s">
        <v>290</v>
      </c>
      <c r="B250" s="530" t="s">
        <v>291</v>
      </c>
      <c r="C250" s="527">
        <v>1.5</v>
      </c>
      <c r="D250" s="527" t="s">
        <v>273</v>
      </c>
      <c r="E250" s="527" t="s">
        <v>177</v>
      </c>
      <c r="F250" s="527"/>
      <c r="G250" s="527">
        <f t="shared" si="6"/>
        <v>3</v>
      </c>
      <c r="H250" s="558" t="str">
        <f t="shared" si="7"/>
        <v>ม.1</v>
      </c>
    </row>
    <row r="251" spans="1:8" x14ac:dyDescent="0.7">
      <c r="A251" s="527" t="s">
        <v>144</v>
      </c>
      <c r="B251" s="530" t="s">
        <v>292</v>
      </c>
      <c r="C251" s="527">
        <v>1.5</v>
      </c>
      <c r="D251" s="527" t="s">
        <v>273</v>
      </c>
      <c r="E251" s="527" t="s">
        <v>177</v>
      </c>
      <c r="F251" s="527"/>
      <c r="G251" s="527">
        <f t="shared" si="6"/>
        <v>3</v>
      </c>
      <c r="H251" s="558" t="str">
        <f t="shared" si="7"/>
        <v>ม.1</v>
      </c>
    </row>
    <row r="252" spans="1:8" x14ac:dyDescent="0.7">
      <c r="A252" s="527" t="s">
        <v>188</v>
      </c>
      <c r="B252" s="530" t="s">
        <v>189</v>
      </c>
      <c r="C252" s="527">
        <v>0.5</v>
      </c>
      <c r="D252" s="527" t="s">
        <v>169</v>
      </c>
      <c r="E252" s="527" t="s">
        <v>177</v>
      </c>
      <c r="F252" s="527"/>
      <c r="G252" s="527">
        <f t="shared" si="6"/>
        <v>1</v>
      </c>
      <c r="H252" s="558" t="str">
        <f t="shared" si="7"/>
        <v>ม.1</v>
      </c>
    </row>
    <row r="253" spans="1:8" x14ac:dyDescent="0.7">
      <c r="A253" s="527" t="s">
        <v>190</v>
      </c>
      <c r="B253" s="530" t="s">
        <v>191</v>
      </c>
      <c r="C253" s="527">
        <v>0.5</v>
      </c>
      <c r="D253" s="527" t="s">
        <v>169</v>
      </c>
      <c r="E253" s="527" t="s">
        <v>177</v>
      </c>
      <c r="F253" s="527"/>
      <c r="G253" s="527">
        <f t="shared" si="6"/>
        <v>1</v>
      </c>
      <c r="H253" s="558" t="str">
        <f t="shared" si="7"/>
        <v>ม.1</v>
      </c>
    </row>
    <row r="254" spans="1:8" x14ac:dyDescent="0.7">
      <c r="A254" s="527" t="s">
        <v>192</v>
      </c>
      <c r="B254" s="530" t="s">
        <v>193</v>
      </c>
      <c r="C254" s="527">
        <v>1</v>
      </c>
      <c r="D254" s="527" t="s">
        <v>169</v>
      </c>
      <c r="E254" s="527" t="s">
        <v>177</v>
      </c>
      <c r="F254" s="527"/>
      <c r="G254" s="527">
        <f t="shared" si="6"/>
        <v>2</v>
      </c>
      <c r="H254" s="558" t="str">
        <f t="shared" si="7"/>
        <v>ม.1</v>
      </c>
    </row>
    <row r="255" spans="1:8" x14ac:dyDescent="0.7">
      <c r="A255" s="527" t="s">
        <v>194</v>
      </c>
      <c r="B255" s="530" t="s">
        <v>195</v>
      </c>
      <c r="C255" s="527">
        <v>1</v>
      </c>
      <c r="D255" s="527" t="s">
        <v>169</v>
      </c>
      <c r="E255" s="527" t="s">
        <v>177</v>
      </c>
      <c r="F255" s="527"/>
      <c r="G255" s="527">
        <f t="shared" si="6"/>
        <v>2</v>
      </c>
      <c r="H255" s="558" t="str">
        <f t="shared" si="7"/>
        <v>ม.1</v>
      </c>
    </row>
    <row r="256" spans="1:8" x14ac:dyDescent="0.7">
      <c r="A256" s="527" t="s">
        <v>472</v>
      </c>
      <c r="B256" s="530" t="s">
        <v>473</v>
      </c>
      <c r="C256" s="527">
        <v>1.5</v>
      </c>
      <c r="D256" s="527" t="s">
        <v>273</v>
      </c>
      <c r="E256" s="527" t="s">
        <v>298</v>
      </c>
      <c r="F256" s="527"/>
      <c r="G256" s="527">
        <f t="shared" si="6"/>
        <v>3</v>
      </c>
      <c r="H256" s="558" t="str">
        <f t="shared" si="7"/>
        <v>ม.2</v>
      </c>
    </row>
    <row r="257" spans="1:8" x14ac:dyDescent="0.7">
      <c r="A257" s="527" t="s">
        <v>474</v>
      </c>
      <c r="B257" s="530" t="s">
        <v>475</v>
      </c>
      <c r="C257" s="527">
        <v>1.5</v>
      </c>
      <c r="D257" s="527" t="s">
        <v>273</v>
      </c>
      <c r="E257" s="527" t="s">
        <v>298</v>
      </c>
      <c r="F257" s="527"/>
      <c r="G257" s="527">
        <f t="shared" si="6"/>
        <v>3</v>
      </c>
      <c r="H257" s="558" t="str">
        <f t="shared" si="7"/>
        <v>ม.2</v>
      </c>
    </row>
    <row r="258" spans="1:8" x14ac:dyDescent="0.7">
      <c r="A258" s="527" t="s">
        <v>550</v>
      </c>
      <c r="B258" s="530" t="s">
        <v>551</v>
      </c>
      <c r="C258" s="527">
        <v>0.5</v>
      </c>
      <c r="D258" s="527" t="s">
        <v>169</v>
      </c>
      <c r="E258" s="527" t="s">
        <v>298</v>
      </c>
      <c r="F258" s="527"/>
      <c r="G258" s="527">
        <f t="shared" si="6"/>
        <v>1</v>
      </c>
      <c r="H258" s="558" t="str">
        <f t="shared" si="7"/>
        <v>ม.2</v>
      </c>
    </row>
    <row r="259" spans="1:8" x14ac:dyDescent="0.7">
      <c r="A259" s="527" t="s">
        <v>552</v>
      </c>
      <c r="B259" s="530" t="s">
        <v>553</v>
      </c>
      <c r="C259" s="527">
        <v>0.5</v>
      </c>
      <c r="D259" s="527" t="s">
        <v>169</v>
      </c>
      <c r="E259" s="527" t="s">
        <v>298</v>
      </c>
      <c r="F259" s="527"/>
      <c r="G259" s="527">
        <f t="shared" si="6"/>
        <v>1</v>
      </c>
      <c r="H259" s="558" t="str">
        <f t="shared" si="7"/>
        <v>ม.2</v>
      </c>
    </row>
    <row r="260" spans="1:8" x14ac:dyDescent="0.7">
      <c r="A260" s="527" t="s">
        <v>554</v>
      </c>
      <c r="B260" s="530" t="s">
        <v>555</v>
      </c>
      <c r="C260" s="527">
        <v>1</v>
      </c>
      <c r="D260" s="527" t="s">
        <v>169</v>
      </c>
      <c r="E260" s="527" t="s">
        <v>298</v>
      </c>
      <c r="F260" s="527"/>
      <c r="G260" s="527">
        <f t="shared" si="6"/>
        <v>2</v>
      </c>
      <c r="H260" s="558" t="str">
        <f t="shared" si="7"/>
        <v>ม.2</v>
      </c>
    </row>
    <row r="261" spans="1:8" x14ac:dyDescent="0.7">
      <c r="A261" s="527" t="s">
        <v>556</v>
      </c>
      <c r="B261" s="530" t="s">
        <v>557</v>
      </c>
      <c r="C261" s="527">
        <v>1</v>
      </c>
      <c r="D261" s="527" t="s">
        <v>169</v>
      </c>
      <c r="E261" s="527" t="s">
        <v>298</v>
      </c>
      <c r="F261" s="527"/>
      <c r="G261" s="527">
        <f t="shared" si="6"/>
        <v>2</v>
      </c>
      <c r="H261" s="558" t="str">
        <f t="shared" si="7"/>
        <v>ม.2</v>
      </c>
    </row>
    <row r="262" spans="1:8" x14ac:dyDescent="0.7">
      <c r="A262" s="527" t="s">
        <v>476</v>
      </c>
      <c r="B262" s="530" t="s">
        <v>477</v>
      </c>
      <c r="C262" s="527">
        <v>1.5</v>
      </c>
      <c r="D262" s="527" t="s">
        <v>273</v>
      </c>
      <c r="E262" s="527" t="s">
        <v>433</v>
      </c>
      <c r="F262" s="527"/>
      <c r="G262" s="527">
        <f t="shared" si="6"/>
        <v>3</v>
      </c>
      <c r="H262" s="558" t="str">
        <f t="shared" si="7"/>
        <v>ม.3</v>
      </c>
    </row>
    <row r="263" spans="1:8" x14ac:dyDescent="0.7">
      <c r="A263" s="527" t="s">
        <v>478</v>
      </c>
      <c r="B263" s="530" t="s">
        <v>479</v>
      </c>
      <c r="C263" s="527">
        <v>1.5</v>
      </c>
      <c r="D263" s="527" t="s">
        <v>273</v>
      </c>
      <c r="E263" s="527" t="s">
        <v>433</v>
      </c>
      <c r="F263" s="527"/>
      <c r="G263" s="527">
        <f t="shared" si="6"/>
        <v>3</v>
      </c>
      <c r="H263" s="558" t="str">
        <f t="shared" si="7"/>
        <v>ม.3</v>
      </c>
    </row>
    <row r="264" spans="1:8" x14ac:dyDescent="0.7">
      <c r="A264" s="527" t="s">
        <v>558</v>
      </c>
      <c r="B264" s="530" t="s">
        <v>559</v>
      </c>
      <c r="C264" s="527">
        <v>0.5</v>
      </c>
      <c r="D264" s="527" t="s">
        <v>169</v>
      </c>
      <c r="E264" s="527" t="s">
        <v>433</v>
      </c>
      <c r="F264" s="527"/>
      <c r="G264" s="527">
        <f t="shared" si="6"/>
        <v>1</v>
      </c>
      <c r="H264" s="558" t="str">
        <f t="shared" si="7"/>
        <v>ม.3</v>
      </c>
    </row>
    <row r="265" spans="1:8" x14ac:dyDescent="0.7">
      <c r="A265" s="527" t="s">
        <v>560</v>
      </c>
      <c r="B265" s="530" t="s">
        <v>561</v>
      </c>
      <c r="C265" s="527">
        <v>0.5</v>
      </c>
      <c r="D265" s="527" t="s">
        <v>169</v>
      </c>
      <c r="E265" s="527" t="s">
        <v>433</v>
      </c>
      <c r="F265" s="527"/>
      <c r="G265" s="527">
        <f t="shared" si="6"/>
        <v>1</v>
      </c>
      <c r="H265" s="558" t="str">
        <f t="shared" si="7"/>
        <v>ม.3</v>
      </c>
    </row>
    <row r="266" spans="1:8" x14ac:dyDescent="0.7">
      <c r="A266" s="527" t="s">
        <v>562</v>
      </c>
      <c r="B266" s="530" t="s">
        <v>563</v>
      </c>
      <c r="C266" s="527">
        <v>1</v>
      </c>
      <c r="D266" s="527" t="s">
        <v>169</v>
      </c>
      <c r="E266" s="527" t="s">
        <v>433</v>
      </c>
      <c r="F266" s="527"/>
      <c r="G266" s="527">
        <f t="shared" ref="G266:G329" si="8">C266*2</f>
        <v>2</v>
      </c>
      <c r="H266" s="558" t="str">
        <f t="shared" ref="H266:H329" si="9">IF(E266="-","-",IF(E266="มัธยมศึกษาปีที่ 1","ม.1",IF(E266="มัธยมศึกษาปีที่ 2","ม.2",IF(E266="มัธยมศึกษาปีที่ 3","ม.3",IF(E266="มัธยมศึกษาปีที่ 4","ม.4",IF(E266="มัธยมศึกษาปีที่ 5","ม.5",IF(E266="มัธยมศึกษาปีที่ 6","ม.6",IF(E266="มัธยมศึกษาปีที่ 1-3","ม.1-3",E266))))))))</f>
        <v>ม.3</v>
      </c>
    </row>
    <row r="267" spans="1:8" x14ac:dyDescent="0.7">
      <c r="A267" s="527" t="s">
        <v>564</v>
      </c>
      <c r="B267" s="530" t="s">
        <v>565</v>
      </c>
      <c r="C267" s="527">
        <v>1</v>
      </c>
      <c r="D267" s="527" t="s">
        <v>169</v>
      </c>
      <c r="E267" s="527" t="s">
        <v>433</v>
      </c>
      <c r="F267" s="527"/>
      <c r="G267" s="527">
        <f t="shared" si="8"/>
        <v>2</v>
      </c>
      <c r="H267" s="558" t="str">
        <f t="shared" si="9"/>
        <v>ม.3</v>
      </c>
    </row>
    <row r="268" spans="1:8" x14ac:dyDescent="0.7">
      <c r="A268" s="527" t="s">
        <v>778</v>
      </c>
      <c r="B268" s="530" t="s">
        <v>275</v>
      </c>
      <c r="C268" s="527">
        <v>1</v>
      </c>
      <c r="D268" s="530" t="s">
        <v>273</v>
      </c>
      <c r="E268" s="530" t="s">
        <v>758</v>
      </c>
      <c r="F268" s="527"/>
      <c r="G268" s="527">
        <f t="shared" si="8"/>
        <v>2</v>
      </c>
      <c r="H268" s="558" t="str">
        <f t="shared" si="9"/>
        <v>ม.4</v>
      </c>
    </row>
    <row r="269" spans="1:8" x14ac:dyDescent="0.7">
      <c r="A269" s="527" t="s">
        <v>779</v>
      </c>
      <c r="B269" s="530" t="s">
        <v>128</v>
      </c>
      <c r="C269" s="527">
        <v>1</v>
      </c>
      <c r="D269" s="530" t="s">
        <v>273</v>
      </c>
      <c r="E269" s="530" t="s">
        <v>758</v>
      </c>
      <c r="F269" s="527"/>
      <c r="G269" s="527">
        <f t="shared" si="8"/>
        <v>2</v>
      </c>
      <c r="H269" s="558" t="str">
        <f t="shared" si="9"/>
        <v>ม.4</v>
      </c>
    </row>
    <row r="270" spans="1:8" x14ac:dyDescent="0.7">
      <c r="A270" s="527" t="s">
        <v>783</v>
      </c>
      <c r="B270" s="530" t="s">
        <v>701</v>
      </c>
      <c r="C270" s="527">
        <v>1.5</v>
      </c>
      <c r="D270" s="530" t="s">
        <v>169</v>
      </c>
      <c r="E270" s="530" t="s">
        <v>758</v>
      </c>
      <c r="F270" s="527"/>
      <c r="G270" s="527">
        <f t="shared" si="8"/>
        <v>3</v>
      </c>
      <c r="H270" s="558" t="str">
        <f t="shared" si="9"/>
        <v>ม.4</v>
      </c>
    </row>
    <row r="271" spans="1:8" x14ac:dyDescent="0.7">
      <c r="A271" s="527" t="s">
        <v>784</v>
      </c>
      <c r="B271" s="530" t="s">
        <v>703</v>
      </c>
      <c r="C271" s="527">
        <v>1.5</v>
      </c>
      <c r="D271" s="530" t="s">
        <v>169</v>
      </c>
      <c r="E271" s="530" t="s">
        <v>758</v>
      </c>
      <c r="F271" s="527"/>
      <c r="G271" s="527">
        <f t="shared" si="8"/>
        <v>3</v>
      </c>
      <c r="H271" s="558" t="str">
        <f t="shared" si="9"/>
        <v>ม.4</v>
      </c>
    </row>
    <row r="272" spans="1:8" x14ac:dyDescent="0.7">
      <c r="A272" s="527" t="s">
        <v>780</v>
      </c>
      <c r="B272" s="530" t="s">
        <v>396</v>
      </c>
      <c r="C272" s="527">
        <v>1</v>
      </c>
      <c r="D272" s="530" t="s">
        <v>273</v>
      </c>
      <c r="E272" s="530" t="s">
        <v>761</v>
      </c>
      <c r="F272" s="527"/>
      <c r="G272" s="527">
        <f t="shared" si="8"/>
        <v>2</v>
      </c>
      <c r="H272" s="558" t="str">
        <f t="shared" si="9"/>
        <v>ม.5</v>
      </c>
    </row>
    <row r="273" spans="1:8" x14ac:dyDescent="0.7">
      <c r="A273" s="527" t="s">
        <v>781</v>
      </c>
      <c r="B273" s="530" t="s">
        <v>398</v>
      </c>
      <c r="C273" s="527">
        <v>1</v>
      </c>
      <c r="D273" s="530" t="s">
        <v>273</v>
      </c>
      <c r="E273" s="530" t="s">
        <v>761</v>
      </c>
      <c r="F273" s="527"/>
      <c r="G273" s="527">
        <f t="shared" si="8"/>
        <v>2</v>
      </c>
      <c r="H273" s="558" t="str">
        <f t="shared" si="9"/>
        <v>ม.5</v>
      </c>
    </row>
    <row r="274" spans="1:8" x14ac:dyDescent="0.7">
      <c r="A274" s="527" t="s">
        <v>785</v>
      </c>
      <c r="B274" s="530" t="s">
        <v>705</v>
      </c>
      <c r="C274" s="527">
        <v>1.5</v>
      </c>
      <c r="D274" s="530" t="s">
        <v>169</v>
      </c>
      <c r="E274" s="530" t="s">
        <v>761</v>
      </c>
      <c r="F274" s="527"/>
      <c r="G274" s="527">
        <f t="shared" si="8"/>
        <v>3</v>
      </c>
      <c r="H274" s="558" t="str">
        <f t="shared" si="9"/>
        <v>ม.5</v>
      </c>
    </row>
    <row r="275" spans="1:8" x14ac:dyDescent="0.7">
      <c r="A275" s="527" t="s">
        <v>786</v>
      </c>
      <c r="B275" s="530" t="s">
        <v>707</v>
      </c>
      <c r="C275" s="527">
        <v>1.5</v>
      </c>
      <c r="D275" s="530" t="s">
        <v>169</v>
      </c>
      <c r="E275" s="530" t="s">
        <v>761</v>
      </c>
      <c r="F275" s="527"/>
      <c r="G275" s="527">
        <f t="shared" si="8"/>
        <v>3</v>
      </c>
      <c r="H275" s="558" t="str">
        <f t="shared" si="9"/>
        <v>ม.5</v>
      </c>
    </row>
    <row r="276" spans="1:8" x14ac:dyDescent="0.7">
      <c r="A276" s="527" t="s">
        <v>782</v>
      </c>
      <c r="B276" s="530" t="s">
        <v>437</v>
      </c>
      <c r="C276" s="527">
        <v>1</v>
      </c>
      <c r="D276" s="530" t="s">
        <v>273</v>
      </c>
      <c r="E276" s="530" t="s">
        <v>775</v>
      </c>
      <c r="F276" s="527"/>
      <c r="G276" s="527">
        <f t="shared" si="8"/>
        <v>2</v>
      </c>
      <c r="H276" s="558" t="str">
        <f t="shared" si="9"/>
        <v>ม.6</v>
      </c>
    </row>
    <row r="277" spans="1:8" x14ac:dyDescent="0.7">
      <c r="A277" s="527" t="s">
        <v>787</v>
      </c>
      <c r="B277" s="530" t="s">
        <v>709</v>
      </c>
      <c r="C277" s="527">
        <v>1.5</v>
      </c>
      <c r="D277" s="530" t="s">
        <v>169</v>
      </c>
      <c r="E277" s="530" t="s">
        <v>775</v>
      </c>
      <c r="F277" s="527"/>
      <c r="G277" s="527">
        <f t="shared" si="8"/>
        <v>3</v>
      </c>
      <c r="H277" s="558" t="str">
        <f t="shared" si="9"/>
        <v>ม.6</v>
      </c>
    </row>
    <row r="278" spans="1:8" x14ac:dyDescent="0.7">
      <c r="A278" s="527" t="s">
        <v>788</v>
      </c>
      <c r="B278" s="530" t="s">
        <v>711</v>
      </c>
      <c r="C278" s="527">
        <v>1.5</v>
      </c>
      <c r="D278" s="530" t="s">
        <v>169</v>
      </c>
      <c r="E278" s="530" t="s">
        <v>775</v>
      </c>
      <c r="F278" s="527"/>
      <c r="G278" s="527">
        <f t="shared" si="8"/>
        <v>3</v>
      </c>
      <c r="H278" s="558" t="str">
        <f t="shared" si="9"/>
        <v>ม.6</v>
      </c>
    </row>
    <row r="279" spans="1:8" x14ac:dyDescent="0.7">
      <c r="A279" s="527" t="s">
        <v>1049</v>
      </c>
      <c r="B279" s="530" t="s">
        <v>1050</v>
      </c>
      <c r="C279" s="527">
        <v>1</v>
      </c>
      <c r="D279" s="530" t="s">
        <v>169</v>
      </c>
      <c r="E279" s="530" t="s">
        <v>758</v>
      </c>
      <c r="F279" s="527" t="s">
        <v>861</v>
      </c>
      <c r="G279" s="527">
        <f t="shared" si="8"/>
        <v>2</v>
      </c>
      <c r="H279" s="558" t="str">
        <f t="shared" si="9"/>
        <v>ม.4</v>
      </c>
    </row>
    <row r="280" spans="1:8" x14ac:dyDescent="0.7">
      <c r="A280" s="527" t="s">
        <v>1051</v>
      </c>
      <c r="B280" s="530" t="s">
        <v>1052</v>
      </c>
      <c r="C280" s="527">
        <v>1</v>
      </c>
      <c r="D280" s="530" t="s">
        <v>169</v>
      </c>
      <c r="E280" s="530" t="s">
        <v>758</v>
      </c>
      <c r="F280" s="527" t="s">
        <v>861</v>
      </c>
      <c r="G280" s="527">
        <f t="shared" si="8"/>
        <v>2</v>
      </c>
      <c r="H280" s="558" t="str">
        <f t="shared" si="9"/>
        <v>ม.4</v>
      </c>
    </row>
    <row r="281" spans="1:8" x14ac:dyDescent="0.7">
      <c r="A281" s="527" t="s">
        <v>1053</v>
      </c>
      <c r="B281" s="530" t="s">
        <v>1054</v>
      </c>
      <c r="C281" s="527">
        <v>1</v>
      </c>
      <c r="D281" s="530" t="s">
        <v>169</v>
      </c>
      <c r="E281" s="530" t="s">
        <v>761</v>
      </c>
      <c r="F281" s="527" t="s">
        <v>861</v>
      </c>
      <c r="G281" s="527">
        <f t="shared" si="8"/>
        <v>2</v>
      </c>
      <c r="H281" s="558" t="str">
        <f t="shared" si="9"/>
        <v>ม.5</v>
      </c>
    </row>
    <row r="282" spans="1:8" x14ac:dyDescent="0.7">
      <c r="A282" s="527" t="s">
        <v>1055</v>
      </c>
      <c r="B282" s="530" t="s">
        <v>1056</v>
      </c>
      <c r="C282" s="527">
        <v>1</v>
      </c>
      <c r="D282" s="530" t="s">
        <v>169</v>
      </c>
      <c r="E282" s="530" t="s">
        <v>761</v>
      </c>
      <c r="F282" s="527" t="s">
        <v>861</v>
      </c>
      <c r="G282" s="527">
        <f t="shared" si="8"/>
        <v>2</v>
      </c>
      <c r="H282" s="558" t="str">
        <f t="shared" si="9"/>
        <v>ม.5</v>
      </c>
    </row>
    <row r="283" spans="1:8" x14ac:dyDescent="0.7">
      <c r="A283" s="527" t="s">
        <v>1057</v>
      </c>
      <c r="B283" s="530" t="s">
        <v>1058</v>
      </c>
      <c r="C283" s="527">
        <v>1</v>
      </c>
      <c r="D283" s="530" t="s">
        <v>169</v>
      </c>
      <c r="E283" s="530" t="s">
        <v>775</v>
      </c>
      <c r="F283" s="527" t="s">
        <v>861</v>
      </c>
      <c r="G283" s="527">
        <f t="shared" si="8"/>
        <v>2</v>
      </c>
      <c r="H283" s="558" t="str">
        <f t="shared" si="9"/>
        <v>ม.6</v>
      </c>
    </row>
    <row r="284" spans="1:8" x14ac:dyDescent="0.7">
      <c r="A284" s="527" t="s">
        <v>1059</v>
      </c>
      <c r="B284" s="530" t="s">
        <v>1060</v>
      </c>
      <c r="C284" s="527">
        <v>1</v>
      </c>
      <c r="D284" s="530" t="s">
        <v>169</v>
      </c>
      <c r="E284" s="530" t="s">
        <v>775</v>
      </c>
      <c r="F284" s="527" t="s">
        <v>861</v>
      </c>
      <c r="G284" s="527">
        <f t="shared" si="8"/>
        <v>2</v>
      </c>
      <c r="H284" s="558" t="str">
        <f t="shared" si="9"/>
        <v>ม.6</v>
      </c>
    </row>
    <row r="285" spans="1:8" x14ac:dyDescent="0.7">
      <c r="A285" s="527" t="s">
        <v>1043</v>
      </c>
      <c r="B285" s="530" t="s">
        <v>1044</v>
      </c>
      <c r="C285" s="527">
        <v>0.5</v>
      </c>
      <c r="D285" s="530" t="s">
        <v>273</v>
      </c>
      <c r="E285" s="530" t="s">
        <v>758</v>
      </c>
      <c r="F285" s="527"/>
      <c r="G285" s="527">
        <f t="shared" si="8"/>
        <v>1</v>
      </c>
      <c r="H285" s="558" t="str">
        <f t="shared" si="9"/>
        <v>ม.4</v>
      </c>
    </row>
    <row r="286" spans="1:8" x14ac:dyDescent="0.7">
      <c r="A286" s="527" t="s">
        <v>1045</v>
      </c>
      <c r="B286" s="530" t="s">
        <v>1046</v>
      </c>
      <c r="C286" s="527">
        <v>0.5</v>
      </c>
      <c r="D286" s="530" t="s">
        <v>273</v>
      </c>
      <c r="E286" s="530" t="s">
        <v>761</v>
      </c>
      <c r="F286" s="527"/>
      <c r="G286" s="527">
        <f t="shared" si="8"/>
        <v>1</v>
      </c>
      <c r="H286" s="558" t="str">
        <f t="shared" si="9"/>
        <v>ม.5</v>
      </c>
    </row>
    <row r="287" spans="1:8" x14ac:dyDescent="0.7">
      <c r="A287" s="527" t="s">
        <v>1047</v>
      </c>
      <c r="B287" s="530" t="s">
        <v>1048</v>
      </c>
      <c r="C287" s="527">
        <v>0.5</v>
      </c>
      <c r="D287" s="530" t="s">
        <v>273</v>
      </c>
      <c r="E287" s="530" t="s">
        <v>775</v>
      </c>
      <c r="F287" s="527"/>
      <c r="G287" s="527">
        <f t="shared" si="8"/>
        <v>1</v>
      </c>
      <c r="H287" s="558" t="str">
        <f t="shared" si="9"/>
        <v>ม.6</v>
      </c>
    </row>
    <row r="288" spans="1:8" x14ac:dyDescent="0.7">
      <c r="A288" s="527" t="s">
        <v>1093</v>
      </c>
      <c r="B288" s="530" t="s">
        <v>668</v>
      </c>
      <c r="C288" s="527">
        <v>1</v>
      </c>
      <c r="D288" s="530" t="s">
        <v>169</v>
      </c>
      <c r="E288" s="530" t="s">
        <v>758</v>
      </c>
      <c r="F288" s="527"/>
      <c r="G288" s="527">
        <f t="shared" si="8"/>
        <v>2</v>
      </c>
      <c r="H288" s="558" t="str">
        <f t="shared" si="9"/>
        <v>ม.4</v>
      </c>
    </row>
    <row r="289" spans="1:8" x14ac:dyDescent="0.7">
      <c r="A289" s="527" t="s">
        <v>1094</v>
      </c>
      <c r="B289" s="530" t="s">
        <v>1095</v>
      </c>
      <c r="C289" s="527">
        <v>1</v>
      </c>
      <c r="D289" s="530" t="s">
        <v>169</v>
      </c>
      <c r="E289" s="530" t="s">
        <v>758</v>
      </c>
      <c r="F289" s="527"/>
      <c r="G289" s="527">
        <f t="shared" si="8"/>
        <v>2</v>
      </c>
      <c r="H289" s="558" t="str">
        <f t="shared" si="9"/>
        <v>ม.4</v>
      </c>
    </row>
    <row r="290" spans="1:8" x14ac:dyDescent="0.7">
      <c r="A290" s="527" t="s">
        <v>1096</v>
      </c>
      <c r="B290" s="530" t="s">
        <v>670</v>
      </c>
      <c r="C290" s="527">
        <v>1</v>
      </c>
      <c r="D290" s="530" t="s">
        <v>169</v>
      </c>
      <c r="E290" s="530" t="s">
        <v>758</v>
      </c>
      <c r="F290" s="527"/>
      <c r="G290" s="527">
        <f t="shared" si="8"/>
        <v>2</v>
      </c>
      <c r="H290" s="558" t="str">
        <f t="shared" si="9"/>
        <v>ม.4</v>
      </c>
    </row>
    <row r="291" spans="1:8" x14ac:dyDescent="0.7">
      <c r="A291" s="527" t="s">
        <v>1097</v>
      </c>
      <c r="B291" s="530" t="s">
        <v>1098</v>
      </c>
      <c r="C291" s="527">
        <v>1</v>
      </c>
      <c r="D291" s="530" t="s">
        <v>169</v>
      </c>
      <c r="E291" s="530" t="s">
        <v>758</v>
      </c>
      <c r="F291" s="527"/>
      <c r="G291" s="527">
        <f t="shared" si="8"/>
        <v>2</v>
      </c>
      <c r="H291" s="558" t="str">
        <f t="shared" si="9"/>
        <v>ม.4</v>
      </c>
    </row>
    <row r="292" spans="1:8" x14ac:dyDescent="0.7">
      <c r="A292" s="532" t="s">
        <v>1099</v>
      </c>
      <c r="B292" s="533" t="s">
        <v>1100</v>
      </c>
      <c r="C292" s="532">
        <v>1</v>
      </c>
      <c r="D292" s="533" t="s">
        <v>169</v>
      </c>
      <c r="E292" s="533" t="s">
        <v>758</v>
      </c>
      <c r="F292" s="532" t="s">
        <v>861</v>
      </c>
      <c r="G292" s="532">
        <f t="shared" si="8"/>
        <v>2</v>
      </c>
      <c r="H292" s="558" t="str">
        <f t="shared" si="9"/>
        <v>ม.4</v>
      </c>
    </row>
    <row r="293" spans="1:8" x14ac:dyDescent="0.7">
      <c r="A293" s="532" t="s">
        <v>1101</v>
      </c>
      <c r="B293" s="533" t="s">
        <v>1102</v>
      </c>
      <c r="C293" s="532">
        <v>1</v>
      </c>
      <c r="D293" s="533" t="s">
        <v>169</v>
      </c>
      <c r="E293" s="533" t="s">
        <v>758</v>
      </c>
      <c r="F293" s="532" t="s">
        <v>861</v>
      </c>
      <c r="G293" s="532">
        <f t="shared" si="8"/>
        <v>2</v>
      </c>
      <c r="H293" s="558" t="str">
        <f t="shared" si="9"/>
        <v>ม.4</v>
      </c>
    </row>
    <row r="294" spans="1:8" x14ac:dyDescent="0.7">
      <c r="A294" s="527" t="s">
        <v>1103</v>
      </c>
      <c r="B294" s="530" t="s">
        <v>672</v>
      </c>
      <c r="C294" s="527">
        <v>1</v>
      </c>
      <c r="D294" s="530" t="s">
        <v>169</v>
      </c>
      <c r="E294" s="530" t="s">
        <v>761</v>
      </c>
      <c r="F294" s="527"/>
      <c r="G294" s="527">
        <f t="shared" si="8"/>
        <v>2</v>
      </c>
      <c r="H294" s="558" t="str">
        <f t="shared" si="9"/>
        <v>ม.5</v>
      </c>
    </row>
    <row r="295" spans="1:8" x14ac:dyDescent="0.7">
      <c r="A295" s="527" t="s">
        <v>1104</v>
      </c>
      <c r="B295" s="530" t="s">
        <v>1105</v>
      </c>
      <c r="C295" s="527">
        <v>1</v>
      </c>
      <c r="D295" s="530" t="s">
        <v>169</v>
      </c>
      <c r="E295" s="530" t="s">
        <v>761</v>
      </c>
      <c r="F295" s="527"/>
      <c r="G295" s="527">
        <f t="shared" si="8"/>
        <v>2</v>
      </c>
      <c r="H295" s="558" t="str">
        <f t="shared" si="9"/>
        <v>ม.5</v>
      </c>
    </row>
    <row r="296" spans="1:8" x14ac:dyDescent="0.7">
      <c r="A296" s="527" t="s">
        <v>1106</v>
      </c>
      <c r="B296" s="530" t="s">
        <v>674</v>
      </c>
      <c r="C296" s="527">
        <v>1</v>
      </c>
      <c r="D296" s="530" t="s">
        <v>169</v>
      </c>
      <c r="E296" s="530" t="s">
        <v>761</v>
      </c>
      <c r="F296" s="527"/>
      <c r="G296" s="527">
        <f t="shared" si="8"/>
        <v>2</v>
      </c>
      <c r="H296" s="558" t="str">
        <f t="shared" si="9"/>
        <v>ม.5</v>
      </c>
    </row>
    <row r="297" spans="1:8" x14ac:dyDescent="0.7">
      <c r="A297" s="527" t="s">
        <v>1107</v>
      </c>
      <c r="B297" s="530" t="s">
        <v>1108</v>
      </c>
      <c r="C297" s="527">
        <v>1</v>
      </c>
      <c r="D297" s="530" t="s">
        <v>169</v>
      </c>
      <c r="E297" s="530" t="s">
        <v>761</v>
      </c>
      <c r="F297" s="527"/>
      <c r="G297" s="527">
        <f t="shared" si="8"/>
        <v>2</v>
      </c>
      <c r="H297" s="558" t="str">
        <f t="shared" si="9"/>
        <v>ม.5</v>
      </c>
    </row>
    <row r="298" spans="1:8" x14ac:dyDescent="0.7">
      <c r="A298" s="532" t="s">
        <v>1109</v>
      </c>
      <c r="B298" s="533" t="s">
        <v>1110</v>
      </c>
      <c r="C298" s="532">
        <v>1</v>
      </c>
      <c r="D298" s="533" t="s">
        <v>169</v>
      </c>
      <c r="E298" s="533" t="s">
        <v>761</v>
      </c>
      <c r="F298" s="532" t="s">
        <v>861</v>
      </c>
      <c r="G298" s="532">
        <f t="shared" si="8"/>
        <v>2</v>
      </c>
      <c r="H298" s="558" t="str">
        <f t="shared" si="9"/>
        <v>ม.5</v>
      </c>
    </row>
    <row r="299" spans="1:8" x14ac:dyDescent="0.7">
      <c r="A299" s="532" t="s">
        <v>1111</v>
      </c>
      <c r="B299" s="533" t="s">
        <v>1112</v>
      </c>
      <c r="C299" s="532">
        <v>1</v>
      </c>
      <c r="D299" s="533" t="s">
        <v>169</v>
      </c>
      <c r="E299" s="533" t="s">
        <v>761</v>
      </c>
      <c r="F299" s="532" t="s">
        <v>861</v>
      </c>
      <c r="G299" s="532">
        <f t="shared" si="8"/>
        <v>2</v>
      </c>
      <c r="H299" s="558" t="str">
        <f t="shared" si="9"/>
        <v>ม.5</v>
      </c>
    </row>
    <row r="300" spans="1:8" x14ac:dyDescent="0.7">
      <c r="A300" s="527" t="s">
        <v>1113</v>
      </c>
      <c r="B300" s="530" t="s">
        <v>676</v>
      </c>
      <c r="C300" s="527">
        <v>1</v>
      </c>
      <c r="D300" s="530" t="s">
        <v>169</v>
      </c>
      <c r="E300" s="530" t="s">
        <v>775</v>
      </c>
      <c r="F300" s="527"/>
      <c r="G300" s="527">
        <f t="shared" si="8"/>
        <v>2</v>
      </c>
      <c r="H300" s="558" t="str">
        <f t="shared" si="9"/>
        <v>ม.6</v>
      </c>
    </row>
    <row r="301" spans="1:8" x14ac:dyDescent="0.7">
      <c r="A301" s="527" t="s">
        <v>1114</v>
      </c>
      <c r="B301" s="530" t="s">
        <v>1115</v>
      </c>
      <c r="C301" s="527">
        <v>1</v>
      </c>
      <c r="D301" s="530" t="s">
        <v>169</v>
      </c>
      <c r="E301" s="530" t="s">
        <v>775</v>
      </c>
      <c r="F301" s="527"/>
      <c r="G301" s="527">
        <f t="shared" si="8"/>
        <v>2</v>
      </c>
      <c r="H301" s="558" t="str">
        <f t="shared" si="9"/>
        <v>ม.6</v>
      </c>
    </row>
    <row r="302" spans="1:8" x14ac:dyDescent="0.7">
      <c r="A302" s="527" t="s">
        <v>1116</v>
      </c>
      <c r="B302" s="530" t="s">
        <v>678</v>
      </c>
      <c r="C302" s="527">
        <v>1</v>
      </c>
      <c r="D302" s="530" t="s">
        <v>169</v>
      </c>
      <c r="E302" s="530" t="s">
        <v>775</v>
      </c>
      <c r="F302" s="527"/>
      <c r="G302" s="527">
        <f t="shared" si="8"/>
        <v>2</v>
      </c>
      <c r="H302" s="558" t="str">
        <f t="shared" si="9"/>
        <v>ม.6</v>
      </c>
    </row>
    <row r="303" spans="1:8" x14ac:dyDescent="0.7">
      <c r="A303" s="527" t="s">
        <v>1117</v>
      </c>
      <c r="B303" s="530" t="s">
        <v>1118</v>
      </c>
      <c r="C303" s="527">
        <v>1</v>
      </c>
      <c r="D303" s="530" t="s">
        <v>169</v>
      </c>
      <c r="E303" s="530" t="s">
        <v>775</v>
      </c>
      <c r="F303" s="527"/>
      <c r="G303" s="527">
        <f t="shared" si="8"/>
        <v>2</v>
      </c>
      <c r="H303" s="558" t="str">
        <f t="shared" si="9"/>
        <v>ม.6</v>
      </c>
    </row>
    <row r="304" spans="1:8" x14ac:dyDescent="0.7">
      <c r="A304" s="532" t="s">
        <v>1119</v>
      </c>
      <c r="B304" s="533" t="s">
        <v>1120</v>
      </c>
      <c r="C304" s="532">
        <v>1</v>
      </c>
      <c r="D304" s="533" t="s">
        <v>169</v>
      </c>
      <c r="E304" s="533" t="s">
        <v>775</v>
      </c>
      <c r="F304" s="532" t="s">
        <v>861</v>
      </c>
      <c r="G304" s="532">
        <f t="shared" si="8"/>
        <v>2</v>
      </c>
      <c r="H304" s="558" t="str">
        <f t="shared" si="9"/>
        <v>ม.6</v>
      </c>
    </row>
    <row r="305" spans="1:8" x14ac:dyDescent="0.7">
      <c r="A305" s="532" t="s">
        <v>1121</v>
      </c>
      <c r="B305" s="533" t="s">
        <v>1122</v>
      </c>
      <c r="C305" s="532">
        <v>1</v>
      </c>
      <c r="D305" s="533" t="s">
        <v>169</v>
      </c>
      <c r="E305" s="533" t="s">
        <v>775</v>
      </c>
      <c r="F305" s="532" t="s">
        <v>861</v>
      </c>
      <c r="G305" s="532">
        <f t="shared" si="8"/>
        <v>2</v>
      </c>
      <c r="H305" s="558" t="str">
        <f t="shared" si="9"/>
        <v>ม.6</v>
      </c>
    </row>
    <row r="306" spans="1:8" x14ac:dyDescent="0.7">
      <c r="A306" s="527" t="s">
        <v>757</v>
      </c>
      <c r="B306" s="530" t="s">
        <v>272</v>
      </c>
      <c r="C306" s="527">
        <v>1</v>
      </c>
      <c r="D306" s="530" t="s">
        <v>273</v>
      </c>
      <c r="E306" s="530" t="s">
        <v>758</v>
      </c>
      <c r="F306" s="527"/>
      <c r="G306" s="527">
        <f t="shared" si="8"/>
        <v>2</v>
      </c>
      <c r="H306" s="558" t="str">
        <f t="shared" si="9"/>
        <v>ม.4</v>
      </c>
    </row>
    <row r="307" spans="1:8" x14ac:dyDescent="0.7">
      <c r="A307" s="527" t="s">
        <v>759</v>
      </c>
      <c r="B307" s="530" t="s">
        <v>126</v>
      </c>
      <c r="C307" s="527">
        <v>1</v>
      </c>
      <c r="D307" s="530" t="s">
        <v>273</v>
      </c>
      <c r="E307" s="530" t="s">
        <v>758</v>
      </c>
      <c r="F307" s="527"/>
      <c r="G307" s="527">
        <f t="shared" si="8"/>
        <v>2</v>
      </c>
      <c r="H307" s="558" t="str">
        <f t="shared" si="9"/>
        <v>ม.4</v>
      </c>
    </row>
    <row r="308" spans="1:8" x14ac:dyDescent="0.7">
      <c r="A308" s="527" t="s">
        <v>765</v>
      </c>
      <c r="B308" s="530" t="s">
        <v>766</v>
      </c>
      <c r="C308" s="527">
        <v>1</v>
      </c>
      <c r="D308" s="530" t="s">
        <v>169</v>
      </c>
      <c r="E308" s="530" t="s">
        <v>758</v>
      </c>
      <c r="F308" s="527"/>
      <c r="G308" s="527">
        <f t="shared" si="8"/>
        <v>2</v>
      </c>
      <c r="H308" s="558" t="str">
        <f t="shared" si="9"/>
        <v>ม.4</v>
      </c>
    </row>
    <row r="309" spans="1:8" x14ac:dyDescent="0.7">
      <c r="A309" s="527" t="s">
        <v>767</v>
      </c>
      <c r="B309" s="530" t="s">
        <v>768</v>
      </c>
      <c r="C309" s="527">
        <v>1</v>
      </c>
      <c r="D309" s="530" t="s">
        <v>169</v>
      </c>
      <c r="E309" s="530" t="s">
        <v>758</v>
      </c>
      <c r="F309" s="527"/>
      <c r="G309" s="527">
        <f t="shared" si="8"/>
        <v>2</v>
      </c>
      <c r="H309" s="558" t="str">
        <f t="shared" si="9"/>
        <v>ม.4</v>
      </c>
    </row>
    <row r="310" spans="1:8" x14ac:dyDescent="0.7">
      <c r="A310" s="527" t="s">
        <v>760</v>
      </c>
      <c r="B310" s="530" t="s">
        <v>392</v>
      </c>
      <c r="C310" s="527">
        <v>1</v>
      </c>
      <c r="D310" s="530" t="s">
        <v>273</v>
      </c>
      <c r="E310" s="530" t="s">
        <v>761</v>
      </c>
      <c r="F310" s="527"/>
      <c r="G310" s="527">
        <f t="shared" si="8"/>
        <v>2</v>
      </c>
      <c r="H310" s="558" t="str">
        <f t="shared" si="9"/>
        <v>ม.5</v>
      </c>
    </row>
    <row r="311" spans="1:8" x14ac:dyDescent="0.7">
      <c r="A311" s="527" t="s">
        <v>762</v>
      </c>
      <c r="B311" s="530" t="s">
        <v>394</v>
      </c>
      <c r="C311" s="527">
        <v>1</v>
      </c>
      <c r="D311" s="530" t="s">
        <v>273</v>
      </c>
      <c r="E311" s="530" t="s">
        <v>761</v>
      </c>
      <c r="F311" s="527"/>
      <c r="G311" s="527">
        <f t="shared" si="8"/>
        <v>2</v>
      </c>
      <c r="H311" s="558" t="str">
        <f t="shared" si="9"/>
        <v>ม.5</v>
      </c>
    </row>
    <row r="312" spans="1:8" x14ac:dyDescent="0.7">
      <c r="A312" s="527" t="s">
        <v>769</v>
      </c>
      <c r="B312" s="530" t="s">
        <v>770</v>
      </c>
      <c r="C312" s="527">
        <v>1</v>
      </c>
      <c r="D312" s="530" t="s">
        <v>169</v>
      </c>
      <c r="E312" s="530" t="s">
        <v>761</v>
      </c>
      <c r="F312" s="527"/>
      <c r="G312" s="527">
        <f t="shared" si="8"/>
        <v>2</v>
      </c>
      <c r="H312" s="558" t="str">
        <f t="shared" si="9"/>
        <v>ม.5</v>
      </c>
    </row>
    <row r="313" spans="1:8" x14ac:dyDescent="0.7">
      <c r="A313" s="527" t="s">
        <v>771</v>
      </c>
      <c r="B313" s="530" t="s">
        <v>772</v>
      </c>
      <c r="C313" s="527">
        <v>1</v>
      </c>
      <c r="D313" s="530" t="s">
        <v>169</v>
      </c>
      <c r="E313" s="530" t="s">
        <v>761</v>
      </c>
      <c r="F313" s="527"/>
      <c r="G313" s="527">
        <f t="shared" si="8"/>
        <v>2</v>
      </c>
      <c r="H313" s="558" t="str">
        <f t="shared" si="9"/>
        <v>ม.5</v>
      </c>
    </row>
    <row r="314" spans="1:8" x14ac:dyDescent="0.7">
      <c r="A314" s="527" t="s">
        <v>763</v>
      </c>
      <c r="B314" s="530" t="s">
        <v>432</v>
      </c>
      <c r="C314" s="527">
        <v>1</v>
      </c>
      <c r="D314" s="530" t="s">
        <v>273</v>
      </c>
      <c r="E314" s="530" t="s">
        <v>775</v>
      </c>
      <c r="F314" s="527"/>
      <c r="G314" s="527">
        <f t="shared" si="8"/>
        <v>2</v>
      </c>
      <c r="H314" s="558" t="str">
        <f t="shared" si="9"/>
        <v>ม.6</v>
      </c>
    </row>
    <row r="315" spans="1:8" x14ac:dyDescent="0.7">
      <c r="A315" s="527" t="s">
        <v>764</v>
      </c>
      <c r="B315" s="530" t="s">
        <v>435</v>
      </c>
      <c r="C315" s="527">
        <v>1</v>
      </c>
      <c r="D315" s="530" t="s">
        <v>273</v>
      </c>
      <c r="E315" s="530" t="s">
        <v>775</v>
      </c>
      <c r="F315" s="527"/>
      <c r="G315" s="527">
        <f t="shared" si="8"/>
        <v>2</v>
      </c>
      <c r="H315" s="558" t="str">
        <f t="shared" si="9"/>
        <v>ม.6</v>
      </c>
    </row>
    <row r="316" spans="1:8" x14ac:dyDescent="0.7">
      <c r="A316" s="527" t="s">
        <v>773</v>
      </c>
      <c r="B316" s="530" t="s">
        <v>774</v>
      </c>
      <c r="C316" s="527">
        <v>1</v>
      </c>
      <c r="D316" s="530" t="s">
        <v>169</v>
      </c>
      <c r="E316" s="530" t="s">
        <v>775</v>
      </c>
      <c r="F316" s="527"/>
      <c r="G316" s="527">
        <f t="shared" si="8"/>
        <v>2</v>
      </c>
      <c r="H316" s="558" t="str">
        <f t="shared" si="9"/>
        <v>ม.6</v>
      </c>
    </row>
    <row r="317" spans="1:8" x14ac:dyDescent="0.7">
      <c r="A317" s="527" t="s">
        <v>776</v>
      </c>
      <c r="B317" s="530" t="s">
        <v>777</v>
      </c>
      <c r="C317" s="527">
        <v>1</v>
      </c>
      <c r="D317" s="530" t="s">
        <v>169</v>
      </c>
      <c r="E317" s="530" t="s">
        <v>775</v>
      </c>
      <c r="F317" s="527"/>
      <c r="G317" s="527">
        <f t="shared" si="8"/>
        <v>2</v>
      </c>
      <c r="H317" s="558" t="str">
        <f t="shared" si="9"/>
        <v>ม.6</v>
      </c>
    </row>
    <row r="318" spans="1:8" x14ac:dyDescent="0.7">
      <c r="A318" s="527" t="s">
        <v>948</v>
      </c>
      <c r="B318" s="530" t="s">
        <v>949</v>
      </c>
      <c r="C318" s="527">
        <v>0.5</v>
      </c>
      <c r="D318" s="530" t="s">
        <v>273</v>
      </c>
      <c r="E318" s="530" t="s">
        <v>758</v>
      </c>
      <c r="F318" s="527"/>
      <c r="G318" s="527">
        <f t="shared" si="8"/>
        <v>1</v>
      </c>
      <c r="H318" s="558" t="str">
        <f t="shared" si="9"/>
        <v>ม.4</v>
      </c>
    </row>
    <row r="319" spans="1:8" x14ac:dyDescent="0.7">
      <c r="A319" s="527" t="s">
        <v>950</v>
      </c>
      <c r="B319" s="530" t="s">
        <v>951</v>
      </c>
      <c r="C319" s="527">
        <v>0.5</v>
      </c>
      <c r="D319" s="530" t="s">
        <v>273</v>
      </c>
      <c r="E319" s="530" t="s">
        <v>758</v>
      </c>
      <c r="F319" s="527"/>
      <c r="G319" s="527">
        <f t="shared" si="8"/>
        <v>1</v>
      </c>
      <c r="H319" s="558" t="str">
        <f t="shared" si="9"/>
        <v>ม.4</v>
      </c>
    </row>
    <row r="320" spans="1:8" x14ac:dyDescent="0.7">
      <c r="A320" s="527" t="s">
        <v>960</v>
      </c>
      <c r="B320" s="530" t="s">
        <v>961</v>
      </c>
      <c r="C320" s="531">
        <v>1</v>
      </c>
      <c r="D320" s="530" t="s">
        <v>169</v>
      </c>
      <c r="E320" s="530" t="s">
        <v>758</v>
      </c>
      <c r="F320" s="527" t="s">
        <v>168</v>
      </c>
      <c r="G320" s="527">
        <f t="shared" si="8"/>
        <v>2</v>
      </c>
      <c r="H320" s="558" t="str">
        <f t="shared" si="9"/>
        <v>ม.4</v>
      </c>
    </row>
    <row r="321" spans="1:8" x14ac:dyDescent="0.7">
      <c r="A321" s="527" t="s">
        <v>962</v>
      </c>
      <c r="B321" s="530" t="s">
        <v>963</v>
      </c>
      <c r="C321" s="527">
        <v>1</v>
      </c>
      <c r="D321" s="530" t="s">
        <v>169</v>
      </c>
      <c r="E321" s="530" t="s">
        <v>758</v>
      </c>
      <c r="F321" s="527" t="s">
        <v>168</v>
      </c>
      <c r="G321" s="527">
        <f t="shared" si="8"/>
        <v>2</v>
      </c>
      <c r="H321" s="558" t="str">
        <f t="shared" si="9"/>
        <v>ม.4</v>
      </c>
    </row>
    <row r="322" spans="1:8" x14ac:dyDescent="0.7">
      <c r="A322" s="527" t="s">
        <v>964</v>
      </c>
      <c r="B322" s="530" t="s">
        <v>965</v>
      </c>
      <c r="C322" s="527">
        <v>1</v>
      </c>
      <c r="D322" s="530" t="s">
        <v>169</v>
      </c>
      <c r="E322" s="530" t="s">
        <v>758</v>
      </c>
      <c r="F322" s="527" t="s">
        <v>168</v>
      </c>
      <c r="G322" s="527">
        <f t="shared" si="8"/>
        <v>2</v>
      </c>
      <c r="H322" s="558" t="str">
        <f t="shared" si="9"/>
        <v>ม.4</v>
      </c>
    </row>
    <row r="323" spans="1:8" x14ac:dyDescent="0.7">
      <c r="A323" s="527" t="s">
        <v>966</v>
      </c>
      <c r="B323" s="530" t="s">
        <v>967</v>
      </c>
      <c r="C323" s="527">
        <v>1</v>
      </c>
      <c r="D323" s="530" t="s">
        <v>169</v>
      </c>
      <c r="E323" s="530" t="s">
        <v>758</v>
      </c>
      <c r="F323" s="527" t="s">
        <v>168</v>
      </c>
      <c r="G323" s="527">
        <f t="shared" si="8"/>
        <v>2</v>
      </c>
      <c r="H323" s="558" t="str">
        <f t="shared" si="9"/>
        <v>ม.4</v>
      </c>
    </row>
    <row r="324" spans="1:8" x14ac:dyDescent="0.7">
      <c r="A324" s="527" t="s">
        <v>1154</v>
      </c>
      <c r="B324" s="530" t="s">
        <v>1155</v>
      </c>
      <c r="C324" s="527">
        <v>2</v>
      </c>
      <c r="D324" s="530" t="s">
        <v>169</v>
      </c>
      <c r="E324" s="530" t="s">
        <v>758</v>
      </c>
      <c r="F324" s="527" t="s">
        <v>168</v>
      </c>
      <c r="G324" s="527">
        <f t="shared" si="8"/>
        <v>4</v>
      </c>
      <c r="H324" s="558" t="str">
        <f t="shared" si="9"/>
        <v>ม.4</v>
      </c>
    </row>
    <row r="325" spans="1:8" x14ac:dyDescent="0.7">
      <c r="A325" s="527" t="s">
        <v>952</v>
      </c>
      <c r="B325" s="530" t="s">
        <v>953</v>
      </c>
      <c r="C325" s="527">
        <v>0.5</v>
      </c>
      <c r="D325" s="530" t="s">
        <v>273</v>
      </c>
      <c r="E325" s="530" t="s">
        <v>761</v>
      </c>
      <c r="F325" s="527"/>
      <c r="G325" s="527">
        <f t="shared" si="8"/>
        <v>1</v>
      </c>
      <c r="H325" s="558" t="str">
        <f t="shared" si="9"/>
        <v>ม.5</v>
      </c>
    </row>
    <row r="326" spans="1:8" x14ac:dyDescent="0.7">
      <c r="A326" s="527" t="s">
        <v>954</v>
      </c>
      <c r="B326" s="530" t="s">
        <v>955</v>
      </c>
      <c r="C326" s="527">
        <v>0.5</v>
      </c>
      <c r="D326" s="530" t="s">
        <v>273</v>
      </c>
      <c r="E326" s="530" t="s">
        <v>761</v>
      </c>
      <c r="F326" s="527"/>
      <c r="G326" s="527">
        <f t="shared" si="8"/>
        <v>1</v>
      </c>
      <c r="H326" s="558" t="str">
        <f t="shared" si="9"/>
        <v>ม.5</v>
      </c>
    </row>
    <row r="327" spans="1:8" x14ac:dyDescent="0.7">
      <c r="A327" s="527" t="s">
        <v>968</v>
      </c>
      <c r="B327" s="530" t="s">
        <v>969</v>
      </c>
      <c r="C327" s="527">
        <v>1</v>
      </c>
      <c r="D327" s="530" t="s">
        <v>169</v>
      </c>
      <c r="E327" s="530" t="s">
        <v>761</v>
      </c>
      <c r="F327" s="527" t="s">
        <v>168</v>
      </c>
      <c r="G327" s="527">
        <f t="shared" si="8"/>
        <v>2</v>
      </c>
      <c r="H327" s="558" t="str">
        <f t="shared" si="9"/>
        <v>ม.5</v>
      </c>
    </row>
    <row r="328" spans="1:8" x14ac:dyDescent="0.7">
      <c r="A328" s="527" t="s">
        <v>970</v>
      </c>
      <c r="B328" s="530" t="s">
        <v>971</v>
      </c>
      <c r="C328" s="527">
        <v>1</v>
      </c>
      <c r="D328" s="530" t="s">
        <v>169</v>
      </c>
      <c r="E328" s="530" t="s">
        <v>761</v>
      </c>
      <c r="F328" s="527" t="s">
        <v>168</v>
      </c>
      <c r="G328" s="527">
        <f t="shared" si="8"/>
        <v>2</v>
      </c>
      <c r="H328" s="558" t="str">
        <f t="shared" si="9"/>
        <v>ม.5</v>
      </c>
    </row>
    <row r="329" spans="1:8" x14ac:dyDescent="0.7">
      <c r="A329" s="527" t="s">
        <v>972</v>
      </c>
      <c r="B329" s="530" t="s">
        <v>754</v>
      </c>
      <c r="C329" s="527">
        <v>1</v>
      </c>
      <c r="D329" s="530" t="s">
        <v>169</v>
      </c>
      <c r="E329" s="530" t="s">
        <v>761</v>
      </c>
      <c r="F329" s="527" t="s">
        <v>168</v>
      </c>
      <c r="G329" s="527">
        <f t="shared" si="8"/>
        <v>2</v>
      </c>
      <c r="H329" s="558" t="str">
        <f t="shared" si="9"/>
        <v>ม.5</v>
      </c>
    </row>
    <row r="330" spans="1:8" x14ac:dyDescent="0.7">
      <c r="A330" s="527" t="s">
        <v>973</v>
      </c>
      <c r="B330" s="530" t="s">
        <v>974</v>
      </c>
      <c r="C330" s="527">
        <v>1</v>
      </c>
      <c r="D330" s="530" t="s">
        <v>169</v>
      </c>
      <c r="E330" s="530" t="s">
        <v>761</v>
      </c>
      <c r="F330" s="527" t="s">
        <v>168</v>
      </c>
      <c r="G330" s="527">
        <f t="shared" ref="G330:G393" si="10">C330*2</f>
        <v>2</v>
      </c>
      <c r="H330" s="558" t="str">
        <f t="shared" ref="H330:H393" si="11">IF(E330="-","-",IF(E330="มัธยมศึกษาปีที่ 1","ม.1",IF(E330="มัธยมศึกษาปีที่ 2","ม.2",IF(E330="มัธยมศึกษาปีที่ 3","ม.3",IF(E330="มัธยมศึกษาปีที่ 4","ม.4",IF(E330="มัธยมศึกษาปีที่ 5","ม.5",IF(E330="มัธยมศึกษาปีที่ 6","ม.6",IF(E330="มัธยมศึกษาปีที่ 1-3","ม.1-3",E330))))))))</f>
        <v>ม.5</v>
      </c>
    </row>
    <row r="331" spans="1:8" x14ac:dyDescent="0.7">
      <c r="A331" s="527" t="s">
        <v>1156</v>
      </c>
      <c r="B331" s="530" t="s">
        <v>1157</v>
      </c>
      <c r="C331" s="527">
        <v>2</v>
      </c>
      <c r="D331" s="530" t="s">
        <v>169</v>
      </c>
      <c r="E331" s="530" t="s">
        <v>761</v>
      </c>
      <c r="F331" s="527" t="s">
        <v>168</v>
      </c>
      <c r="G331" s="527">
        <f t="shared" si="10"/>
        <v>4</v>
      </c>
      <c r="H331" s="558" t="str">
        <f t="shared" si="11"/>
        <v>ม.5</v>
      </c>
    </row>
    <row r="332" spans="1:8" x14ac:dyDescent="0.7">
      <c r="A332" s="527" t="s">
        <v>956</v>
      </c>
      <c r="B332" s="530" t="s">
        <v>957</v>
      </c>
      <c r="C332" s="527">
        <v>0.5</v>
      </c>
      <c r="D332" s="530" t="s">
        <v>273</v>
      </c>
      <c r="E332" s="530" t="s">
        <v>775</v>
      </c>
      <c r="F332" s="527"/>
      <c r="G332" s="527">
        <f t="shared" si="10"/>
        <v>1</v>
      </c>
      <c r="H332" s="558" t="str">
        <f t="shared" si="11"/>
        <v>ม.6</v>
      </c>
    </row>
    <row r="333" spans="1:8" x14ac:dyDescent="0.7">
      <c r="A333" s="527" t="s">
        <v>958</v>
      </c>
      <c r="B333" s="530" t="s">
        <v>959</v>
      </c>
      <c r="C333" s="527">
        <v>0.5</v>
      </c>
      <c r="D333" s="530" t="s">
        <v>273</v>
      </c>
      <c r="E333" s="530" t="s">
        <v>775</v>
      </c>
      <c r="F333" s="527"/>
      <c r="G333" s="527">
        <f t="shared" si="10"/>
        <v>1</v>
      </c>
      <c r="H333" s="558" t="str">
        <f t="shared" si="11"/>
        <v>ม.6</v>
      </c>
    </row>
    <row r="334" spans="1:8" x14ac:dyDescent="0.7">
      <c r="A334" s="527" t="s">
        <v>975</v>
      </c>
      <c r="B334" s="530" t="s">
        <v>976</v>
      </c>
      <c r="C334" s="527">
        <v>1</v>
      </c>
      <c r="D334" s="530" t="s">
        <v>169</v>
      </c>
      <c r="E334" s="530" t="s">
        <v>775</v>
      </c>
      <c r="F334" s="527" t="s">
        <v>168</v>
      </c>
      <c r="G334" s="527">
        <f t="shared" si="10"/>
        <v>2</v>
      </c>
      <c r="H334" s="558" t="str">
        <f t="shared" si="11"/>
        <v>ม.6</v>
      </c>
    </row>
    <row r="335" spans="1:8" x14ac:dyDescent="0.7">
      <c r="A335" s="527" t="s">
        <v>977</v>
      </c>
      <c r="B335" s="530" t="s">
        <v>978</v>
      </c>
      <c r="C335" s="527">
        <v>1</v>
      </c>
      <c r="D335" s="530" t="s">
        <v>169</v>
      </c>
      <c r="E335" s="530" t="s">
        <v>775</v>
      </c>
      <c r="F335" s="527" t="s">
        <v>168</v>
      </c>
      <c r="G335" s="527">
        <f t="shared" si="10"/>
        <v>2</v>
      </c>
      <c r="H335" s="558" t="str">
        <f t="shared" si="11"/>
        <v>ม.6</v>
      </c>
    </row>
    <row r="336" spans="1:8" x14ac:dyDescent="0.7">
      <c r="A336" s="527" t="s">
        <v>979</v>
      </c>
      <c r="B336" s="530" t="s">
        <v>980</v>
      </c>
      <c r="C336" s="527">
        <v>1</v>
      </c>
      <c r="D336" s="530" t="s">
        <v>169</v>
      </c>
      <c r="E336" s="530" t="s">
        <v>775</v>
      </c>
      <c r="F336" s="527" t="s">
        <v>168</v>
      </c>
      <c r="G336" s="527">
        <f t="shared" si="10"/>
        <v>2</v>
      </c>
      <c r="H336" s="558" t="str">
        <f t="shared" si="11"/>
        <v>ม.6</v>
      </c>
    </row>
    <row r="337" spans="1:8" x14ac:dyDescent="0.7">
      <c r="A337" s="527" t="s">
        <v>981</v>
      </c>
      <c r="B337" s="530" t="s">
        <v>982</v>
      </c>
      <c r="C337" s="527">
        <v>1</v>
      </c>
      <c r="D337" s="530" t="s">
        <v>169</v>
      </c>
      <c r="E337" s="530" t="s">
        <v>775</v>
      </c>
      <c r="F337" s="527" t="s">
        <v>168</v>
      </c>
      <c r="G337" s="527">
        <f t="shared" si="10"/>
        <v>2</v>
      </c>
      <c r="H337" s="558" t="str">
        <f t="shared" si="11"/>
        <v>ม.6</v>
      </c>
    </row>
    <row r="338" spans="1:8" x14ac:dyDescent="0.7">
      <c r="A338" s="527" t="s">
        <v>1158</v>
      </c>
      <c r="B338" s="530" t="s">
        <v>1159</v>
      </c>
      <c r="C338" s="527">
        <v>2</v>
      </c>
      <c r="D338" s="530" t="s">
        <v>169</v>
      </c>
      <c r="E338" s="530" t="s">
        <v>775</v>
      </c>
      <c r="F338" s="527" t="s">
        <v>168</v>
      </c>
      <c r="G338" s="527">
        <f t="shared" si="10"/>
        <v>4</v>
      </c>
      <c r="H338" s="558" t="str">
        <f t="shared" si="11"/>
        <v>ม.6</v>
      </c>
    </row>
    <row r="339" spans="1:8" x14ac:dyDescent="0.7">
      <c r="A339" s="527" t="s">
        <v>1160</v>
      </c>
      <c r="B339" s="530" t="s">
        <v>1161</v>
      </c>
      <c r="C339" s="527">
        <v>2</v>
      </c>
      <c r="D339" s="530" t="s">
        <v>169</v>
      </c>
      <c r="E339" s="530" t="s">
        <v>775</v>
      </c>
      <c r="F339" s="527" t="s">
        <v>168</v>
      </c>
      <c r="G339" s="527">
        <f t="shared" si="10"/>
        <v>4</v>
      </c>
      <c r="H339" s="558" t="str">
        <f t="shared" si="11"/>
        <v>ม.6</v>
      </c>
    </row>
    <row r="340" spans="1:8" x14ac:dyDescent="0.7">
      <c r="A340" s="527" t="s">
        <v>847</v>
      </c>
      <c r="B340" s="530" t="s">
        <v>848</v>
      </c>
      <c r="C340" s="527">
        <v>1</v>
      </c>
      <c r="D340" s="530" t="s">
        <v>169</v>
      </c>
      <c r="E340" s="530" t="s">
        <v>758</v>
      </c>
      <c r="F340" s="527"/>
      <c r="G340" s="527">
        <f t="shared" si="10"/>
        <v>2</v>
      </c>
      <c r="H340" s="558" t="str">
        <f t="shared" si="11"/>
        <v>ม.4</v>
      </c>
    </row>
    <row r="341" spans="1:8" x14ac:dyDescent="0.7">
      <c r="A341" s="527" t="s">
        <v>849</v>
      </c>
      <c r="B341" s="530" t="s">
        <v>850</v>
      </c>
      <c r="C341" s="527">
        <v>1</v>
      </c>
      <c r="D341" s="530" t="s">
        <v>169</v>
      </c>
      <c r="E341" s="530" t="s">
        <v>758</v>
      </c>
      <c r="F341" s="527"/>
      <c r="G341" s="527">
        <f t="shared" si="10"/>
        <v>2</v>
      </c>
      <c r="H341" s="558" t="str">
        <f t="shared" si="11"/>
        <v>ม.4</v>
      </c>
    </row>
    <row r="342" spans="1:8" x14ac:dyDescent="0.7">
      <c r="A342" s="527" t="s">
        <v>851</v>
      </c>
      <c r="B342" s="530" t="s">
        <v>852</v>
      </c>
      <c r="C342" s="527">
        <v>1</v>
      </c>
      <c r="D342" s="530" t="s">
        <v>169</v>
      </c>
      <c r="E342" s="530" t="s">
        <v>761</v>
      </c>
      <c r="F342" s="527"/>
      <c r="G342" s="527">
        <f t="shared" si="10"/>
        <v>2</v>
      </c>
      <c r="H342" s="558" t="str">
        <f t="shared" si="11"/>
        <v>ม.5</v>
      </c>
    </row>
    <row r="343" spans="1:8" x14ac:dyDescent="0.7">
      <c r="A343" s="527" t="s">
        <v>853</v>
      </c>
      <c r="B343" s="530" t="s">
        <v>854</v>
      </c>
      <c r="C343" s="527">
        <v>1</v>
      </c>
      <c r="D343" s="530" t="s">
        <v>169</v>
      </c>
      <c r="E343" s="530" t="s">
        <v>761</v>
      </c>
      <c r="F343" s="527"/>
      <c r="G343" s="527">
        <f t="shared" si="10"/>
        <v>2</v>
      </c>
      <c r="H343" s="558" t="str">
        <f t="shared" si="11"/>
        <v>ม.5</v>
      </c>
    </row>
    <row r="344" spans="1:8" x14ac:dyDescent="0.7">
      <c r="A344" s="527" t="s">
        <v>855</v>
      </c>
      <c r="B344" s="530" t="s">
        <v>856</v>
      </c>
      <c r="C344" s="527">
        <v>1</v>
      </c>
      <c r="D344" s="530" t="s">
        <v>169</v>
      </c>
      <c r="E344" s="530" t="s">
        <v>775</v>
      </c>
      <c r="F344" s="527"/>
      <c r="G344" s="527">
        <f t="shared" si="10"/>
        <v>2</v>
      </c>
      <c r="H344" s="558" t="str">
        <f t="shared" si="11"/>
        <v>ม.6</v>
      </c>
    </row>
    <row r="345" spans="1:8" x14ac:dyDescent="0.7">
      <c r="A345" s="527" t="s">
        <v>857</v>
      </c>
      <c r="B345" s="530" t="s">
        <v>858</v>
      </c>
      <c r="C345" s="527">
        <v>1</v>
      </c>
      <c r="D345" s="530" t="s">
        <v>169</v>
      </c>
      <c r="E345" s="530" t="s">
        <v>775</v>
      </c>
      <c r="F345" s="527"/>
      <c r="G345" s="527">
        <f t="shared" si="10"/>
        <v>2</v>
      </c>
      <c r="H345" s="558" t="str">
        <f t="shared" si="11"/>
        <v>ม.6</v>
      </c>
    </row>
    <row r="346" spans="1:8" x14ac:dyDescent="0.7">
      <c r="A346" s="527" t="s">
        <v>859</v>
      </c>
      <c r="B346" s="530" t="s">
        <v>860</v>
      </c>
      <c r="C346" s="527">
        <v>1</v>
      </c>
      <c r="D346" s="530" t="s">
        <v>169</v>
      </c>
      <c r="E346" s="530" t="s">
        <v>758</v>
      </c>
      <c r="F346" s="527" t="s">
        <v>861</v>
      </c>
      <c r="G346" s="527">
        <f t="shared" si="10"/>
        <v>2</v>
      </c>
      <c r="H346" s="558" t="str">
        <f t="shared" si="11"/>
        <v>ม.4</v>
      </c>
    </row>
    <row r="347" spans="1:8" x14ac:dyDescent="0.7">
      <c r="A347" s="527" t="s">
        <v>862</v>
      </c>
      <c r="B347" s="530" t="s">
        <v>863</v>
      </c>
      <c r="C347" s="527">
        <v>1</v>
      </c>
      <c r="D347" s="530" t="s">
        <v>169</v>
      </c>
      <c r="E347" s="530" t="s">
        <v>758</v>
      </c>
      <c r="F347" s="527" t="s">
        <v>861</v>
      </c>
      <c r="G347" s="527">
        <f t="shared" si="10"/>
        <v>2</v>
      </c>
      <c r="H347" s="558" t="str">
        <f t="shared" si="11"/>
        <v>ม.4</v>
      </c>
    </row>
    <row r="348" spans="1:8" x14ac:dyDescent="0.7">
      <c r="A348" s="527" t="s">
        <v>864</v>
      </c>
      <c r="B348" s="530" t="s">
        <v>865</v>
      </c>
      <c r="C348" s="527">
        <v>1</v>
      </c>
      <c r="D348" s="530" t="s">
        <v>169</v>
      </c>
      <c r="E348" s="530" t="s">
        <v>761</v>
      </c>
      <c r="F348" s="527" t="s">
        <v>861</v>
      </c>
      <c r="G348" s="527">
        <f t="shared" si="10"/>
        <v>2</v>
      </c>
      <c r="H348" s="558" t="str">
        <f t="shared" si="11"/>
        <v>ม.5</v>
      </c>
    </row>
    <row r="349" spans="1:8" x14ac:dyDescent="0.7">
      <c r="A349" s="527" t="s">
        <v>866</v>
      </c>
      <c r="B349" s="530" t="s">
        <v>867</v>
      </c>
      <c r="C349" s="527">
        <v>1</v>
      </c>
      <c r="D349" s="530" t="s">
        <v>169</v>
      </c>
      <c r="E349" s="530" t="s">
        <v>775</v>
      </c>
      <c r="F349" s="527" t="s">
        <v>861</v>
      </c>
      <c r="G349" s="527">
        <f t="shared" si="10"/>
        <v>2</v>
      </c>
      <c r="H349" s="558" t="str">
        <f t="shared" si="11"/>
        <v>ม.6</v>
      </c>
    </row>
    <row r="350" spans="1:8" x14ac:dyDescent="0.7">
      <c r="A350" s="527" t="s">
        <v>868</v>
      </c>
      <c r="B350" s="530" t="s">
        <v>869</v>
      </c>
      <c r="C350" s="527">
        <v>1</v>
      </c>
      <c r="D350" s="530" t="s">
        <v>169</v>
      </c>
      <c r="E350" s="530" t="s">
        <v>775</v>
      </c>
      <c r="F350" s="527" t="s">
        <v>861</v>
      </c>
      <c r="G350" s="527">
        <f t="shared" si="10"/>
        <v>2</v>
      </c>
      <c r="H350" s="558" t="str">
        <f t="shared" si="11"/>
        <v>ม.6</v>
      </c>
    </row>
    <row r="351" spans="1:8" x14ac:dyDescent="0.7">
      <c r="A351" s="527" t="s">
        <v>789</v>
      </c>
      <c r="B351" s="530" t="s">
        <v>790</v>
      </c>
      <c r="C351" s="527">
        <v>1</v>
      </c>
      <c r="D351" s="530" t="s">
        <v>273</v>
      </c>
      <c r="E351" s="530" t="s">
        <v>758</v>
      </c>
      <c r="F351" s="527"/>
      <c r="G351" s="527">
        <f t="shared" si="10"/>
        <v>2</v>
      </c>
      <c r="H351" s="558" t="str">
        <f t="shared" si="11"/>
        <v>ม.4</v>
      </c>
    </row>
    <row r="352" spans="1:8" x14ac:dyDescent="0.7">
      <c r="A352" s="527" t="s">
        <v>791</v>
      </c>
      <c r="B352" s="530" t="s">
        <v>792</v>
      </c>
      <c r="C352" s="527">
        <v>0.5</v>
      </c>
      <c r="D352" s="530" t="s">
        <v>273</v>
      </c>
      <c r="E352" s="530" t="s">
        <v>758</v>
      </c>
      <c r="F352" s="527"/>
      <c r="G352" s="527">
        <f t="shared" si="10"/>
        <v>1</v>
      </c>
      <c r="H352" s="558" t="str">
        <f t="shared" si="11"/>
        <v>ม.4</v>
      </c>
    </row>
    <row r="353" spans="1:8" x14ac:dyDescent="0.7">
      <c r="A353" s="527" t="s">
        <v>793</v>
      </c>
      <c r="B353" s="530" t="s">
        <v>794</v>
      </c>
      <c r="C353" s="527">
        <v>1</v>
      </c>
      <c r="D353" s="530" t="s">
        <v>273</v>
      </c>
      <c r="E353" s="530" t="s">
        <v>758</v>
      </c>
      <c r="F353" s="527"/>
      <c r="G353" s="527">
        <f t="shared" si="10"/>
        <v>2</v>
      </c>
      <c r="H353" s="558" t="str">
        <f t="shared" si="11"/>
        <v>ม.4</v>
      </c>
    </row>
    <row r="354" spans="1:8" x14ac:dyDescent="0.7">
      <c r="A354" s="527" t="s">
        <v>795</v>
      </c>
      <c r="B354" s="530" t="s">
        <v>796</v>
      </c>
      <c r="C354" s="527">
        <v>0.5</v>
      </c>
      <c r="D354" s="530" t="s">
        <v>273</v>
      </c>
      <c r="E354" s="530" t="s">
        <v>758</v>
      </c>
      <c r="F354" s="527"/>
      <c r="G354" s="527">
        <f t="shared" si="10"/>
        <v>1</v>
      </c>
      <c r="H354" s="558" t="str">
        <f t="shared" si="11"/>
        <v>ม.4</v>
      </c>
    </row>
    <row r="355" spans="1:8" x14ac:dyDescent="0.7">
      <c r="A355" s="527" t="s">
        <v>811</v>
      </c>
      <c r="B355" s="530" t="s">
        <v>812</v>
      </c>
      <c r="C355" s="527">
        <v>1.5</v>
      </c>
      <c r="D355" s="530" t="s">
        <v>169</v>
      </c>
      <c r="E355" s="530" t="s">
        <v>758</v>
      </c>
      <c r="F355" s="527"/>
      <c r="G355" s="527">
        <f t="shared" si="10"/>
        <v>3</v>
      </c>
      <c r="H355" s="558" t="str">
        <f t="shared" si="11"/>
        <v>ม.4</v>
      </c>
    </row>
    <row r="356" spans="1:8" x14ac:dyDescent="0.7">
      <c r="A356" s="527" t="s">
        <v>813</v>
      </c>
      <c r="B356" s="530" t="s">
        <v>814</v>
      </c>
      <c r="C356" s="527">
        <v>1.5</v>
      </c>
      <c r="D356" s="530" t="s">
        <v>169</v>
      </c>
      <c r="E356" s="530" t="s">
        <v>758</v>
      </c>
      <c r="F356" s="527"/>
      <c r="G356" s="527">
        <f t="shared" si="10"/>
        <v>3</v>
      </c>
      <c r="H356" s="558" t="str">
        <f t="shared" si="11"/>
        <v>ม.4</v>
      </c>
    </row>
    <row r="357" spans="1:8" x14ac:dyDescent="0.7">
      <c r="A357" s="527" t="s">
        <v>815</v>
      </c>
      <c r="B357" s="530" t="s">
        <v>816</v>
      </c>
      <c r="C357" s="527">
        <v>1</v>
      </c>
      <c r="D357" s="530" t="s">
        <v>169</v>
      </c>
      <c r="E357" s="530" t="s">
        <v>758</v>
      </c>
      <c r="F357" s="527"/>
      <c r="G357" s="527">
        <f t="shared" si="10"/>
        <v>2</v>
      </c>
      <c r="H357" s="558" t="str">
        <f t="shared" si="11"/>
        <v>ม.4</v>
      </c>
    </row>
    <row r="358" spans="1:8" x14ac:dyDescent="0.7">
      <c r="A358" s="527" t="s">
        <v>817</v>
      </c>
      <c r="B358" s="530" t="s">
        <v>818</v>
      </c>
      <c r="C358" s="527">
        <v>1</v>
      </c>
      <c r="D358" s="530" t="s">
        <v>169</v>
      </c>
      <c r="E358" s="530" t="s">
        <v>758</v>
      </c>
      <c r="F358" s="527"/>
      <c r="G358" s="527">
        <f t="shared" si="10"/>
        <v>2</v>
      </c>
      <c r="H358" s="558" t="str">
        <f t="shared" si="11"/>
        <v>ม.4</v>
      </c>
    </row>
    <row r="359" spans="1:8" x14ac:dyDescent="0.7">
      <c r="A359" s="527" t="s">
        <v>819</v>
      </c>
      <c r="B359" s="530" t="s">
        <v>820</v>
      </c>
      <c r="C359" s="527">
        <v>1.5</v>
      </c>
      <c r="D359" s="530" t="s">
        <v>169</v>
      </c>
      <c r="E359" s="530" t="s">
        <v>758</v>
      </c>
      <c r="F359" s="527"/>
      <c r="G359" s="527">
        <f t="shared" si="10"/>
        <v>3</v>
      </c>
      <c r="H359" s="558" t="str">
        <f t="shared" si="11"/>
        <v>ม.4</v>
      </c>
    </row>
    <row r="360" spans="1:8" x14ac:dyDescent="0.7">
      <c r="A360" s="527" t="s">
        <v>821</v>
      </c>
      <c r="B360" s="530" t="s">
        <v>822</v>
      </c>
      <c r="C360" s="527">
        <v>1.5</v>
      </c>
      <c r="D360" s="530" t="s">
        <v>169</v>
      </c>
      <c r="E360" s="530" t="s">
        <v>758</v>
      </c>
      <c r="F360" s="527"/>
      <c r="G360" s="527">
        <f t="shared" si="10"/>
        <v>3</v>
      </c>
      <c r="H360" s="558" t="str">
        <f t="shared" si="11"/>
        <v>ม.4</v>
      </c>
    </row>
    <row r="361" spans="1:8" x14ac:dyDescent="0.7">
      <c r="A361" s="527" t="s">
        <v>870</v>
      </c>
      <c r="B361" s="530" t="s">
        <v>871</v>
      </c>
      <c r="C361" s="527">
        <v>1</v>
      </c>
      <c r="D361" s="530" t="s">
        <v>169</v>
      </c>
      <c r="E361" s="530" t="s">
        <v>758</v>
      </c>
      <c r="F361" s="527"/>
      <c r="G361" s="527">
        <f t="shared" si="10"/>
        <v>2</v>
      </c>
      <c r="H361" s="558" t="str">
        <f t="shared" si="11"/>
        <v>ม.4</v>
      </c>
    </row>
    <row r="362" spans="1:8" x14ac:dyDescent="0.7">
      <c r="A362" s="527" t="s">
        <v>872</v>
      </c>
      <c r="B362" s="530" t="s">
        <v>873</v>
      </c>
      <c r="C362" s="527">
        <v>1</v>
      </c>
      <c r="D362" s="530" t="s">
        <v>169</v>
      </c>
      <c r="E362" s="530" t="s">
        <v>758</v>
      </c>
      <c r="F362" s="527"/>
      <c r="G362" s="527">
        <f t="shared" si="10"/>
        <v>2</v>
      </c>
      <c r="H362" s="558" t="str">
        <f t="shared" si="11"/>
        <v>ม.4</v>
      </c>
    </row>
    <row r="363" spans="1:8" x14ac:dyDescent="0.7">
      <c r="A363" s="527" t="s">
        <v>874</v>
      </c>
      <c r="B363" s="530" t="s">
        <v>875</v>
      </c>
      <c r="C363" s="527">
        <v>1</v>
      </c>
      <c r="D363" s="530" t="s">
        <v>169</v>
      </c>
      <c r="E363" s="530" t="s">
        <v>758</v>
      </c>
      <c r="F363" s="527" t="s">
        <v>861</v>
      </c>
      <c r="G363" s="527">
        <f t="shared" si="10"/>
        <v>2</v>
      </c>
      <c r="H363" s="558" t="str">
        <f t="shared" si="11"/>
        <v>ม.4</v>
      </c>
    </row>
    <row r="364" spans="1:8" x14ac:dyDescent="0.7">
      <c r="A364" s="527" t="s">
        <v>876</v>
      </c>
      <c r="B364" s="530" t="s">
        <v>877</v>
      </c>
      <c r="C364" s="527">
        <v>1</v>
      </c>
      <c r="D364" s="530" t="s">
        <v>169</v>
      </c>
      <c r="E364" s="530" t="s">
        <v>758</v>
      </c>
      <c r="F364" s="527"/>
      <c r="G364" s="527">
        <f t="shared" si="10"/>
        <v>2</v>
      </c>
      <c r="H364" s="558" t="str">
        <f t="shared" si="11"/>
        <v>ม.4</v>
      </c>
    </row>
    <row r="365" spans="1:8" x14ac:dyDescent="0.7">
      <c r="A365" s="527" t="s">
        <v>878</v>
      </c>
      <c r="B365" s="530" t="s">
        <v>879</v>
      </c>
      <c r="C365" s="527">
        <v>1</v>
      </c>
      <c r="D365" s="530" t="s">
        <v>169</v>
      </c>
      <c r="E365" s="530" t="s">
        <v>758</v>
      </c>
      <c r="F365" s="527"/>
      <c r="G365" s="527">
        <f t="shared" si="10"/>
        <v>2</v>
      </c>
      <c r="H365" s="558" t="str">
        <f t="shared" si="11"/>
        <v>ม.4</v>
      </c>
    </row>
    <row r="366" spans="1:8" x14ac:dyDescent="0.7">
      <c r="A366" s="527" t="s">
        <v>880</v>
      </c>
      <c r="B366" s="530" t="s">
        <v>881</v>
      </c>
      <c r="C366" s="527">
        <v>1</v>
      </c>
      <c r="D366" s="530" t="s">
        <v>169</v>
      </c>
      <c r="E366" s="530" t="s">
        <v>758</v>
      </c>
      <c r="F366" s="527" t="s">
        <v>861</v>
      </c>
      <c r="G366" s="527">
        <f t="shared" si="10"/>
        <v>2</v>
      </c>
      <c r="H366" s="558" t="str">
        <f t="shared" si="11"/>
        <v>ม.4</v>
      </c>
    </row>
    <row r="367" spans="1:8" x14ac:dyDescent="0.7">
      <c r="A367" s="527" t="s">
        <v>1162</v>
      </c>
      <c r="B367" s="530" t="s">
        <v>1163</v>
      </c>
      <c r="C367" s="527">
        <v>2</v>
      </c>
      <c r="D367" s="530" t="s">
        <v>169</v>
      </c>
      <c r="E367" s="530" t="s">
        <v>758</v>
      </c>
      <c r="F367" s="527" t="s">
        <v>168</v>
      </c>
      <c r="G367" s="527">
        <f t="shared" si="10"/>
        <v>4</v>
      </c>
      <c r="H367" s="558" t="str">
        <f t="shared" si="11"/>
        <v>ม.4</v>
      </c>
    </row>
    <row r="368" spans="1:8" x14ac:dyDescent="0.7">
      <c r="A368" s="527" t="s">
        <v>797</v>
      </c>
      <c r="B368" s="530" t="s">
        <v>798</v>
      </c>
      <c r="C368" s="527">
        <v>1</v>
      </c>
      <c r="D368" s="530" t="s">
        <v>273</v>
      </c>
      <c r="E368" s="530" t="s">
        <v>761</v>
      </c>
      <c r="F368" s="527"/>
      <c r="G368" s="527">
        <f t="shared" si="10"/>
        <v>2</v>
      </c>
      <c r="H368" s="558" t="str">
        <f t="shared" si="11"/>
        <v>ม.5</v>
      </c>
    </row>
    <row r="369" spans="1:8" x14ac:dyDescent="0.7">
      <c r="A369" s="527" t="s">
        <v>799</v>
      </c>
      <c r="B369" s="530" t="s">
        <v>800</v>
      </c>
      <c r="C369" s="527">
        <v>0.5</v>
      </c>
      <c r="D369" s="530" t="s">
        <v>273</v>
      </c>
      <c r="E369" s="530" t="s">
        <v>761</v>
      </c>
      <c r="F369" s="527"/>
      <c r="G369" s="527">
        <f t="shared" si="10"/>
        <v>1</v>
      </c>
      <c r="H369" s="558" t="str">
        <f t="shared" si="11"/>
        <v>ม.5</v>
      </c>
    </row>
    <row r="370" spans="1:8" x14ac:dyDescent="0.7">
      <c r="A370" s="527" t="s">
        <v>801</v>
      </c>
      <c r="B370" s="530" t="s">
        <v>802</v>
      </c>
      <c r="C370" s="527">
        <v>1</v>
      </c>
      <c r="D370" s="530" t="s">
        <v>273</v>
      </c>
      <c r="E370" s="530" t="s">
        <v>761</v>
      </c>
      <c r="F370" s="527"/>
      <c r="G370" s="527">
        <f t="shared" si="10"/>
        <v>2</v>
      </c>
      <c r="H370" s="558" t="str">
        <f t="shared" si="11"/>
        <v>ม.5</v>
      </c>
    </row>
    <row r="371" spans="1:8" x14ac:dyDescent="0.7">
      <c r="A371" s="527" t="s">
        <v>803</v>
      </c>
      <c r="B371" s="530" t="s">
        <v>804</v>
      </c>
      <c r="C371" s="527">
        <v>0.5</v>
      </c>
      <c r="D371" s="530" t="s">
        <v>273</v>
      </c>
      <c r="E371" s="530" t="s">
        <v>761</v>
      </c>
      <c r="F371" s="527"/>
      <c r="G371" s="527">
        <f t="shared" si="10"/>
        <v>1</v>
      </c>
      <c r="H371" s="558" t="str">
        <f t="shared" si="11"/>
        <v>ม.5</v>
      </c>
    </row>
    <row r="372" spans="1:8" x14ac:dyDescent="0.7">
      <c r="A372" s="527" t="s">
        <v>823</v>
      </c>
      <c r="B372" s="530" t="s">
        <v>824</v>
      </c>
      <c r="C372" s="527">
        <v>1.5</v>
      </c>
      <c r="D372" s="530" t="s">
        <v>169</v>
      </c>
      <c r="E372" s="530" t="s">
        <v>761</v>
      </c>
      <c r="F372" s="527"/>
      <c r="G372" s="527">
        <f t="shared" si="10"/>
        <v>3</v>
      </c>
      <c r="H372" s="558" t="str">
        <f t="shared" si="11"/>
        <v>ม.5</v>
      </c>
    </row>
    <row r="373" spans="1:8" x14ac:dyDescent="0.7">
      <c r="A373" s="527" t="s">
        <v>825</v>
      </c>
      <c r="B373" s="530" t="s">
        <v>826</v>
      </c>
      <c r="C373" s="527">
        <v>1.5</v>
      </c>
      <c r="D373" s="530" t="s">
        <v>169</v>
      </c>
      <c r="E373" s="530" t="s">
        <v>761</v>
      </c>
      <c r="F373" s="527"/>
      <c r="G373" s="527">
        <f t="shared" si="10"/>
        <v>3</v>
      </c>
      <c r="H373" s="558" t="str">
        <f t="shared" si="11"/>
        <v>ม.5</v>
      </c>
    </row>
    <row r="374" spans="1:8" x14ac:dyDescent="0.7">
      <c r="A374" s="527" t="s">
        <v>827</v>
      </c>
      <c r="B374" s="530" t="s">
        <v>828</v>
      </c>
      <c r="C374" s="527">
        <v>1</v>
      </c>
      <c r="D374" s="530" t="s">
        <v>169</v>
      </c>
      <c r="E374" s="530" t="s">
        <v>761</v>
      </c>
      <c r="F374" s="527"/>
      <c r="G374" s="527">
        <f t="shared" si="10"/>
        <v>2</v>
      </c>
      <c r="H374" s="558" t="str">
        <f t="shared" si="11"/>
        <v>ม.5</v>
      </c>
    </row>
    <row r="375" spans="1:8" x14ac:dyDescent="0.7">
      <c r="A375" s="527" t="s">
        <v>829</v>
      </c>
      <c r="B375" s="530" t="s">
        <v>830</v>
      </c>
      <c r="C375" s="527">
        <v>1</v>
      </c>
      <c r="D375" s="530" t="s">
        <v>169</v>
      </c>
      <c r="E375" s="530" t="s">
        <v>761</v>
      </c>
      <c r="F375" s="527"/>
      <c r="G375" s="527">
        <f t="shared" si="10"/>
        <v>2</v>
      </c>
      <c r="H375" s="558" t="str">
        <f t="shared" si="11"/>
        <v>ม.5</v>
      </c>
    </row>
    <row r="376" spans="1:8" x14ac:dyDescent="0.7">
      <c r="A376" s="527" t="s">
        <v>831</v>
      </c>
      <c r="B376" s="530" t="s">
        <v>832</v>
      </c>
      <c r="C376" s="527">
        <v>1.5</v>
      </c>
      <c r="D376" s="530" t="s">
        <v>169</v>
      </c>
      <c r="E376" s="530" t="s">
        <v>761</v>
      </c>
      <c r="F376" s="527"/>
      <c r="G376" s="527">
        <f t="shared" si="10"/>
        <v>3</v>
      </c>
      <c r="H376" s="558" t="str">
        <f t="shared" si="11"/>
        <v>ม.5</v>
      </c>
    </row>
    <row r="377" spans="1:8" x14ac:dyDescent="0.7">
      <c r="A377" s="527" t="s">
        <v>833</v>
      </c>
      <c r="B377" s="530" t="s">
        <v>834</v>
      </c>
      <c r="C377" s="527">
        <v>1.5</v>
      </c>
      <c r="D377" s="530" t="s">
        <v>169</v>
      </c>
      <c r="E377" s="530" t="s">
        <v>761</v>
      </c>
      <c r="F377" s="527"/>
      <c r="G377" s="527">
        <f t="shared" si="10"/>
        <v>3</v>
      </c>
      <c r="H377" s="558" t="str">
        <f t="shared" si="11"/>
        <v>ม.5</v>
      </c>
    </row>
    <row r="378" spans="1:8" x14ac:dyDescent="0.7">
      <c r="A378" s="527" t="s">
        <v>882</v>
      </c>
      <c r="B378" s="530" t="s">
        <v>883</v>
      </c>
      <c r="C378" s="527">
        <v>1</v>
      </c>
      <c r="D378" s="530" t="s">
        <v>169</v>
      </c>
      <c r="E378" s="530" t="s">
        <v>761</v>
      </c>
      <c r="F378" s="527"/>
      <c r="G378" s="527">
        <f t="shared" si="10"/>
        <v>2</v>
      </c>
      <c r="H378" s="558" t="str">
        <f t="shared" si="11"/>
        <v>ม.5</v>
      </c>
    </row>
    <row r="379" spans="1:8" x14ac:dyDescent="0.7">
      <c r="A379" s="527" t="s">
        <v>884</v>
      </c>
      <c r="B379" s="530" t="s">
        <v>885</v>
      </c>
      <c r="C379" s="527">
        <v>1</v>
      </c>
      <c r="D379" s="530" t="s">
        <v>169</v>
      </c>
      <c r="E379" s="530" t="s">
        <v>761</v>
      </c>
      <c r="F379" s="527"/>
      <c r="G379" s="527">
        <f t="shared" si="10"/>
        <v>2</v>
      </c>
      <c r="H379" s="558" t="str">
        <f t="shared" si="11"/>
        <v>ม.5</v>
      </c>
    </row>
    <row r="380" spans="1:8" x14ac:dyDescent="0.7">
      <c r="A380" s="527" t="s">
        <v>886</v>
      </c>
      <c r="B380" s="530" t="s">
        <v>887</v>
      </c>
      <c r="C380" s="527">
        <v>1</v>
      </c>
      <c r="D380" s="530" t="s">
        <v>169</v>
      </c>
      <c r="E380" s="530" t="s">
        <v>761</v>
      </c>
      <c r="F380" s="527" t="s">
        <v>861</v>
      </c>
      <c r="G380" s="527">
        <f t="shared" si="10"/>
        <v>2</v>
      </c>
      <c r="H380" s="558" t="str">
        <f t="shared" si="11"/>
        <v>ม.5</v>
      </c>
    </row>
    <row r="381" spans="1:8" x14ac:dyDescent="0.7">
      <c r="A381" s="527" t="s">
        <v>888</v>
      </c>
      <c r="B381" s="530" t="s">
        <v>889</v>
      </c>
      <c r="C381" s="527">
        <v>1</v>
      </c>
      <c r="D381" s="530" t="s">
        <v>169</v>
      </c>
      <c r="E381" s="530" t="s">
        <v>761</v>
      </c>
      <c r="F381" s="527"/>
      <c r="G381" s="527">
        <f t="shared" si="10"/>
        <v>2</v>
      </c>
      <c r="H381" s="558" t="str">
        <f t="shared" si="11"/>
        <v>ม.5</v>
      </c>
    </row>
    <row r="382" spans="1:8" x14ac:dyDescent="0.7">
      <c r="A382" s="527" t="s">
        <v>890</v>
      </c>
      <c r="B382" s="530" t="s">
        <v>891</v>
      </c>
      <c r="C382" s="527">
        <v>1</v>
      </c>
      <c r="D382" s="530" t="s">
        <v>169</v>
      </c>
      <c r="E382" s="530" t="s">
        <v>761</v>
      </c>
      <c r="F382" s="527"/>
      <c r="G382" s="527">
        <f t="shared" si="10"/>
        <v>2</v>
      </c>
      <c r="H382" s="558" t="str">
        <f t="shared" si="11"/>
        <v>ม.5</v>
      </c>
    </row>
    <row r="383" spans="1:8" x14ac:dyDescent="0.7">
      <c r="A383" s="527" t="s">
        <v>892</v>
      </c>
      <c r="B383" s="530" t="s">
        <v>893</v>
      </c>
      <c r="C383" s="527">
        <v>1</v>
      </c>
      <c r="D383" s="530" t="s">
        <v>169</v>
      </c>
      <c r="E383" s="530" t="s">
        <v>761</v>
      </c>
      <c r="F383" s="527" t="s">
        <v>861</v>
      </c>
      <c r="G383" s="527">
        <f t="shared" si="10"/>
        <v>2</v>
      </c>
      <c r="H383" s="558" t="str">
        <f t="shared" si="11"/>
        <v>ม.5</v>
      </c>
    </row>
    <row r="384" spans="1:8" x14ac:dyDescent="0.7">
      <c r="A384" s="527" t="s">
        <v>1164</v>
      </c>
      <c r="B384" s="530" t="s">
        <v>1165</v>
      </c>
      <c r="C384" s="527">
        <v>2</v>
      </c>
      <c r="D384" s="530" t="s">
        <v>169</v>
      </c>
      <c r="E384" s="530" t="s">
        <v>761</v>
      </c>
      <c r="F384" s="527" t="s">
        <v>168</v>
      </c>
      <c r="G384" s="527">
        <f t="shared" si="10"/>
        <v>4</v>
      </c>
      <c r="H384" s="558" t="str">
        <f t="shared" si="11"/>
        <v>ม.5</v>
      </c>
    </row>
    <row r="385" spans="1:8" x14ac:dyDescent="0.7">
      <c r="A385" s="527" t="s">
        <v>805</v>
      </c>
      <c r="B385" s="530" t="s">
        <v>806</v>
      </c>
      <c r="C385" s="527">
        <v>1</v>
      </c>
      <c r="D385" s="530" t="s">
        <v>273</v>
      </c>
      <c r="E385" s="530" t="s">
        <v>775</v>
      </c>
      <c r="F385" s="527"/>
      <c r="G385" s="527">
        <f t="shared" si="10"/>
        <v>2</v>
      </c>
      <c r="H385" s="558" t="str">
        <f t="shared" si="11"/>
        <v>ม.6</v>
      </c>
    </row>
    <row r="386" spans="1:8" x14ac:dyDescent="0.7">
      <c r="A386" s="527" t="s">
        <v>807</v>
      </c>
      <c r="B386" s="530" t="s">
        <v>808</v>
      </c>
      <c r="C386" s="527">
        <v>0.5</v>
      </c>
      <c r="D386" s="530" t="s">
        <v>273</v>
      </c>
      <c r="E386" s="530" t="s">
        <v>775</v>
      </c>
      <c r="F386" s="527"/>
      <c r="G386" s="527">
        <f t="shared" si="10"/>
        <v>1</v>
      </c>
      <c r="H386" s="558" t="str">
        <f t="shared" si="11"/>
        <v>ม.6</v>
      </c>
    </row>
    <row r="387" spans="1:8" x14ac:dyDescent="0.7">
      <c r="A387" s="527" t="s">
        <v>809</v>
      </c>
      <c r="B387" s="530" t="s">
        <v>810</v>
      </c>
      <c r="C387" s="527">
        <v>1</v>
      </c>
      <c r="D387" s="530" t="s">
        <v>273</v>
      </c>
      <c r="E387" s="530" t="s">
        <v>775</v>
      </c>
      <c r="F387" s="527"/>
      <c r="G387" s="527">
        <f t="shared" si="10"/>
        <v>2</v>
      </c>
      <c r="H387" s="558" t="str">
        <f t="shared" si="11"/>
        <v>ม.6</v>
      </c>
    </row>
    <row r="388" spans="1:8" x14ac:dyDescent="0.7">
      <c r="A388" s="527" t="s">
        <v>835</v>
      </c>
      <c r="B388" s="530" t="s">
        <v>836</v>
      </c>
      <c r="C388" s="527">
        <v>1</v>
      </c>
      <c r="D388" s="530" t="s">
        <v>169</v>
      </c>
      <c r="E388" s="530" t="s">
        <v>775</v>
      </c>
      <c r="F388" s="527"/>
      <c r="G388" s="527">
        <f t="shared" si="10"/>
        <v>2</v>
      </c>
      <c r="H388" s="558" t="str">
        <f t="shared" si="11"/>
        <v>ม.6</v>
      </c>
    </row>
    <row r="389" spans="1:8" x14ac:dyDescent="0.7">
      <c r="A389" s="527" t="s">
        <v>837</v>
      </c>
      <c r="B389" s="530" t="s">
        <v>838</v>
      </c>
      <c r="C389" s="527">
        <v>1</v>
      </c>
      <c r="D389" s="530" t="s">
        <v>169</v>
      </c>
      <c r="E389" s="530" t="s">
        <v>775</v>
      </c>
      <c r="F389" s="527"/>
      <c r="G389" s="527">
        <f t="shared" si="10"/>
        <v>2</v>
      </c>
      <c r="H389" s="558" t="str">
        <f t="shared" si="11"/>
        <v>ม.6</v>
      </c>
    </row>
    <row r="390" spans="1:8" x14ac:dyDescent="0.7">
      <c r="A390" s="527" t="s">
        <v>839</v>
      </c>
      <c r="B390" s="530" t="s">
        <v>840</v>
      </c>
      <c r="C390" s="527">
        <v>1</v>
      </c>
      <c r="D390" s="530" t="s">
        <v>169</v>
      </c>
      <c r="E390" s="530" t="s">
        <v>775</v>
      </c>
      <c r="F390" s="527"/>
      <c r="G390" s="527">
        <f t="shared" si="10"/>
        <v>2</v>
      </c>
      <c r="H390" s="558" t="str">
        <f t="shared" si="11"/>
        <v>ม.6</v>
      </c>
    </row>
    <row r="391" spans="1:8" x14ac:dyDescent="0.7">
      <c r="A391" s="527" t="s">
        <v>841</v>
      </c>
      <c r="B391" s="530" t="s">
        <v>842</v>
      </c>
      <c r="C391" s="527">
        <v>1</v>
      </c>
      <c r="D391" s="530" t="s">
        <v>169</v>
      </c>
      <c r="E391" s="530" t="s">
        <v>775</v>
      </c>
      <c r="F391" s="527"/>
      <c r="G391" s="527">
        <f t="shared" si="10"/>
        <v>2</v>
      </c>
      <c r="H391" s="558" t="str">
        <f t="shared" si="11"/>
        <v>ม.6</v>
      </c>
    </row>
    <row r="392" spans="1:8" x14ac:dyDescent="0.7">
      <c r="A392" s="527" t="s">
        <v>843</v>
      </c>
      <c r="B392" s="530" t="s">
        <v>844</v>
      </c>
      <c r="C392" s="527">
        <v>1</v>
      </c>
      <c r="D392" s="530" t="s">
        <v>169</v>
      </c>
      <c r="E392" s="530" t="s">
        <v>775</v>
      </c>
      <c r="F392" s="527"/>
      <c r="G392" s="527">
        <f t="shared" si="10"/>
        <v>2</v>
      </c>
      <c r="H392" s="558" t="str">
        <f t="shared" si="11"/>
        <v>ม.6</v>
      </c>
    </row>
    <row r="393" spans="1:8" x14ac:dyDescent="0.7">
      <c r="A393" s="527" t="s">
        <v>845</v>
      </c>
      <c r="B393" s="530" t="s">
        <v>846</v>
      </c>
      <c r="C393" s="527">
        <v>1</v>
      </c>
      <c r="D393" s="530" t="s">
        <v>169</v>
      </c>
      <c r="E393" s="530" t="s">
        <v>775</v>
      </c>
      <c r="F393" s="527"/>
      <c r="G393" s="527">
        <f t="shared" si="10"/>
        <v>2</v>
      </c>
      <c r="H393" s="558" t="str">
        <f t="shared" si="11"/>
        <v>ม.6</v>
      </c>
    </row>
    <row r="394" spans="1:8" x14ac:dyDescent="0.7">
      <c r="A394" s="527" t="s">
        <v>894</v>
      </c>
      <c r="B394" s="530" t="s">
        <v>895</v>
      </c>
      <c r="C394" s="527">
        <v>1</v>
      </c>
      <c r="D394" s="530" t="s">
        <v>169</v>
      </c>
      <c r="E394" s="530" t="s">
        <v>775</v>
      </c>
      <c r="F394" s="527"/>
      <c r="G394" s="527">
        <f t="shared" ref="G394:G453" si="12">C394*2</f>
        <v>2</v>
      </c>
      <c r="H394" s="558" t="str">
        <f t="shared" ref="H394:H457" si="13">IF(E394="-","-",IF(E394="มัธยมศึกษาปีที่ 1","ม.1",IF(E394="มัธยมศึกษาปีที่ 2","ม.2",IF(E394="มัธยมศึกษาปีที่ 3","ม.3",IF(E394="มัธยมศึกษาปีที่ 4","ม.4",IF(E394="มัธยมศึกษาปีที่ 5","ม.5",IF(E394="มัธยมศึกษาปีที่ 6","ม.6",IF(E394="มัธยมศึกษาปีที่ 1-3","ม.1-3",E394))))))))</f>
        <v>ม.6</v>
      </c>
    </row>
    <row r="395" spans="1:8" x14ac:dyDescent="0.7">
      <c r="A395" s="527" t="s">
        <v>896</v>
      </c>
      <c r="B395" s="530" t="s">
        <v>897</v>
      </c>
      <c r="C395" s="527">
        <v>1</v>
      </c>
      <c r="D395" s="530" t="s">
        <v>169</v>
      </c>
      <c r="E395" s="530" t="s">
        <v>775</v>
      </c>
      <c r="F395" s="527"/>
      <c r="G395" s="527">
        <f t="shared" si="12"/>
        <v>2</v>
      </c>
      <c r="H395" s="558" t="str">
        <f t="shared" si="13"/>
        <v>ม.6</v>
      </c>
    </row>
    <row r="396" spans="1:8" x14ac:dyDescent="0.7">
      <c r="A396" s="527" t="s">
        <v>898</v>
      </c>
      <c r="B396" s="530" t="s">
        <v>899</v>
      </c>
      <c r="C396" s="527">
        <v>1</v>
      </c>
      <c r="D396" s="530" t="s">
        <v>169</v>
      </c>
      <c r="E396" s="530" t="s">
        <v>775</v>
      </c>
      <c r="F396" s="527" t="s">
        <v>861</v>
      </c>
      <c r="G396" s="527">
        <f t="shared" si="12"/>
        <v>2</v>
      </c>
      <c r="H396" s="558" t="str">
        <f t="shared" si="13"/>
        <v>ม.6</v>
      </c>
    </row>
    <row r="397" spans="1:8" x14ac:dyDescent="0.7">
      <c r="A397" s="527" t="s">
        <v>900</v>
      </c>
      <c r="B397" s="530" t="s">
        <v>901</v>
      </c>
      <c r="C397" s="527">
        <v>1</v>
      </c>
      <c r="D397" s="530" t="s">
        <v>169</v>
      </c>
      <c r="E397" s="530" t="s">
        <v>775</v>
      </c>
      <c r="F397" s="527"/>
      <c r="G397" s="527">
        <f t="shared" si="12"/>
        <v>2</v>
      </c>
      <c r="H397" s="558" t="str">
        <f t="shared" si="13"/>
        <v>ม.6</v>
      </c>
    </row>
    <row r="398" spans="1:8" x14ac:dyDescent="0.7">
      <c r="A398" s="527" t="s">
        <v>902</v>
      </c>
      <c r="B398" s="530" t="s">
        <v>903</v>
      </c>
      <c r="C398" s="527">
        <v>1</v>
      </c>
      <c r="D398" s="530" t="s">
        <v>169</v>
      </c>
      <c r="E398" s="530" t="s">
        <v>775</v>
      </c>
      <c r="F398" s="527"/>
      <c r="G398" s="527">
        <f t="shared" si="12"/>
        <v>2</v>
      </c>
      <c r="H398" s="558" t="str">
        <f t="shared" si="13"/>
        <v>ม.6</v>
      </c>
    </row>
    <row r="399" spans="1:8" x14ac:dyDescent="0.7">
      <c r="A399" s="527" t="s">
        <v>904</v>
      </c>
      <c r="B399" s="530" t="s">
        <v>905</v>
      </c>
      <c r="C399" s="527">
        <v>1</v>
      </c>
      <c r="D399" s="530" t="s">
        <v>169</v>
      </c>
      <c r="E399" s="530" t="s">
        <v>775</v>
      </c>
      <c r="F399" s="527" t="s">
        <v>861</v>
      </c>
      <c r="G399" s="527">
        <f t="shared" si="12"/>
        <v>2</v>
      </c>
      <c r="H399" s="558" t="str">
        <f t="shared" si="13"/>
        <v>ม.6</v>
      </c>
    </row>
    <row r="400" spans="1:8" x14ac:dyDescent="0.7">
      <c r="A400" s="527" t="s">
        <v>983</v>
      </c>
      <c r="B400" s="530" t="s">
        <v>984</v>
      </c>
      <c r="C400" s="527">
        <v>0.5</v>
      </c>
      <c r="D400" s="530" t="s">
        <v>273</v>
      </c>
      <c r="E400" s="530" t="s">
        <v>758</v>
      </c>
      <c r="F400" s="527"/>
      <c r="G400" s="527">
        <f t="shared" si="12"/>
        <v>1</v>
      </c>
      <c r="H400" s="558" t="str">
        <f t="shared" si="13"/>
        <v>ม.4</v>
      </c>
    </row>
    <row r="401" spans="1:8" x14ac:dyDescent="0.7">
      <c r="A401" s="527" t="s">
        <v>985</v>
      </c>
      <c r="B401" s="530" t="s">
        <v>986</v>
      </c>
      <c r="C401" s="527">
        <v>0.5</v>
      </c>
      <c r="D401" s="530" t="s">
        <v>273</v>
      </c>
      <c r="E401" s="530" t="s">
        <v>758</v>
      </c>
      <c r="F401" s="527"/>
      <c r="G401" s="527">
        <f t="shared" si="12"/>
        <v>1</v>
      </c>
      <c r="H401" s="558" t="str">
        <f t="shared" si="13"/>
        <v>ม.4</v>
      </c>
    </row>
    <row r="402" spans="1:8" x14ac:dyDescent="0.7">
      <c r="A402" s="527" t="s">
        <v>995</v>
      </c>
      <c r="B402" s="530" t="s">
        <v>996</v>
      </c>
      <c r="C402" s="527">
        <v>2</v>
      </c>
      <c r="D402" s="530" t="s">
        <v>169</v>
      </c>
      <c r="E402" s="530" t="s">
        <v>758</v>
      </c>
      <c r="F402" s="527" t="s">
        <v>168</v>
      </c>
      <c r="G402" s="527">
        <f t="shared" si="12"/>
        <v>4</v>
      </c>
      <c r="H402" s="558" t="str">
        <f t="shared" si="13"/>
        <v>ม.4</v>
      </c>
    </row>
    <row r="403" spans="1:8" x14ac:dyDescent="0.7">
      <c r="A403" s="527" t="s">
        <v>1003</v>
      </c>
      <c r="B403" s="530" t="s">
        <v>1004</v>
      </c>
      <c r="C403" s="527">
        <v>2</v>
      </c>
      <c r="D403" s="530" t="s">
        <v>169</v>
      </c>
      <c r="E403" s="530" t="s">
        <v>758</v>
      </c>
      <c r="F403" s="527" t="s">
        <v>168</v>
      </c>
      <c r="G403" s="527">
        <f t="shared" si="12"/>
        <v>4</v>
      </c>
      <c r="H403" s="558" t="str">
        <f t="shared" si="13"/>
        <v>ม.4</v>
      </c>
    </row>
    <row r="404" spans="1:8" x14ac:dyDescent="0.7">
      <c r="A404" s="527" t="s">
        <v>997</v>
      </c>
      <c r="B404" s="530" t="s">
        <v>998</v>
      </c>
      <c r="C404" s="527">
        <v>2</v>
      </c>
      <c r="D404" s="530" t="s">
        <v>169</v>
      </c>
      <c r="E404" s="530" t="s">
        <v>758</v>
      </c>
      <c r="F404" s="527" t="s">
        <v>168</v>
      </c>
      <c r="G404" s="527">
        <f t="shared" si="12"/>
        <v>4</v>
      </c>
      <c r="H404" s="558" t="str">
        <f t="shared" si="13"/>
        <v>ม.4</v>
      </c>
    </row>
    <row r="405" spans="1:8" x14ac:dyDescent="0.7">
      <c r="A405" s="527" t="s">
        <v>1005</v>
      </c>
      <c r="B405" s="530" t="s">
        <v>1006</v>
      </c>
      <c r="C405" s="527">
        <v>2</v>
      </c>
      <c r="D405" s="530" t="s">
        <v>169</v>
      </c>
      <c r="E405" s="530" t="s">
        <v>758</v>
      </c>
      <c r="F405" s="527" t="s">
        <v>168</v>
      </c>
      <c r="G405" s="527">
        <f t="shared" si="12"/>
        <v>4</v>
      </c>
      <c r="H405" s="558" t="str">
        <f t="shared" si="13"/>
        <v>ม.4</v>
      </c>
    </row>
    <row r="406" spans="1:8" x14ac:dyDescent="0.7">
      <c r="A406" s="527" t="s">
        <v>999</v>
      </c>
      <c r="B406" s="530" t="s">
        <v>1000</v>
      </c>
      <c r="C406" s="527">
        <v>2</v>
      </c>
      <c r="D406" s="530" t="s">
        <v>169</v>
      </c>
      <c r="E406" s="530" t="s">
        <v>758</v>
      </c>
      <c r="F406" s="527" t="s">
        <v>168</v>
      </c>
      <c r="G406" s="527">
        <f t="shared" si="12"/>
        <v>4</v>
      </c>
      <c r="H406" s="558" t="str">
        <f t="shared" si="13"/>
        <v>ม.4</v>
      </c>
    </row>
    <row r="407" spans="1:8" x14ac:dyDescent="0.7">
      <c r="A407" s="527" t="s">
        <v>1007</v>
      </c>
      <c r="B407" s="530" t="s">
        <v>1008</v>
      </c>
      <c r="C407" s="527">
        <v>2</v>
      </c>
      <c r="D407" s="530" t="s">
        <v>169</v>
      </c>
      <c r="E407" s="530" t="s">
        <v>758</v>
      </c>
      <c r="F407" s="527" t="s">
        <v>168</v>
      </c>
      <c r="G407" s="527">
        <f t="shared" si="12"/>
        <v>4</v>
      </c>
      <c r="H407" s="558" t="str">
        <f t="shared" si="13"/>
        <v>ม.4</v>
      </c>
    </row>
    <row r="408" spans="1:8" x14ac:dyDescent="0.7">
      <c r="A408" s="527" t="s">
        <v>1001</v>
      </c>
      <c r="B408" s="530" t="s">
        <v>1002</v>
      </c>
      <c r="C408" s="527">
        <v>2</v>
      </c>
      <c r="D408" s="530" t="s">
        <v>169</v>
      </c>
      <c r="E408" s="530" t="s">
        <v>758</v>
      </c>
      <c r="F408" s="527" t="s">
        <v>168</v>
      </c>
      <c r="G408" s="527">
        <f t="shared" si="12"/>
        <v>4</v>
      </c>
      <c r="H408" s="558" t="str">
        <f t="shared" si="13"/>
        <v>ม.4</v>
      </c>
    </row>
    <row r="409" spans="1:8" x14ac:dyDescent="0.7">
      <c r="A409" s="527" t="s">
        <v>1009</v>
      </c>
      <c r="B409" s="530" t="s">
        <v>1010</v>
      </c>
      <c r="C409" s="527">
        <v>2</v>
      </c>
      <c r="D409" s="530" t="s">
        <v>169</v>
      </c>
      <c r="E409" s="530" t="s">
        <v>758</v>
      </c>
      <c r="F409" s="527" t="s">
        <v>168</v>
      </c>
      <c r="G409" s="527">
        <f t="shared" si="12"/>
        <v>4</v>
      </c>
      <c r="H409" s="558" t="str">
        <f t="shared" si="13"/>
        <v>ม.4</v>
      </c>
    </row>
    <row r="410" spans="1:8" x14ac:dyDescent="0.7">
      <c r="A410" s="527" t="s">
        <v>987</v>
      </c>
      <c r="B410" s="530" t="s">
        <v>988</v>
      </c>
      <c r="C410" s="527">
        <v>0.5</v>
      </c>
      <c r="D410" s="530" t="s">
        <v>273</v>
      </c>
      <c r="E410" s="530" t="s">
        <v>761</v>
      </c>
      <c r="F410" s="527"/>
      <c r="G410" s="527">
        <f t="shared" si="12"/>
        <v>1</v>
      </c>
      <c r="H410" s="558" t="str">
        <f t="shared" si="13"/>
        <v>ม.5</v>
      </c>
    </row>
    <row r="411" spans="1:8" x14ac:dyDescent="0.7">
      <c r="A411" s="527" t="s">
        <v>989</v>
      </c>
      <c r="B411" s="530" t="s">
        <v>990</v>
      </c>
      <c r="C411" s="527">
        <v>0.5</v>
      </c>
      <c r="D411" s="530" t="s">
        <v>273</v>
      </c>
      <c r="E411" s="530" t="s">
        <v>761</v>
      </c>
      <c r="F411" s="527"/>
      <c r="G411" s="527">
        <f t="shared" si="12"/>
        <v>1</v>
      </c>
      <c r="H411" s="558" t="str">
        <f t="shared" si="13"/>
        <v>ม.5</v>
      </c>
    </row>
    <row r="412" spans="1:8" x14ac:dyDescent="0.7">
      <c r="A412" s="527" t="s">
        <v>1011</v>
      </c>
      <c r="B412" s="530" t="s">
        <v>1012</v>
      </c>
      <c r="C412" s="527">
        <v>2</v>
      </c>
      <c r="D412" s="530" t="s">
        <v>169</v>
      </c>
      <c r="E412" s="530" t="s">
        <v>761</v>
      </c>
      <c r="F412" s="527" t="s">
        <v>168</v>
      </c>
      <c r="G412" s="527">
        <f t="shared" si="12"/>
        <v>4</v>
      </c>
      <c r="H412" s="558" t="str">
        <f t="shared" si="13"/>
        <v>ม.5</v>
      </c>
    </row>
    <row r="413" spans="1:8" x14ac:dyDescent="0.7">
      <c r="A413" s="527" t="s">
        <v>1019</v>
      </c>
      <c r="B413" s="530" t="s">
        <v>1020</v>
      </c>
      <c r="C413" s="527">
        <v>2</v>
      </c>
      <c r="D413" s="530" t="s">
        <v>169</v>
      </c>
      <c r="E413" s="530" t="s">
        <v>761</v>
      </c>
      <c r="F413" s="527" t="s">
        <v>168</v>
      </c>
      <c r="G413" s="527">
        <f t="shared" si="12"/>
        <v>4</v>
      </c>
      <c r="H413" s="558" t="str">
        <f t="shared" si="13"/>
        <v>ม.5</v>
      </c>
    </row>
    <row r="414" spans="1:8" x14ac:dyDescent="0.7">
      <c r="A414" s="527" t="s">
        <v>1013</v>
      </c>
      <c r="B414" s="530" t="s">
        <v>1014</v>
      </c>
      <c r="C414" s="527">
        <v>2</v>
      </c>
      <c r="D414" s="530" t="s">
        <v>169</v>
      </c>
      <c r="E414" s="530" t="s">
        <v>761</v>
      </c>
      <c r="F414" s="527" t="s">
        <v>168</v>
      </c>
      <c r="G414" s="527">
        <f t="shared" si="12"/>
        <v>4</v>
      </c>
      <c r="H414" s="558" t="str">
        <f t="shared" si="13"/>
        <v>ม.5</v>
      </c>
    </row>
    <row r="415" spans="1:8" x14ac:dyDescent="0.7">
      <c r="A415" s="527" t="s">
        <v>1021</v>
      </c>
      <c r="B415" s="530" t="s">
        <v>1022</v>
      </c>
      <c r="C415" s="527">
        <v>2</v>
      </c>
      <c r="D415" s="530" t="s">
        <v>169</v>
      </c>
      <c r="E415" s="530" t="s">
        <v>761</v>
      </c>
      <c r="F415" s="527" t="s">
        <v>168</v>
      </c>
      <c r="G415" s="527">
        <f t="shared" si="12"/>
        <v>4</v>
      </c>
      <c r="H415" s="558" t="str">
        <f t="shared" si="13"/>
        <v>ม.5</v>
      </c>
    </row>
    <row r="416" spans="1:8" x14ac:dyDescent="0.7">
      <c r="A416" s="527" t="s">
        <v>1015</v>
      </c>
      <c r="B416" s="530" t="s">
        <v>1016</v>
      </c>
      <c r="C416" s="527">
        <v>2</v>
      </c>
      <c r="D416" s="530" t="s">
        <v>169</v>
      </c>
      <c r="E416" s="530" t="s">
        <v>761</v>
      </c>
      <c r="F416" s="527" t="s">
        <v>168</v>
      </c>
      <c r="G416" s="527">
        <f t="shared" si="12"/>
        <v>4</v>
      </c>
      <c r="H416" s="558" t="str">
        <f t="shared" si="13"/>
        <v>ม.5</v>
      </c>
    </row>
    <row r="417" spans="1:8" x14ac:dyDescent="0.7">
      <c r="A417" s="527" t="s">
        <v>1023</v>
      </c>
      <c r="B417" s="530" t="s">
        <v>1024</v>
      </c>
      <c r="C417" s="527">
        <v>2</v>
      </c>
      <c r="D417" s="530" t="s">
        <v>169</v>
      </c>
      <c r="E417" s="530" t="s">
        <v>761</v>
      </c>
      <c r="F417" s="527" t="s">
        <v>168</v>
      </c>
      <c r="G417" s="527">
        <f t="shared" si="12"/>
        <v>4</v>
      </c>
      <c r="H417" s="558" t="str">
        <f t="shared" si="13"/>
        <v>ม.5</v>
      </c>
    </row>
    <row r="418" spans="1:8" x14ac:dyDescent="0.7">
      <c r="A418" s="527" t="s">
        <v>1017</v>
      </c>
      <c r="B418" s="530" t="s">
        <v>1018</v>
      </c>
      <c r="C418" s="527">
        <v>2</v>
      </c>
      <c r="D418" s="530" t="s">
        <v>169</v>
      </c>
      <c r="E418" s="530" t="s">
        <v>761</v>
      </c>
      <c r="F418" s="527" t="s">
        <v>168</v>
      </c>
      <c r="G418" s="527">
        <f t="shared" si="12"/>
        <v>4</v>
      </c>
      <c r="H418" s="558" t="str">
        <f t="shared" si="13"/>
        <v>ม.5</v>
      </c>
    </row>
    <row r="419" spans="1:8" x14ac:dyDescent="0.7">
      <c r="A419" s="527" t="s">
        <v>1025</v>
      </c>
      <c r="B419" s="530" t="s">
        <v>1026</v>
      </c>
      <c r="C419" s="527">
        <v>2</v>
      </c>
      <c r="D419" s="530" t="s">
        <v>169</v>
      </c>
      <c r="E419" s="530" t="s">
        <v>761</v>
      </c>
      <c r="F419" s="527" t="s">
        <v>168</v>
      </c>
      <c r="G419" s="527">
        <f t="shared" si="12"/>
        <v>4</v>
      </c>
      <c r="H419" s="558" t="str">
        <f t="shared" si="13"/>
        <v>ม.5</v>
      </c>
    </row>
    <row r="420" spans="1:8" x14ac:dyDescent="0.7">
      <c r="A420" s="527" t="s">
        <v>991</v>
      </c>
      <c r="B420" s="530" t="s">
        <v>992</v>
      </c>
      <c r="C420" s="527">
        <v>0.5</v>
      </c>
      <c r="D420" s="530" t="s">
        <v>273</v>
      </c>
      <c r="E420" s="530" t="s">
        <v>775</v>
      </c>
      <c r="F420" s="527"/>
      <c r="G420" s="527">
        <f t="shared" si="12"/>
        <v>1</v>
      </c>
      <c r="H420" s="558" t="str">
        <f t="shared" si="13"/>
        <v>ม.6</v>
      </c>
    </row>
    <row r="421" spans="1:8" x14ac:dyDescent="0.7">
      <c r="A421" s="527" t="s">
        <v>993</v>
      </c>
      <c r="B421" s="530" t="s">
        <v>994</v>
      </c>
      <c r="C421" s="527">
        <v>0.5</v>
      </c>
      <c r="D421" s="530" t="s">
        <v>273</v>
      </c>
      <c r="E421" s="530" t="s">
        <v>775</v>
      </c>
      <c r="F421" s="527"/>
      <c r="G421" s="527">
        <f t="shared" si="12"/>
        <v>1</v>
      </c>
      <c r="H421" s="558" t="str">
        <f t="shared" si="13"/>
        <v>ม.6</v>
      </c>
    </row>
    <row r="422" spans="1:8" x14ac:dyDescent="0.7">
      <c r="A422" s="527" t="s">
        <v>1027</v>
      </c>
      <c r="B422" s="530" t="s">
        <v>1028</v>
      </c>
      <c r="C422" s="527">
        <v>2</v>
      </c>
      <c r="D422" s="530" t="s">
        <v>169</v>
      </c>
      <c r="E422" s="530" t="s">
        <v>775</v>
      </c>
      <c r="F422" s="527" t="s">
        <v>168</v>
      </c>
      <c r="G422" s="527">
        <f t="shared" si="12"/>
        <v>4</v>
      </c>
      <c r="H422" s="558" t="str">
        <f t="shared" si="13"/>
        <v>ม.6</v>
      </c>
    </row>
    <row r="423" spans="1:8" x14ac:dyDescent="0.7">
      <c r="A423" s="527" t="s">
        <v>1035</v>
      </c>
      <c r="B423" s="530" t="s">
        <v>1036</v>
      </c>
      <c r="C423" s="527">
        <v>2</v>
      </c>
      <c r="D423" s="530" t="s">
        <v>169</v>
      </c>
      <c r="E423" s="530" t="s">
        <v>775</v>
      </c>
      <c r="F423" s="527" t="s">
        <v>168</v>
      </c>
      <c r="G423" s="527">
        <f t="shared" si="12"/>
        <v>4</v>
      </c>
      <c r="H423" s="558" t="str">
        <f t="shared" si="13"/>
        <v>ม.6</v>
      </c>
    </row>
    <row r="424" spans="1:8" x14ac:dyDescent="0.7">
      <c r="A424" s="527" t="s">
        <v>1029</v>
      </c>
      <c r="B424" s="530" t="s">
        <v>1030</v>
      </c>
      <c r="C424" s="527">
        <v>2</v>
      </c>
      <c r="D424" s="530" t="s">
        <v>169</v>
      </c>
      <c r="E424" s="530" t="s">
        <v>775</v>
      </c>
      <c r="F424" s="527" t="s">
        <v>168</v>
      </c>
      <c r="G424" s="527">
        <f t="shared" si="12"/>
        <v>4</v>
      </c>
      <c r="H424" s="558" t="str">
        <f t="shared" si="13"/>
        <v>ม.6</v>
      </c>
    </row>
    <row r="425" spans="1:8" x14ac:dyDescent="0.7">
      <c r="A425" s="527" t="s">
        <v>1037</v>
      </c>
      <c r="B425" s="530" t="s">
        <v>1038</v>
      </c>
      <c r="C425" s="527">
        <v>2</v>
      </c>
      <c r="D425" s="530" t="s">
        <v>169</v>
      </c>
      <c r="E425" s="530" t="s">
        <v>775</v>
      </c>
      <c r="F425" s="527" t="s">
        <v>168</v>
      </c>
      <c r="G425" s="527">
        <f t="shared" si="12"/>
        <v>4</v>
      </c>
      <c r="H425" s="558" t="str">
        <f t="shared" si="13"/>
        <v>ม.6</v>
      </c>
    </row>
    <row r="426" spans="1:8" x14ac:dyDescent="0.7">
      <c r="A426" s="527" t="s">
        <v>1031</v>
      </c>
      <c r="B426" s="530" t="s">
        <v>1032</v>
      </c>
      <c r="C426" s="527">
        <v>2</v>
      </c>
      <c r="D426" s="530" t="s">
        <v>169</v>
      </c>
      <c r="E426" s="530" t="s">
        <v>775</v>
      </c>
      <c r="F426" s="527" t="s">
        <v>168</v>
      </c>
      <c r="G426" s="527">
        <f t="shared" si="12"/>
        <v>4</v>
      </c>
      <c r="H426" s="558" t="str">
        <f t="shared" si="13"/>
        <v>ม.6</v>
      </c>
    </row>
    <row r="427" spans="1:8" x14ac:dyDescent="0.7">
      <c r="A427" s="527" t="s">
        <v>1039</v>
      </c>
      <c r="B427" s="530" t="s">
        <v>1040</v>
      </c>
      <c r="C427" s="527">
        <v>2</v>
      </c>
      <c r="D427" s="530" t="s">
        <v>169</v>
      </c>
      <c r="E427" s="530" t="s">
        <v>775</v>
      </c>
      <c r="F427" s="527" t="s">
        <v>168</v>
      </c>
      <c r="G427" s="527">
        <f t="shared" si="12"/>
        <v>4</v>
      </c>
      <c r="H427" s="558" t="str">
        <f t="shared" si="13"/>
        <v>ม.6</v>
      </c>
    </row>
    <row r="428" spans="1:8" x14ac:dyDescent="0.7">
      <c r="A428" s="527" t="s">
        <v>1033</v>
      </c>
      <c r="B428" s="530" t="s">
        <v>1034</v>
      </c>
      <c r="C428" s="527">
        <v>2</v>
      </c>
      <c r="D428" s="530" t="s">
        <v>169</v>
      </c>
      <c r="E428" s="530" t="s">
        <v>775</v>
      </c>
      <c r="F428" s="527" t="s">
        <v>168</v>
      </c>
      <c r="G428" s="527">
        <f t="shared" si="12"/>
        <v>4</v>
      </c>
      <c r="H428" s="558" t="str">
        <f t="shared" si="13"/>
        <v>ม.6</v>
      </c>
    </row>
    <row r="429" spans="1:8" x14ac:dyDescent="0.7">
      <c r="A429" s="527" t="s">
        <v>1041</v>
      </c>
      <c r="B429" s="530" t="s">
        <v>1042</v>
      </c>
      <c r="C429" s="527">
        <v>2</v>
      </c>
      <c r="D429" s="530" t="s">
        <v>169</v>
      </c>
      <c r="E429" s="530" t="s">
        <v>775</v>
      </c>
      <c r="F429" s="527" t="s">
        <v>168</v>
      </c>
      <c r="G429" s="527">
        <f t="shared" si="12"/>
        <v>4</v>
      </c>
      <c r="H429" s="558" t="str">
        <f t="shared" si="13"/>
        <v>ม.6</v>
      </c>
    </row>
    <row r="430" spans="1:8" x14ac:dyDescent="0.7">
      <c r="A430" s="527" t="s">
        <v>914</v>
      </c>
      <c r="B430" s="530" t="s">
        <v>217</v>
      </c>
      <c r="C430" s="527">
        <v>0.5</v>
      </c>
      <c r="D430" s="530" t="s">
        <v>169</v>
      </c>
      <c r="E430" s="530" t="s">
        <v>758</v>
      </c>
      <c r="F430" s="527"/>
      <c r="G430" s="527">
        <f t="shared" si="12"/>
        <v>1</v>
      </c>
      <c r="H430" s="558" t="str">
        <f t="shared" si="13"/>
        <v>ม.4</v>
      </c>
    </row>
    <row r="431" spans="1:8" x14ac:dyDescent="0.7">
      <c r="A431" s="527" t="s">
        <v>915</v>
      </c>
      <c r="B431" s="530" t="s">
        <v>148</v>
      </c>
      <c r="C431" s="527">
        <v>0.5</v>
      </c>
      <c r="D431" s="530" t="s">
        <v>169</v>
      </c>
      <c r="E431" s="530" t="s">
        <v>758</v>
      </c>
      <c r="F431" s="527"/>
      <c r="G431" s="527">
        <f t="shared" si="12"/>
        <v>1</v>
      </c>
      <c r="H431" s="558" t="str">
        <f t="shared" si="13"/>
        <v>ม.4</v>
      </c>
    </row>
    <row r="432" spans="1:8" x14ac:dyDescent="0.7">
      <c r="A432" s="527" t="s">
        <v>916</v>
      </c>
      <c r="B432" s="530" t="s">
        <v>330</v>
      </c>
      <c r="C432" s="527">
        <v>0.5</v>
      </c>
      <c r="D432" s="530" t="s">
        <v>169</v>
      </c>
      <c r="E432" s="530" t="s">
        <v>761</v>
      </c>
      <c r="F432" s="527"/>
      <c r="G432" s="527">
        <f t="shared" si="12"/>
        <v>1</v>
      </c>
      <c r="H432" s="558" t="str">
        <f t="shared" si="13"/>
        <v>ม.5</v>
      </c>
    </row>
    <row r="433" spans="1:8" x14ac:dyDescent="0.7">
      <c r="A433" s="527" t="s">
        <v>917</v>
      </c>
      <c r="B433" s="530" t="s">
        <v>332</v>
      </c>
      <c r="C433" s="527">
        <v>0.5</v>
      </c>
      <c r="D433" s="530" t="s">
        <v>169</v>
      </c>
      <c r="E433" s="530" t="s">
        <v>761</v>
      </c>
      <c r="F433" s="527"/>
      <c r="G433" s="527">
        <f t="shared" si="12"/>
        <v>1</v>
      </c>
      <c r="H433" s="558" t="str">
        <f t="shared" si="13"/>
        <v>ม.5</v>
      </c>
    </row>
    <row r="434" spans="1:8" x14ac:dyDescent="0.7">
      <c r="A434" s="527" t="s">
        <v>918</v>
      </c>
      <c r="B434" s="530" t="s">
        <v>919</v>
      </c>
      <c r="C434" s="527">
        <v>1</v>
      </c>
      <c r="D434" s="530" t="s">
        <v>169</v>
      </c>
      <c r="E434" s="530" t="s">
        <v>761</v>
      </c>
      <c r="F434" s="527" t="s">
        <v>861</v>
      </c>
      <c r="G434" s="527">
        <f t="shared" si="12"/>
        <v>2</v>
      </c>
      <c r="H434" s="558" t="str">
        <f t="shared" si="13"/>
        <v>ม.5</v>
      </c>
    </row>
    <row r="435" spans="1:8" x14ac:dyDescent="0.7">
      <c r="A435" s="527" t="s">
        <v>906</v>
      </c>
      <c r="B435" s="530" t="s">
        <v>281</v>
      </c>
      <c r="C435" s="527">
        <v>1.5</v>
      </c>
      <c r="D435" s="530" t="s">
        <v>273</v>
      </c>
      <c r="E435" s="530" t="s">
        <v>758</v>
      </c>
      <c r="F435" s="527"/>
      <c r="G435" s="527">
        <f t="shared" si="12"/>
        <v>3</v>
      </c>
      <c r="H435" s="558" t="str">
        <f t="shared" si="13"/>
        <v>ม.4</v>
      </c>
    </row>
    <row r="436" spans="1:8" x14ac:dyDescent="0.7">
      <c r="A436" s="527" t="s">
        <v>907</v>
      </c>
      <c r="B436" s="530" t="s">
        <v>283</v>
      </c>
      <c r="C436" s="527">
        <v>0.5</v>
      </c>
      <c r="D436" s="530" t="s">
        <v>273</v>
      </c>
      <c r="E436" s="530" t="s">
        <v>758</v>
      </c>
      <c r="F436" s="527"/>
      <c r="G436" s="527">
        <f t="shared" si="12"/>
        <v>1</v>
      </c>
      <c r="H436" s="558" t="str">
        <f t="shared" si="13"/>
        <v>ม.4</v>
      </c>
    </row>
    <row r="437" spans="1:8" x14ac:dyDescent="0.7">
      <c r="A437" s="527" t="s">
        <v>908</v>
      </c>
      <c r="B437" s="530" t="s">
        <v>134</v>
      </c>
      <c r="C437" s="527">
        <v>1.5</v>
      </c>
      <c r="D437" s="530" t="s">
        <v>273</v>
      </c>
      <c r="E437" s="530" t="s">
        <v>758</v>
      </c>
      <c r="F437" s="527"/>
      <c r="G437" s="527">
        <f t="shared" si="12"/>
        <v>3</v>
      </c>
      <c r="H437" s="558" t="str">
        <f t="shared" si="13"/>
        <v>ม.4</v>
      </c>
    </row>
    <row r="438" spans="1:8" x14ac:dyDescent="0.7">
      <c r="A438" s="527" t="s">
        <v>909</v>
      </c>
      <c r="B438" s="530" t="s">
        <v>136</v>
      </c>
      <c r="C438" s="527">
        <v>0.5</v>
      </c>
      <c r="D438" s="530" t="s">
        <v>273</v>
      </c>
      <c r="E438" s="530" t="s">
        <v>758</v>
      </c>
      <c r="F438" s="527"/>
      <c r="G438" s="527">
        <f t="shared" si="12"/>
        <v>1</v>
      </c>
      <c r="H438" s="558" t="str">
        <f t="shared" si="13"/>
        <v>ม.4</v>
      </c>
    </row>
    <row r="439" spans="1:8" x14ac:dyDescent="0.7">
      <c r="A439" s="527" t="s">
        <v>920</v>
      </c>
      <c r="B439" s="530" t="s">
        <v>921</v>
      </c>
      <c r="C439" s="527">
        <v>0.5</v>
      </c>
      <c r="D439" s="530" t="s">
        <v>169</v>
      </c>
      <c r="E439" s="530" t="s">
        <v>758</v>
      </c>
      <c r="F439" s="527"/>
      <c r="G439" s="527">
        <f t="shared" si="12"/>
        <v>1</v>
      </c>
      <c r="H439" s="558" t="str">
        <f t="shared" si="13"/>
        <v>ม.4</v>
      </c>
    </row>
    <row r="440" spans="1:8" x14ac:dyDescent="0.7">
      <c r="A440" s="527" t="s">
        <v>922</v>
      </c>
      <c r="B440" s="530" t="s">
        <v>923</v>
      </c>
      <c r="C440" s="527">
        <v>1</v>
      </c>
      <c r="D440" s="530" t="s">
        <v>169</v>
      </c>
      <c r="E440" s="530" t="s">
        <v>758</v>
      </c>
      <c r="F440" s="527" t="s">
        <v>861</v>
      </c>
      <c r="G440" s="527">
        <f t="shared" si="12"/>
        <v>2</v>
      </c>
      <c r="H440" s="558" t="str">
        <f t="shared" si="13"/>
        <v>ม.4</v>
      </c>
    </row>
    <row r="441" spans="1:8" x14ac:dyDescent="0.7">
      <c r="A441" s="527" t="s">
        <v>924</v>
      </c>
      <c r="B441" s="530" t="s">
        <v>925</v>
      </c>
      <c r="C441" s="527">
        <v>0.5</v>
      </c>
      <c r="D441" s="530" t="s">
        <v>169</v>
      </c>
      <c r="E441" s="530" t="s">
        <v>758</v>
      </c>
      <c r="F441" s="527"/>
      <c r="G441" s="527">
        <f t="shared" si="12"/>
        <v>1</v>
      </c>
      <c r="H441" s="558" t="str">
        <f t="shared" si="13"/>
        <v>ม.4</v>
      </c>
    </row>
    <row r="442" spans="1:8" x14ac:dyDescent="0.7">
      <c r="A442" s="527" t="s">
        <v>926</v>
      </c>
      <c r="B442" s="530" t="s">
        <v>927</v>
      </c>
      <c r="C442" s="527">
        <v>1</v>
      </c>
      <c r="D442" s="530" t="s">
        <v>169</v>
      </c>
      <c r="E442" s="530" t="s">
        <v>758</v>
      </c>
      <c r="F442" s="527" t="s">
        <v>861</v>
      </c>
      <c r="G442" s="527">
        <f t="shared" si="12"/>
        <v>2</v>
      </c>
      <c r="H442" s="558" t="str">
        <f t="shared" si="13"/>
        <v>ม.4</v>
      </c>
    </row>
    <row r="443" spans="1:8" x14ac:dyDescent="0.7">
      <c r="A443" s="527" t="s">
        <v>910</v>
      </c>
      <c r="B443" s="530" t="s">
        <v>408</v>
      </c>
      <c r="C443" s="527">
        <v>1.5</v>
      </c>
      <c r="D443" s="530" t="s">
        <v>273</v>
      </c>
      <c r="E443" s="530" t="s">
        <v>761</v>
      </c>
      <c r="F443" s="527"/>
      <c r="G443" s="527">
        <f t="shared" si="12"/>
        <v>3</v>
      </c>
      <c r="H443" s="558" t="str">
        <f t="shared" si="13"/>
        <v>ม.5</v>
      </c>
    </row>
    <row r="444" spans="1:8" x14ac:dyDescent="0.7">
      <c r="A444" s="527" t="s">
        <v>911</v>
      </c>
      <c r="B444" s="530" t="s">
        <v>410</v>
      </c>
      <c r="C444" s="527">
        <v>0.5</v>
      </c>
      <c r="D444" s="530" t="s">
        <v>273</v>
      </c>
      <c r="E444" s="530" t="s">
        <v>761</v>
      </c>
      <c r="F444" s="527"/>
      <c r="G444" s="527">
        <f t="shared" si="12"/>
        <v>1</v>
      </c>
      <c r="H444" s="558" t="str">
        <f t="shared" si="13"/>
        <v>ม.5</v>
      </c>
    </row>
    <row r="445" spans="1:8" x14ac:dyDescent="0.7">
      <c r="A445" s="527" t="s">
        <v>912</v>
      </c>
      <c r="B445" s="530" t="s">
        <v>412</v>
      </c>
      <c r="C445" s="527">
        <v>1.5</v>
      </c>
      <c r="D445" s="530" t="s">
        <v>273</v>
      </c>
      <c r="E445" s="530" t="s">
        <v>761</v>
      </c>
      <c r="F445" s="527"/>
      <c r="G445" s="527">
        <f t="shared" si="12"/>
        <v>3</v>
      </c>
      <c r="H445" s="558" t="str">
        <f t="shared" si="13"/>
        <v>ม.5</v>
      </c>
    </row>
    <row r="446" spans="1:8" x14ac:dyDescent="0.7">
      <c r="A446" s="527" t="s">
        <v>913</v>
      </c>
      <c r="B446" s="530" t="s">
        <v>414</v>
      </c>
      <c r="C446" s="527">
        <v>0.5</v>
      </c>
      <c r="D446" s="530" t="s">
        <v>273</v>
      </c>
      <c r="E446" s="530" t="s">
        <v>761</v>
      </c>
      <c r="F446" s="527"/>
      <c r="G446" s="527">
        <f t="shared" si="12"/>
        <v>1</v>
      </c>
      <c r="H446" s="558" t="str">
        <f t="shared" si="13"/>
        <v>ม.5</v>
      </c>
    </row>
    <row r="447" spans="1:8" x14ac:dyDescent="0.7">
      <c r="A447" s="527" t="s">
        <v>928</v>
      </c>
      <c r="B447" s="530" t="s">
        <v>929</v>
      </c>
      <c r="C447" s="527">
        <v>0.5</v>
      </c>
      <c r="D447" s="530" t="s">
        <v>169</v>
      </c>
      <c r="E447" s="530" t="s">
        <v>761</v>
      </c>
      <c r="F447" s="527"/>
      <c r="G447" s="527">
        <f t="shared" si="12"/>
        <v>1</v>
      </c>
      <c r="H447" s="558" t="str">
        <f t="shared" si="13"/>
        <v>ม.5</v>
      </c>
    </row>
    <row r="448" spans="1:8" x14ac:dyDescent="0.7">
      <c r="A448" s="527" t="s">
        <v>930</v>
      </c>
      <c r="B448" s="530" t="s">
        <v>931</v>
      </c>
      <c r="C448" s="527">
        <v>1</v>
      </c>
      <c r="D448" s="530" t="s">
        <v>169</v>
      </c>
      <c r="E448" s="530" t="s">
        <v>761</v>
      </c>
      <c r="F448" s="527" t="s">
        <v>861</v>
      </c>
      <c r="G448" s="527">
        <f t="shared" si="12"/>
        <v>2</v>
      </c>
      <c r="H448" s="558" t="str">
        <f t="shared" si="13"/>
        <v>ม.5</v>
      </c>
    </row>
    <row r="449" spans="1:8" x14ac:dyDescent="0.7">
      <c r="A449" s="527" t="s">
        <v>932</v>
      </c>
      <c r="B449" s="530" t="s">
        <v>933</v>
      </c>
      <c r="C449" s="527">
        <v>0.5</v>
      </c>
      <c r="D449" s="530" t="s">
        <v>169</v>
      </c>
      <c r="E449" s="530" t="s">
        <v>761</v>
      </c>
      <c r="F449" s="527"/>
      <c r="G449" s="527">
        <f t="shared" si="12"/>
        <v>1</v>
      </c>
      <c r="H449" s="558" t="str">
        <f t="shared" si="13"/>
        <v>ม.5</v>
      </c>
    </row>
    <row r="450" spans="1:8" x14ac:dyDescent="0.7">
      <c r="A450" s="527" t="s">
        <v>934</v>
      </c>
      <c r="B450" s="530" t="s">
        <v>935</v>
      </c>
      <c r="C450" s="527">
        <v>1</v>
      </c>
      <c r="D450" s="530" t="s">
        <v>169</v>
      </c>
      <c r="E450" s="530" t="s">
        <v>761</v>
      </c>
      <c r="F450" s="527" t="s">
        <v>861</v>
      </c>
      <c r="G450" s="527">
        <f t="shared" si="12"/>
        <v>2</v>
      </c>
      <c r="H450" s="558" t="str">
        <f t="shared" si="13"/>
        <v>ม.5</v>
      </c>
    </row>
    <row r="451" spans="1:8" x14ac:dyDescent="0.7">
      <c r="A451" s="527" t="s">
        <v>936</v>
      </c>
      <c r="B451" s="530" t="s">
        <v>937</v>
      </c>
      <c r="C451" s="527">
        <v>0.5</v>
      </c>
      <c r="D451" s="530" t="s">
        <v>169</v>
      </c>
      <c r="E451" s="530" t="s">
        <v>775</v>
      </c>
      <c r="F451" s="527"/>
      <c r="G451" s="527">
        <f t="shared" si="12"/>
        <v>1</v>
      </c>
      <c r="H451" s="558" t="str">
        <f t="shared" si="13"/>
        <v>ม.6</v>
      </c>
    </row>
    <row r="452" spans="1:8" x14ac:dyDescent="0.7">
      <c r="A452" s="527" t="s">
        <v>938</v>
      </c>
      <c r="B452" s="530" t="s">
        <v>939</v>
      </c>
      <c r="C452" s="527">
        <v>1</v>
      </c>
      <c r="D452" s="530" t="s">
        <v>169</v>
      </c>
      <c r="E452" s="530" t="s">
        <v>775</v>
      </c>
      <c r="F452" s="527" t="s">
        <v>861</v>
      </c>
      <c r="G452" s="527">
        <f t="shared" si="12"/>
        <v>2</v>
      </c>
      <c r="H452" s="558" t="str">
        <f t="shared" si="13"/>
        <v>ม.6</v>
      </c>
    </row>
    <row r="453" spans="1:8" x14ac:dyDescent="0.7">
      <c r="A453" s="527" t="s">
        <v>940</v>
      </c>
      <c r="B453" s="530" t="s">
        <v>941</v>
      </c>
      <c r="C453" s="527">
        <v>0.5</v>
      </c>
      <c r="D453" s="530" t="s">
        <v>169</v>
      </c>
      <c r="E453" s="530" t="s">
        <v>775</v>
      </c>
      <c r="F453" s="527"/>
      <c r="G453" s="527">
        <f t="shared" si="12"/>
        <v>1</v>
      </c>
      <c r="H453" s="558" t="str">
        <f t="shared" si="13"/>
        <v>ม.6</v>
      </c>
    </row>
    <row r="454" spans="1:8" x14ac:dyDescent="0.7">
      <c r="A454" s="527" t="s">
        <v>942</v>
      </c>
      <c r="B454" s="530" t="s">
        <v>943</v>
      </c>
      <c r="C454" s="527">
        <v>1</v>
      </c>
      <c r="D454" s="530" t="s">
        <v>169</v>
      </c>
      <c r="E454" s="530" t="s">
        <v>775</v>
      </c>
      <c r="F454" s="527" t="s">
        <v>861</v>
      </c>
      <c r="G454" s="527">
        <v>2</v>
      </c>
      <c r="H454" s="558" t="str">
        <f t="shared" si="13"/>
        <v>ม.6</v>
      </c>
    </row>
    <row r="455" spans="1:8" x14ac:dyDescent="0.7">
      <c r="A455" s="527" t="s">
        <v>944</v>
      </c>
      <c r="B455" s="530" t="s">
        <v>945</v>
      </c>
      <c r="C455" s="527">
        <v>1</v>
      </c>
      <c r="D455" s="530" t="s">
        <v>169</v>
      </c>
      <c r="E455" s="530" t="s">
        <v>775</v>
      </c>
      <c r="F455" s="527" t="s">
        <v>861</v>
      </c>
      <c r="G455" s="527">
        <v>2</v>
      </c>
      <c r="H455" s="558" t="str">
        <f t="shared" si="13"/>
        <v>ม.6</v>
      </c>
    </row>
    <row r="456" spans="1:8" x14ac:dyDescent="0.7">
      <c r="A456" s="527" t="s">
        <v>946</v>
      </c>
      <c r="B456" s="530" t="s">
        <v>947</v>
      </c>
      <c r="C456" s="527">
        <v>1</v>
      </c>
      <c r="D456" s="530" t="s">
        <v>169</v>
      </c>
      <c r="E456" s="530" t="s">
        <v>775</v>
      </c>
      <c r="F456" s="527" t="s">
        <v>861</v>
      </c>
      <c r="G456" s="527">
        <v>2</v>
      </c>
      <c r="H456" s="558" t="str">
        <f t="shared" si="13"/>
        <v>ม.6</v>
      </c>
    </row>
    <row r="457" spans="1:8" x14ac:dyDescent="0.7">
      <c r="A457" s="527" t="s">
        <v>1061</v>
      </c>
      <c r="B457" s="530" t="s">
        <v>1062</v>
      </c>
      <c r="C457" s="527">
        <v>1</v>
      </c>
      <c r="D457" s="530" t="s">
        <v>273</v>
      </c>
      <c r="E457" s="530" t="s">
        <v>758</v>
      </c>
      <c r="F457" s="527"/>
      <c r="G457" s="527">
        <f t="shared" ref="G457:G474" si="14">C457*2</f>
        <v>2</v>
      </c>
      <c r="H457" s="558" t="str">
        <f t="shared" si="13"/>
        <v>ม.4</v>
      </c>
    </row>
    <row r="458" spans="1:8" x14ac:dyDescent="0.7">
      <c r="A458" s="527" t="s">
        <v>1063</v>
      </c>
      <c r="B458" s="530" t="s">
        <v>1064</v>
      </c>
      <c r="C458" s="527">
        <v>1</v>
      </c>
      <c r="D458" s="530" t="s">
        <v>273</v>
      </c>
      <c r="E458" s="530" t="s">
        <v>758</v>
      </c>
      <c r="F458" s="527"/>
      <c r="G458" s="527">
        <f t="shared" si="14"/>
        <v>2</v>
      </c>
      <c r="H458" s="558" t="str">
        <f t="shared" ref="H458:H504" si="15">IF(E458="-","-",IF(E458="มัธยมศึกษาปีที่ 1","ม.1",IF(E458="มัธยมศึกษาปีที่ 2","ม.2",IF(E458="มัธยมศึกษาปีที่ 3","ม.3",IF(E458="มัธยมศึกษาปีที่ 4","ม.4",IF(E458="มัธยมศึกษาปีที่ 5","ม.5",IF(E458="มัธยมศึกษาปีที่ 6","ม.6",IF(E458="มัธยมศึกษาปีที่ 1-3","ม.1-3",E458))))))))</f>
        <v>ม.4</v>
      </c>
    </row>
    <row r="459" spans="1:8" x14ac:dyDescent="0.7">
      <c r="A459" s="527" t="s">
        <v>1073</v>
      </c>
      <c r="B459" s="530" t="s">
        <v>1074</v>
      </c>
      <c r="C459" s="527">
        <v>1</v>
      </c>
      <c r="D459" s="530" t="s">
        <v>169</v>
      </c>
      <c r="E459" s="530" t="s">
        <v>758</v>
      </c>
      <c r="F459" s="527"/>
      <c r="G459" s="527">
        <f t="shared" si="14"/>
        <v>2</v>
      </c>
      <c r="H459" s="558" t="str">
        <f t="shared" si="15"/>
        <v>ม.4</v>
      </c>
    </row>
    <row r="460" spans="1:8" x14ac:dyDescent="0.7">
      <c r="A460" s="527" t="s">
        <v>1075</v>
      </c>
      <c r="B460" s="530" t="s">
        <v>1076</v>
      </c>
      <c r="C460" s="527">
        <v>1</v>
      </c>
      <c r="D460" s="530" t="s">
        <v>169</v>
      </c>
      <c r="E460" s="530" t="s">
        <v>758</v>
      </c>
      <c r="F460" s="527" t="s">
        <v>861</v>
      </c>
      <c r="G460" s="527">
        <f t="shared" si="14"/>
        <v>2</v>
      </c>
      <c r="H460" s="558" t="str">
        <f t="shared" si="15"/>
        <v>ม.4</v>
      </c>
    </row>
    <row r="461" spans="1:8" x14ac:dyDescent="0.7">
      <c r="A461" s="527" t="s">
        <v>1077</v>
      </c>
      <c r="B461" s="530" t="s">
        <v>195</v>
      </c>
      <c r="C461" s="527">
        <v>1</v>
      </c>
      <c r="D461" s="530" t="s">
        <v>169</v>
      </c>
      <c r="E461" s="530" t="s">
        <v>758</v>
      </c>
      <c r="F461" s="527"/>
      <c r="G461" s="527">
        <f t="shared" si="14"/>
        <v>2</v>
      </c>
      <c r="H461" s="558" t="str">
        <f t="shared" si="15"/>
        <v>ม.4</v>
      </c>
    </row>
    <row r="462" spans="1:8" x14ac:dyDescent="0.7">
      <c r="A462" s="527" t="s">
        <v>1078</v>
      </c>
      <c r="B462" s="530" t="s">
        <v>1079</v>
      </c>
      <c r="C462" s="527">
        <v>1</v>
      </c>
      <c r="D462" s="530" t="s">
        <v>169</v>
      </c>
      <c r="E462" s="530" t="s">
        <v>758</v>
      </c>
      <c r="F462" s="527" t="s">
        <v>861</v>
      </c>
      <c r="G462" s="527">
        <f t="shared" si="14"/>
        <v>2</v>
      </c>
      <c r="H462" s="558" t="str">
        <f t="shared" si="15"/>
        <v>ม.4</v>
      </c>
    </row>
    <row r="463" spans="1:8" x14ac:dyDescent="0.7">
      <c r="A463" s="527" t="s">
        <v>1065</v>
      </c>
      <c r="B463" s="530" t="s">
        <v>1066</v>
      </c>
      <c r="C463" s="527">
        <v>1</v>
      </c>
      <c r="D463" s="530" t="s">
        <v>273</v>
      </c>
      <c r="E463" s="530" t="s">
        <v>761</v>
      </c>
      <c r="F463" s="527"/>
      <c r="G463" s="527">
        <f t="shared" si="14"/>
        <v>2</v>
      </c>
      <c r="H463" s="558" t="str">
        <f t="shared" si="15"/>
        <v>ม.5</v>
      </c>
    </row>
    <row r="464" spans="1:8" x14ac:dyDescent="0.7">
      <c r="A464" s="527" t="s">
        <v>1067</v>
      </c>
      <c r="B464" s="530" t="s">
        <v>1068</v>
      </c>
      <c r="C464" s="527">
        <v>1</v>
      </c>
      <c r="D464" s="530" t="s">
        <v>273</v>
      </c>
      <c r="E464" s="530" t="s">
        <v>761</v>
      </c>
      <c r="F464" s="527"/>
      <c r="G464" s="527">
        <f t="shared" si="14"/>
        <v>2</v>
      </c>
      <c r="H464" s="558" t="str">
        <f t="shared" si="15"/>
        <v>ม.5</v>
      </c>
    </row>
    <row r="465" spans="1:8" x14ac:dyDescent="0.7">
      <c r="A465" s="527" t="s">
        <v>1080</v>
      </c>
      <c r="B465" s="530" t="s">
        <v>555</v>
      </c>
      <c r="C465" s="527">
        <v>1</v>
      </c>
      <c r="D465" s="530" t="s">
        <v>169</v>
      </c>
      <c r="E465" s="530" t="s">
        <v>761</v>
      </c>
      <c r="F465" s="527"/>
      <c r="G465" s="527">
        <f t="shared" si="14"/>
        <v>2</v>
      </c>
      <c r="H465" s="558" t="str">
        <f t="shared" si="15"/>
        <v>ม.5</v>
      </c>
    </row>
    <row r="466" spans="1:8" x14ac:dyDescent="0.7">
      <c r="A466" s="527" t="s">
        <v>1081</v>
      </c>
      <c r="B466" s="530" t="s">
        <v>1082</v>
      </c>
      <c r="C466" s="527">
        <v>1</v>
      </c>
      <c r="D466" s="530" t="s">
        <v>169</v>
      </c>
      <c r="E466" s="530" t="s">
        <v>761</v>
      </c>
      <c r="F466" s="527" t="s">
        <v>861</v>
      </c>
      <c r="G466" s="527">
        <f t="shared" si="14"/>
        <v>2</v>
      </c>
      <c r="H466" s="558" t="str">
        <f t="shared" si="15"/>
        <v>ม.5</v>
      </c>
    </row>
    <row r="467" spans="1:8" x14ac:dyDescent="0.7">
      <c r="A467" s="527" t="s">
        <v>1083</v>
      </c>
      <c r="B467" s="530" t="s">
        <v>557</v>
      </c>
      <c r="C467" s="527">
        <v>1</v>
      </c>
      <c r="D467" s="530" t="s">
        <v>169</v>
      </c>
      <c r="E467" s="530" t="s">
        <v>761</v>
      </c>
      <c r="F467" s="527"/>
      <c r="G467" s="527">
        <f t="shared" si="14"/>
        <v>2</v>
      </c>
      <c r="H467" s="558" t="str">
        <f t="shared" si="15"/>
        <v>ม.5</v>
      </c>
    </row>
    <row r="468" spans="1:8" x14ac:dyDescent="0.7">
      <c r="A468" s="527" t="s">
        <v>1084</v>
      </c>
      <c r="B468" s="530" t="s">
        <v>1085</v>
      </c>
      <c r="C468" s="527">
        <v>1</v>
      </c>
      <c r="D468" s="530" t="s">
        <v>169</v>
      </c>
      <c r="E468" s="530" t="s">
        <v>761</v>
      </c>
      <c r="F468" s="527" t="s">
        <v>861</v>
      </c>
      <c r="G468" s="527">
        <f t="shared" si="14"/>
        <v>2</v>
      </c>
      <c r="H468" s="558" t="str">
        <f t="shared" si="15"/>
        <v>ม.5</v>
      </c>
    </row>
    <row r="469" spans="1:8" x14ac:dyDescent="0.7">
      <c r="A469" s="527" t="s">
        <v>1069</v>
      </c>
      <c r="B469" s="530" t="s">
        <v>1070</v>
      </c>
      <c r="C469" s="527">
        <v>1</v>
      </c>
      <c r="D469" s="530" t="s">
        <v>273</v>
      </c>
      <c r="E469" s="530" t="s">
        <v>775</v>
      </c>
      <c r="F469" s="527"/>
      <c r="G469" s="527">
        <f t="shared" si="14"/>
        <v>2</v>
      </c>
      <c r="H469" s="558" t="str">
        <f t="shared" si="15"/>
        <v>ม.6</v>
      </c>
    </row>
    <row r="470" spans="1:8" x14ac:dyDescent="0.7">
      <c r="A470" s="527" t="s">
        <v>1071</v>
      </c>
      <c r="B470" s="530" t="s">
        <v>1072</v>
      </c>
      <c r="C470" s="527">
        <v>1</v>
      </c>
      <c r="D470" s="530" t="s">
        <v>273</v>
      </c>
      <c r="E470" s="530" t="s">
        <v>775</v>
      </c>
      <c r="F470" s="527"/>
      <c r="G470" s="527">
        <f t="shared" si="14"/>
        <v>2</v>
      </c>
      <c r="H470" s="558" t="str">
        <f t="shared" si="15"/>
        <v>ม.6</v>
      </c>
    </row>
    <row r="471" spans="1:8" x14ac:dyDescent="0.7">
      <c r="A471" s="527" t="s">
        <v>1086</v>
      </c>
      <c r="B471" s="530" t="s">
        <v>1087</v>
      </c>
      <c r="C471" s="527">
        <v>1</v>
      </c>
      <c r="D471" s="530" t="s">
        <v>169</v>
      </c>
      <c r="E471" s="530" t="s">
        <v>761</v>
      </c>
      <c r="F471" s="527"/>
      <c r="G471" s="527">
        <f t="shared" si="14"/>
        <v>2</v>
      </c>
      <c r="H471" s="558" t="str">
        <f t="shared" si="15"/>
        <v>ม.5</v>
      </c>
    </row>
    <row r="472" spans="1:8" x14ac:dyDescent="0.7">
      <c r="A472" s="527" t="s">
        <v>1088</v>
      </c>
      <c r="B472" s="530" t="s">
        <v>1089</v>
      </c>
      <c r="C472" s="527">
        <v>1</v>
      </c>
      <c r="D472" s="530" t="s">
        <v>169</v>
      </c>
      <c r="E472" s="530" t="s">
        <v>775</v>
      </c>
      <c r="F472" s="527" t="s">
        <v>861</v>
      </c>
      <c r="G472" s="527">
        <f t="shared" si="14"/>
        <v>2</v>
      </c>
      <c r="H472" s="558" t="str">
        <f t="shared" si="15"/>
        <v>ม.6</v>
      </c>
    </row>
    <row r="473" spans="1:8" x14ac:dyDescent="0.7">
      <c r="A473" s="527" t="s">
        <v>1090</v>
      </c>
      <c r="B473" s="530" t="s">
        <v>565</v>
      </c>
      <c r="C473" s="527">
        <v>1</v>
      </c>
      <c r="D473" s="530" t="s">
        <v>169</v>
      </c>
      <c r="E473" s="530" t="s">
        <v>775</v>
      </c>
      <c r="F473" s="527"/>
      <c r="G473" s="527">
        <f t="shared" si="14"/>
        <v>2</v>
      </c>
      <c r="H473" s="558" t="str">
        <f t="shared" si="15"/>
        <v>ม.6</v>
      </c>
    </row>
    <row r="474" spans="1:8" x14ac:dyDescent="0.7">
      <c r="A474" s="527" t="s">
        <v>1091</v>
      </c>
      <c r="B474" s="530" t="s">
        <v>1092</v>
      </c>
      <c r="C474" s="527">
        <v>1</v>
      </c>
      <c r="D474" s="530" t="s">
        <v>169</v>
      </c>
      <c r="E474" s="530" t="s">
        <v>775</v>
      </c>
      <c r="F474" s="527" t="s">
        <v>861</v>
      </c>
      <c r="G474" s="527">
        <f t="shared" si="14"/>
        <v>2</v>
      </c>
      <c r="H474" s="558" t="str">
        <f t="shared" si="15"/>
        <v>ม.6</v>
      </c>
    </row>
    <row r="475" spans="1:8" x14ac:dyDescent="0.7">
      <c r="A475" s="561" t="s">
        <v>1166</v>
      </c>
      <c r="B475" s="562" t="s">
        <v>1167</v>
      </c>
      <c r="C475" s="561">
        <v>0.5</v>
      </c>
      <c r="D475" s="561" t="s">
        <v>1168</v>
      </c>
      <c r="E475" s="561" t="s">
        <v>1169</v>
      </c>
      <c r="F475" s="558"/>
      <c r="G475" s="523"/>
      <c r="H475" s="558" t="str">
        <f t="shared" si="15"/>
        <v>Grade 7</v>
      </c>
    </row>
    <row r="476" spans="1:8" x14ac:dyDescent="0.7">
      <c r="A476" s="561" t="s">
        <v>1170</v>
      </c>
      <c r="B476" s="562" t="s">
        <v>1171</v>
      </c>
      <c r="C476" s="561">
        <v>0.5</v>
      </c>
      <c r="D476" s="561" t="s">
        <v>1168</v>
      </c>
      <c r="E476" s="561" t="s">
        <v>1169</v>
      </c>
      <c r="F476" s="558"/>
      <c r="G476" s="523"/>
      <c r="H476" s="558" t="str">
        <f t="shared" si="15"/>
        <v>Grade 7</v>
      </c>
    </row>
    <row r="477" spans="1:8" x14ac:dyDescent="0.7">
      <c r="A477" s="561" t="s">
        <v>1172</v>
      </c>
      <c r="B477" s="562" t="s">
        <v>1173</v>
      </c>
      <c r="C477" s="561">
        <v>0.5</v>
      </c>
      <c r="D477" s="561" t="s">
        <v>1168</v>
      </c>
      <c r="E477" s="561" t="s">
        <v>1174</v>
      </c>
      <c r="F477" s="558"/>
      <c r="G477" s="523"/>
      <c r="H477" s="558" t="str">
        <f t="shared" si="15"/>
        <v>Grade 8</v>
      </c>
    </row>
    <row r="478" spans="1:8" x14ac:dyDescent="0.7">
      <c r="A478" s="561" t="s">
        <v>1175</v>
      </c>
      <c r="B478" s="562" t="s">
        <v>1176</v>
      </c>
      <c r="C478" s="561">
        <v>0.5</v>
      </c>
      <c r="D478" s="561" t="s">
        <v>1168</v>
      </c>
      <c r="E478" s="561" t="s">
        <v>1174</v>
      </c>
      <c r="F478" s="558"/>
      <c r="G478" s="523"/>
      <c r="H478" s="558" t="str">
        <f t="shared" si="15"/>
        <v>Grade 8</v>
      </c>
    </row>
    <row r="479" spans="1:8" x14ac:dyDescent="0.7">
      <c r="A479" s="561" t="s">
        <v>1177</v>
      </c>
      <c r="B479" s="562" t="s">
        <v>1178</v>
      </c>
      <c r="C479" s="561">
        <v>0.5</v>
      </c>
      <c r="D479" s="561" t="s">
        <v>1168</v>
      </c>
      <c r="E479" s="561" t="s">
        <v>1179</v>
      </c>
      <c r="F479" s="558"/>
      <c r="G479" s="523"/>
      <c r="H479" s="558" t="str">
        <f t="shared" si="15"/>
        <v>Grade 9</v>
      </c>
    </row>
    <row r="480" spans="1:8" x14ac:dyDescent="0.7">
      <c r="A480" s="561" t="s">
        <v>1180</v>
      </c>
      <c r="B480" s="562" t="s">
        <v>1181</v>
      </c>
      <c r="C480" s="561">
        <v>0.5</v>
      </c>
      <c r="D480" s="561" t="s">
        <v>1168</v>
      </c>
      <c r="E480" s="561" t="s">
        <v>1179</v>
      </c>
      <c r="F480" s="558"/>
      <c r="G480" s="523"/>
      <c r="H480" s="558" t="str">
        <f t="shared" si="15"/>
        <v>Grade 9</v>
      </c>
    </row>
    <row r="481" spans="1:8" x14ac:dyDescent="0.7">
      <c r="A481" s="561" t="s">
        <v>1182</v>
      </c>
      <c r="B481" s="562" t="s">
        <v>1183</v>
      </c>
      <c r="C481" s="561">
        <v>0.5</v>
      </c>
      <c r="D481" s="561" t="s">
        <v>1168</v>
      </c>
      <c r="E481" s="561" t="s">
        <v>1169</v>
      </c>
      <c r="F481" s="558"/>
      <c r="G481" s="523"/>
      <c r="H481" s="558" t="str">
        <f t="shared" si="15"/>
        <v>Grade 7</v>
      </c>
    </row>
    <row r="482" spans="1:8" x14ac:dyDescent="0.7">
      <c r="A482" s="561" t="s">
        <v>1184</v>
      </c>
      <c r="B482" s="562" t="s">
        <v>1185</v>
      </c>
      <c r="C482" s="561">
        <v>0.5</v>
      </c>
      <c r="D482" s="561" t="s">
        <v>1168</v>
      </c>
      <c r="E482" s="561" t="s">
        <v>1169</v>
      </c>
      <c r="F482" s="558"/>
      <c r="G482" s="523"/>
      <c r="H482" s="558" t="str">
        <f t="shared" si="15"/>
        <v>Grade 7</v>
      </c>
    </row>
    <row r="483" spans="1:8" x14ac:dyDescent="0.7">
      <c r="A483" s="561" t="s">
        <v>1186</v>
      </c>
      <c r="B483" s="562" t="s">
        <v>1187</v>
      </c>
      <c r="C483" s="561">
        <v>0.5</v>
      </c>
      <c r="D483" s="561" t="s">
        <v>1168</v>
      </c>
      <c r="E483" s="561" t="s">
        <v>1174</v>
      </c>
      <c r="F483" s="558"/>
      <c r="G483" s="523"/>
      <c r="H483" s="558" t="str">
        <f t="shared" si="15"/>
        <v>Grade 8</v>
      </c>
    </row>
    <row r="484" spans="1:8" x14ac:dyDescent="0.7">
      <c r="A484" s="561" t="s">
        <v>1188</v>
      </c>
      <c r="B484" s="562" t="s">
        <v>1189</v>
      </c>
      <c r="C484" s="561">
        <v>0.5</v>
      </c>
      <c r="D484" s="561" t="s">
        <v>1168</v>
      </c>
      <c r="E484" s="561" t="s">
        <v>1174</v>
      </c>
      <c r="F484" s="558"/>
      <c r="G484" s="523"/>
      <c r="H484" s="558" t="str">
        <f t="shared" si="15"/>
        <v>Grade 8</v>
      </c>
    </row>
    <row r="485" spans="1:8" x14ac:dyDescent="0.7">
      <c r="A485" s="561" t="s">
        <v>1190</v>
      </c>
      <c r="B485" s="562" t="s">
        <v>1191</v>
      </c>
      <c r="C485" s="561">
        <v>0.5</v>
      </c>
      <c r="D485" s="561" t="s">
        <v>1168</v>
      </c>
      <c r="E485" s="561" t="s">
        <v>1179</v>
      </c>
      <c r="F485" s="558"/>
      <c r="G485" s="523"/>
      <c r="H485" s="558" t="str">
        <f t="shared" si="15"/>
        <v>Grade 9</v>
      </c>
    </row>
    <row r="486" spans="1:8" x14ac:dyDescent="0.7">
      <c r="A486" s="561" t="s">
        <v>1192</v>
      </c>
      <c r="B486" s="562" t="s">
        <v>1193</v>
      </c>
      <c r="C486" s="561">
        <v>0.5</v>
      </c>
      <c r="D486" s="561" t="s">
        <v>1168</v>
      </c>
      <c r="E486" s="561" t="s">
        <v>1179</v>
      </c>
      <c r="F486" s="558"/>
      <c r="G486" s="523"/>
      <c r="H486" s="558" t="str">
        <f t="shared" si="15"/>
        <v>Grade 9</v>
      </c>
    </row>
    <row r="487" spans="1:8" x14ac:dyDescent="0.7">
      <c r="A487" s="561" t="s">
        <v>1194</v>
      </c>
      <c r="B487" s="562" t="s">
        <v>1195</v>
      </c>
      <c r="C487" s="561">
        <v>0.5</v>
      </c>
      <c r="D487" s="561" t="s">
        <v>1168</v>
      </c>
      <c r="E487" s="561" t="s">
        <v>1169</v>
      </c>
      <c r="F487" s="558"/>
      <c r="G487" s="523"/>
      <c r="H487" s="558" t="str">
        <f t="shared" si="15"/>
        <v>Grade 7</v>
      </c>
    </row>
    <row r="488" spans="1:8" x14ac:dyDescent="0.7">
      <c r="A488" s="561" t="s">
        <v>1196</v>
      </c>
      <c r="B488" s="562" t="s">
        <v>1197</v>
      </c>
      <c r="C488" s="561">
        <v>0.5</v>
      </c>
      <c r="D488" s="561" t="s">
        <v>1168</v>
      </c>
      <c r="E488" s="561" t="s">
        <v>1169</v>
      </c>
      <c r="F488" s="558"/>
      <c r="G488" s="523"/>
      <c r="H488" s="558" t="str">
        <f t="shared" si="15"/>
        <v>Grade 7</v>
      </c>
    </row>
    <row r="489" spans="1:8" x14ac:dyDescent="0.7">
      <c r="A489" s="561" t="s">
        <v>1198</v>
      </c>
      <c r="B489" s="562" t="s">
        <v>1199</v>
      </c>
      <c r="C489" s="561">
        <v>0.5</v>
      </c>
      <c r="D489" s="561" t="s">
        <v>1168</v>
      </c>
      <c r="E489" s="561" t="s">
        <v>1174</v>
      </c>
      <c r="F489" s="558"/>
      <c r="G489" s="523"/>
      <c r="H489" s="558" t="str">
        <f t="shared" si="15"/>
        <v>Grade 8</v>
      </c>
    </row>
    <row r="490" spans="1:8" x14ac:dyDescent="0.7">
      <c r="A490" s="561" t="s">
        <v>1200</v>
      </c>
      <c r="B490" s="562" t="s">
        <v>1201</v>
      </c>
      <c r="C490" s="561">
        <v>0.5</v>
      </c>
      <c r="D490" s="561" t="s">
        <v>1168</v>
      </c>
      <c r="E490" s="561" t="s">
        <v>1174</v>
      </c>
      <c r="F490" s="558"/>
      <c r="G490" s="523"/>
      <c r="H490" s="558" t="str">
        <f t="shared" si="15"/>
        <v>Grade 8</v>
      </c>
    </row>
    <row r="491" spans="1:8" x14ac:dyDescent="0.7">
      <c r="A491" s="561" t="s">
        <v>1202</v>
      </c>
      <c r="B491" s="562" t="s">
        <v>1203</v>
      </c>
      <c r="C491" s="561">
        <v>0.5</v>
      </c>
      <c r="D491" s="561" t="s">
        <v>1168</v>
      </c>
      <c r="E491" s="561" t="s">
        <v>1179</v>
      </c>
      <c r="F491" s="558"/>
      <c r="G491" s="523"/>
      <c r="H491" s="558" t="str">
        <f t="shared" si="15"/>
        <v>Grade 9</v>
      </c>
    </row>
    <row r="492" spans="1:8" x14ac:dyDescent="0.7">
      <c r="A492" s="561" t="s">
        <v>1204</v>
      </c>
      <c r="B492" s="562" t="s">
        <v>1205</v>
      </c>
      <c r="C492" s="561">
        <v>0.5</v>
      </c>
      <c r="D492" s="561" t="s">
        <v>1168</v>
      </c>
      <c r="E492" s="561" t="s">
        <v>1179</v>
      </c>
      <c r="F492" s="558"/>
      <c r="G492" s="523"/>
      <c r="H492" s="558" t="str">
        <f t="shared" si="15"/>
        <v>Grade 9</v>
      </c>
    </row>
    <row r="493" spans="1:8" x14ac:dyDescent="0.7">
      <c r="A493" s="563" t="s">
        <v>1206</v>
      </c>
      <c r="B493" s="564" t="s">
        <v>1207</v>
      </c>
      <c r="C493" s="561">
        <v>1</v>
      </c>
      <c r="D493" s="561" t="s">
        <v>1168</v>
      </c>
      <c r="E493" s="561" t="s">
        <v>1169</v>
      </c>
      <c r="F493" s="558"/>
      <c r="G493" s="523"/>
      <c r="H493" s="558" t="str">
        <f t="shared" si="15"/>
        <v>Grade 7</v>
      </c>
    </row>
    <row r="494" spans="1:8" x14ac:dyDescent="0.7">
      <c r="A494" s="563" t="s">
        <v>1208</v>
      </c>
      <c r="B494" s="564" t="s">
        <v>1209</v>
      </c>
      <c r="C494" s="561">
        <v>1</v>
      </c>
      <c r="D494" s="561" t="s">
        <v>1168</v>
      </c>
      <c r="E494" s="561" t="s">
        <v>1169</v>
      </c>
      <c r="F494" s="558"/>
      <c r="G494" s="523"/>
      <c r="H494" s="558" t="str">
        <f t="shared" si="15"/>
        <v>Grade 7</v>
      </c>
    </row>
    <row r="495" spans="1:8" x14ac:dyDescent="0.7">
      <c r="A495" s="563" t="s">
        <v>1210</v>
      </c>
      <c r="B495" s="564" t="s">
        <v>1211</v>
      </c>
      <c r="C495" s="561">
        <v>1</v>
      </c>
      <c r="D495" s="561" t="s">
        <v>1168</v>
      </c>
      <c r="E495" s="561" t="s">
        <v>1174</v>
      </c>
      <c r="F495" s="558"/>
      <c r="G495" s="523"/>
      <c r="H495" s="558" t="str">
        <f t="shared" si="15"/>
        <v>Grade 8</v>
      </c>
    </row>
    <row r="496" spans="1:8" x14ac:dyDescent="0.7">
      <c r="A496" s="563" t="s">
        <v>1212</v>
      </c>
      <c r="B496" s="564" t="s">
        <v>1213</v>
      </c>
      <c r="C496" s="561">
        <v>1</v>
      </c>
      <c r="D496" s="561" t="s">
        <v>1168</v>
      </c>
      <c r="E496" s="561" t="s">
        <v>1174</v>
      </c>
      <c r="F496" s="558"/>
      <c r="G496" s="523"/>
      <c r="H496" s="558" t="str">
        <f t="shared" si="15"/>
        <v>Grade 8</v>
      </c>
    </row>
    <row r="497" spans="1:8" x14ac:dyDescent="0.7">
      <c r="A497" s="563" t="s">
        <v>1214</v>
      </c>
      <c r="B497" s="564" t="s">
        <v>1215</v>
      </c>
      <c r="C497" s="561">
        <v>1</v>
      </c>
      <c r="D497" s="561" t="s">
        <v>1168</v>
      </c>
      <c r="E497" s="561" t="s">
        <v>1179</v>
      </c>
      <c r="F497" s="558"/>
      <c r="G497" s="523"/>
      <c r="H497" s="558" t="str">
        <f t="shared" si="15"/>
        <v>Grade 9</v>
      </c>
    </row>
    <row r="498" spans="1:8" x14ac:dyDescent="0.7">
      <c r="A498" s="563" t="s">
        <v>1216</v>
      </c>
      <c r="B498" s="564" t="s">
        <v>1217</v>
      </c>
      <c r="C498" s="561">
        <v>1</v>
      </c>
      <c r="D498" s="561" t="s">
        <v>1168</v>
      </c>
      <c r="E498" s="561" t="s">
        <v>1179</v>
      </c>
      <c r="F498" s="558"/>
      <c r="G498" s="523"/>
      <c r="H498" s="558" t="str">
        <f t="shared" si="15"/>
        <v>Grade 9</v>
      </c>
    </row>
    <row r="499" spans="1:8" x14ac:dyDescent="0.7">
      <c r="A499" s="563" t="s">
        <v>1218</v>
      </c>
      <c r="B499" s="564" t="s">
        <v>1219</v>
      </c>
      <c r="C499" s="561">
        <v>1</v>
      </c>
      <c r="D499" s="561" t="s">
        <v>1168</v>
      </c>
      <c r="E499" s="561" t="s">
        <v>1169</v>
      </c>
      <c r="F499" s="558"/>
      <c r="G499" s="523"/>
      <c r="H499" s="558" t="str">
        <f t="shared" si="15"/>
        <v>Grade 7</v>
      </c>
    </row>
    <row r="500" spans="1:8" x14ac:dyDescent="0.7">
      <c r="A500" s="563" t="s">
        <v>1220</v>
      </c>
      <c r="B500" s="564" t="s">
        <v>1221</v>
      </c>
      <c r="C500" s="561">
        <v>1</v>
      </c>
      <c r="D500" s="561" t="s">
        <v>1168</v>
      </c>
      <c r="E500" s="561" t="s">
        <v>1169</v>
      </c>
      <c r="F500" s="558"/>
      <c r="G500" s="523"/>
      <c r="H500" s="558" t="str">
        <f t="shared" si="15"/>
        <v>Grade 7</v>
      </c>
    </row>
    <row r="501" spans="1:8" x14ac:dyDescent="0.7">
      <c r="A501" s="563" t="s">
        <v>1222</v>
      </c>
      <c r="B501" s="564" t="s">
        <v>1223</v>
      </c>
      <c r="C501" s="561">
        <v>1</v>
      </c>
      <c r="D501" s="561" t="s">
        <v>1168</v>
      </c>
      <c r="E501" s="561" t="s">
        <v>1174</v>
      </c>
      <c r="F501" s="558"/>
      <c r="G501" s="523"/>
      <c r="H501" s="558" t="str">
        <f t="shared" si="15"/>
        <v>Grade 8</v>
      </c>
    </row>
    <row r="502" spans="1:8" x14ac:dyDescent="0.7">
      <c r="A502" s="563" t="s">
        <v>1224</v>
      </c>
      <c r="B502" s="564" t="s">
        <v>1225</v>
      </c>
      <c r="C502" s="561">
        <v>1</v>
      </c>
      <c r="D502" s="561" t="s">
        <v>1168</v>
      </c>
      <c r="E502" s="561" t="s">
        <v>1174</v>
      </c>
      <c r="F502" s="558"/>
      <c r="G502" s="523"/>
      <c r="H502" s="558" t="str">
        <f t="shared" si="15"/>
        <v>Grade 8</v>
      </c>
    </row>
    <row r="503" spans="1:8" x14ac:dyDescent="0.7">
      <c r="A503" s="563" t="s">
        <v>1226</v>
      </c>
      <c r="B503" s="564" t="s">
        <v>1227</v>
      </c>
      <c r="C503" s="561">
        <v>1</v>
      </c>
      <c r="D503" s="561" t="s">
        <v>1168</v>
      </c>
      <c r="E503" s="561" t="s">
        <v>1179</v>
      </c>
      <c r="F503" s="558"/>
      <c r="G503" s="523"/>
      <c r="H503" s="558" t="str">
        <f t="shared" si="15"/>
        <v>Grade 9</v>
      </c>
    </row>
    <row r="504" spans="1:8" x14ac:dyDescent="0.7">
      <c r="A504" s="563" t="s">
        <v>1228</v>
      </c>
      <c r="B504" s="564" t="s">
        <v>1229</v>
      </c>
      <c r="C504" s="561">
        <v>1</v>
      </c>
      <c r="D504" s="561" t="s">
        <v>1168</v>
      </c>
      <c r="E504" s="561" t="s">
        <v>1179</v>
      </c>
      <c r="F504" s="558"/>
      <c r="G504" s="523"/>
      <c r="H504" s="558" t="str">
        <f t="shared" si="15"/>
        <v>Grade 9</v>
      </c>
    </row>
  </sheetData>
  <sheetProtection algorithmName="SHA-512" hashValue="Jr/VTn2ouz/UbujOILmqylOoDo58gtBPkhwhmkICHXIVU/IdQkR5nMDhqv6z43iDmsvdvmDBW7g7OE2pN/+Xpw==" saltValue="dzn336jBvRT3vn78s8Pkow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E0DE-82D6-41CB-9992-B9793F2C1D1F}">
  <dimension ref="A1:D923"/>
  <sheetViews>
    <sheetView workbookViewId="0">
      <selection activeCell="D2" sqref="D2"/>
    </sheetView>
  </sheetViews>
  <sheetFormatPr defaultColWidth="9.109375" defaultRowHeight="13.2" x14ac:dyDescent="0.25"/>
  <cols>
    <col min="1" max="1" width="12.109375" style="553" customWidth="1"/>
    <col min="2" max="2" width="16.33203125" style="553" customWidth="1"/>
    <col min="3" max="3" width="20.5546875" style="553" customWidth="1"/>
    <col min="4" max="4" width="9.109375" style="553"/>
    <col min="5" max="5" width="27.44140625" style="553" customWidth="1"/>
    <col min="6" max="16384" width="9.109375" style="553"/>
  </cols>
  <sheetData>
    <row r="1" spans="1:4" x14ac:dyDescent="0.25">
      <c r="A1" s="552" t="s">
        <v>16</v>
      </c>
      <c r="B1" s="553" t="s">
        <v>79</v>
      </c>
      <c r="C1" s="553" t="s">
        <v>80</v>
      </c>
      <c r="D1" s="553" t="s">
        <v>1125</v>
      </c>
    </row>
    <row r="2" spans="1:4" x14ac:dyDescent="0.25">
      <c r="A2" s="554" t="s">
        <v>1126</v>
      </c>
      <c r="B2" s="553">
        <v>1</v>
      </c>
      <c r="C2" s="553" t="s">
        <v>642</v>
      </c>
      <c r="D2" s="552"/>
    </row>
    <row r="3" spans="1:4" x14ac:dyDescent="0.25">
      <c r="A3" s="554" t="s">
        <v>1127</v>
      </c>
      <c r="B3" s="553">
        <v>2</v>
      </c>
      <c r="C3" s="553" t="s">
        <v>643</v>
      </c>
      <c r="D3" s="552">
        <v>2568</v>
      </c>
    </row>
    <row r="4" spans="1:4" x14ac:dyDescent="0.25">
      <c r="A4" s="554" t="s">
        <v>1128</v>
      </c>
      <c r="B4" s="553">
        <v>3</v>
      </c>
      <c r="C4" s="553" t="s">
        <v>644</v>
      </c>
      <c r="D4" s="552">
        <v>2569</v>
      </c>
    </row>
    <row r="5" spans="1:4" x14ac:dyDescent="0.25">
      <c r="A5" s="554" t="s">
        <v>1129</v>
      </c>
      <c r="B5" s="553">
        <v>4</v>
      </c>
      <c r="C5" s="553" t="s">
        <v>634</v>
      </c>
      <c r="D5" s="552">
        <v>2570</v>
      </c>
    </row>
    <row r="6" spans="1:4" x14ac:dyDescent="0.25">
      <c r="A6" s="554" t="s">
        <v>1130</v>
      </c>
      <c r="B6" s="553">
        <v>5</v>
      </c>
      <c r="C6" s="553" t="s">
        <v>699</v>
      </c>
      <c r="D6" s="552">
        <v>2571</v>
      </c>
    </row>
    <row r="7" spans="1:4" x14ac:dyDescent="0.25">
      <c r="A7" s="554" t="s">
        <v>1131</v>
      </c>
      <c r="B7" s="553">
        <v>6</v>
      </c>
      <c r="C7" s="553" t="s">
        <v>690</v>
      </c>
      <c r="D7" s="552">
        <v>2572</v>
      </c>
    </row>
    <row r="8" spans="1:4" x14ac:dyDescent="0.25">
      <c r="A8" s="554" t="s">
        <v>1132</v>
      </c>
      <c r="B8" s="553">
        <v>7</v>
      </c>
      <c r="C8" s="553" t="s">
        <v>637</v>
      </c>
      <c r="D8" s="552">
        <v>2573</v>
      </c>
    </row>
    <row r="9" spans="1:4" x14ac:dyDescent="0.25">
      <c r="A9" s="554" t="s">
        <v>1133</v>
      </c>
      <c r="B9" s="553">
        <v>8</v>
      </c>
      <c r="C9" s="553" t="s">
        <v>638</v>
      </c>
      <c r="D9" s="552">
        <v>2574</v>
      </c>
    </row>
    <row r="10" spans="1:4" x14ac:dyDescent="0.25">
      <c r="A10" s="554" t="s">
        <v>1134</v>
      </c>
      <c r="B10" s="553">
        <v>9</v>
      </c>
      <c r="C10" s="553" t="s">
        <v>639</v>
      </c>
      <c r="D10" s="552">
        <v>2575</v>
      </c>
    </row>
    <row r="11" spans="1:4" x14ac:dyDescent="0.25">
      <c r="A11" s="554" t="s">
        <v>1135</v>
      </c>
      <c r="B11" s="553">
        <v>10</v>
      </c>
      <c r="C11" s="553" t="s">
        <v>640</v>
      </c>
      <c r="D11" s="552">
        <v>2576</v>
      </c>
    </row>
    <row r="12" spans="1:4" x14ac:dyDescent="0.25">
      <c r="A12" s="554" t="s">
        <v>1136</v>
      </c>
      <c r="B12" s="553">
        <v>11</v>
      </c>
      <c r="C12" s="553" t="s">
        <v>629</v>
      </c>
      <c r="D12" s="552">
        <v>2577</v>
      </c>
    </row>
    <row r="13" spans="1:4" x14ac:dyDescent="0.25">
      <c r="A13" s="554" t="s">
        <v>1137</v>
      </c>
      <c r="B13" s="553">
        <v>12</v>
      </c>
      <c r="C13" s="553" t="s">
        <v>641</v>
      </c>
      <c r="D13" s="552">
        <v>2578</v>
      </c>
    </row>
    <row r="14" spans="1:4" x14ac:dyDescent="0.25">
      <c r="A14" s="554" t="s">
        <v>1138</v>
      </c>
      <c r="B14" s="553">
        <v>13</v>
      </c>
      <c r="D14" s="552">
        <v>2579</v>
      </c>
    </row>
    <row r="15" spans="1:4" x14ac:dyDescent="0.25">
      <c r="A15" s="554" t="s">
        <v>1139</v>
      </c>
      <c r="B15" s="553">
        <v>14</v>
      </c>
      <c r="D15" s="552">
        <v>2580</v>
      </c>
    </row>
    <row r="16" spans="1:4" x14ac:dyDescent="0.25">
      <c r="A16" s="554" t="s">
        <v>1140</v>
      </c>
      <c r="B16" s="553">
        <v>15</v>
      </c>
      <c r="D16" s="552">
        <v>2581</v>
      </c>
    </row>
    <row r="17" spans="2:4" x14ac:dyDescent="0.25">
      <c r="B17" s="553">
        <v>16</v>
      </c>
      <c r="D17" s="552">
        <v>2582</v>
      </c>
    </row>
    <row r="18" spans="2:4" x14ac:dyDescent="0.25">
      <c r="B18" s="553">
        <v>17</v>
      </c>
      <c r="D18" s="552">
        <v>2583</v>
      </c>
    </row>
    <row r="19" spans="2:4" x14ac:dyDescent="0.25">
      <c r="B19" s="553">
        <v>18</v>
      </c>
      <c r="D19" s="552">
        <v>2584</v>
      </c>
    </row>
    <row r="20" spans="2:4" x14ac:dyDescent="0.25">
      <c r="B20" s="553">
        <v>19</v>
      </c>
      <c r="D20" s="552">
        <v>2585</v>
      </c>
    </row>
    <row r="21" spans="2:4" x14ac:dyDescent="0.25">
      <c r="B21" s="553">
        <v>20</v>
      </c>
      <c r="D21" s="552">
        <v>2586</v>
      </c>
    </row>
    <row r="22" spans="2:4" x14ac:dyDescent="0.25">
      <c r="B22" s="553">
        <v>21</v>
      </c>
      <c r="D22" s="552">
        <v>2587</v>
      </c>
    </row>
    <row r="23" spans="2:4" x14ac:dyDescent="0.25">
      <c r="B23" s="553">
        <v>22</v>
      </c>
      <c r="D23" s="552">
        <v>2588</v>
      </c>
    </row>
    <row r="24" spans="2:4" x14ac:dyDescent="0.25">
      <c r="B24" s="553">
        <v>23</v>
      </c>
      <c r="D24" s="552">
        <v>2589</v>
      </c>
    </row>
    <row r="25" spans="2:4" x14ac:dyDescent="0.25">
      <c r="B25" s="553">
        <v>24</v>
      </c>
      <c r="D25" s="552">
        <v>2590</v>
      </c>
    </row>
    <row r="26" spans="2:4" x14ac:dyDescent="0.25">
      <c r="B26" s="553">
        <v>25</v>
      </c>
      <c r="D26" s="552">
        <v>2591</v>
      </c>
    </row>
    <row r="27" spans="2:4" x14ac:dyDescent="0.25">
      <c r="B27" s="553">
        <v>26</v>
      </c>
      <c r="D27" s="552">
        <v>2592</v>
      </c>
    </row>
    <row r="28" spans="2:4" x14ac:dyDescent="0.25">
      <c r="B28" s="553">
        <v>27</v>
      </c>
      <c r="D28" s="552">
        <v>2593</v>
      </c>
    </row>
    <row r="29" spans="2:4" x14ac:dyDescent="0.25">
      <c r="B29" s="553">
        <v>28</v>
      </c>
      <c r="D29" s="552">
        <v>2594</v>
      </c>
    </row>
    <row r="30" spans="2:4" x14ac:dyDescent="0.25">
      <c r="B30" s="553">
        <v>29</v>
      </c>
      <c r="D30" s="552">
        <v>2595</v>
      </c>
    </row>
    <row r="31" spans="2:4" x14ac:dyDescent="0.25">
      <c r="B31" s="553">
        <v>30</v>
      </c>
      <c r="D31" s="552">
        <v>2596</v>
      </c>
    </row>
    <row r="32" spans="2:4" x14ac:dyDescent="0.25">
      <c r="B32" s="553">
        <v>31</v>
      </c>
      <c r="D32" s="552">
        <v>2597</v>
      </c>
    </row>
    <row r="33" spans="4:4" x14ac:dyDescent="0.25">
      <c r="D33" s="552">
        <v>2598</v>
      </c>
    </row>
    <row r="34" spans="4:4" x14ac:dyDescent="0.25">
      <c r="D34" s="552">
        <v>2599</v>
      </c>
    </row>
    <row r="35" spans="4:4" x14ac:dyDescent="0.25">
      <c r="D35" s="552">
        <v>2600</v>
      </c>
    </row>
    <row r="36" spans="4:4" x14ac:dyDescent="0.25">
      <c r="D36" s="552">
        <v>2601</v>
      </c>
    </row>
    <row r="37" spans="4:4" x14ac:dyDescent="0.25">
      <c r="D37" s="552">
        <v>2602</v>
      </c>
    </row>
    <row r="38" spans="4:4" x14ac:dyDescent="0.25">
      <c r="D38" s="552">
        <v>2603</v>
      </c>
    </row>
    <row r="39" spans="4:4" x14ac:dyDescent="0.25">
      <c r="D39" s="552">
        <v>2604</v>
      </c>
    </row>
    <row r="40" spans="4:4" x14ac:dyDescent="0.25">
      <c r="D40" s="552">
        <v>2605</v>
      </c>
    </row>
    <row r="41" spans="4:4" x14ac:dyDescent="0.25">
      <c r="D41" s="552">
        <v>2606</v>
      </c>
    </row>
    <row r="42" spans="4:4" x14ac:dyDescent="0.25">
      <c r="D42" s="552">
        <v>2607</v>
      </c>
    </row>
    <row r="43" spans="4:4" x14ac:dyDescent="0.25">
      <c r="D43" s="552">
        <v>2608</v>
      </c>
    </row>
    <row r="44" spans="4:4" x14ac:dyDescent="0.25">
      <c r="D44" s="552">
        <v>2609</v>
      </c>
    </row>
    <row r="45" spans="4:4" x14ac:dyDescent="0.25">
      <c r="D45" s="552">
        <v>2610</v>
      </c>
    </row>
    <row r="46" spans="4:4" x14ac:dyDescent="0.25">
      <c r="D46" s="552">
        <v>2611</v>
      </c>
    </row>
    <row r="47" spans="4:4" x14ac:dyDescent="0.25">
      <c r="D47" s="552">
        <v>2612</v>
      </c>
    </row>
    <row r="48" spans="4:4" x14ac:dyDescent="0.25">
      <c r="D48" s="552">
        <v>2613</v>
      </c>
    </row>
    <row r="49" spans="4:4" x14ac:dyDescent="0.25">
      <c r="D49" s="552">
        <v>2614</v>
      </c>
    </row>
    <row r="50" spans="4:4" x14ac:dyDescent="0.25">
      <c r="D50" s="552">
        <v>2615</v>
      </c>
    </row>
    <row r="51" spans="4:4" x14ac:dyDescent="0.25">
      <c r="D51" s="552">
        <v>2616</v>
      </c>
    </row>
    <row r="52" spans="4:4" x14ac:dyDescent="0.25">
      <c r="D52" s="552">
        <v>2617</v>
      </c>
    </row>
    <row r="53" spans="4:4" x14ac:dyDescent="0.25">
      <c r="D53" s="552">
        <v>2618</v>
      </c>
    </row>
    <row r="54" spans="4:4" x14ac:dyDescent="0.25">
      <c r="D54" s="552">
        <v>2619</v>
      </c>
    </row>
    <row r="55" spans="4:4" x14ac:dyDescent="0.25">
      <c r="D55" s="552">
        <v>2620</v>
      </c>
    </row>
    <row r="56" spans="4:4" x14ac:dyDescent="0.25">
      <c r="D56" s="552">
        <v>2621</v>
      </c>
    </row>
    <row r="57" spans="4:4" x14ac:dyDescent="0.25">
      <c r="D57" s="552">
        <v>2622</v>
      </c>
    </row>
    <row r="58" spans="4:4" x14ac:dyDescent="0.25">
      <c r="D58" s="552">
        <v>2623</v>
      </c>
    </row>
    <row r="59" spans="4:4" x14ac:dyDescent="0.25">
      <c r="D59" s="552">
        <v>2624</v>
      </c>
    </row>
    <row r="60" spans="4:4" x14ac:dyDescent="0.25">
      <c r="D60" s="552">
        <v>2625</v>
      </c>
    </row>
    <row r="61" spans="4:4" x14ac:dyDescent="0.25">
      <c r="D61" s="552">
        <v>2626</v>
      </c>
    </row>
    <row r="62" spans="4:4" x14ac:dyDescent="0.25">
      <c r="D62" s="552">
        <v>2627</v>
      </c>
    </row>
    <row r="63" spans="4:4" x14ac:dyDescent="0.25">
      <c r="D63" s="552">
        <v>2628</v>
      </c>
    </row>
    <row r="64" spans="4:4" x14ac:dyDescent="0.25">
      <c r="D64" s="552">
        <v>2629</v>
      </c>
    </row>
    <row r="65" spans="4:4" x14ac:dyDescent="0.25">
      <c r="D65" s="552">
        <v>2630</v>
      </c>
    </row>
    <row r="66" spans="4:4" x14ac:dyDescent="0.25">
      <c r="D66" s="552">
        <v>2631</v>
      </c>
    </row>
    <row r="67" spans="4:4" x14ac:dyDescent="0.25">
      <c r="D67" s="552">
        <v>2632</v>
      </c>
    </row>
    <row r="68" spans="4:4" x14ac:dyDescent="0.25">
      <c r="D68" s="552">
        <v>2633</v>
      </c>
    </row>
    <row r="69" spans="4:4" x14ac:dyDescent="0.25">
      <c r="D69" s="552">
        <v>2634</v>
      </c>
    </row>
    <row r="70" spans="4:4" x14ac:dyDescent="0.25">
      <c r="D70" s="552">
        <v>2635</v>
      </c>
    </row>
    <row r="71" spans="4:4" x14ac:dyDescent="0.25">
      <c r="D71" s="552">
        <v>2636</v>
      </c>
    </row>
    <row r="72" spans="4:4" x14ac:dyDescent="0.25">
      <c r="D72" s="552">
        <v>2637</v>
      </c>
    </row>
    <row r="73" spans="4:4" x14ac:dyDescent="0.25">
      <c r="D73" s="552">
        <v>2638</v>
      </c>
    </row>
    <row r="74" spans="4:4" x14ac:dyDescent="0.25">
      <c r="D74" s="552">
        <v>2639</v>
      </c>
    </row>
    <row r="75" spans="4:4" x14ac:dyDescent="0.25">
      <c r="D75" s="552">
        <v>2640</v>
      </c>
    </row>
    <row r="76" spans="4:4" x14ac:dyDescent="0.25">
      <c r="D76" s="552">
        <v>2641</v>
      </c>
    </row>
    <row r="77" spans="4:4" x14ac:dyDescent="0.25">
      <c r="D77" s="552">
        <v>2642</v>
      </c>
    </row>
    <row r="78" spans="4:4" x14ac:dyDescent="0.25">
      <c r="D78" s="552">
        <v>2643</v>
      </c>
    </row>
    <row r="79" spans="4:4" x14ac:dyDescent="0.25">
      <c r="D79" s="552">
        <v>2644</v>
      </c>
    </row>
    <row r="80" spans="4:4" x14ac:dyDescent="0.25">
      <c r="D80" s="552">
        <v>2645</v>
      </c>
    </row>
    <row r="81" spans="4:4" x14ac:dyDescent="0.25">
      <c r="D81" s="552">
        <v>2646</v>
      </c>
    </row>
    <row r="82" spans="4:4" x14ac:dyDescent="0.25">
      <c r="D82" s="552">
        <v>2647</v>
      </c>
    </row>
    <row r="83" spans="4:4" x14ac:dyDescent="0.25">
      <c r="D83" s="552">
        <v>2648</v>
      </c>
    </row>
    <row r="84" spans="4:4" x14ac:dyDescent="0.25">
      <c r="D84" s="552">
        <v>2649</v>
      </c>
    </row>
    <row r="85" spans="4:4" x14ac:dyDescent="0.25">
      <c r="D85" s="552">
        <v>2650</v>
      </c>
    </row>
    <row r="86" spans="4:4" x14ac:dyDescent="0.25">
      <c r="D86" s="552">
        <v>2651</v>
      </c>
    </row>
    <row r="87" spans="4:4" x14ac:dyDescent="0.25">
      <c r="D87" s="552">
        <v>2652</v>
      </c>
    </row>
    <row r="88" spans="4:4" x14ac:dyDescent="0.25">
      <c r="D88" s="552">
        <v>2653</v>
      </c>
    </row>
    <row r="89" spans="4:4" x14ac:dyDescent="0.25">
      <c r="D89" s="552">
        <v>2654</v>
      </c>
    </row>
    <row r="90" spans="4:4" x14ac:dyDescent="0.25">
      <c r="D90" s="552">
        <v>2655</v>
      </c>
    </row>
    <row r="91" spans="4:4" x14ac:dyDescent="0.25">
      <c r="D91" s="552">
        <v>2656</v>
      </c>
    </row>
    <row r="92" spans="4:4" x14ac:dyDescent="0.25">
      <c r="D92" s="552">
        <v>2657</v>
      </c>
    </row>
    <row r="93" spans="4:4" x14ac:dyDescent="0.25">
      <c r="D93" s="552">
        <v>2658</v>
      </c>
    </row>
    <row r="94" spans="4:4" x14ac:dyDescent="0.25">
      <c r="D94" s="552">
        <v>2659</v>
      </c>
    </row>
    <row r="95" spans="4:4" x14ac:dyDescent="0.25">
      <c r="D95" s="552">
        <v>2660</v>
      </c>
    </row>
    <row r="96" spans="4:4" x14ac:dyDescent="0.25">
      <c r="D96" s="552">
        <v>2661</v>
      </c>
    </row>
    <row r="97" spans="4:4" x14ac:dyDescent="0.25">
      <c r="D97" s="552">
        <v>2662</v>
      </c>
    </row>
    <row r="98" spans="4:4" x14ac:dyDescent="0.25">
      <c r="D98" s="552">
        <v>2663</v>
      </c>
    </row>
    <row r="99" spans="4:4" x14ac:dyDescent="0.25">
      <c r="D99" s="552">
        <v>2664</v>
      </c>
    </row>
    <row r="100" spans="4:4" x14ac:dyDescent="0.25">
      <c r="D100" s="552">
        <v>2665</v>
      </c>
    </row>
    <row r="101" spans="4:4" x14ac:dyDescent="0.25">
      <c r="D101" s="552">
        <v>2666</v>
      </c>
    </row>
    <row r="102" spans="4:4" x14ac:dyDescent="0.25">
      <c r="D102" s="552">
        <v>2667</v>
      </c>
    </row>
    <row r="103" spans="4:4" x14ac:dyDescent="0.25">
      <c r="D103" s="552">
        <v>2668</v>
      </c>
    </row>
    <row r="104" spans="4:4" x14ac:dyDescent="0.25">
      <c r="D104" s="552">
        <v>2669</v>
      </c>
    </row>
    <row r="105" spans="4:4" x14ac:dyDescent="0.25">
      <c r="D105" s="552">
        <v>2670</v>
      </c>
    </row>
    <row r="106" spans="4:4" x14ac:dyDescent="0.25">
      <c r="D106" s="552">
        <v>2671</v>
      </c>
    </row>
    <row r="107" spans="4:4" x14ac:dyDescent="0.25">
      <c r="D107" s="552">
        <v>2672</v>
      </c>
    </row>
    <row r="108" spans="4:4" x14ac:dyDescent="0.25">
      <c r="D108" s="552">
        <v>2673</v>
      </c>
    </row>
    <row r="109" spans="4:4" x14ac:dyDescent="0.25">
      <c r="D109" s="552">
        <v>2674</v>
      </c>
    </row>
    <row r="110" spans="4:4" x14ac:dyDescent="0.25">
      <c r="D110" s="552">
        <v>2675</v>
      </c>
    </row>
    <row r="111" spans="4:4" x14ac:dyDescent="0.25">
      <c r="D111" s="552">
        <v>2676</v>
      </c>
    </row>
    <row r="112" spans="4:4" x14ac:dyDescent="0.25">
      <c r="D112" s="552">
        <v>2677</v>
      </c>
    </row>
    <row r="113" spans="4:4" x14ac:dyDescent="0.25">
      <c r="D113" s="552">
        <v>2678</v>
      </c>
    </row>
    <row r="114" spans="4:4" x14ac:dyDescent="0.25">
      <c r="D114" s="552">
        <v>2679</v>
      </c>
    </row>
    <row r="115" spans="4:4" x14ac:dyDescent="0.25">
      <c r="D115" s="552">
        <v>2680</v>
      </c>
    </row>
    <row r="116" spans="4:4" x14ac:dyDescent="0.25">
      <c r="D116" s="552">
        <v>2681</v>
      </c>
    </row>
    <row r="117" spans="4:4" x14ac:dyDescent="0.25">
      <c r="D117" s="552">
        <v>2682</v>
      </c>
    </row>
    <row r="118" spans="4:4" x14ac:dyDescent="0.25">
      <c r="D118" s="552">
        <v>2683</v>
      </c>
    </row>
    <row r="119" spans="4:4" x14ac:dyDescent="0.25">
      <c r="D119" s="552">
        <v>2684</v>
      </c>
    </row>
    <row r="120" spans="4:4" x14ac:dyDescent="0.25">
      <c r="D120" s="552">
        <v>2685</v>
      </c>
    </row>
    <row r="121" spans="4:4" x14ac:dyDescent="0.25">
      <c r="D121" s="552">
        <v>2686</v>
      </c>
    </row>
    <row r="122" spans="4:4" x14ac:dyDescent="0.25">
      <c r="D122" s="552">
        <v>2687</v>
      </c>
    </row>
    <row r="123" spans="4:4" x14ac:dyDescent="0.25">
      <c r="D123" s="552">
        <v>2688</v>
      </c>
    </row>
    <row r="124" spans="4:4" x14ac:dyDescent="0.25">
      <c r="D124" s="552">
        <v>2689</v>
      </c>
    </row>
    <row r="125" spans="4:4" x14ac:dyDescent="0.25">
      <c r="D125" s="552">
        <v>2690</v>
      </c>
    </row>
    <row r="126" spans="4:4" x14ac:dyDescent="0.25">
      <c r="D126" s="552">
        <v>2691</v>
      </c>
    </row>
    <row r="127" spans="4:4" x14ac:dyDescent="0.25">
      <c r="D127" s="552">
        <v>2692</v>
      </c>
    </row>
    <row r="128" spans="4:4" x14ac:dyDescent="0.25">
      <c r="D128" s="552">
        <v>2693</v>
      </c>
    </row>
    <row r="129" spans="4:4" x14ac:dyDescent="0.25">
      <c r="D129" s="552">
        <v>2694</v>
      </c>
    </row>
    <row r="130" spans="4:4" x14ac:dyDescent="0.25">
      <c r="D130" s="552">
        <v>2695</v>
      </c>
    </row>
    <row r="131" spans="4:4" x14ac:dyDescent="0.25">
      <c r="D131" s="552">
        <v>2696</v>
      </c>
    </row>
    <row r="132" spans="4:4" x14ac:dyDescent="0.25">
      <c r="D132" s="552">
        <v>2697</v>
      </c>
    </row>
    <row r="133" spans="4:4" x14ac:dyDescent="0.25">
      <c r="D133" s="552">
        <v>2698</v>
      </c>
    </row>
    <row r="134" spans="4:4" x14ac:dyDescent="0.25">
      <c r="D134" s="552">
        <v>2699</v>
      </c>
    </row>
    <row r="135" spans="4:4" x14ac:dyDescent="0.25">
      <c r="D135" s="552">
        <v>2700</v>
      </c>
    </row>
    <row r="136" spans="4:4" x14ac:dyDescent="0.25">
      <c r="D136" s="552">
        <v>2701</v>
      </c>
    </row>
    <row r="137" spans="4:4" x14ac:dyDescent="0.25">
      <c r="D137" s="552">
        <v>2702</v>
      </c>
    </row>
    <row r="138" spans="4:4" x14ac:dyDescent="0.25">
      <c r="D138" s="552">
        <v>2703</v>
      </c>
    </row>
    <row r="139" spans="4:4" x14ac:dyDescent="0.25">
      <c r="D139" s="552">
        <v>2704</v>
      </c>
    </row>
    <row r="140" spans="4:4" x14ac:dyDescent="0.25">
      <c r="D140" s="552">
        <v>2705</v>
      </c>
    </row>
    <row r="141" spans="4:4" x14ac:dyDescent="0.25">
      <c r="D141" s="552">
        <v>2706</v>
      </c>
    </row>
    <row r="142" spans="4:4" x14ac:dyDescent="0.25">
      <c r="D142" s="552">
        <v>2707</v>
      </c>
    </row>
    <row r="143" spans="4:4" x14ac:dyDescent="0.25">
      <c r="D143" s="552">
        <v>2708</v>
      </c>
    </row>
    <row r="144" spans="4:4" x14ac:dyDescent="0.25">
      <c r="D144" s="552">
        <v>2709</v>
      </c>
    </row>
    <row r="145" spans="4:4" x14ac:dyDescent="0.25">
      <c r="D145" s="552">
        <v>2710</v>
      </c>
    </row>
    <row r="146" spans="4:4" x14ac:dyDescent="0.25">
      <c r="D146" s="552">
        <v>2711</v>
      </c>
    </row>
    <row r="147" spans="4:4" x14ac:dyDescent="0.25">
      <c r="D147" s="552">
        <v>2712</v>
      </c>
    </row>
    <row r="148" spans="4:4" x14ac:dyDescent="0.25">
      <c r="D148" s="552">
        <v>2713</v>
      </c>
    </row>
    <row r="149" spans="4:4" x14ac:dyDescent="0.25">
      <c r="D149" s="552">
        <v>2714</v>
      </c>
    </row>
    <row r="150" spans="4:4" x14ac:dyDescent="0.25">
      <c r="D150" s="552">
        <v>2715</v>
      </c>
    </row>
    <row r="151" spans="4:4" x14ac:dyDescent="0.25">
      <c r="D151" s="552">
        <v>2716</v>
      </c>
    </row>
    <row r="152" spans="4:4" x14ac:dyDescent="0.25">
      <c r="D152" s="552">
        <v>2717</v>
      </c>
    </row>
    <row r="153" spans="4:4" x14ac:dyDescent="0.25">
      <c r="D153" s="552">
        <v>2718</v>
      </c>
    </row>
    <row r="154" spans="4:4" x14ac:dyDescent="0.25">
      <c r="D154" s="552">
        <v>2719</v>
      </c>
    </row>
    <row r="155" spans="4:4" x14ac:dyDescent="0.25">
      <c r="D155" s="552">
        <v>2720</v>
      </c>
    </row>
    <row r="156" spans="4:4" x14ac:dyDescent="0.25">
      <c r="D156" s="552">
        <v>2721</v>
      </c>
    </row>
    <row r="157" spans="4:4" x14ac:dyDescent="0.25">
      <c r="D157" s="552">
        <v>2722</v>
      </c>
    </row>
    <row r="158" spans="4:4" x14ac:dyDescent="0.25">
      <c r="D158" s="552">
        <v>2723</v>
      </c>
    </row>
    <row r="159" spans="4:4" x14ac:dyDescent="0.25">
      <c r="D159" s="552">
        <v>2724</v>
      </c>
    </row>
    <row r="160" spans="4:4" x14ac:dyDescent="0.25">
      <c r="D160" s="552">
        <v>2725</v>
      </c>
    </row>
    <row r="161" spans="4:4" x14ac:dyDescent="0.25">
      <c r="D161" s="552">
        <v>2726</v>
      </c>
    </row>
    <row r="162" spans="4:4" x14ac:dyDescent="0.25">
      <c r="D162" s="552">
        <v>2727</v>
      </c>
    </row>
    <row r="163" spans="4:4" x14ac:dyDescent="0.25">
      <c r="D163" s="552">
        <v>2728</v>
      </c>
    </row>
    <row r="164" spans="4:4" x14ac:dyDescent="0.25">
      <c r="D164" s="552">
        <v>2729</v>
      </c>
    </row>
    <row r="165" spans="4:4" x14ac:dyDescent="0.25">
      <c r="D165" s="552">
        <v>2730</v>
      </c>
    </row>
    <row r="166" spans="4:4" x14ac:dyDescent="0.25">
      <c r="D166" s="552">
        <v>2731</v>
      </c>
    </row>
    <row r="167" spans="4:4" x14ac:dyDescent="0.25">
      <c r="D167" s="552">
        <v>2732</v>
      </c>
    </row>
    <row r="168" spans="4:4" x14ac:dyDescent="0.25">
      <c r="D168" s="552">
        <v>2733</v>
      </c>
    </row>
    <row r="169" spans="4:4" x14ac:dyDescent="0.25">
      <c r="D169" s="552">
        <v>2734</v>
      </c>
    </row>
    <row r="170" spans="4:4" x14ac:dyDescent="0.25">
      <c r="D170" s="552">
        <v>2735</v>
      </c>
    </row>
    <row r="171" spans="4:4" x14ac:dyDescent="0.25">
      <c r="D171" s="552">
        <v>2736</v>
      </c>
    </row>
    <row r="172" spans="4:4" x14ac:dyDescent="0.25">
      <c r="D172" s="552">
        <v>2737</v>
      </c>
    </row>
    <row r="173" spans="4:4" x14ac:dyDescent="0.25">
      <c r="D173" s="552">
        <v>2738</v>
      </c>
    </row>
    <row r="174" spans="4:4" x14ac:dyDescent="0.25">
      <c r="D174" s="552">
        <v>2739</v>
      </c>
    </row>
    <row r="175" spans="4:4" x14ac:dyDescent="0.25">
      <c r="D175" s="552">
        <v>2740</v>
      </c>
    </row>
    <row r="176" spans="4:4" x14ac:dyDescent="0.25">
      <c r="D176" s="552">
        <v>2741</v>
      </c>
    </row>
    <row r="177" spans="4:4" x14ac:dyDescent="0.25">
      <c r="D177" s="552">
        <v>2742</v>
      </c>
    </row>
    <row r="178" spans="4:4" x14ac:dyDescent="0.25">
      <c r="D178" s="552">
        <v>2743</v>
      </c>
    </row>
    <row r="179" spans="4:4" x14ac:dyDescent="0.25">
      <c r="D179" s="552">
        <v>2744</v>
      </c>
    </row>
    <row r="180" spans="4:4" x14ac:dyDescent="0.25">
      <c r="D180" s="552">
        <v>2745</v>
      </c>
    </row>
    <row r="181" spans="4:4" x14ac:dyDescent="0.25">
      <c r="D181" s="552">
        <v>2746</v>
      </c>
    </row>
    <row r="182" spans="4:4" x14ac:dyDescent="0.25">
      <c r="D182" s="552">
        <v>2747</v>
      </c>
    </row>
    <row r="183" spans="4:4" x14ac:dyDescent="0.25">
      <c r="D183" s="552">
        <v>2748</v>
      </c>
    </row>
    <row r="184" spans="4:4" x14ac:dyDescent="0.25">
      <c r="D184" s="552">
        <v>2749</v>
      </c>
    </row>
    <row r="185" spans="4:4" x14ac:dyDescent="0.25">
      <c r="D185" s="552">
        <v>2750</v>
      </c>
    </row>
    <row r="186" spans="4:4" x14ac:dyDescent="0.25">
      <c r="D186" s="552">
        <v>2751</v>
      </c>
    </row>
    <row r="187" spans="4:4" x14ac:dyDescent="0.25">
      <c r="D187" s="552">
        <v>2752</v>
      </c>
    </row>
    <row r="188" spans="4:4" x14ac:dyDescent="0.25">
      <c r="D188" s="552">
        <v>2753</v>
      </c>
    </row>
    <row r="189" spans="4:4" x14ac:dyDescent="0.25">
      <c r="D189" s="552">
        <v>2754</v>
      </c>
    </row>
    <row r="190" spans="4:4" x14ac:dyDescent="0.25">
      <c r="D190" s="552">
        <v>2755</v>
      </c>
    </row>
    <row r="191" spans="4:4" x14ac:dyDescent="0.25">
      <c r="D191" s="552">
        <v>2756</v>
      </c>
    </row>
    <row r="192" spans="4:4" x14ac:dyDescent="0.25">
      <c r="D192" s="552">
        <v>2757</v>
      </c>
    </row>
    <row r="193" spans="4:4" x14ac:dyDescent="0.25">
      <c r="D193" s="552">
        <v>2758</v>
      </c>
    </row>
    <row r="194" spans="4:4" x14ac:dyDescent="0.25">
      <c r="D194" s="552">
        <v>2759</v>
      </c>
    </row>
    <row r="195" spans="4:4" x14ac:dyDescent="0.25">
      <c r="D195" s="552">
        <v>2760</v>
      </c>
    </row>
    <row r="196" spans="4:4" x14ac:dyDescent="0.25">
      <c r="D196" s="552">
        <v>2761</v>
      </c>
    </row>
    <row r="197" spans="4:4" x14ac:dyDescent="0.25">
      <c r="D197" s="552">
        <v>2762</v>
      </c>
    </row>
    <row r="198" spans="4:4" x14ac:dyDescent="0.25">
      <c r="D198" s="552">
        <v>2763</v>
      </c>
    </row>
    <row r="199" spans="4:4" x14ac:dyDescent="0.25">
      <c r="D199" s="552">
        <v>2764</v>
      </c>
    </row>
    <row r="200" spans="4:4" x14ac:dyDescent="0.25">
      <c r="D200" s="552">
        <v>2765</v>
      </c>
    </row>
    <row r="201" spans="4:4" x14ac:dyDescent="0.25">
      <c r="D201" s="552">
        <v>2766</v>
      </c>
    </row>
    <row r="202" spans="4:4" x14ac:dyDescent="0.25">
      <c r="D202" s="552">
        <v>2767</v>
      </c>
    </row>
    <row r="203" spans="4:4" x14ac:dyDescent="0.25">
      <c r="D203" s="552">
        <v>2768</v>
      </c>
    </row>
    <row r="204" spans="4:4" x14ac:dyDescent="0.25">
      <c r="D204" s="552">
        <v>2769</v>
      </c>
    </row>
    <row r="205" spans="4:4" x14ac:dyDescent="0.25">
      <c r="D205" s="552">
        <v>2770</v>
      </c>
    </row>
    <row r="206" spans="4:4" x14ac:dyDescent="0.25">
      <c r="D206" s="552">
        <v>2771</v>
      </c>
    </row>
    <row r="207" spans="4:4" x14ac:dyDescent="0.25">
      <c r="D207" s="552">
        <v>2772</v>
      </c>
    </row>
    <row r="208" spans="4:4" x14ac:dyDescent="0.25">
      <c r="D208" s="552">
        <v>2773</v>
      </c>
    </row>
    <row r="209" spans="4:4" x14ac:dyDescent="0.25">
      <c r="D209" s="552">
        <v>2774</v>
      </c>
    </row>
    <row r="210" spans="4:4" x14ac:dyDescent="0.25">
      <c r="D210" s="552">
        <v>2775</v>
      </c>
    </row>
    <row r="211" spans="4:4" x14ac:dyDescent="0.25">
      <c r="D211" s="552">
        <v>2776</v>
      </c>
    </row>
    <row r="212" spans="4:4" x14ac:dyDescent="0.25">
      <c r="D212" s="552">
        <v>2777</v>
      </c>
    </row>
    <row r="213" spans="4:4" x14ac:dyDescent="0.25">
      <c r="D213" s="552">
        <v>2778</v>
      </c>
    </row>
    <row r="214" spans="4:4" x14ac:dyDescent="0.25">
      <c r="D214" s="552">
        <v>2779</v>
      </c>
    </row>
    <row r="215" spans="4:4" x14ac:dyDescent="0.25">
      <c r="D215" s="552">
        <v>2780</v>
      </c>
    </row>
    <row r="216" spans="4:4" x14ac:dyDescent="0.25">
      <c r="D216" s="552">
        <v>2781</v>
      </c>
    </row>
    <row r="217" spans="4:4" x14ac:dyDescent="0.25">
      <c r="D217" s="552">
        <v>2782</v>
      </c>
    </row>
    <row r="218" spans="4:4" x14ac:dyDescent="0.25">
      <c r="D218" s="552">
        <v>2783</v>
      </c>
    </row>
    <row r="219" spans="4:4" x14ac:dyDescent="0.25">
      <c r="D219" s="552">
        <v>2784</v>
      </c>
    </row>
    <row r="220" spans="4:4" x14ac:dyDescent="0.25">
      <c r="D220" s="552">
        <v>2785</v>
      </c>
    </row>
    <row r="221" spans="4:4" x14ac:dyDescent="0.25">
      <c r="D221" s="552">
        <v>2786</v>
      </c>
    </row>
    <row r="222" spans="4:4" x14ac:dyDescent="0.25">
      <c r="D222" s="552">
        <v>2787</v>
      </c>
    </row>
    <row r="223" spans="4:4" x14ac:dyDescent="0.25">
      <c r="D223" s="552">
        <v>2788</v>
      </c>
    </row>
    <row r="224" spans="4:4" x14ac:dyDescent="0.25">
      <c r="D224" s="552">
        <v>2789</v>
      </c>
    </row>
    <row r="225" spans="4:4" x14ac:dyDescent="0.25">
      <c r="D225" s="552">
        <v>2790</v>
      </c>
    </row>
    <row r="226" spans="4:4" x14ac:dyDescent="0.25">
      <c r="D226" s="552">
        <v>2791</v>
      </c>
    </row>
    <row r="227" spans="4:4" x14ac:dyDescent="0.25">
      <c r="D227" s="552">
        <v>2792</v>
      </c>
    </row>
    <row r="228" spans="4:4" x14ac:dyDescent="0.25">
      <c r="D228" s="552">
        <v>2793</v>
      </c>
    </row>
    <row r="229" spans="4:4" x14ac:dyDescent="0.25">
      <c r="D229" s="552">
        <v>2794</v>
      </c>
    </row>
    <row r="230" spans="4:4" x14ac:dyDescent="0.25">
      <c r="D230" s="552">
        <v>2795</v>
      </c>
    </row>
    <row r="231" spans="4:4" x14ac:dyDescent="0.25">
      <c r="D231" s="552">
        <v>2796</v>
      </c>
    </row>
    <row r="232" spans="4:4" x14ac:dyDescent="0.25">
      <c r="D232" s="552">
        <v>2797</v>
      </c>
    </row>
    <row r="233" spans="4:4" x14ac:dyDescent="0.25">
      <c r="D233" s="552">
        <v>2798</v>
      </c>
    </row>
    <row r="234" spans="4:4" x14ac:dyDescent="0.25">
      <c r="D234" s="552">
        <v>2799</v>
      </c>
    </row>
    <row r="235" spans="4:4" x14ac:dyDescent="0.25">
      <c r="D235" s="552">
        <v>2800</v>
      </c>
    </row>
    <row r="236" spans="4:4" x14ac:dyDescent="0.25">
      <c r="D236" s="552">
        <v>2801</v>
      </c>
    </row>
    <row r="237" spans="4:4" x14ac:dyDescent="0.25">
      <c r="D237" s="552">
        <v>2802</v>
      </c>
    </row>
    <row r="238" spans="4:4" x14ac:dyDescent="0.25">
      <c r="D238" s="552">
        <v>2803</v>
      </c>
    </row>
    <row r="239" spans="4:4" x14ac:dyDescent="0.25">
      <c r="D239" s="552">
        <v>2804</v>
      </c>
    </row>
    <row r="240" spans="4:4" x14ac:dyDescent="0.25">
      <c r="D240" s="552">
        <v>2805</v>
      </c>
    </row>
    <row r="241" spans="4:4" x14ac:dyDescent="0.25">
      <c r="D241" s="552">
        <v>2806</v>
      </c>
    </row>
    <row r="242" spans="4:4" x14ac:dyDescent="0.25">
      <c r="D242" s="552">
        <v>2807</v>
      </c>
    </row>
    <row r="243" spans="4:4" x14ac:dyDescent="0.25">
      <c r="D243" s="552">
        <v>2808</v>
      </c>
    </row>
    <row r="244" spans="4:4" x14ac:dyDescent="0.25">
      <c r="D244" s="552">
        <v>2809</v>
      </c>
    </row>
    <row r="245" spans="4:4" x14ac:dyDescent="0.25">
      <c r="D245" s="552">
        <v>2810</v>
      </c>
    </row>
    <row r="246" spans="4:4" x14ac:dyDescent="0.25">
      <c r="D246" s="552">
        <v>2811</v>
      </c>
    </row>
    <row r="247" spans="4:4" x14ac:dyDescent="0.25">
      <c r="D247" s="552">
        <v>2812</v>
      </c>
    </row>
    <row r="248" spans="4:4" x14ac:dyDescent="0.25">
      <c r="D248" s="552">
        <v>2813</v>
      </c>
    </row>
    <row r="249" spans="4:4" x14ac:dyDescent="0.25">
      <c r="D249" s="552">
        <v>2814</v>
      </c>
    </row>
    <row r="250" spans="4:4" x14ac:dyDescent="0.25">
      <c r="D250" s="552">
        <v>2815</v>
      </c>
    </row>
    <row r="251" spans="4:4" x14ac:dyDescent="0.25">
      <c r="D251" s="552">
        <v>2816</v>
      </c>
    </row>
    <row r="252" spans="4:4" x14ac:dyDescent="0.25">
      <c r="D252" s="552">
        <v>2817</v>
      </c>
    </row>
    <row r="253" spans="4:4" x14ac:dyDescent="0.25">
      <c r="D253" s="552">
        <v>2818</v>
      </c>
    </row>
    <row r="254" spans="4:4" x14ac:dyDescent="0.25">
      <c r="D254" s="552">
        <v>2819</v>
      </c>
    </row>
    <row r="255" spans="4:4" x14ac:dyDescent="0.25">
      <c r="D255" s="552">
        <v>2820</v>
      </c>
    </row>
    <row r="256" spans="4:4" x14ac:dyDescent="0.25">
      <c r="D256" s="552">
        <v>2821</v>
      </c>
    </row>
    <row r="257" spans="4:4" x14ac:dyDescent="0.25">
      <c r="D257" s="552">
        <v>2822</v>
      </c>
    </row>
    <row r="258" spans="4:4" x14ac:dyDescent="0.25">
      <c r="D258" s="552">
        <v>2823</v>
      </c>
    </row>
    <row r="259" spans="4:4" x14ac:dyDescent="0.25">
      <c r="D259" s="552">
        <v>2824</v>
      </c>
    </row>
    <row r="260" spans="4:4" x14ac:dyDescent="0.25">
      <c r="D260" s="552">
        <v>2825</v>
      </c>
    </row>
    <row r="261" spans="4:4" x14ac:dyDescent="0.25">
      <c r="D261" s="552">
        <v>2826</v>
      </c>
    </row>
    <row r="262" spans="4:4" x14ac:dyDescent="0.25">
      <c r="D262" s="552">
        <v>2827</v>
      </c>
    </row>
    <row r="263" spans="4:4" x14ac:dyDescent="0.25">
      <c r="D263" s="552">
        <v>2828</v>
      </c>
    </row>
    <row r="264" spans="4:4" x14ac:dyDescent="0.25">
      <c r="D264" s="552">
        <v>2829</v>
      </c>
    </row>
    <row r="265" spans="4:4" x14ac:dyDescent="0.25">
      <c r="D265" s="552">
        <v>2830</v>
      </c>
    </row>
    <row r="266" spans="4:4" x14ac:dyDescent="0.25">
      <c r="D266" s="552">
        <v>2831</v>
      </c>
    </row>
    <row r="267" spans="4:4" x14ac:dyDescent="0.25">
      <c r="D267" s="552">
        <v>2832</v>
      </c>
    </row>
    <row r="268" spans="4:4" x14ac:dyDescent="0.25">
      <c r="D268" s="552">
        <v>2833</v>
      </c>
    </row>
    <row r="269" spans="4:4" x14ac:dyDescent="0.25">
      <c r="D269" s="552">
        <v>2834</v>
      </c>
    </row>
    <row r="270" spans="4:4" x14ac:dyDescent="0.25">
      <c r="D270" s="552">
        <v>2835</v>
      </c>
    </row>
    <row r="271" spans="4:4" x14ac:dyDescent="0.25">
      <c r="D271" s="552">
        <v>2836</v>
      </c>
    </row>
    <row r="272" spans="4:4" x14ac:dyDescent="0.25">
      <c r="D272" s="552">
        <v>2837</v>
      </c>
    </row>
    <row r="273" spans="4:4" x14ac:dyDescent="0.25">
      <c r="D273" s="552">
        <v>2838</v>
      </c>
    </row>
    <row r="274" spans="4:4" x14ac:dyDescent="0.25">
      <c r="D274" s="552">
        <v>2839</v>
      </c>
    </row>
    <row r="275" spans="4:4" x14ac:dyDescent="0.25">
      <c r="D275" s="552">
        <v>2840</v>
      </c>
    </row>
    <row r="276" spans="4:4" x14ac:dyDescent="0.25">
      <c r="D276" s="552">
        <v>2841</v>
      </c>
    </row>
    <row r="277" spans="4:4" x14ac:dyDescent="0.25">
      <c r="D277" s="552">
        <v>2842</v>
      </c>
    </row>
    <row r="278" spans="4:4" x14ac:dyDescent="0.25">
      <c r="D278" s="552">
        <v>2843</v>
      </c>
    </row>
    <row r="279" spans="4:4" x14ac:dyDescent="0.25">
      <c r="D279" s="552">
        <v>2844</v>
      </c>
    </row>
    <row r="280" spans="4:4" x14ac:dyDescent="0.25">
      <c r="D280" s="552">
        <v>2845</v>
      </c>
    </row>
    <row r="281" spans="4:4" x14ac:dyDescent="0.25">
      <c r="D281" s="552">
        <v>2846</v>
      </c>
    </row>
    <row r="282" spans="4:4" x14ac:dyDescent="0.25">
      <c r="D282" s="552">
        <v>2847</v>
      </c>
    </row>
    <row r="283" spans="4:4" x14ac:dyDescent="0.25">
      <c r="D283" s="552">
        <v>2848</v>
      </c>
    </row>
    <row r="284" spans="4:4" x14ac:dyDescent="0.25">
      <c r="D284" s="552">
        <v>2849</v>
      </c>
    </row>
    <row r="285" spans="4:4" x14ac:dyDescent="0.25">
      <c r="D285" s="552">
        <v>2850</v>
      </c>
    </row>
    <row r="286" spans="4:4" x14ac:dyDescent="0.25">
      <c r="D286" s="552">
        <v>2851</v>
      </c>
    </row>
    <row r="287" spans="4:4" x14ac:dyDescent="0.25">
      <c r="D287" s="552">
        <v>2852</v>
      </c>
    </row>
    <row r="288" spans="4:4" x14ac:dyDescent="0.25">
      <c r="D288" s="552">
        <v>2853</v>
      </c>
    </row>
    <row r="289" spans="4:4" x14ac:dyDescent="0.25">
      <c r="D289" s="552">
        <v>2854</v>
      </c>
    </row>
    <row r="290" spans="4:4" x14ac:dyDescent="0.25">
      <c r="D290" s="552">
        <v>2855</v>
      </c>
    </row>
    <row r="291" spans="4:4" x14ac:dyDescent="0.25">
      <c r="D291" s="552">
        <v>2856</v>
      </c>
    </row>
    <row r="292" spans="4:4" x14ac:dyDescent="0.25">
      <c r="D292" s="552">
        <v>2857</v>
      </c>
    </row>
    <row r="293" spans="4:4" x14ac:dyDescent="0.25">
      <c r="D293" s="552">
        <v>2858</v>
      </c>
    </row>
    <row r="294" spans="4:4" x14ac:dyDescent="0.25">
      <c r="D294" s="552">
        <v>2859</v>
      </c>
    </row>
    <row r="295" spans="4:4" x14ac:dyDescent="0.25">
      <c r="D295" s="552">
        <v>2860</v>
      </c>
    </row>
    <row r="296" spans="4:4" x14ac:dyDescent="0.25">
      <c r="D296" s="552">
        <v>2861</v>
      </c>
    </row>
    <row r="297" spans="4:4" x14ac:dyDescent="0.25">
      <c r="D297" s="552">
        <v>2862</v>
      </c>
    </row>
    <row r="298" spans="4:4" x14ac:dyDescent="0.25">
      <c r="D298" s="552">
        <v>2863</v>
      </c>
    </row>
    <row r="299" spans="4:4" x14ac:dyDescent="0.25">
      <c r="D299" s="552">
        <v>2864</v>
      </c>
    </row>
    <row r="300" spans="4:4" x14ac:dyDescent="0.25">
      <c r="D300" s="552">
        <v>2865</v>
      </c>
    </row>
    <row r="301" spans="4:4" x14ac:dyDescent="0.25">
      <c r="D301" s="552">
        <v>2866</v>
      </c>
    </row>
    <row r="302" spans="4:4" x14ac:dyDescent="0.25">
      <c r="D302" s="552">
        <v>2867</v>
      </c>
    </row>
    <row r="303" spans="4:4" x14ac:dyDescent="0.25">
      <c r="D303" s="552">
        <v>2868</v>
      </c>
    </row>
    <row r="304" spans="4:4" x14ac:dyDescent="0.25">
      <c r="D304" s="552">
        <v>2869</v>
      </c>
    </row>
    <row r="305" spans="4:4" x14ac:dyDescent="0.25">
      <c r="D305" s="552">
        <v>2870</v>
      </c>
    </row>
    <row r="306" spans="4:4" x14ac:dyDescent="0.25">
      <c r="D306" s="552">
        <v>2871</v>
      </c>
    </row>
    <row r="307" spans="4:4" x14ac:dyDescent="0.25">
      <c r="D307" s="552">
        <v>2872</v>
      </c>
    </row>
    <row r="308" spans="4:4" x14ac:dyDescent="0.25">
      <c r="D308" s="552">
        <v>2873</v>
      </c>
    </row>
    <row r="309" spans="4:4" x14ac:dyDescent="0.25">
      <c r="D309" s="552">
        <v>2874</v>
      </c>
    </row>
    <row r="310" spans="4:4" x14ac:dyDescent="0.25">
      <c r="D310" s="552">
        <v>2875</v>
      </c>
    </row>
    <row r="311" spans="4:4" x14ac:dyDescent="0.25">
      <c r="D311" s="552">
        <v>2876</v>
      </c>
    </row>
    <row r="312" spans="4:4" x14ac:dyDescent="0.25">
      <c r="D312" s="552">
        <v>2877</v>
      </c>
    </row>
    <row r="313" spans="4:4" x14ac:dyDescent="0.25">
      <c r="D313" s="552">
        <v>2878</v>
      </c>
    </row>
    <row r="314" spans="4:4" x14ac:dyDescent="0.25">
      <c r="D314" s="552">
        <v>2879</v>
      </c>
    </row>
    <row r="315" spans="4:4" x14ac:dyDescent="0.25">
      <c r="D315" s="552">
        <v>2880</v>
      </c>
    </row>
    <row r="316" spans="4:4" x14ac:dyDescent="0.25">
      <c r="D316" s="552">
        <v>2881</v>
      </c>
    </row>
    <row r="317" spans="4:4" x14ac:dyDescent="0.25">
      <c r="D317" s="552">
        <v>2882</v>
      </c>
    </row>
    <row r="318" spans="4:4" x14ac:dyDescent="0.25">
      <c r="D318" s="552">
        <v>2883</v>
      </c>
    </row>
    <row r="319" spans="4:4" x14ac:dyDescent="0.25">
      <c r="D319" s="552">
        <v>2884</v>
      </c>
    </row>
    <row r="320" spans="4:4" x14ac:dyDescent="0.25">
      <c r="D320" s="552">
        <v>2885</v>
      </c>
    </row>
    <row r="321" spans="4:4" x14ac:dyDescent="0.25">
      <c r="D321" s="552">
        <v>2886</v>
      </c>
    </row>
    <row r="322" spans="4:4" x14ac:dyDescent="0.25">
      <c r="D322" s="552">
        <v>2887</v>
      </c>
    </row>
    <row r="323" spans="4:4" x14ac:dyDescent="0.25">
      <c r="D323" s="552">
        <v>2888</v>
      </c>
    </row>
    <row r="324" spans="4:4" x14ac:dyDescent="0.25">
      <c r="D324" s="552">
        <v>2889</v>
      </c>
    </row>
    <row r="325" spans="4:4" x14ac:dyDescent="0.25">
      <c r="D325" s="552">
        <v>2890</v>
      </c>
    </row>
    <row r="326" spans="4:4" x14ac:dyDescent="0.25">
      <c r="D326" s="552">
        <v>2891</v>
      </c>
    </row>
    <row r="327" spans="4:4" x14ac:dyDescent="0.25">
      <c r="D327" s="552">
        <v>2892</v>
      </c>
    </row>
    <row r="328" spans="4:4" x14ac:dyDescent="0.25">
      <c r="D328" s="552">
        <v>2893</v>
      </c>
    </row>
    <row r="329" spans="4:4" x14ac:dyDescent="0.25">
      <c r="D329" s="552">
        <v>2894</v>
      </c>
    </row>
    <row r="330" spans="4:4" x14ac:dyDescent="0.25">
      <c r="D330" s="552">
        <v>2895</v>
      </c>
    </row>
    <row r="331" spans="4:4" x14ac:dyDescent="0.25">
      <c r="D331" s="552">
        <v>2896</v>
      </c>
    </row>
    <row r="332" spans="4:4" x14ac:dyDescent="0.25">
      <c r="D332" s="552">
        <v>2897</v>
      </c>
    </row>
    <row r="333" spans="4:4" x14ac:dyDescent="0.25">
      <c r="D333" s="552">
        <v>2898</v>
      </c>
    </row>
    <row r="334" spans="4:4" x14ac:dyDescent="0.25">
      <c r="D334" s="552">
        <v>2899</v>
      </c>
    </row>
    <row r="335" spans="4:4" x14ac:dyDescent="0.25">
      <c r="D335" s="552">
        <v>2900</v>
      </c>
    </row>
    <row r="336" spans="4:4" x14ac:dyDescent="0.25">
      <c r="D336" s="552">
        <v>2901</v>
      </c>
    </row>
    <row r="337" spans="4:4" x14ac:dyDescent="0.25">
      <c r="D337" s="552">
        <v>2902</v>
      </c>
    </row>
    <row r="338" spans="4:4" x14ac:dyDescent="0.25">
      <c r="D338" s="552">
        <v>2903</v>
      </c>
    </row>
    <row r="339" spans="4:4" x14ac:dyDescent="0.25">
      <c r="D339" s="552">
        <v>2904</v>
      </c>
    </row>
    <row r="340" spans="4:4" x14ac:dyDescent="0.25">
      <c r="D340" s="552">
        <v>2905</v>
      </c>
    </row>
    <row r="341" spans="4:4" x14ac:dyDescent="0.25">
      <c r="D341" s="552">
        <v>2906</v>
      </c>
    </row>
    <row r="342" spans="4:4" x14ac:dyDescent="0.25">
      <c r="D342" s="552">
        <v>2907</v>
      </c>
    </row>
    <row r="343" spans="4:4" x14ac:dyDescent="0.25">
      <c r="D343" s="552">
        <v>2908</v>
      </c>
    </row>
    <row r="344" spans="4:4" x14ac:dyDescent="0.25">
      <c r="D344" s="552">
        <v>2909</v>
      </c>
    </row>
    <row r="345" spans="4:4" x14ac:dyDescent="0.25">
      <c r="D345" s="552">
        <v>2910</v>
      </c>
    </row>
    <row r="346" spans="4:4" x14ac:dyDescent="0.25">
      <c r="D346" s="552">
        <v>2911</v>
      </c>
    </row>
    <row r="347" spans="4:4" x14ac:dyDescent="0.25">
      <c r="D347" s="552">
        <v>2912</v>
      </c>
    </row>
    <row r="348" spans="4:4" x14ac:dyDescent="0.25">
      <c r="D348" s="552">
        <v>2913</v>
      </c>
    </row>
    <row r="349" spans="4:4" x14ac:dyDescent="0.25">
      <c r="D349" s="552">
        <v>2914</v>
      </c>
    </row>
    <row r="350" spans="4:4" x14ac:dyDescent="0.25">
      <c r="D350" s="552">
        <v>2915</v>
      </c>
    </row>
    <row r="351" spans="4:4" x14ac:dyDescent="0.25">
      <c r="D351" s="552">
        <v>2916</v>
      </c>
    </row>
    <row r="352" spans="4:4" x14ac:dyDescent="0.25">
      <c r="D352" s="552">
        <v>2917</v>
      </c>
    </row>
    <row r="353" spans="4:4" x14ac:dyDescent="0.25">
      <c r="D353" s="552">
        <v>2918</v>
      </c>
    </row>
    <row r="354" spans="4:4" x14ac:dyDescent="0.25">
      <c r="D354" s="552">
        <v>2919</v>
      </c>
    </row>
    <row r="355" spans="4:4" x14ac:dyDescent="0.25">
      <c r="D355" s="552">
        <v>2920</v>
      </c>
    </row>
    <row r="356" spans="4:4" x14ac:dyDescent="0.25">
      <c r="D356" s="552">
        <v>2921</v>
      </c>
    </row>
    <row r="357" spans="4:4" x14ac:dyDescent="0.25">
      <c r="D357" s="552">
        <v>2922</v>
      </c>
    </row>
    <row r="358" spans="4:4" x14ac:dyDescent="0.25">
      <c r="D358" s="552">
        <v>2923</v>
      </c>
    </row>
    <row r="359" spans="4:4" x14ac:dyDescent="0.25">
      <c r="D359" s="552">
        <v>2924</v>
      </c>
    </row>
    <row r="360" spans="4:4" x14ac:dyDescent="0.25">
      <c r="D360" s="552">
        <v>2925</v>
      </c>
    </row>
    <row r="361" spans="4:4" x14ac:dyDescent="0.25">
      <c r="D361" s="552">
        <v>2926</v>
      </c>
    </row>
    <row r="362" spans="4:4" x14ac:dyDescent="0.25">
      <c r="D362" s="552">
        <v>2927</v>
      </c>
    </row>
    <row r="363" spans="4:4" x14ac:dyDescent="0.25">
      <c r="D363" s="552">
        <v>2928</v>
      </c>
    </row>
    <row r="364" spans="4:4" x14ac:dyDescent="0.25">
      <c r="D364" s="552">
        <v>2929</v>
      </c>
    </row>
    <row r="365" spans="4:4" x14ac:dyDescent="0.25">
      <c r="D365" s="552">
        <v>2930</v>
      </c>
    </row>
    <row r="366" spans="4:4" x14ac:dyDescent="0.25">
      <c r="D366" s="552">
        <v>2931</v>
      </c>
    </row>
    <row r="367" spans="4:4" x14ac:dyDescent="0.25">
      <c r="D367" s="552">
        <v>2932</v>
      </c>
    </row>
    <row r="368" spans="4:4" x14ac:dyDescent="0.25">
      <c r="D368" s="552">
        <v>2933</v>
      </c>
    </row>
    <row r="369" spans="4:4" x14ac:dyDescent="0.25">
      <c r="D369" s="552">
        <v>2934</v>
      </c>
    </row>
    <row r="370" spans="4:4" x14ac:dyDescent="0.25">
      <c r="D370" s="552">
        <v>2935</v>
      </c>
    </row>
    <row r="371" spans="4:4" x14ac:dyDescent="0.25">
      <c r="D371" s="552">
        <v>2936</v>
      </c>
    </row>
    <row r="372" spans="4:4" x14ac:dyDescent="0.25">
      <c r="D372" s="552">
        <v>2937</v>
      </c>
    </row>
    <row r="373" spans="4:4" x14ac:dyDescent="0.25">
      <c r="D373" s="552">
        <v>2938</v>
      </c>
    </row>
    <row r="374" spans="4:4" x14ac:dyDescent="0.25">
      <c r="D374" s="552">
        <v>2939</v>
      </c>
    </row>
    <row r="375" spans="4:4" x14ac:dyDescent="0.25">
      <c r="D375" s="552">
        <v>2940</v>
      </c>
    </row>
    <row r="376" spans="4:4" x14ac:dyDescent="0.25">
      <c r="D376" s="552">
        <v>2941</v>
      </c>
    </row>
    <row r="377" spans="4:4" x14ac:dyDescent="0.25">
      <c r="D377" s="552">
        <v>2942</v>
      </c>
    </row>
    <row r="378" spans="4:4" x14ac:dyDescent="0.25">
      <c r="D378" s="552">
        <v>2943</v>
      </c>
    </row>
    <row r="379" spans="4:4" x14ac:dyDescent="0.25">
      <c r="D379" s="552">
        <v>2944</v>
      </c>
    </row>
    <row r="380" spans="4:4" x14ac:dyDescent="0.25">
      <c r="D380" s="552">
        <v>2945</v>
      </c>
    </row>
    <row r="381" spans="4:4" x14ac:dyDescent="0.25">
      <c r="D381" s="552">
        <v>2946</v>
      </c>
    </row>
    <row r="382" spans="4:4" x14ac:dyDescent="0.25">
      <c r="D382" s="552">
        <v>2947</v>
      </c>
    </row>
    <row r="383" spans="4:4" x14ac:dyDescent="0.25">
      <c r="D383" s="552">
        <v>2948</v>
      </c>
    </row>
    <row r="384" spans="4:4" x14ac:dyDescent="0.25">
      <c r="D384" s="552">
        <v>2949</v>
      </c>
    </row>
    <row r="385" spans="4:4" x14ac:dyDescent="0.25">
      <c r="D385" s="552">
        <v>2950</v>
      </c>
    </row>
    <row r="386" spans="4:4" x14ac:dyDescent="0.25">
      <c r="D386" s="552">
        <v>2951</v>
      </c>
    </row>
    <row r="387" spans="4:4" x14ac:dyDescent="0.25">
      <c r="D387" s="552">
        <v>2952</v>
      </c>
    </row>
    <row r="388" spans="4:4" x14ac:dyDescent="0.25">
      <c r="D388" s="552">
        <v>2953</v>
      </c>
    </row>
    <row r="389" spans="4:4" x14ac:dyDescent="0.25">
      <c r="D389" s="552">
        <v>2954</v>
      </c>
    </row>
    <row r="390" spans="4:4" x14ac:dyDescent="0.25">
      <c r="D390" s="552">
        <v>2955</v>
      </c>
    </row>
    <row r="391" spans="4:4" x14ac:dyDescent="0.25">
      <c r="D391" s="552">
        <v>2956</v>
      </c>
    </row>
    <row r="392" spans="4:4" x14ac:dyDescent="0.25">
      <c r="D392" s="552">
        <v>2957</v>
      </c>
    </row>
    <row r="393" spans="4:4" x14ac:dyDescent="0.25">
      <c r="D393" s="552">
        <v>2958</v>
      </c>
    </row>
    <row r="394" spans="4:4" x14ac:dyDescent="0.25">
      <c r="D394" s="552">
        <v>2959</v>
      </c>
    </row>
    <row r="395" spans="4:4" x14ac:dyDescent="0.25">
      <c r="D395" s="552">
        <v>2960</v>
      </c>
    </row>
    <row r="396" spans="4:4" x14ac:dyDescent="0.25">
      <c r="D396" s="552">
        <v>2961</v>
      </c>
    </row>
    <row r="397" spans="4:4" x14ac:dyDescent="0.25">
      <c r="D397" s="552">
        <v>2962</v>
      </c>
    </row>
    <row r="398" spans="4:4" x14ac:dyDescent="0.25">
      <c r="D398" s="552">
        <v>2963</v>
      </c>
    </row>
    <row r="399" spans="4:4" x14ac:dyDescent="0.25">
      <c r="D399" s="552">
        <v>2964</v>
      </c>
    </row>
    <row r="400" spans="4:4" x14ac:dyDescent="0.25">
      <c r="D400" s="552">
        <v>2965</v>
      </c>
    </row>
    <row r="401" spans="4:4" x14ac:dyDescent="0.25">
      <c r="D401" s="552">
        <v>2966</v>
      </c>
    </row>
    <row r="402" spans="4:4" x14ac:dyDescent="0.25">
      <c r="D402" s="552">
        <v>2967</v>
      </c>
    </row>
    <row r="403" spans="4:4" x14ac:dyDescent="0.25">
      <c r="D403" s="552">
        <v>2968</v>
      </c>
    </row>
    <row r="404" spans="4:4" x14ac:dyDescent="0.25">
      <c r="D404" s="552">
        <v>2969</v>
      </c>
    </row>
    <row r="405" spans="4:4" x14ac:dyDescent="0.25">
      <c r="D405" s="552">
        <v>2970</v>
      </c>
    </row>
    <row r="406" spans="4:4" x14ac:dyDescent="0.25">
      <c r="D406" s="552">
        <v>2971</v>
      </c>
    </row>
    <row r="407" spans="4:4" x14ac:dyDescent="0.25">
      <c r="D407" s="552">
        <v>2972</v>
      </c>
    </row>
    <row r="408" spans="4:4" x14ac:dyDescent="0.25">
      <c r="D408" s="552">
        <v>2973</v>
      </c>
    </row>
    <row r="409" spans="4:4" x14ac:dyDescent="0.25">
      <c r="D409" s="552">
        <v>2974</v>
      </c>
    </row>
    <row r="410" spans="4:4" x14ac:dyDescent="0.25">
      <c r="D410" s="552">
        <v>2975</v>
      </c>
    </row>
    <row r="411" spans="4:4" x14ac:dyDescent="0.25">
      <c r="D411" s="552">
        <v>2976</v>
      </c>
    </row>
    <row r="412" spans="4:4" x14ac:dyDescent="0.25">
      <c r="D412" s="552">
        <v>2977</v>
      </c>
    </row>
    <row r="413" spans="4:4" x14ac:dyDescent="0.25">
      <c r="D413" s="552">
        <v>2978</v>
      </c>
    </row>
    <row r="414" spans="4:4" x14ac:dyDescent="0.25">
      <c r="D414" s="552">
        <v>2979</v>
      </c>
    </row>
    <row r="415" spans="4:4" x14ac:dyDescent="0.25">
      <c r="D415" s="552">
        <v>2980</v>
      </c>
    </row>
    <row r="416" spans="4:4" x14ac:dyDescent="0.25">
      <c r="D416" s="552">
        <v>2981</v>
      </c>
    </row>
    <row r="417" spans="4:4" x14ac:dyDescent="0.25">
      <c r="D417" s="552">
        <v>2982</v>
      </c>
    </row>
    <row r="418" spans="4:4" x14ac:dyDescent="0.25">
      <c r="D418" s="552">
        <v>2983</v>
      </c>
    </row>
    <row r="419" spans="4:4" x14ac:dyDescent="0.25">
      <c r="D419" s="552">
        <v>2984</v>
      </c>
    </row>
    <row r="420" spans="4:4" x14ac:dyDescent="0.25">
      <c r="D420" s="552">
        <v>2985</v>
      </c>
    </row>
    <row r="421" spans="4:4" x14ac:dyDescent="0.25">
      <c r="D421" s="552">
        <v>2986</v>
      </c>
    </row>
    <row r="422" spans="4:4" x14ac:dyDescent="0.25">
      <c r="D422" s="552">
        <v>2987</v>
      </c>
    </row>
    <row r="423" spans="4:4" x14ac:dyDescent="0.25">
      <c r="D423" s="552">
        <v>2988</v>
      </c>
    </row>
    <row r="424" spans="4:4" x14ac:dyDescent="0.25">
      <c r="D424" s="552">
        <v>2989</v>
      </c>
    </row>
    <row r="425" spans="4:4" x14ac:dyDescent="0.25">
      <c r="D425" s="552">
        <v>2990</v>
      </c>
    </row>
    <row r="426" spans="4:4" x14ac:dyDescent="0.25">
      <c r="D426" s="552">
        <v>2991</v>
      </c>
    </row>
    <row r="427" spans="4:4" x14ac:dyDescent="0.25">
      <c r="D427" s="552">
        <v>2992</v>
      </c>
    </row>
    <row r="428" spans="4:4" x14ac:dyDescent="0.25">
      <c r="D428" s="552">
        <v>2993</v>
      </c>
    </row>
    <row r="429" spans="4:4" x14ac:dyDescent="0.25">
      <c r="D429" s="552">
        <v>2994</v>
      </c>
    </row>
    <row r="430" spans="4:4" x14ac:dyDescent="0.25">
      <c r="D430" s="552">
        <v>2995</v>
      </c>
    </row>
    <row r="431" spans="4:4" x14ac:dyDescent="0.25">
      <c r="D431" s="552">
        <v>2996</v>
      </c>
    </row>
    <row r="432" spans="4:4" x14ac:dyDescent="0.25">
      <c r="D432" s="552">
        <v>2997</v>
      </c>
    </row>
    <row r="433" spans="4:4" x14ac:dyDescent="0.25">
      <c r="D433" s="552">
        <v>2998</v>
      </c>
    </row>
    <row r="434" spans="4:4" x14ac:dyDescent="0.25">
      <c r="D434" s="552">
        <v>2999</v>
      </c>
    </row>
    <row r="435" spans="4:4" x14ac:dyDescent="0.25">
      <c r="D435" s="552">
        <v>3000</v>
      </c>
    </row>
    <row r="436" spans="4:4" x14ac:dyDescent="0.25">
      <c r="D436" s="552">
        <v>3001</v>
      </c>
    </row>
    <row r="437" spans="4:4" x14ac:dyDescent="0.25">
      <c r="D437" s="552">
        <v>3002</v>
      </c>
    </row>
    <row r="438" spans="4:4" x14ac:dyDescent="0.25">
      <c r="D438" s="552">
        <v>3003</v>
      </c>
    </row>
    <row r="439" spans="4:4" x14ac:dyDescent="0.25">
      <c r="D439" s="552">
        <v>3004</v>
      </c>
    </row>
    <row r="440" spans="4:4" x14ac:dyDescent="0.25">
      <c r="D440" s="552">
        <v>3005</v>
      </c>
    </row>
    <row r="441" spans="4:4" x14ac:dyDescent="0.25">
      <c r="D441" s="552">
        <v>3006</v>
      </c>
    </row>
    <row r="442" spans="4:4" x14ac:dyDescent="0.25">
      <c r="D442" s="552">
        <v>3007</v>
      </c>
    </row>
    <row r="443" spans="4:4" x14ac:dyDescent="0.25">
      <c r="D443" s="552">
        <v>3008</v>
      </c>
    </row>
    <row r="444" spans="4:4" x14ac:dyDescent="0.25">
      <c r="D444" s="552">
        <v>3009</v>
      </c>
    </row>
    <row r="445" spans="4:4" x14ac:dyDescent="0.25">
      <c r="D445" s="552">
        <v>3010</v>
      </c>
    </row>
    <row r="446" spans="4:4" x14ac:dyDescent="0.25">
      <c r="D446" s="552">
        <v>3011</v>
      </c>
    </row>
    <row r="447" spans="4:4" x14ac:dyDescent="0.25">
      <c r="D447" s="552">
        <v>3012</v>
      </c>
    </row>
    <row r="448" spans="4:4" x14ac:dyDescent="0.25">
      <c r="D448" s="552">
        <v>3013</v>
      </c>
    </row>
    <row r="449" spans="4:4" x14ac:dyDescent="0.25">
      <c r="D449" s="552">
        <v>3014</v>
      </c>
    </row>
    <row r="450" spans="4:4" x14ac:dyDescent="0.25">
      <c r="D450" s="552">
        <v>3015</v>
      </c>
    </row>
    <row r="451" spans="4:4" x14ac:dyDescent="0.25">
      <c r="D451" s="552">
        <v>3016</v>
      </c>
    </row>
    <row r="452" spans="4:4" x14ac:dyDescent="0.25">
      <c r="D452" s="552">
        <v>3017</v>
      </c>
    </row>
    <row r="453" spans="4:4" x14ac:dyDescent="0.25">
      <c r="D453" s="552">
        <v>3018</v>
      </c>
    </row>
    <row r="454" spans="4:4" x14ac:dyDescent="0.25">
      <c r="D454" s="552">
        <v>3019</v>
      </c>
    </row>
    <row r="455" spans="4:4" x14ac:dyDescent="0.25">
      <c r="D455" s="552">
        <v>3020</v>
      </c>
    </row>
    <row r="456" spans="4:4" x14ac:dyDescent="0.25">
      <c r="D456" s="552">
        <v>3021</v>
      </c>
    </row>
    <row r="457" spans="4:4" x14ac:dyDescent="0.25">
      <c r="D457" s="552">
        <v>3022</v>
      </c>
    </row>
    <row r="458" spans="4:4" x14ac:dyDescent="0.25">
      <c r="D458" s="552">
        <v>3023</v>
      </c>
    </row>
    <row r="459" spans="4:4" x14ac:dyDescent="0.25">
      <c r="D459" s="552">
        <v>3024</v>
      </c>
    </row>
    <row r="460" spans="4:4" x14ac:dyDescent="0.25">
      <c r="D460" s="552">
        <v>3025</v>
      </c>
    </row>
    <row r="461" spans="4:4" x14ac:dyDescent="0.25">
      <c r="D461" s="552">
        <v>3026</v>
      </c>
    </row>
    <row r="462" spans="4:4" x14ac:dyDescent="0.25">
      <c r="D462" s="552">
        <v>3027</v>
      </c>
    </row>
    <row r="463" spans="4:4" x14ac:dyDescent="0.25">
      <c r="D463" s="552">
        <v>3028</v>
      </c>
    </row>
    <row r="464" spans="4:4" x14ac:dyDescent="0.25">
      <c r="D464" s="552">
        <v>3029</v>
      </c>
    </row>
    <row r="465" spans="4:4" x14ac:dyDescent="0.25">
      <c r="D465" s="552">
        <v>3030</v>
      </c>
    </row>
    <row r="466" spans="4:4" x14ac:dyDescent="0.25">
      <c r="D466" s="552">
        <v>3031</v>
      </c>
    </row>
    <row r="467" spans="4:4" x14ac:dyDescent="0.25">
      <c r="D467" s="552">
        <v>3032</v>
      </c>
    </row>
    <row r="468" spans="4:4" x14ac:dyDescent="0.25">
      <c r="D468" s="552">
        <v>3033</v>
      </c>
    </row>
    <row r="469" spans="4:4" x14ac:dyDescent="0.25">
      <c r="D469" s="552">
        <v>3034</v>
      </c>
    </row>
    <row r="470" spans="4:4" x14ac:dyDescent="0.25">
      <c r="D470" s="552">
        <v>3035</v>
      </c>
    </row>
    <row r="471" spans="4:4" x14ac:dyDescent="0.25">
      <c r="D471" s="552">
        <v>3036</v>
      </c>
    </row>
    <row r="472" spans="4:4" x14ac:dyDescent="0.25">
      <c r="D472" s="552">
        <v>3037</v>
      </c>
    </row>
    <row r="473" spans="4:4" x14ac:dyDescent="0.25">
      <c r="D473" s="552">
        <v>3038</v>
      </c>
    </row>
    <row r="474" spans="4:4" x14ac:dyDescent="0.25">
      <c r="D474" s="552">
        <v>3039</v>
      </c>
    </row>
    <row r="475" spans="4:4" x14ac:dyDescent="0.25">
      <c r="D475" s="552">
        <v>3040</v>
      </c>
    </row>
    <row r="476" spans="4:4" x14ac:dyDescent="0.25">
      <c r="D476" s="552">
        <v>3041</v>
      </c>
    </row>
    <row r="477" spans="4:4" x14ac:dyDescent="0.25">
      <c r="D477" s="552">
        <v>3042</v>
      </c>
    </row>
    <row r="478" spans="4:4" x14ac:dyDescent="0.25">
      <c r="D478" s="552">
        <v>3043</v>
      </c>
    </row>
    <row r="479" spans="4:4" x14ac:dyDescent="0.25">
      <c r="D479" s="552">
        <v>3044</v>
      </c>
    </row>
    <row r="480" spans="4:4" x14ac:dyDescent="0.25">
      <c r="D480" s="552">
        <v>3045</v>
      </c>
    </row>
    <row r="481" spans="4:4" x14ac:dyDescent="0.25">
      <c r="D481" s="552">
        <v>3046</v>
      </c>
    </row>
    <row r="482" spans="4:4" x14ac:dyDescent="0.25">
      <c r="D482" s="552">
        <v>3047</v>
      </c>
    </row>
    <row r="483" spans="4:4" x14ac:dyDescent="0.25">
      <c r="D483" s="552">
        <v>3048</v>
      </c>
    </row>
    <row r="484" spans="4:4" x14ac:dyDescent="0.25">
      <c r="D484" s="552">
        <v>3049</v>
      </c>
    </row>
    <row r="485" spans="4:4" x14ac:dyDescent="0.25">
      <c r="D485" s="552">
        <v>3050</v>
      </c>
    </row>
    <row r="486" spans="4:4" x14ac:dyDescent="0.25">
      <c r="D486" s="552">
        <v>3051</v>
      </c>
    </row>
    <row r="487" spans="4:4" x14ac:dyDescent="0.25">
      <c r="D487" s="552">
        <v>3052</v>
      </c>
    </row>
    <row r="488" spans="4:4" x14ac:dyDescent="0.25">
      <c r="D488" s="552">
        <v>3053</v>
      </c>
    </row>
    <row r="489" spans="4:4" x14ac:dyDescent="0.25">
      <c r="D489" s="552">
        <v>3054</v>
      </c>
    </row>
    <row r="490" spans="4:4" x14ac:dyDescent="0.25">
      <c r="D490" s="552">
        <v>3055</v>
      </c>
    </row>
    <row r="491" spans="4:4" x14ac:dyDescent="0.25">
      <c r="D491" s="552">
        <v>3056</v>
      </c>
    </row>
    <row r="492" spans="4:4" x14ac:dyDescent="0.25">
      <c r="D492" s="552">
        <v>3057</v>
      </c>
    </row>
    <row r="493" spans="4:4" x14ac:dyDescent="0.25">
      <c r="D493" s="552">
        <v>3058</v>
      </c>
    </row>
    <row r="494" spans="4:4" x14ac:dyDescent="0.25">
      <c r="D494" s="552">
        <v>3059</v>
      </c>
    </row>
    <row r="495" spans="4:4" x14ac:dyDescent="0.25">
      <c r="D495" s="552">
        <v>3060</v>
      </c>
    </row>
    <row r="496" spans="4:4" x14ac:dyDescent="0.25">
      <c r="D496" s="552">
        <v>3061</v>
      </c>
    </row>
    <row r="497" spans="4:4" x14ac:dyDescent="0.25">
      <c r="D497" s="552">
        <v>3062</v>
      </c>
    </row>
    <row r="498" spans="4:4" x14ac:dyDescent="0.25">
      <c r="D498" s="552">
        <v>3063</v>
      </c>
    </row>
    <row r="499" spans="4:4" x14ac:dyDescent="0.25">
      <c r="D499" s="552">
        <v>3064</v>
      </c>
    </row>
    <row r="500" spans="4:4" x14ac:dyDescent="0.25">
      <c r="D500" s="552">
        <v>3065</v>
      </c>
    </row>
    <row r="501" spans="4:4" x14ac:dyDescent="0.25">
      <c r="D501" s="552">
        <v>3066</v>
      </c>
    </row>
    <row r="502" spans="4:4" x14ac:dyDescent="0.25">
      <c r="D502" s="552">
        <v>3067</v>
      </c>
    </row>
    <row r="503" spans="4:4" x14ac:dyDescent="0.25">
      <c r="D503" s="552">
        <v>3068</v>
      </c>
    </row>
    <row r="504" spans="4:4" x14ac:dyDescent="0.25">
      <c r="D504" s="552">
        <v>3069</v>
      </c>
    </row>
    <row r="505" spans="4:4" x14ac:dyDescent="0.25">
      <c r="D505" s="552">
        <v>3070</v>
      </c>
    </row>
    <row r="506" spans="4:4" x14ac:dyDescent="0.25">
      <c r="D506" s="552">
        <v>3071</v>
      </c>
    </row>
    <row r="507" spans="4:4" x14ac:dyDescent="0.25">
      <c r="D507" s="552">
        <v>3072</v>
      </c>
    </row>
    <row r="508" spans="4:4" x14ac:dyDescent="0.25">
      <c r="D508" s="552">
        <v>3073</v>
      </c>
    </row>
    <row r="509" spans="4:4" x14ac:dyDescent="0.25">
      <c r="D509" s="552">
        <v>3074</v>
      </c>
    </row>
    <row r="510" spans="4:4" x14ac:dyDescent="0.25">
      <c r="D510" s="552">
        <v>3075</v>
      </c>
    </row>
    <row r="511" spans="4:4" x14ac:dyDescent="0.25">
      <c r="D511" s="552">
        <v>3076</v>
      </c>
    </row>
    <row r="512" spans="4:4" x14ac:dyDescent="0.25">
      <c r="D512" s="552">
        <v>3077</v>
      </c>
    </row>
    <row r="513" spans="4:4" x14ac:dyDescent="0.25">
      <c r="D513" s="552">
        <v>3078</v>
      </c>
    </row>
    <row r="514" spans="4:4" x14ac:dyDescent="0.25">
      <c r="D514" s="552">
        <v>3079</v>
      </c>
    </row>
    <row r="515" spans="4:4" x14ac:dyDescent="0.25">
      <c r="D515" s="552">
        <v>3080</v>
      </c>
    </row>
    <row r="516" spans="4:4" x14ac:dyDescent="0.25">
      <c r="D516" s="552">
        <v>3081</v>
      </c>
    </row>
    <row r="517" spans="4:4" x14ac:dyDescent="0.25">
      <c r="D517" s="552">
        <v>3082</v>
      </c>
    </row>
    <row r="518" spans="4:4" x14ac:dyDescent="0.25">
      <c r="D518" s="552">
        <v>3083</v>
      </c>
    </row>
    <row r="519" spans="4:4" x14ac:dyDescent="0.25">
      <c r="D519" s="552">
        <v>3084</v>
      </c>
    </row>
    <row r="520" spans="4:4" x14ac:dyDescent="0.25">
      <c r="D520" s="552">
        <v>3085</v>
      </c>
    </row>
    <row r="521" spans="4:4" x14ac:dyDescent="0.25">
      <c r="D521" s="552">
        <v>3086</v>
      </c>
    </row>
    <row r="522" spans="4:4" x14ac:dyDescent="0.25">
      <c r="D522" s="552">
        <v>3087</v>
      </c>
    </row>
    <row r="523" spans="4:4" x14ac:dyDescent="0.25">
      <c r="D523" s="552">
        <v>3088</v>
      </c>
    </row>
    <row r="524" spans="4:4" x14ac:dyDescent="0.25">
      <c r="D524" s="552">
        <v>3089</v>
      </c>
    </row>
    <row r="525" spans="4:4" x14ac:dyDescent="0.25">
      <c r="D525" s="552">
        <v>3090</v>
      </c>
    </row>
    <row r="526" spans="4:4" x14ac:dyDescent="0.25">
      <c r="D526" s="552">
        <v>3091</v>
      </c>
    </row>
    <row r="527" spans="4:4" x14ac:dyDescent="0.25">
      <c r="D527" s="552">
        <v>3092</v>
      </c>
    </row>
    <row r="528" spans="4:4" x14ac:dyDescent="0.25">
      <c r="D528" s="552">
        <v>3093</v>
      </c>
    </row>
    <row r="529" spans="4:4" x14ac:dyDescent="0.25">
      <c r="D529" s="552">
        <v>3094</v>
      </c>
    </row>
    <row r="530" spans="4:4" x14ac:dyDescent="0.25">
      <c r="D530" s="552">
        <v>3095</v>
      </c>
    </row>
    <row r="531" spans="4:4" x14ac:dyDescent="0.25">
      <c r="D531" s="552">
        <v>3096</v>
      </c>
    </row>
    <row r="532" spans="4:4" x14ac:dyDescent="0.25">
      <c r="D532" s="552">
        <v>3097</v>
      </c>
    </row>
    <row r="533" spans="4:4" x14ac:dyDescent="0.25">
      <c r="D533" s="552">
        <v>3098</v>
      </c>
    </row>
    <row r="534" spans="4:4" x14ac:dyDescent="0.25">
      <c r="D534" s="552">
        <v>3099</v>
      </c>
    </row>
    <row r="535" spans="4:4" x14ac:dyDescent="0.25">
      <c r="D535" s="552">
        <v>3100</v>
      </c>
    </row>
    <row r="536" spans="4:4" x14ac:dyDescent="0.25">
      <c r="D536" s="552">
        <v>3101</v>
      </c>
    </row>
    <row r="537" spans="4:4" x14ac:dyDescent="0.25">
      <c r="D537" s="552">
        <v>3102</v>
      </c>
    </row>
    <row r="538" spans="4:4" x14ac:dyDescent="0.25">
      <c r="D538" s="552">
        <v>3103</v>
      </c>
    </row>
    <row r="539" spans="4:4" x14ac:dyDescent="0.25">
      <c r="D539" s="552">
        <v>3104</v>
      </c>
    </row>
    <row r="540" spans="4:4" x14ac:dyDescent="0.25">
      <c r="D540" s="552">
        <v>3105</v>
      </c>
    </row>
    <row r="541" spans="4:4" x14ac:dyDescent="0.25">
      <c r="D541" s="552">
        <v>3106</v>
      </c>
    </row>
    <row r="542" spans="4:4" x14ac:dyDescent="0.25">
      <c r="D542" s="552">
        <v>3107</v>
      </c>
    </row>
    <row r="543" spans="4:4" x14ac:dyDescent="0.25">
      <c r="D543" s="552">
        <v>3108</v>
      </c>
    </row>
    <row r="544" spans="4:4" x14ac:dyDescent="0.25">
      <c r="D544" s="552">
        <v>3109</v>
      </c>
    </row>
    <row r="545" spans="4:4" x14ac:dyDescent="0.25">
      <c r="D545" s="552">
        <v>3110</v>
      </c>
    </row>
    <row r="546" spans="4:4" x14ac:dyDescent="0.25">
      <c r="D546" s="552">
        <v>3111</v>
      </c>
    </row>
    <row r="547" spans="4:4" x14ac:dyDescent="0.25">
      <c r="D547" s="552">
        <v>3112</v>
      </c>
    </row>
    <row r="548" spans="4:4" x14ac:dyDescent="0.25">
      <c r="D548" s="552">
        <v>3113</v>
      </c>
    </row>
    <row r="549" spans="4:4" x14ac:dyDescent="0.25">
      <c r="D549" s="552">
        <v>3114</v>
      </c>
    </row>
    <row r="550" spans="4:4" x14ac:dyDescent="0.25">
      <c r="D550" s="552">
        <v>3115</v>
      </c>
    </row>
    <row r="551" spans="4:4" x14ac:dyDescent="0.25">
      <c r="D551" s="552">
        <v>3116</v>
      </c>
    </row>
    <row r="552" spans="4:4" x14ac:dyDescent="0.25">
      <c r="D552" s="552">
        <v>3117</v>
      </c>
    </row>
    <row r="553" spans="4:4" x14ac:dyDescent="0.25">
      <c r="D553" s="552">
        <v>3118</v>
      </c>
    </row>
    <row r="554" spans="4:4" x14ac:dyDescent="0.25">
      <c r="D554" s="552">
        <v>3119</v>
      </c>
    </row>
    <row r="555" spans="4:4" x14ac:dyDescent="0.25">
      <c r="D555" s="552">
        <v>3120</v>
      </c>
    </row>
    <row r="556" spans="4:4" x14ac:dyDescent="0.25">
      <c r="D556" s="552">
        <v>3121</v>
      </c>
    </row>
    <row r="557" spans="4:4" x14ac:dyDescent="0.25">
      <c r="D557" s="552">
        <v>3122</v>
      </c>
    </row>
    <row r="558" spans="4:4" x14ac:dyDescent="0.25">
      <c r="D558" s="552">
        <v>3123</v>
      </c>
    </row>
    <row r="559" spans="4:4" x14ac:dyDescent="0.25">
      <c r="D559" s="552">
        <v>3124</v>
      </c>
    </row>
    <row r="560" spans="4:4" x14ac:dyDescent="0.25">
      <c r="D560" s="552">
        <v>3125</v>
      </c>
    </row>
    <row r="561" spans="4:4" x14ac:dyDescent="0.25">
      <c r="D561" s="552">
        <v>3126</v>
      </c>
    </row>
    <row r="562" spans="4:4" x14ac:dyDescent="0.25">
      <c r="D562" s="552">
        <v>3127</v>
      </c>
    </row>
    <row r="563" spans="4:4" x14ac:dyDescent="0.25">
      <c r="D563" s="552">
        <v>3128</v>
      </c>
    </row>
    <row r="564" spans="4:4" x14ac:dyDescent="0.25">
      <c r="D564" s="552">
        <v>3129</v>
      </c>
    </row>
    <row r="565" spans="4:4" x14ac:dyDescent="0.25">
      <c r="D565" s="552">
        <v>3130</v>
      </c>
    </row>
    <row r="566" spans="4:4" x14ac:dyDescent="0.25">
      <c r="D566" s="552">
        <v>3131</v>
      </c>
    </row>
    <row r="567" spans="4:4" x14ac:dyDescent="0.25">
      <c r="D567" s="552">
        <v>3132</v>
      </c>
    </row>
    <row r="568" spans="4:4" x14ac:dyDescent="0.25">
      <c r="D568" s="552">
        <v>3133</v>
      </c>
    </row>
    <row r="569" spans="4:4" x14ac:dyDescent="0.25">
      <c r="D569" s="552">
        <v>3134</v>
      </c>
    </row>
    <row r="570" spans="4:4" x14ac:dyDescent="0.25">
      <c r="D570" s="552">
        <v>3135</v>
      </c>
    </row>
    <row r="571" spans="4:4" x14ac:dyDescent="0.25">
      <c r="D571" s="552">
        <v>3136</v>
      </c>
    </row>
    <row r="572" spans="4:4" x14ac:dyDescent="0.25">
      <c r="D572" s="552">
        <v>3137</v>
      </c>
    </row>
    <row r="573" spans="4:4" x14ac:dyDescent="0.25">
      <c r="D573" s="552">
        <v>3138</v>
      </c>
    </row>
    <row r="574" spans="4:4" x14ac:dyDescent="0.25">
      <c r="D574" s="552">
        <v>3139</v>
      </c>
    </row>
    <row r="575" spans="4:4" x14ac:dyDescent="0.25">
      <c r="D575" s="552">
        <v>3140</v>
      </c>
    </row>
    <row r="576" spans="4:4" x14ac:dyDescent="0.25">
      <c r="D576" s="552">
        <v>3141</v>
      </c>
    </row>
    <row r="577" spans="4:4" x14ac:dyDescent="0.25">
      <c r="D577" s="552">
        <v>3142</v>
      </c>
    </row>
    <row r="578" spans="4:4" x14ac:dyDescent="0.25">
      <c r="D578" s="552">
        <v>3143</v>
      </c>
    </row>
    <row r="579" spans="4:4" x14ac:dyDescent="0.25">
      <c r="D579" s="552">
        <v>3144</v>
      </c>
    </row>
    <row r="580" spans="4:4" x14ac:dyDescent="0.25">
      <c r="D580" s="552">
        <v>3145</v>
      </c>
    </row>
    <row r="581" spans="4:4" x14ac:dyDescent="0.25">
      <c r="D581" s="552">
        <v>3146</v>
      </c>
    </row>
    <row r="582" spans="4:4" x14ac:dyDescent="0.25">
      <c r="D582" s="552">
        <v>3147</v>
      </c>
    </row>
    <row r="583" spans="4:4" x14ac:dyDescent="0.25">
      <c r="D583" s="552">
        <v>3148</v>
      </c>
    </row>
    <row r="584" spans="4:4" x14ac:dyDescent="0.25">
      <c r="D584" s="552">
        <v>3149</v>
      </c>
    </row>
    <row r="585" spans="4:4" x14ac:dyDescent="0.25">
      <c r="D585" s="552">
        <v>3150</v>
      </c>
    </row>
    <row r="586" spans="4:4" x14ac:dyDescent="0.25">
      <c r="D586" s="552">
        <v>3151</v>
      </c>
    </row>
    <row r="587" spans="4:4" x14ac:dyDescent="0.25">
      <c r="D587" s="552">
        <v>3152</v>
      </c>
    </row>
    <row r="588" spans="4:4" x14ac:dyDescent="0.25">
      <c r="D588" s="552">
        <v>3153</v>
      </c>
    </row>
    <row r="589" spans="4:4" x14ac:dyDescent="0.25">
      <c r="D589" s="552">
        <v>3154</v>
      </c>
    </row>
    <row r="590" spans="4:4" x14ac:dyDescent="0.25">
      <c r="D590" s="552">
        <v>3155</v>
      </c>
    </row>
    <row r="591" spans="4:4" x14ac:dyDescent="0.25">
      <c r="D591" s="552">
        <v>3156</v>
      </c>
    </row>
    <row r="592" spans="4:4" x14ac:dyDescent="0.25">
      <c r="D592" s="552">
        <v>3157</v>
      </c>
    </row>
    <row r="593" spans="4:4" x14ac:dyDescent="0.25">
      <c r="D593" s="552">
        <v>3158</v>
      </c>
    </row>
    <row r="594" spans="4:4" x14ac:dyDescent="0.25">
      <c r="D594" s="552">
        <v>3159</v>
      </c>
    </row>
    <row r="595" spans="4:4" x14ac:dyDescent="0.25">
      <c r="D595" s="552">
        <v>3160</v>
      </c>
    </row>
    <row r="596" spans="4:4" x14ac:dyDescent="0.25">
      <c r="D596" s="552">
        <v>3161</v>
      </c>
    </row>
    <row r="597" spans="4:4" x14ac:dyDescent="0.25">
      <c r="D597" s="552">
        <v>3162</v>
      </c>
    </row>
    <row r="598" spans="4:4" x14ac:dyDescent="0.25">
      <c r="D598" s="552">
        <v>3163</v>
      </c>
    </row>
    <row r="599" spans="4:4" x14ac:dyDescent="0.25">
      <c r="D599" s="552">
        <v>3164</v>
      </c>
    </row>
    <row r="600" spans="4:4" x14ac:dyDescent="0.25">
      <c r="D600" s="552">
        <v>3165</v>
      </c>
    </row>
    <row r="601" spans="4:4" x14ac:dyDescent="0.25">
      <c r="D601" s="552">
        <v>3166</v>
      </c>
    </row>
    <row r="602" spans="4:4" x14ac:dyDescent="0.25">
      <c r="D602" s="552">
        <v>3167</v>
      </c>
    </row>
    <row r="603" spans="4:4" x14ac:dyDescent="0.25">
      <c r="D603" s="552">
        <v>3168</v>
      </c>
    </row>
    <row r="604" spans="4:4" x14ac:dyDescent="0.25">
      <c r="D604" s="552">
        <v>3169</v>
      </c>
    </row>
    <row r="605" spans="4:4" x14ac:dyDescent="0.25">
      <c r="D605" s="552">
        <v>3170</v>
      </c>
    </row>
    <row r="606" spans="4:4" x14ac:dyDescent="0.25">
      <c r="D606" s="552">
        <v>3171</v>
      </c>
    </row>
    <row r="607" spans="4:4" x14ac:dyDescent="0.25">
      <c r="D607" s="552">
        <v>3172</v>
      </c>
    </row>
    <row r="608" spans="4:4" x14ac:dyDescent="0.25">
      <c r="D608" s="552">
        <v>3173</v>
      </c>
    </row>
    <row r="609" spans="4:4" x14ac:dyDescent="0.25">
      <c r="D609" s="552">
        <v>3174</v>
      </c>
    </row>
    <row r="610" spans="4:4" x14ac:dyDescent="0.25">
      <c r="D610" s="552">
        <v>3175</v>
      </c>
    </row>
    <row r="611" spans="4:4" x14ac:dyDescent="0.25">
      <c r="D611" s="552">
        <v>3176</v>
      </c>
    </row>
    <row r="612" spans="4:4" x14ac:dyDescent="0.25">
      <c r="D612" s="552">
        <v>3177</v>
      </c>
    </row>
    <row r="613" spans="4:4" x14ac:dyDescent="0.25">
      <c r="D613" s="552">
        <v>3178</v>
      </c>
    </row>
    <row r="614" spans="4:4" x14ac:dyDescent="0.25">
      <c r="D614" s="552">
        <v>3179</v>
      </c>
    </row>
    <row r="615" spans="4:4" x14ac:dyDescent="0.25">
      <c r="D615" s="552">
        <v>3180</v>
      </c>
    </row>
    <row r="616" spans="4:4" x14ac:dyDescent="0.25">
      <c r="D616" s="552">
        <v>3181</v>
      </c>
    </row>
    <row r="617" spans="4:4" x14ac:dyDescent="0.25">
      <c r="D617" s="552">
        <v>3182</v>
      </c>
    </row>
    <row r="618" spans="4:4" x14ac:dyDescent="0.25">
      <c r="D618" s="552">
        <v>3183</v>
      </c>
    </row>
    <row r="619" spans="4:4" x14ac:dyDescent="0.25">
      <c r="D619" s="552">
        <v>3184</v>
      </c>
    </row>
    <row r="620" spans="4:4" x14ac:dyDescent="0.25">
      <c r="D620" s="552">
        <v>3185</v>
      </c>
    </row>
    <row r="621" spans="4:4" x14ac:dyDescent="0.25">
      <c r="D621" s="552">
        <v>3186</v>
      </c>
    </row>
    <row r="622" spans="4:4" x14ac:dyDescent="0.25">
      <c r="D622" s="552">
        <v>3187</v>
      </c>
    </row>
    <row r="623" spans="4:4" x14ac:dyDescent="0.25">
      <c r="D623" s="552">
        <v>3188</v>
      </c>
    </row>
    <row r="624" spans="4:4" x14ac:dyDescent="0.25">
      <c r="D624" s="552">
        <v>3189</v>
      </c>
    </row>
    <row r="625" spans="4:4" x14ac:dyDescent="0.25">
      <c r="D625" s="552">
        <v>3190</v>
      </c>
    </row>
    <row r="626" spans="4:4" x14ac:dyDescent="0.25">
      <c r="D626" s="552">
        <v>3191</v>
      </c>
    </row>
    <row r="627" spans="4:4" x14ac:dyDescent="0.25">
      <c r="D627" s="552">
        <v>3192</v>
      </c>
    </row>
    <row r="628" spans="4:4" x14ac:dyDescent="0.25">
      <c r="D628" s="552">
        <v>3193</v>
      </c>
    </row>
    <row r="629" spans="4:4" x14ac:dyDescent="0.25">
      <c r="D629" s="552">
        <v>3194</v>
      </c>
    </row>
    <row r="630" spans="4:4" x14ac:dyDescent="0.25">
      <c r="D630" s="552">
        <v>3195</v>
      </c>
    </row>
    <row r="631" spans="4:4" x14ac:dyDescent="0.25">
      <c r="D631" s="552">
        <v>3196</v>
      </c>
    </row>
    <row r="632" spans="4:4" x14ac:dyDescent="0.25">
      <c r="D632" s="552">
        <v>3197</v>
      </c>
    </row>
    <row r="633" spans="4:4" x14ac:dyDescent="0.25">
      <c r="D633" s="552">
        <v>3198</v>
      </c>
    </row>
    <row r="634" spans="4:4" x14ac:dyDescent="0.25">
      <c r="D634" s="552">
        <v>3199</v>
      </c>
    </row>
    <row r="635" spans="4:4" x14ac:dyDescent="0.25">
      <c r="D635" s="552">
        <v>3200</v>
      </c>
    </row>
    <row r="636" spans="4:4" x14ac:dyDescent="0.25">
      <c r="D636" s="552">
        <v>3201</v>
      </c>
    </row>
    <row r="637" spans="4:4" x14ac:dyDescent="0.25">
      <c r="D637" s="552">
        <v>3202</v>
      </c>
    </row>
    <row r="638" spans="4:4" x14ac:dyDescent="0.25">
      <c r="D638" s="552">
        <v>3203</v>
      </c>
    </row>
    <row r="639" spans="4:4" x14ac:dyDescent="0.25">
      <c r="D639" s="552">
        <v>3204</v>
      </c>
    </row>
    <row r="640" spans="4:4" x14ac:dyDescent="0.25">
      <c r="D640" s="552">
        <v>3205</v>
      </c>
    </row>
    <row r="641" spans="4:4" x14ac:dyDescent="0.25">
      <c r="D641" s="552">
        <v>3206</v>
      </c>
    </row>
    <row r="642" spans="4:4" x14ac:dyDescent="0.25">
      <c r="D642" s="552">
        <v>3207</v>
      </c>
    </row>
    <row r="643" spans="4:4" x14ac:dyDescent="0.25">
      <c r="D643" s="552">
        <v>3208</v>
      </c>
    </row>
    <row r="644" spans="4:4" x14ac:dyDescent="0.25">
      <c r="D644" s="552">
        <v>3209</v>
      </c>
    </row>
    <row r="645" spans="4:4" x14ac:dyDescent="0.25">
      <c r="D645" s="552">
        <v>3210</v>
      </c>
    </row>
    <row r="646" spans="4:4" x14ac:dyDescent="0.25">
      <c r="D646" s="552">
        <v>3211</v>
      </c>
    </row>
    <row r="647" spans="4:4" x14ac:dyDescent="0.25">
      <c r="D647" s="552">
        <v>3212</v>
      </c>
    </row>
    <row r="648" spans="4:4" x14ac:dyDescent="0.25">
      <c r="D648" s="552">
        <v>3213</v>
      </c>
    </row>
    <row r="649" spans="4:4" x14ac:dyDescent="0.25">
      <c r="D649" s="552">
        <v>3214</v>
      </c>
    </row>
    <row r="650" spans="4:4" x14ac:dyDescent="0.25">
      <c r="D650" s="552">
        <v>3215</v>
      </c>
    </row>
    <row r="651" spans="4:4" x14ac:dyDescent="0.25">
      <c r="D651" s="552">
        <v>3216</v>
      </c>
    </row>
    <row r="652" spans="4:4" x14ac:dyDescent="0.25">
      <c r="D652" s="552">
        <v>3217</v>
      </c>
    </row>
    <row r="653" spans="4:4" x14ac:dyDescent="0.25">
      <c r="D653" s="552">
        <v>3218</v>
      </c>
    </row>
    <row r="654" spans="4:4" x14ac:dyDescent="0.25">
      <c r="D654" s="552">
        <v>3219</v>
      </c>
    </row>
    <row r="655" spans="4:4" x14ac:dyDescent="0.25">
      <c r="D655" s="552">
        <v>3220</v>
      </c>
    </row>
    <row r="656" spans="4:4" x14ac:dyDescent="0.25">
      <c r="D656" s="552">
        <v>3221</v>
      </c>
    </row>
    <row r="657" spans="4:4" x14ac:dyDescent="0.25">
      <c r="D657" s="552">
        <v>3222</v>
      </c>
    </row>
    <row r="658" spans="4:4" x14ac:dyDescent="0.25">
      <c r="D658" s="552">
        <v>3223</v>
      </c>
    </row>
    <row r="659" spans="4:4" x14ac:dyDescent="0.25">
      <c r="D659" s="552">
        <v>3224</v>
      </c>
    </row>
    <row r="660" spans="4:4" x14ac:dyDescent="0.25">
      <c r="D660" s="552">
        <v>3225</v>
      </c>
    </row>
    <row r="661" spans="4:4" x14ac:dyDescent="0.25">
      <c r="D661" s="552">
        <v>3226</v>
      </c>
    </row>
    <row r="662" spans="4:4" x14ac:dyDescent="0.25">
      <c r="D662" s="552">
        <v>3227</v>
      </c>
    </row>
    <row r="663" spans="4:4" x14ac:dyDescent="0.25">
      <c r="D663" s="552">
        <v>3228</v>
      </c>
    </row>
    <row r="664" spans="4:4" x14ac:dyDescent="0.25">
      <c r="D664" s="552">
        <v>3229</v>
      </c>
    </row>
    <row r="665" spans="4:4" x14ac:dyDescent="0.25">
      <c r="D665" s="552">
        <v>3230</v>
      </c>
    </row>
    <row r="666" spans="4:4" x14ac:dyDescent="0.25">
      <c r="D666" s="552">
        <v>3231</v>
      </c>
    </row>
    <row r="667" spans="4:4" x14ac:dyDescent="0.25">
      <c r="D667" s="552">
        <v>3232</v>
      </c>
    </row>
    <row r="668" spans="4:4" x14ac:dyDescent="0.25">
      <c r="D668" s="552">
        <v>3233</v>
      </c>
    </row>
    <row r="669" spans="4:4" x14ac:dyDescent="0.25">
      <c r="D669" s="552">
        <v>3234</v>
      </c>
    </row>
    <row r="670" spans="4:4" x14ac:dyDescent="0.25">
      <c r="D670" s="552">
        <v>3235</v>
      </c>
    </row>
    <row r="671" spans="4:4" x14ac:dyDescent="0.25">
      <c r="D671" s="552">
        <v>3236</v>
      </c>
    </row>
    <row r="672" spans="4:4" x14ac:dyDescent="0.25">
      <c r="D672" s="552">
        <v>3237</v>
      </c>
    </row>
    <row r="673" spans="4:4" x14ac:dyDescent="0.25">
      <c r="D673" s="552">
        <v>3238</v>
      </c>
    </row>
    <row r="674" spans="4:4" x14ac:dyDescent="0.25">
      <c r="D674" s="552">
        <v>3239</v>
      </c>
    </row>
    <row r="675" spans="4:4" x14ac:dyDescent="0.25">
      <c r="D675" s="552">
        <v>3240</v>
      </c>
    </row>
    <row r="676" spans="4:4" x14ac:dyDescent="0.25">
      <c r="D676" s="552">
        <v>3241</v>
      </c>
    </row>
    <row r="677" spans="4:4" x14ac:dyDescent="0.25">
      <c r="D677" s="552">
        <v>3242</v>
      </c>
    </row>
    <row r="678" spans="4:4" x14ac:dyDescent="0.25">
      <c r="D678" s="552">
        <v>3243</v>
      </c>
    </row>
    <row r="679" spans="4:4" x14ac:dyDescent="0.25">
      <c r="D679" s="552">
        <v>3244</v>
      </c>
    </row>
    <row r="680" spans="4:4" x14ac:dyDescent="0.25">
      <c r="D680" s="552">
        <v>3245</v>
      </c>
    </row>
    <row r="681" spans="4:4" x14ac:dyDescent="0.25">
      <c r="D681" s="552">
        <v>3246</v>
      </c>
    </row>
    <row r="682" spans="4:4" x14ac:dyDescent="0.25">
      <c r="D682" s="552">
        <v>3247</v>
      </c>
    </row>
    <row r="683" spans="4:4" x14ac:dyDescent="0.25">
      <c r="D683" s="552">
        <v>3248</v>
      </c>
    </row>
    <row r="684" spans="4:4" x14ac:dyDescent="0.25">
      <c r="D684" s="552">
        <v>3249</v>
      </c>
    </row>
    <row r="685" spans="4:4" x14ac:dyDescent="0.25">
      <c r="D685" s="552">
        <v>3250</v>
      </c>
    </row>
    <row r="686" spans="4:4" x14ac:dyDescent="0.25">
      <c r="D686" s="552">
        <v>3251</v>
      </c>
    </row>
    <row r="687" spans="4:4" x14ac:dyDescent="0.25">
      <c r="D687" s="552">
        <v>3252</v>
      </c>
    </row>
    <row r="688" spans="4:4" x14ac:dyDescent="0.25">
      <c r="D688" s="552">
        <v>3253</v>
      </c>
    </row>
    <row r="689" spans="4:4" x14ac:dyDescent="0.25">
      <c r="D689" s="552">
        <v>3254</v>
      </c>
    </row>
    <row r="690" spans="4:4" x14ac:dyDescent="0.25">
      <c r="D690" s="552">
        <v>3255</v>
      </c>
    </row>
    <row r="691" spans="4:4" x14ac:dyDescent="0.25">
      <c r="D691" s="552">
        <v>3256</v>
      </c>
    </row>
    <row r="692" spans="4:4" x14ac:dyDescent="0.25">
      <c r="D692" s="552">
        <v>3257</v>
      </c>
    </row>
    <row r="693" spans="4:4" x14ac:dyDescent="0.25">
      <c r="D693" s="552">
        <v>3258</v>
      </c>
    </row>
    <row r="694" spans="4:4" x14ac:dyDescent="0.25">
      <c r="D694" s="552">
        <v>3259</v>
      </c>
    </row>
    <row r="695" spans="4:4" x14ac:dyDescent="0.25">
      <c r="D695" s="552">
        <v>3260</v>
      </c>
    </row>
    <row r="696" spans="4:4" x14ac:dyDescent="0.25">
      <c r="D696" s="552">
        <v>3261</v>
      </c>
    </row>
    <row r="697" spans="4:4" x14ac:dyDescent="0.25">
      <c r="D697" s="552">
        <v>3262</v>
      </c>
    </row>
    <row r="698" spans="4:4" x14ac:dyDescent="0.25">
      <c r="D698" s="552">
        <v>3263</v>
      </c>
    </row>
    <row r="699" spans="4:4" x14ac:dyDescent="0.25">
      <c r="D699" s="552">
        <v>3264</v>
      </c>
    </row>
    <row r="700" spans="4:4" x14ac:dyDescent="0.25">
      <c r="D700" s="552">
        <v>3265</v>
      </c>
    </row>
    <row r="701" spans="4:4" x14ac:dyDescent="0.25">
      <c r="D701" s="552">
        <v>3266</v>
      </c>
    </row>
    <row r="702" spans="4:4" x14ac:dyDescent="0.25">
      <c r="D702" s="552">
        <v>3267</v>
      </c>
    </row>
    <row r="703" spans="4:4" x14ac:dyDescent="0.25">
      <c r="D703" s="552">
        <v>3268</v>
      </c>
    </row>
    <row r="704" spans="4:4" x14ac:dyDescent="0.25">
      <c r="D704" s="552">
        <v>3269</v>
      </c>
    </row>
    <row r="705" spans="4:4" x14ac:dyDescent="0.25">
      <c r="D705" s="552">
        <v>3270</v>
      </c>
    </row>
    <row r="706" spans="4:4" x14ac:dyDescent="0.25">
      <c r="D706" s="552">
        <v>3271</v>
      </c>
    </row>
    <row r="707" spans="4:4" x14ac:dyDescent="0.25">
      <c r="D707" s="552">
        <v>3272</v>
      </c>
    </row>
    <row r="708" spans="4:4" x14ac:dyDescent="0.25">
      <c r="D708" s="552">
        <v>3273</v>
      </c>
    </row>
    <row r="709" spans="4:4" x14ac:dyDescent="0.25">
      <c r="D709" s="552">
        <v>3274</v>
      </c>
    </row>
    <row r="710" spans="4:4" x14ac:dyDescent="0.25">
      <c r="D710" s="552">
        <v>3275</v>
      </c>
    </row>
    <row r="711" spans="4:4" x14ac:dyDescent="0.25">
      <c r="D711" s="552">
        <v>3276</v>
      </c>
    </row>
    <row r="712" spans="4:4" x14ac:dyDescent="0.25">
      <c r="D712" s="552">
        <v>3277</v>
      </c>
    </row>
    <row r="713" spans="4:4" x14ac:dyDescent="0.25">
      <c r="D713" s="552">
        <v>3278</v>
      </c>
    </row>
    <row r="714" spans="4:4" x14ac:dyDescent="0.25">
      <c r="D714" s="552">
        <v>3279</v>
      </c>
    </row>
    <row r="715" spans="4:4" x14ac:dyDescent="0.25">
      <c r="D715" s="552">
        <v>3280</v>
      </c>
    </row>
    <row r="716" spans="4:4" x14ac:dyDescent="0.25">
      <c r="D716" s="552">
        <v>3281</v>
      </c>
    </row>
    <row r="717" spans="4:4" x14ac:dyDescent="0.25">
      <c r="D717" s="552">
        <v>3282</v>
      </c>
    </row>
    <row r="718" spans="4:4" x14ac:dyDescent="0.25">
      <c r="D718" s="552">
        <v>3283</v>
      </c>
    </row>
    <row r="719" spans="4:4" x14ac:dyDescent="0.25">
      <c r="D719" s="552">
        <v>3284</v>
      </c>
    </row>
    <row r="720" spans="4:4" x14ac:dyDescent="0.25">
      <c r="D720" s="552">
        <v>3285</v>
      </c>
    </row>
    <row r="721" spans="4:4" x14ac:dyDescent="0.25">
      <c r="D721" s="552">
        <v>3286</v>
      </c>
    </row>
    <row r="722" spans="4:4" x14ac:dyDescent="0.25">
      <c r="D722" s="552">
        <v>3287</v>
      </c>
    </row>
    <row r="723" spans="4:4" x14ac:dyDescent="0.25">
      <c r="D723" s="552">
        <v>3288</v>
      </c>
    </row>
    <row r="724" spans="4:4" x14ac:dyDescent="0.25">
      <c r="D724" s="552">
        <v>3289</v>
      </c>
    </row>
    <row r="725" spans="4:4" x14ac:dyDescent="0.25">
      <c r="D725" s="552">
        <v>3290</v>
      </c>
    </row>
    <row r="726" spans="4:4" x14ac:dyDescent="0.25">
      <c r="D726" s="552">
        <v>3291</v>
      </c>
    </row>
    <row r="727" spans="4:4" x14ac:dyDescent="0.25">
      <c r="D727" s="552">
        <v>3292</v>
      </c>
    </row>
    <row r="728" spans="4:4" x14ac:dyDescent="0.25">
      <c r="D728" s="552">
        <v>3293</v>
      </c>
    </row>
    <row r="729" spans="4:4" x14ac:dyDescent="0.25">
      <c r="D729" s="552">
        <v>3294</v>
      </c>
    </row>
    <row r="730" spans="4:4" x14ac:dyDescent="0.25">
      <c r="D730" s="552">
        <v>3295</v>
      </c>
    </row>
    <row r="731" spans="4:4" x14ac:dyDescent="0.25">
      <c r="D731" s="552">
        <v>3296</v>
      </c>
    </row>
    <row r="732" spans="4:4" x14ac:dyDescent="0.25">
      <c r="D732" s="552">
        <v>3297</v>
      </c>
    </row>
    <row r="733" spans="4:4" x14ac:dyDescent="0.25">
      <c r="D733" s="552">
        <v>3298</v>
      </c>
    </row>
    <row r="734" spans="4:4" x14ac:dyDescent="0.25">
      <c r="D734" s="552">
        <v>3299</v>
      </c>
    </row>
    <row r="735" spans="4:4" x14ac:dyDescent="0.25">
      <c r="D735" s="552">
        <v>3300</v>
      </c>
    </row>
    <row r="736" spans="4:4" x14ac:dyDescent="0.25">
      <c r="D736" s="552">
        <v>3301</v>
      </c>
    </row>
    <row r="737" spans="4:4" x14ac:dyDescent="0.25">
      <c r="D737" s="552">
        <v>3302</v>
      </c>
    </row>
    <row r="738" spans="4:4" x14ac:dyDescent="0.25">
      <c r="D738" s="552">
        <v>3303</v>
      </c>
    </row>
    <row r="739" spans="4:4" x14ac:dyDescent="0.25">
      <c r="D739" s="552">
        <v>3304</v>
      </c>
    </row>
    <row r="740" spans="4:4" x14ac:dyDescent="0.25">
      <c r="D740" s="552">
        <v>3305</v>
      </c>
    </row>
    <row r="741" spans="4:4" x14ac:dyDescent="0.25">
      <c r="D741" s="552">
        <v>3306</v>
      </c>
    </row>
    <row r="742" spans="4:4" x14ac:dyDescent="0.25">
      <c r="D742" s="552">
        <v>3307</v>
      </c>
    </row>
    <row r="743" spans="4:4" x14ac:dyDescent="0.25">
      <c r="D743" s="552">
        <v>3308</v>
      </c>
    </row>
    <row r="744" spans="4:4" x14ac:dyDescent="0.25">
      <c r="D744" s="552">
        <v>3309</v>
      </c>
    </row>
    <row r="745" spans="4:4" x14ac:dyDescent="0.25">
      <c r="D745" s="552">
        <v>3310</v>
      </c>
    </row>
    <row r="746" spans="4:4" x14ac:dyDescent="0.25">
      <c r="D746" s="552">
        <v>3311</v>
      </c>
    </row>
    <row r="747" spans="4:4" x14ac:dyDescent="0.25">
      <c r="D747" s="552">
        <v>3312</v>
      </c>
    </row>
    <row r="748" spans="4:4" x14ac:dyDescent="0.25">
      <c r="D748" s="552">
        <v>3313</v>
      </c>
    </row>
    <row r="749" spans="4:4" x14ac:dyDescent="0.25">
      <c r="D749" s="552">
        <v>3314</v>
      </c>
    </row>
    <row r="750" spans="4:4" x14ac:dyDescent="0.25">
      <c r="D750" s="552">
        <v>3315</v>
      </c>
    </row>
    <row r="751" spans="4:4" x14ac:dyDescent="0.25">
      <c r="D751" s="552">
        <v>3316</v>
      </c>
    </row>
    <row r="752" spans="4:4" x14ac:dyDescent="0.25">
      <c r="D752" s="552">
        <v>3317</v>
      </c>
    </row>
    <row r="753" spans="4:4" x14ac:dyDescent="0.25">
      <c r="D753" s="552">
        <v>3318</v>
      </c>
    </row>
    <row r="754" spans="4:4" x14ac:dyDescent="0.25">
      <c r="D754" s="552">
        <v>3319</v>
      </c>
    </row>
    <row r="755" spans="4:4" x14ac:dyDescent="0.25">
      <c r="D755" s="552">
        <v>3320</v>
      </c>
    </row>
    <row r="756" spans="4:4" x14ac:dyDescent="0.25">
      <c r="D756" s="552">
        <v>3321</v>
      </c>
    </row>
    <row r="757" spans="4:4" x14ac:dyDescent="0.25">
      <c r="D757" s="552">
        <v>3322</v>
      </c>
    </row>
    <row r="758" spans="4:4" x14ac:dyDescent="0.25">
      <c r="D758" s="552">
        <v>3323</v>
      </c>
    </row>
    <row r="759" spans="4:4" x14ac:dyDescent="0.25">
      <c r="D759" s="552">
        <v>3324</v>
      </c>
    </row>
    <row r="760" spans="4:4" x14ac:dyDescent="0.25">
      <c r="D760" s="552">
        <v>3325</v>
      </c>
    </row>
    <row r="761" spans="4:4" x14ac:dyDescent="0.25">
      <c r="D761" s="552">
        <v>3326</v>
      </c>
    </row>
    <row r="762" spans="4:4" x14ac:dyDescent="0.25">
      <c r="D762" s="552">
        <v>3327</v>
      </c>
    </row>
    <row r="763" spans="4:4" x14ac:dyDescent="0.25">
      <c r="D763" s="552">
        <v>3328</v>
      </c>
    </row>
    <row r="764" spans="4:4" x14ac:dyDescent="0.25">
      <c r="D764" s="552">
        <v>3329</v>
      </c>
    </row>
    <row r="765" spans="4:4" x14ac:dyDescent="0.25">
      <c r="D765" s="552">
        <v>3330</v>
      </c>
    </row>
    <row r="766" spans="4:4" x14ac:dyDescent="0.25">
      <c r="D766" s="552">
        <v>3331</v>
      </c>
    </row>
    <row r="767" spans="4:4" x14ac:dyDescent="0.25">
      <c r="D767" s="552">
        <v>3332</v>
      </c>
    </row>
    <row r="768" spans="4:4" x14ac:dyDescent="0.25">
      <c r="D768" s="552">
        <v>3333</v>
      </c>
    </row>
    <row r="769" spans="4:4" x14ac:dyDescent="0.25">
      <c r="D769" s="552">
        <v>3334</v>
      </c>
    </row>
    <row r="770" spans="4:4" x14ac:dyDescent="0.25">
      <c r="D770" s="552">
        <v>3335</v>
      </c>
    </row>
    <row r="771" spans="4:4" x14ac:dyDescent="0.25">
      <c r="D771" s="552">
        <v>3336</v>
      </c>
    </row>
    <row r="772" spans="4:4" x14ac:dyDescent="0.25">
      <c r="D772" s="552">
        <v>3337</v>
      </c>
    </row>
    <row r="773" spans="4:4" x14ac:dyDescent="0.25">
      <c r="D773" s="552">
        <v>3338</v>
      </c>
    </row>
    <row r="774" spans="4:4" x14ac:dyDescent="0.25">
      <c r="D774" s="552">
        <v>3339</v>
      </c>
    </row>
    <row r="775" spans="4:4" x14ac:dyDescent="0.25">
      <c r="D775" s="552">
        <v>3340</v>
      </c>
    </row>
    <row r="776" spans="4:4" x14ac:dyDescent="0.25">
      <c r="D776" s="552">
        <v>3341</v>
      </c>
    </row>
    <row r="777" spans="4:4" x14ac:dyDescent="0.25">
      <c r="D777" s="552">
        <v>3342</v>
      </c>
    </row>
    <row r="778" spans="4:4" x14ac:dyDescent="0.25">
      <c r="D778" s="552">
        <v>3343</v>
      </c>
    </row>
    <row r="779" spans="4:4" x14ac:dyDescent="0.25">
      <c r="D779" s="552">
        <v>3344</v>
      </c>
    </row>
    <row r="780" spans="4:4" x14ac:dyDescent="0.25">
      <c r="D780" s="552">
        <v>3345</v>
      </c>
    </row>
    <row r="781" spans="4:4" x14ac:dyDescent="0.25">
      <c r="D781" s="552">
        <v>3346</v>
      </c>
    </row>
    <row r="782" spans="4:4" x14ac:dyDescent="0.25">
      <c r="D782" s="552">
        <v>3347</v>
      </c>
    </row>
    <row r="783" spans="4:4" x14ac:dyDescent="0.25">
      <c r="D783" s="552">
        <v>3348</v>
      </c>
    </row>
    <row r="784" spans="4:4" x14ac:dyDescent="0.25">
      <c r="D784" s="552">
        <v>3349</v>
      </c>
    </row>
    <row r="785" spans="4:4" x14ac:dyDescent="0.25">
      <c r="D785" s="552">
        <v>3350</v>
      </c>
    </row>
    <row r="786" spans="4:4" x14ac:dyDescent="0.25">
      <c r="D786" s="552">
        <v>3351</v>
      </c>
    </row>
    <row r="787" spans="4:4" x14ac:dyDescent="0.25">
      <c r="D787" s="552">
        <v>3352</v>
      </c>
    </row>
    <row r="788" spans="4:4" x14ac:dyDescent="0.25">
      <c r="D788" s="552">
        <v>3353</v>
      </c>
    </row>
    <row r="789" spans="4:4" x14ac:dyDescent="0.25">
      <c r="D789" s="552">
        <v>3354</v>
      </c>
    </row>
    <row r="790" spans="4:4" x14ac:dyDescent="0.25">
      <c r="D790" s="552">
        <v>3355</v>
      </c>
    </row>
    <row r="791" spans="4:4" x14ac:dyDescent="0.25">
      <c r="D791" s="552">
        <v>3356</v>
      </c>
    </row>
    <row r="792" spans="4:4" x14ac:dyDescent="0.25">
      <c r="D792" s="552">
        <v>3357</v>
      </c>
    </row>
    <row r="793" spans="4:4" x14ac:dyDescent="0.25">
      <c r="D793" s="552">
        <v>3358</v>
      </c>
    </row>
    <row r="794" spans="4:4" x14ac:dyDescent="0.25">
      <c r="D794" s="552">
        <v>3359</v>
      </c>
    </row>
    <row r="795" spans="4:4" x14ac:dyDescent="0.25">
      <c r="D795" s="552">
        <v>3360</v>
      </c>
    </row>
    <row r="796" spans="4:4" x14ac:dyDescent="0.25">
      <c r="D796" s="552">
        <v>3361</v>
      </c>
    </row>
    <row r="797" spans="4:4" x14ac:dyDescent="0.25">
      <c r="D797" s="552">
        <v>3362</v>
      </c>
    </row>
    <row r="798" spans="4:4" x14ac:dyDescent="0.25">
      <c r="D798" s="552">
        <v>3363</v>
      </c>
    </row>
    <row r="799" spans="4:4" x14ac:dyDescent="0.25">
      <c r="D799" s="552">
        <v>3364</v>
      </c>
    </row>
    <row r="800" spans="4:4" x14ac:dyDescent="0.25">
      <c r="D800" s="552">
        <v>3365</v>
      </c>
    </row>
    <row r="801" spans="4:4" x14ac:dyDescent="0.25">
      <c r="D801" s="552">
        <v>3366</v>
      </c>
    </row>
    <row r="802" spans="4:4" x14ac:dyDescent="0.25">
      <c r="D802" s="552">
        <v>3367</v>
      </c>
    </row>
    <row r="803" spans="4:4" x14ac:dyDescent="0.25">
      <c r="D803" s="552">
        <v>3368</v>
      </c>
    </row>
    <row r="804" spans="4:4" x14ac:dyDescent="0.25">
      <c r="D804" s="552">
        <v>3369</v>
      </c>
    </row>
    <row r="805" spans="4:4" x14ac:dyDescent="0.25">
      <c r="D805" s="552">
        <v>3370</v>
      </c>
    </row>
    <row r="806" spans="4:4" x14ac:dyDescent="0.25">
      <c r="D806" s="552">
        <v>3371</v>
      </c>
    </row>
    <row r="807" spans="4:4" x14ac:dyDescent="0.25">
      <c r="D807" s="552">
        <v>3372</v>
      </c>
    </row>
    <row r="808" spans="4:4" x14ac:dyDescent="0.25">
      <c r="D808" s="552">
        <v>3373</v>
      </c>
    </row>
    <row r="809" spans="4:4" x14ac:dyDescent="0.25">
      <c r="D809" s="552">
        <v>3374</v>
      </c>
    </row>
    <row r="810" spans="4:4" x14ac:dyDescent="0.25">
      <c r="D810" s="552">
        <v>3375</v>
      </c>
    </row>
    <row r="811" spans="4:4" x14ac:dyDescent="0.25">
      <c r="D811" s="552">
        <v>3376</v>
      </c>
    </row>
    <row r="812" spans="4:4" x14ac:dyDescent="0.25">
      <c r="D812" s="552">
        <v>3377</v>
      </c>
    </row>
    <row r="813" spans="4:4" x14ac:dyDescent="0.25">
      <c r="D813" s="552">
        <v>3378</v>
      </c>
    </row>
    <row r="814" spans="4:4" x14ac:dyDescent="0.25">
      <c r="D814" s="552">
        <v>3379</v>
      </c>
    </row>
    <row r="815" spans="4:4" x14ac:dyDescent="0.25">
      <c r="D815" s="552">
        <v>3380</v>
      </c>
    </row>
    <row r="816" spans="4:4" x14ac:dyDescent="0.25">
      <c r="D816" s="552">
        <v>3381</v>
      </c>
    </row>
    <row r="817" spans="4:4" x14ac:dyDescent="0.25">
      <c r="D817" s="552">
        <v>3382</v>
      </c>
    </row>
    <row r="818" spans="4:4" x14ac:dyDescent="0.25">
      <c r="D818" s="552">
        <v>3383</v>
      </c>
    </row>
    <row r="819" spans="4:4" x14ac:dyDescent="0.25">
      <c r="D819" s="552">
        <v>3384</v>
      </c>
    </row>
    <row r="820" spans="4:4" x14ac:dyDescent="0.25">
      <c r="D820" s="552">
        <v>3385</v>
      </c>
    </row>
    <row r="821" spans="4:4" x14ac:dyDescent="0.25">
      <c r="D821" s="552">
        <v>3386</v>
      </c>
    </row>
    <row r="822" spans="4:4" x14ac:dyDescent="0.25">
      <c r="D822" s="552">
        <v>3387</v>
      </c>
    </row>
    <row r="823" spans="4:4" x14ac:dyDescent="0.25">
      <c r="D823" s="552">
        <v>3388</v>
      </c>
    </row>
    <row r="824" spans="4:4" x14ac:dyDescent="0.25">
      <c r="D824" s="552">
        <v>3389</v>
      </c>
    </row>
    <row r="825" spans="4:4" x14ac:dyDescent="0.25">
      <c r="D825" s="552">
        <v>3390</v>
      </c>
    </row>
    <row r="826" spans="4:4" x14ac:dyDescent="0.25">
      <c r="D826" s="552">
        <v>3391</v>
      </c>
    </row>
    <row r="827" spans="4:4" x14ac:dyDescent="0.25">
      <c r="D827" s="552">
        <v>3392</v>
      </c>
    </row>
    <row r="828" spans="4:4" x14ac:dyDescent="0.25">
      <c r="D828" s="552">
        <v>3393</v>
      </c>
    </row>
    <row r="829" spans="4:4" x14ac:dyDescent="0.25">
      <c r="D829" s="552">
        <v>3394</v>
      </c>
    </row>
    <row r="830" spans="4:4" x14ac:dyDescent="0.25">
      <c r="D830" s="552">
        <v>3395</v>
      </c>
    </row>
    <row r="831" spans="4:4" x14ac:dyDescent="0.25">
      <c r="D831" s="552">
        <v>3396</v>
      </c>
    </row>
    <row r="832" spans="4:4" x14ac:dyDescent="0.25">
      <c r="D832" s="552">
        <v>3397</v>
      </c>
    </row>
    <row r="833" spans="4:4" x14ac:dyDescent="0.25">
      <c r="D833" s="552">
        <v>3398</v>
      </c>
    </row>
    <row r="834" spans="4:4" x14ac:dyDescent="0.25">
      <c r="D834" s="552">
        <v>3399</v>
      </c>
    </row>
    <row r="835" spans="4:4" x14ac:dyDescent="0.25">
      <c r="D835" s="552">
        <v>3400</v>
      </c>
    </row>
    <row r="836" spans="4:4" x14ac:dyDescent="0.25">
      <c r="D836" s="552">
        <v>3401</v>
      </c>
    </row>
    <row r="837" spans="4:4" x14ac:dyDescent="0.25">
      <c r="D837" s="552">
        <v>3402</v>
      </c>
    </row>
    <row r="838" spans="4:4" x14ac:dyDescent="0.25">
      <c r="D838" s="552">
        <v>3403</v>
      </c>
    </row>
    <row r="839" spans="4:4" x14ac:dyDescent="0.25">
      <c r="D839" s="552">
        <v>3404</v>
      </c>
    </row>
    <row r="840" spans="4:4" x14ac:dyDescent="0.25">
      <c r="D840" s="552">
        <v>3405</v>
      </c>
    </row>
    <row r="841" spans="4:4" x14ac:dyDescent="0.25">
      <c r="D841" s="552">
        <v>3406</v>
      </c>
    </row>
    <row r="842" spans="4:4" x14ac:dyDescent="0.25">
      <c r="D842" s="552">
        <v>3407</v>
      </c>
    </row>
    <row r="843" spans="4:4" x14ac:dyDescent="0.25">
      <c r="D843" s="552">
        <v>3408</v>
      </c>
    </row>
    <row r="844" spans="4:4" x14ac:dyDescent="0.25">
      <c r="D844" s="552">
        <v>3409</v>
      </c>
    </row>
    <row r="845" spans="4:4" x14ac:dyDescent="0.25">
      <c r="D845" s="552">
        <v>3410</v>
      </c>
    </row>
    <row r="846" spans="4:4" x14ac:dyDescent="0.25">
      <c r="D846" s="552">
        <v>3411</v>
      </c>
    </row>
    <row r="847" spans="4:4" x14ac:dyDescent="0.25">
      <c r="D847" s="552">
        <v>3412</v>
      </c>
    </row>
    <row r="848" spans="4:4" x14ac:dyDescent="0.25">
      <c r="D848" s="552">
        <v>3413</v>
      </c>
    </row>
    <row r="849" spans="4:4" x14ac:dyDescent="0.25">
      <c r="D849" s="552">
        <v>3414</v>
      </c>
    </row>
    <row r="850" spans="4:4" x14ac:dyDescent="0.25">
      <c r="D850" s="552">
        <v>3415</v>
      </c>
    </row>
    <row r="851" spans="4:4" x14ac:dyDescent="0.25">
      <c r="D851" s="552">
        <v>3416</v>
      </c>
    </row>
    <row r="852" spans="4:4" x14ac:dyDescent="0.25">
      <c r="D852" s="552">
        <v>3417</v>
      </c>
    </row>
    <row r="853" spans="4:4" x14ac:dyDescent="0.25">
      <c r="D853" s="552">
        <v>3418</v>
      </c>
    </row>
    <row r="854" spans="4:4" x14ac:dyDescent="0.25">
      <c r="D854" s="552">
        <v>3419</v>
      </c>
    </row>
    <row r="855" spans="4:4" x14ac:dyDescent="0.25">
      <c r="D855" s="552">
        <v>3420</v>
      </c>
    </row>
    <row r="856" spans="4:4" x14ac:dyDescent="0.25">
      <c r="D856" s="552">
        <v>3421</v>
      </c>
    </row>
    <row r="857" spans="4:4" x14ac:dyDescent="0.25">
      <c r="D857" s="552">
        <v>3422</v>
      </c>
    </row>
    <row r="858" spans="4:4" x14ac:dyDescent="0.25">
      <c r="D858" s="552">
        <v>3423</v>
      </c>
    </row>
    <row r="859" spans="4:4" x14ac:dyDescent="0.25">
      <c r="D859" s="552">
        <v>3424</v>
      </c>
    </row>
    <row r="860" spans="4:4" x14ac:dyDescent="0.25">
      <c r="D860" s="552">
        <v>3425</v>
      </c>
    </row>
    <row r="861" spans="4:4" x14ac:dyDescent="0.25">
      <c r="D861" s="552">
        <v>3426</v>
      </c>
    </row>
    <row r="862" spans="4:4" x14ac:dyDescent="0.25">
      <c r="D862" s="552">
        <v>3427</v>
      </c>
    </row>
    <row r="863" spans="4:4" x14ac:dyDescent="0.25">
      <c r="D863" s="552">
        <v>3428</v>
      </c>
    </row>
    <row r="864" spans="4:4" x14ac:dyDescent="0.25">
      <c r="D864" s="552">
        <v>3429</v>
      </c>
    </row>
    <row r="865" spans="4:4" x14ac:dyDescent="0.25">
      <c r="D865" s="552">
        <v>3430</v>
      </c>
    </row>
    <row r="866" spans="4:4" x14ac:dyDescent="0.25">
      <c r="D866" s="552">
        <v>3431</v>
      </c>
    </row>
    <row r="867" spans="4:4" x14ac:dyDescent="0.25">
      <c r="D867" s="552">
        <v>3432</v>
      </c>
    </row>
    <row r="868" spans="4:4" x14ac:dyDescent="0.25">
      <c r="D868" s="552">
        <v>3433</v>
      </c>
    </row>
    <row r="869" spans="4:4" x14ac:dyDescent="0.25">
      <c r="D869" s="552">
        <v>3434</v>
      </c>
    </row>
    <row r="870" spans="4:4" x14ac:dyDescent="0.25">
      <c r="D870" s="552">
        <v>3435</v>
      </c>
    </row>
    <row r="871" spans="4:4" x14ac:dyDescent="0.25">
      <c r="D871" s="552">
        <v>3436</v>
      </c>
    </row>
    <row r="872" spans="4:4" x14ac:dyDescent="0.25">
      <c r="D872" s="552">
        <v>3437</v>
      </c>
    </row>
    <row r="873" spans="4:4" x14ac:dyDescent="0.25">
      <c r="D873" s="552">
        <v>3438</v>
      </c>
    </row>
    <row r="874" spans="4:4" x14ac:dyDescent="0.25">
      <c r="D874" s="552">
        <v>3439</v>
      </c>
    </row>
    <row r="875" spans="4:4" x14ac:dyDescent="0.25">
      <c r="D875" s="552">
        <v>3440</v>
      </c>
    </row>
    <row r="876" spans="4:4" x14ac:dyDescent="0.25">
      <c r="D876" s="552">
        <v>3441</v>
      </c>
    </row>
    <row r="877" spans="4:4" x14ac:dyDescent="0.25">
      <c r="D877" s="552">
        <v>3442</v>
      </c>
    </row>
    <row r="878" spans="4:4" x14ac:dyDescent="0.25">
      <c r="D878" s="552">
        <v>3443</v>
      </c>
    </row>
    <row r="879" spans="4:4" x14ac:dyDescent="0.25">
      <c r="D879" s="552">
        <v>3444</v>
      </c>
    </row>
    <row r="880" spans="4:4" x14ac:dyDescent="0.25">
      <c r="D880" s="552">
        <v>3445</v>
      </c>
    </row>
    <row r="881" spans="4:4" x14ac:dyDescent="0.25">
      <c r="D881" s="552">
        <v>3446</v>
      </c>
    </row>
    <row r="882" spans="4:4" x14ac:dyDescent="0.25">
      <c r="D882" s="552">
        <v>3447</v>
      </c>
    </row>
    <row r="883" spans="4:4" x14ac:dyDescent="0.25">
      <c r="D883" s="552">
        <v>3448</v>
      </c>
    </row>
    <row r="884" spans="4:4" x14ac:dyDescent="0.25">
      <c r="D884" s="552">
        <v>3449</v>
      </c>
    </row>
    <row r="885" spans="4:4" x14ac:dyDescent="0.25">
      <c r="D885" s="552">
        <v>3450</v>
      </c>
    </row>
    <row r="886" spans="4:4" x14ac:dyDescent="0.25">
      <c r="D886" s="552">
        <v>3451</v>
      </c>
    </row>
    <row r="887" spans="4:4" x14ac:dyDescent="0.25">
      <c r="D887" s="552">
        <v>3452</v>
      </c>
    </row>
    <row r="888" spans="4:4" x14ac:dyDescent="0.25">
      <c r="D888" s="552">
        <v>3453</v>
      </c>
    </row>
    <row r="889" spans="4:4" x14ac:dyDescent="0.25">
      <c r="D889" s="552">
        <v>3454</v>
      </c>
    </row>
    <row r="890" spans="4:4" x14ac:dyDescent="0.25">
      <c r="D890" s="552">
        <v>3455</v>
      </c>
    </row>
    <row r="891" spans="4:4" x14ac:dyDescent="0.25">
      <c r="D891" s="552">
        <v>3456</v>
      </c>
    </row>
    <row r="892" spans="4:4" x14ac:dyDescent="0.25">
      <c r="D892" s="552">
        <v>3457</v>
      </c>
    </row>
    <row r="893" spans="4:4" x14ac:dyDescent="0.25">
      <c r="D893" s="552">
        <v>3458</v>
      </c>
    </row>
    <row r="894" spans="4:4" x14ac:dyDescent="0.25">
      <c r="D894" s="552">
        <v>3459</v>
      </c>
    </row>
    <row r="895" spans="4:4" x14ac:dyDescent="0.25">
      <c r="D895" s="552">
        <v>3460</v>
      </c>
    </row>
    <row r="896" spans="4:4" x14ac:dyDescent="0.25">
      <c r="D896" s="552">
        <v>3461</v>
      </c>
    </row>
    <row r="897" spans="4:4" x14ac:dyDescent="0.25">
      <c r="D897" s="552">
        <v>3462</v>
      </c>
    </row>
    <row r="898" spans="4:4" x14ac:dyDescent="0.25">
      <c r="D898" s="552">
        <v>3463</v>
      </c>
    </row>
    <row r="899" spans="4:4" x14ac:dyDescent="0.25">
      <c r="D899" s="552">
        <v>3464</v>
      </c>
    </row>
    <row r="900" spans="4:4" x14ac:dyDescent="0.25">
      <c r="D900" s="552">
        <v>3465</v>
      </c>
    </row>
    <row r="901" spans="4:4" x14ac:dyDescent="0.25">
      <c r="D901" s="552">
        <v>3466</v>
      </c>
    </row>
    <row r="902" spans="4:4" x14ac:dyDescent="0.25">
      <c r="D902" s="552">
        <v>3467</v>
      </c>
    </row>
    <row r="903" spans="4:4" x14ac:dyDescent="0.25">
      <c r="D903" s="552">
        <v>3468</v>
      </c>
    </row>
    <row r="904" spans="4:4" x14ac:dyDescent="0.25">
      <c r="D904" s="552">
        <v>3469</v>
      </c>
    </row>
    <row r="905" spans="4:4" x14ac:dyDescent="0.25">
      <c r="D905" s="552">
        <v>3470</v>
      </c>
    </row>
    <row r="906" spans="4:4" x14ac:dyDescent="0.25">
      <c r="D906" s="552">
        <v>3471</v>
      </c>
    </row>
    <row r="907" spans="4:4" x14ac:dyDescent="0.25">
      <c r="D907" s="552">
        <v>3472</v>
      </c>
    </row>
    <row r="908" spans="4:4" x14ac:dyDescent="0.25">
      <c r="D908" s="552">
        <v>3473</v>
      </c>
    </row>
    <row r="909" spans="4:4" x14ac:dyDescent="0.25">
      <c r="D909" s="552">
        <v>3474</v>
      </c>
    </row>
    <row r="910" spans="4:4" x14ac:dyDescent="0.25">
      <c r="D910" s="552">
        <v>3475</v>
      </c>
    </row>
    <row r="911" spans="4:4" x14ac:dyDescent="0.25">
      <c r="D911" s="552">
        <v>3476</v>
      </c>
    </row>
    <row r="912" spans="4:4" x14ac:dyDescent="0.25">
      <c r="D912" s="552">
        <v>3477</v>
      </c>
    </row>
    <row r="913" spans="4:4" x14ac:dyDescent="0.25">
      <c r="D913" s="552">
        <v>3478</v>
      </c>
    </row>
    <row r="914" spans="4:4" x14ac:dyDescent="0.25">
      <c r="D914" s="552">
        <v>3479</v>
      </c>
    </row>
    <row r="915" spans="4:4" x14ac:dyDescent="0.25">
      <c r="D915" s="552">
        <v>3480</v>
      </c>
    </row>
    <row r="916" spans="4:4" x14ac:dyDescent="0.25">
      <c r="D916" s="552">
        <v>3481</v>
      </c>
    </row>
    <row r="917" spans="4:4" x14ac:dyDescent="0.25">
      <c r="D917" s="552">
        <v>3482</v>
      </c>
    </row>
    <row r="918" spans="4:4" x14ac:dyDescent="0.25">
      <c r="D918" s="552">
        <v>3483</v>
      </c>
    </row>
    <row r="919" spans="4:4" x14ac:dyDescent="0.25">
      <c r="D919" s="552">
        <v>3484</v>
      </c>
    </row>
    <row r="920" spans="4:4" x14ac:dyDescent="0.25">
      <c r="D920" s="552">
        <v>3485</v>
      </c>
    </row>
    <row r="921" spans="4:4" x14ac:dyDescent="0.25">
      <c r="D921" s="552">
        <v>3486</v>
      </c>
    </row>
    <row r="922" spans="4:4" x14ac:dyDescent="0.25">
      <c r="D922" s="552">
        <v>3487</v>
      </c>
    </row>
    <row r="923" spans="4:4" x14ac:dyDescent="0.25">
      <c r="D923" s="552">
        <v>3488</v>
      </c>
    </row>
  </sheetData>
  <sheetProtection algorithmName="SHA-512" hashValue="JTECK7gCHU6b07JgY3vB+N05Lwjp/0Zw+TESDUBxfC/vAkWVQeTvk5uzdZWW+MPc09cpbvY41ftXomBTY++9Ww==" saltValue="wW4KSiSSp6G4hD9Ek/6Zyw==" spinCount="100000" sheet="1" objects="1" scenarios="1"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1351</vt:i4>
      </vt:variant>
    </vt:vector>
  </HeadingPairs>
  <TitlesOfParts>
    <vt:vector size="1369" baseType="lpstr">
      <vt:lpstr>1.ข้อมูลเบื้องต้น</vt:lpstr>
      <vt:lpstr>2.ชื่อนักเรียน</vt:lpstr>
      <vt:lpstr>3.เวลาเรียน</vt:lpstr>
      <vt:lpstr>4.คีย์กลางภาค</vt:lpstr>
      <vt:lpstr>5.กลางภาค</vt:lpstr>
      <vt:lpstr>6.คีย์ปลายภาค</vt:lpstr>
      <vt:lpstr>6.1ประกาศผลปลายภาค</vt:lpstr>
      <vt:lpstr>6.2ปลายภาค</vt:lpstr>
      <vt:lpstr>6.3พัฒนาผู้เรียน</vt:lpstr>
      <vt:lpstr>7.อ่านคิดวิเคราะห์</vt:lpstr>
      <vt:lpstr>8.คุณลักษณะ</vt:lpstr>
      <vt:lpstr>7.บันทึกการเจริญเติบโต</vt:lpstr>
      <vt:lpstr>8.ความคิดเห็น</vt:lpstr>
      <vt:lpstr>9.บันทึกการเจริญเติบโต</vt:lpstr>
      <vt:lpstr>ปถ.07</vt:lpstr>
      <vt:lpstr>รายงาน</vt:lpstr>
      <vt:lpstr>Subject</vt:lpstr>
      <vt:lpstr>list</vt:lpstr>
      <vt:lpstr>Activities</vt:lpstr>
      <vt:lpstr>Activity1</vt:lpstr>
      <vt:lpstr>Activity2</vt:lpstr>
      <vt:lpstr>Activity3</vt:lpstr>
      <vt:lpstr>Activity4</vt:lpstr>
      <vt:lpstr>Advisor</vt:lpstr>
      <vt:lpstr>AppDate</vt:lpstr>
      <vt:lpstr>AppMonth</vt:lpstr>
      <vt:lpstr>AppYear</vt:lpstr>
      <vt:lpstr>AssDirector</vt:lpstr>
      <vt:lpstr>Att_1</vt:lpstr>
      <vt:lpstr>Att_10</vt:lpstr>
      <vt:lpstr>Att_11</vt:lpstr>
      <vt:lpstr>Att_12</vt:lpstr>
      <vt:lpstr>Att_13</vt:lpstr>
      <vt:lpstr>Att_14</vt:lpstr>
      <vt:lpstr>Att_15</vt:lpstr>
      <vt:lpstr>Att_16</vt:lpstr>
      <vt:lpstr>Att_17</vt:lpstr>
      <vt:lpstr>Att_18</vt:lpstr>
      <vt:lpstr>Att_19</vt:lpstr>
      <vt:lpstr>Att_2</vt:lpstr>
      <vt:lpstr>Att_20</vt:lpstr>
      <vt:lpstr>Att_21</vt:lpstr>
      <vt:lpstr>Att_22</vt:lpstr>
      <vt:lpstr>Att_23</vt:lpstr>
      <vt:lpstr>Att_24</vt:lpstr>
      <vt:lpstr>Att_25</vt:lpstr>
      <vt:lpstr>Att_26</vt:lpstr>
      <vt:lpstr>Att_27</vt:lpstr>
      <vt:lpstr>Att_28</vt:lpstr>
      <vt:lpstr>Att_29</vt:lpstr>
      <vt:lpstr>Att_3</vt:lpstr>
      <vt:lpstr>Att_30</vt:lpstr>
      <vt:lpstr>Att_31</vt:lpstr>
      <vt:lpstr>Att_32</vt:lpstr>
      <vt:lpstr>Att_33</vt:lpstr>
      <vt:lpstr>Att_34</vt:lpstr>
      <vt:lpstr>Att_35</vt:lpstr>
      <vt:lpstr>Att_36</vt:lpstr>
      <vt:lpstr>Att_37</vt:lpstr>
      <vt:lpstr>Att_38</vt:lpstr>
      <vt:lpstr>Att_39</vt:lpstr>
      <vt:lpstr>Att_4</vt:lpstr>
      <vt:lpstr>Att_40</vt:lpstr>
      <vt:lpstr>Att_41</vt:lpstr>
      <vt:lpstr>Att_42</vt:lpstr>
      <vt:lpstr>Att_43</vt:lpstr>
      <vt:lpstr>Att_44</vt:lpstr>
      <vt:lpstr>Att_45</vt:lpstr>
      <vt:lpstr>Att_5</vt:lpstr>
      <vt:lpstr>Att_6</vt:lpstr>
      <vt:lpstr>Att_7</vt:lpstr>
      <vt:lpstr>Att_8</vt:lpstr>
      <vt:lpstr>Att_9</vt:lpstr>
      <vt:lpstr>Attribute</vt:lpstr>
      <vt:lpstr>Class</vt:lpstr>
      <vt:lpstr>CodeEle1</vt:lpstr>
      <vt:lpstr>CodeEle10</vt:lpstr>
      <vt:lpstr>CodeEle11</vt:lpstr>
      <vt:lpstr>CodeEle12</vt:lpstr>
      <vt:lpstr>CodeEle2</vt:lpstr>
      <vt:lpstr>CodeEle3</vt:lpstr>
      <vt:lpstr>CodeEle4</vt:lpstr>
      <vt:lpstr>CodeEle5</vt:lpstr>
      <vt:lpstr>CodeEle6</vt:lpstr>
      <vt:lpstr>CodeEle7</vt:lpstr>
      <vt:lpstr>CodeEle8</vt:lpstr>
      <vt:lpstr>CodeEle9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CreditEle1</vt:lpstr>
      <vt:lpstr>CreditEle10</vt:lpstr>
      <vt:lpstr>CreditEle11</vt:lpstr>
      <vt:lpstr>CreditEle12</vt:lpstr>
      <vt:lpstr>CreditEle2</vt:lpstr>
      <vt:lpstr>CreditEle3</vt:lpstr>
      <vt:lpstr>CreditEle4</vt:lpstr>
      <vt:lpstr>CreditEle5</vt:lpstr>
      <vt:lpstr>CreditEle6</vt:lpstr>
      <vt:lpstr>CreditEle7</vt:lpstr>
      <vt:lpstr>CreditEle8</vt:lpstr>
      <vt:lpstr>CreditEle9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EleGrade1</vt:lpstr>
      <vt:lpstr>EleGrade10</vt:lpstr>
      <vt:lpstr>EleGrade11</vt:lpstr>
      <vt:lpstr>EleGrade12</vt:lpstr>
      <vt:lpstr>EleGrade2</vt:lpstr>
      <vt:lpstr>EleGrade3</vt:lpstr>
      <vt:lpstr>EleGrade4</vt:lpstr>
      <vt:lpstr>EleGrade5</vt:lpstr>
      <vt:lpstr>EleGrade6</vt:lpstr>
      <vt:lpstr>EleGrade7</vt:lpstr>
      <vt:lpstr>EleGrade8</vt:lpstr>
      <vt:lpstr>EleGrade9</vt:lpstr>
      <vt:lpstr>EleMid1_1</vt:lpstr>
      <vt:lpstr>EleMid1_10</vt:lpstr>
      <vt:lpstr>EleMid1_11</vt:lpstr>
      <vt:lpstr>EleMid1_12</vt:lpstr>
      <vt:lpstr>EleMid1_13</vt:lpstr>
      <vt:lpstr>EleMid1_14</vt:lpstr>
      <vt:lpstr>EleMid1_15</vt:lpstr>
      <vt:lpstr>EleMid1_16</vt:lpstr>
      <vt:lpstr>EleMid1_17</vt:lpstr>
      <vt:lpstr>EleMid1_18</vt:lpstr>
      <vt:lpstr>EleMid1_19</vt:lpstr>
      <vt:lpstr>EleMid1_2</vt:lpstr>
      <vt:lpstr>EleMid1_20</vt:lpstr>
      <vt:lpstr>EleMid1_21</vt:lpstr>
      <vt:lpstr>EleMid1_22</vt:lpstr>
      <vt:lpstr>EleMid1_23</vt:lpstr>
      <vt:lpstr>EleMid1_24</vt:lpstr>
      <vt:lpstr>EleMid1_25</vt:lpstr>
      <vt:lpstr>EleMid1_26</vt:lpstr>
      <vt:lpstr>EleMid1_27</vt:lpstr>
      <vt:lpstr>EleMid1_28</vt:lpstr>
      <vt:lpstr>EleMid1_29</vt:lpstr>
      <vt:lpstr>EleMid1_3</vt:lpstr>
      <vt:lpstr>EleMid1_30</vt:lpstr>
      <vt:lpstr>EleMid1_31</vt:lpstr>
      <vt:lpstr>EleMid1_32</vt:lpstr>
      <vt:lpstr>EleMid1_33</vt:lpstr>
      <vt:lpstr>EleMid1_34</vt:lpstr>
      <vt:lpstr>EleMid1_35</vt:lpstr>
      <vt:lpstr>EleMid1_36</vt:lpstr>
      <vt:lpstr>EleMid1_37</vt:lpstr>
      <vt:lpstr>EleMid1_38</vt:lpstr>
      <vt:lpstr>EleMid1_39</vt:lpstr>
      <vt:lpstr>EleMid1_4</vt:lpstr>
      <vt:lpstr>EleMid1_40</vt:lpstr>
      <vt:lpstr>EleMid1_41</vt:lpstr>
      <vt:lpstr>EleMid1_42</vt:lpstr>
      <vt:lpstr>EleMid1_43</vt:lpstr>
      <vt:lpstr>EleMid1_44</vt:lpstr>
      <vt:lpstr>EleMid1_45</vt:lpstr>
      <vt:lpstr>EleMid1_5</vt:lpstr>
      <vt:lpstr>EleMid1_6</vt:lpstr>
      <vt:lpstr>EleMid1_7</vt:lpstr>
      <vt:lpstr>EleMid1_8</vt:lpstr>
      <vt:lpstr>EleMid1_9</vt:lpstr>
      <vt:lpstr>EleMid2_1</vt:lpstr>
      <vt:lpstr>EleMid2_10</vt:lpstr>
      <vt:lpstr>EleMid2_11</vt:lpstr>
      <vt:lpstr>EleMid2_12</vt:lpstr>
      <vt:lpstr>EleMid2_13</vt:lpstr>
      <vt:lpstr>EleMid2_14</vt:lpstr>
      <vt:lpstr>EleMid2_15</vt:lpstr>
      <vt:lpstr>EleMid2_16</vt:lpstr>
      <vt:lpstr>EleMid2_17</vt:lpstr>
      <vt:lpstr>EleMid2_18</vt:lpstr>
      <vt:lpstr>EleMid2_19</vt:lpstr>
      <vt:lpstr>EleMid2_2</vt:lpstr>
      <vt:lpstr>EleMid2_20</vt:lpstr>
      <vt:lpstr>EleMid2_21</vt:lpstr>
      <vt:lpstr>EleMid2_22</vt:lpstr>
      <vt:lpstr>EleMid2_23</vt:lpstr>
      <vt:lpstr>EleMid2_24</vt:lpstr>
      <vt:lpstr>EleMid2_25</vt:lpstr>
      <vt:lpstr>EleMid2_26</vt:lpstr>
      <vt:lpstr>EleMid2_27</vt:lpstr>
      <vt:lpstr>EleMid2_28</vt:lpstr>
      <vt:lpstr>EleMid2_29</vt:lpstr>
      <vt:lpstr>EleMid2_3</vt:lpstr>
      <vt:lpstr>EleMid2_30</vt:lpstr>
      <vt:lpstr>EleMid2_31</vt:lpstr>
      <vt:lpstr>EleMid2_32</vt:lpstr>
      <vt:lpstr>EleMid2_33</vt:lpstr>
      <vt:lpstr>EleMid2_34</vt:lpstr>
      <vt:lpstr>EleMid2_35</vt:lpstr>
      <vt:lpstr>EleMid2_36</vt:lpstr>
      <vt:lpstr>EleMid2_37</vt:lpstr>
      <vt:lpstr>EleMid2_38</vt:lpstr>
      <vt:lpstr>EleMid2_39</vt:lpstr>
      <vt:lpstr>EleMid2_4</vt:lpstr>
      <vt:lpstr>EleMid2_40</vt:lpstr>
      <vt:lpstr>EleMid2_41</vt:lpstr>
      <vt:lpstr>EleMid2_42</vt:lpstr>
      <vt:lpstr>EleMid2_43</vt:lpstr>
      <vt:lpstr>EleMid2_44</vt:lpstr>
      <vt:lpstr>EleMid2_45</vt:lpstr>
      <vt:lpstr>EleMid2_5</vt:lpstr>
      <vt:lpstr>EleMid2_6</vt:lpstr>
      <vt:lpstr>EleMid2_7</vt:lpstr>
      <vt:lpstr>EleMid2_8</vt:lpstr>
      <vt:lpstr>EleMid2_9</vt:lpstr>
      <vt:lpstr>EleMid3_1</vt:lpstr>
      <vt:lpstr>EleMid3_10</vt:lpstr>
      <vt:lpstr>EleMid3_11</vt:lpstr>
      <vt:lpstr>EleMid3_12</vt:lpstr>
      <vt:lpstr>EleMid3_13</vt:lpstr>
      <vt:lpstr>EleMid3_14</vt:lpstr>
      <vt:lpstr>EleMid3_15</vt:lpstr>
      <vt:lpstr>EleMid3_16</vt:lpstr>
      <vt:lpstr>EleMid3_17</vt:lpstr>
      <vt:lpstr>EleMid3_18</vt:lpstr>
      <vt:lpstr>EleMid3_19</vt:lpstr>
      <vt:lpstr>EleMid3_2</vt:lpstr>
      <vt:lpstr>EleMid3_20</vt:lpstr>
      <vt:lpstr>EleMid3_21</vt:lpstr>
      <vt:lpstr>EleMid3_22</vt:lpstr>
      <vt:lpstr>EleMid3_23</vt:lpstr>
      <vt:lpstr>EleMid3_24</vt:lpstr>
      <vt:lpstr>EleMid3_25</vt:lpstr>
      <vt:lpstr>EleMid3_26</vt:lpstr>
      <vt:lpstr>EleMid3_27</vt:lpstr>
      <vt:lpstr>EleMid3_28</vt:lpstr>
      <vt:lpstr>EleMid3_29</vt:lpstr>
      <vt:lpstr>EleMid3_3</vt:lpstr>
      <vt:lpstr>EleMid3_30</vt:lpstr>
      <vt:lpstr>EleMid3_31</vt:lpstr>
      <vt:lpstr>EleMid3_32</vt:lpstr>
      <vt:lpstr>EleMid3_33</vt:lpstr>
      <vt:lpstr>EleMid3_34</vt:lpstr>
      <vt:lpstr>EleMid3_35</vt:lpstr>
      <vt:lpstr>EleMid3_36</vt:lpstr>
      <vt:lpstr>EleMid3_37</vt:lpstr>
      <vt:lpstr>EleMid3_38</vt:lpstr>
      <vt:lpstr>EleMid3_39</vt:lpstr>
      <vt:lpstr>EleMid3_4</vt:lpstr>
      <vt:lpstr>EleMid3_40</vt:lpstr>
      <vt:lpstr>EleMid3_41</vt:lpstr>
      <vt:lpstr>EleMid3_42</vt:lpstr>
      <vt:lpstr>EleMid3_43</vt:lpstr>
      <vt:lpstr>EleMid3_44</vt:lpstr>
      <vt:lpstr>EleMid3_45</vt:lpstr>
      <vt:lpstr>EleMid3_5</vt:lpstr>
      <vt:lpstr>EleMid3_6</vt:lpstr>
      <vt:lpstr>EleMid3_7</vt:lpstr>
      <vt:lpstr>EleMid3_8</vt:lpstr>
      <vt:lpstr>EleMid3_9</vt:lpstr>
      <vt:lpstr>EleMid4_1</vt:lpstr>
      <vt:lpstr>EleMid4_10</vt:lpstr>
      <vt:lpstr>EleMid4_11</vt:lpstr>
      <vt:lpstr>EleMid4_12</vt:lpstr>
      <vt:lpstr>EleMid4_13</vt:lpstr>
      <vt:lpstr>EleMid4_14</vt:lpstr>
      <vt:lpstr>EleMid4_15</vt:lpstr>
      <vt:lpstr>EleMid4_16</vt:lpstr>
      <vt:lpstr>EleMid4_17</vt:lpstr>
      <vt:lpstr>EleMid4_18</vt:lpstr>
      <vt:lpstr>EleMid4_19</vt:lpstr>
      <vt:lpstr>EleMid4_2</vt:lpstr>
      <vt:lpstr>EleMid4_20</vt:lpstr>
      <vt:lpstr>EleMid4_21</vt:lpstr>
      <vt:lpstr>EleMid4_22</vt:lpstr>
      <vt:lpstr>EleMid4_23</vt:lpstr>
      <vt:lpstr>EleMid4_24</vt:lpstr>
      <vt:lpstr>EleMid4_25</vt:lpstr>
      <vt:lpstr>EleMid4_26</vt:lpstr>
      <vt:lpstr>EleMid4_27</vt:lpstr>
      <vt:lpstr>EleMid4_28</vt:lpstr>
      <vt:lpstr>EleMid4_29</vt:lpstr>
      <vt:lpstr>EleMid4_3</vt:lpstr>
      <vt:lpstr>EleMid4_30</vt:lpstr>
      <vt:lpstr>EleMid4_31</vt:lpstr>
      <vt:lpstr>EleMid4_32</vt:lpstr>
      <vt:lpstr>EleMid4_33</vt:lpstr>
      <vt:lpstr>EleMid4_34</vt:lpstr>
      <vt:lpstr>EleMid4_35</vt:lpstr>
      <vt:lpstr>EleMid4_36</vt:lpstr>
      <vt:lpstr>EleMid4_37</vt:lpstr>
      <vt:lpstr>EleMid4_38</vt:lpstr>
      <vt:lpstr>EleMid4_39</vt:lpstr>
      <vt:lpstr>EleMid4_4</vt:lpstr>
      <vt:lpstr>EleMid4_40</vt:lpstr>
      <vt:lpstr>EleMid4_41</vt:lpstr>
      <vt:lpstr>EleMid4_42</vt:lpstr>
      <vt:lpstr>EleMid4_43</vt:lpstr>
      <vt:lpstr>EleMid4_44</vt:lpstr>
      <vt:lpstr>EleMid4_45</vt:lpstr>
      <vt:lpstr>EleMid4_5</vt:lpstr>
      <vt:lpstr>EleMid4_6</vt:lpstr>
      <vt:lpstr>EleMid4_7</vt:lpstr>
      <vt:lpstr>EleMid4_8</vt:lpstr>
      <vt:lpstr>EleMid4_9</vt:lpstr>
      <vt:lpstr>EleMid5_1</vt:lpstr>
      <vt:lpstr>EleMid5_10</vt:lpstr>
      <vt:lpstr>EleMid5_11</vt:lpstr>
      <vt:lpstr>EleMid5_12</vt:lpstr>
      <vt:lpstr>EleMid5_13</vt:lpstr>
      <vt:lpstr>EleMid5_14</vt:lpstr>
      <vt:lpstr>EleMid5_15</vt:lpstr>
      <vt:lpstr>EleMid5_16</vt:lpstr>
      <vt:lpstr>EleMid5_17</vt:lpstr>
      <vt:lpstr>EleMid5_18</vt:lpstr>
      <vt:lpstr>EleMid5_19</vt:lpstr>
      <vt:lpstr>EleMid5_2</vt:lpstr>
      <vt:lpstr>EleMid5_20</vt:lpstr>
      <vt:lpstr>EleMid5_21</vt:lpstr>
      <vt:lpstr>EleMid5_22</vt:lpstr>
      <vt:lpstr>EleMid5_23</vt:lpstr>
      <vt:lpstr>EleMid5_24</vt:lpstr>
      <vt:lpstr>EleMid5_25</vt:lpstr>
      <vt:lpstr>EleMid5_26</vt:lpstr>
      <vt:lpstr>EleMid5_27</vt:lpstr>
      <vt:lpstr>EleMid5_28</vt:lpstr>
      <vt:lpstr>EleMid5_29</vt:lpstr>
      <vt:lpstr>EleMid5_3</vt:lpstr>
      <vt:lpstr>EleMid5_30</vt:lpstr>
      <vt:lpstr>EleMid5_31</vt:lpstr>
      <vt:lpstr>EleMid5_32</vt:lpstr>
      <vt:lpstr>EleMid5_33</vt:lpstr>
      <vt:lpstr>EleMid5_34</vt:lpstr>
      <vt:lpstr>EleMid5_35</vt:lpstr>
      <vt:lpstr>EleMid5_36</vt:lpstr>
      <vt:lpstr>EleMid5_37</vt:lpstr>
      <vt:lpstr>EleMid5_38</vt:lpstr>
      <vt:lpstr>EleMid5_39</vt:lpstr>
      <vt:lpstr>EleMid5_4</vt:lpstr>
      <vt:lpstr>EleMid5_40</vt:lpstr>
      <vt:lpstr>EleMid5_41</vt:lpstr>
      <vt:lpstr>EleMid5_42</vt:lpstr>
      <vt:lpstr>EleMid5_43</vt:lpstr>
      <vt:lpstr>EleMid5_44</vt:lpstr>
      <vt:lpstr>EleMid5_45</vt:lpstr>
      <vt:lpstr>EleMid5_5</vt:lpstr>
      <vt:lpstr>EleMid5_6</vt:lpstr>
      <vt:lpstr>EleMid5_7</vt:lpstr>
      <vt:lpstr>EleMid5_8</vt:lpstr>
      <vt:lpstr>EleMid5_9</vt:lpstr>
      <vt:lpstr>Eval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GenMid1_1</vt:lpstr>
      <vt:lpstr>GenMid1_10</vt:lpstr>
      <vt:lpstr>GenMid1_11</vt:lpstr>
      <vt:lpstr>GenMid1_12</vt:lpstr>
      <vt:lpstr>GenMid1_13</vt:lpstr>
      <vt:lpstr>GenMid1_14</vt:lpstr>
      <vt:lpstr>GenMid1_15</vt:lpstr>
      <vt:lpstr>GenMid1_16</vt:lpstr>
      <vt:lpstr>GenMid1_17</vt:lpstr>
      <vt:lpstr>GenMid1_18</vt:lpstr>
      <vt:lpstr>GenMid1_19</vt:lpstr>
      <vt:lpstr>GenMid1_2</vt:lpstr>
      <vt:lpstr>GenMid1_20</vt:lpstr>
      <vt:lpstr>GenMid1_21</vt:lpstr>
      <vt:lpstr>GenMid1_22</vt:lpstr>
      <vt:lpstr>GenMid1_23</vt:lpstr>
      <vt:lpstr>GenMid1_24</vt:lpstr>
      <vt:lpstr>GenMid1_25</vt:lpstr>
      <vt:lpstr>GenMid1_26</vt:lpstr>
      <vt:lpstr>GenMid1_27</vt:lpstr>
      <vt:lpstr>GenMid1_28</vt:lpstr>
      <vt:lpstr>GenMid1_29</vt:lpstr>
      <vt:lpstr>GenMid1_3</vt:lpstr>
      <vt:lpstr>GenMid1_30</vt:lpstr>
      <vt:lpstr>GenMid1_31</vt:lpstr>
      <vt:lpstr>GenMid1_32</vt:lpstr>
      <vt:lpstr>GenMid1_33</vt:lpstr>
      <vt:lpstr>GenMid1_34</vt:lpstr>
      <vt:lpstr>GenMid1_35</vt:lpstr>
      <vt:lpstr>GenMid1_36</vt:lpstr>
      <vt:lpstr>GenMid1_37</vt:lpstr>
      <vt:lpstr>GenMid1_38</vt:lpstr>
      <vt:lpstr>GenMid1_39</vt:lpstr>
      <vt:lpstr>GenMid1_4</vt:lpstr>
      <vt:lpstr>GenMid1_40</vt:lpstr>
      <vt:lpstr>GenMid1_41</vt:lpstr>
      <vt:lpstr>GenMid1_42</vt:lpstr>
      <vt:lpstr>GenMid1_43</vt:lpstr>
      <vt:lpstr>GenMid1_44</vt:lpstr>
      <vt:lpstr>GenMid1_45</vt:lpstr>
      <vt:lpstr>GenMid1_5</vt:lpstr>
      <vt:lpstr>GenMid1_6</vt:lpstr>
      <vt:lpstr>GenMid1_7</vt:lpstr>
      <vt:lpstr>GenMid1_8</vt:lpstr>
      <vt:lpstr>GenMid1_9</vt:lpstr>
      <vt:lpstr>GenMid10_1</vt:lpstr>
      <vt:lpstr>GenMid10_10</vt:lpstr>
      <vt:lpstr>GenMid10_11</vt:lpstr>
      <vt:lpstr>GenMid10_12</vt:lpstr>
      <vt:lpstr>GenMid10_13</vt:lpstr>
      <vt:lpstr>GenMid10_14</vt:lpstr>
      <vt:lpstr>GenMid10_15</vt:lpstr>
      <vt:lpstr>GenMid10_16</vt:lpstr>
      <vt:lpstr>GenMid10_17</vt:lpstr>
      <vt:lpstr>GenMid10_18</vt:lpstr>
      <vt:lpstr>GenMid10_19</vt:lpstr>
      <vt:lpstr>GenMid10_2</vt:lpstr>
      <vt:lpstr>GenMid10_20</vt:lpstr>
      <vt:lpstr>GenMid10_21</vt:lpstr>
      <vt:lpstr>GenMid10_22</vt:lpstr>
      <vt:lpstr>GenMid10_23</vt:lpstr>
      <vt:lpstr>GenMid10_24</vt:lpstr>
      <vt:lpstr>GenMid10_25</vt:lpstr>
      <vt:lpstr>GenMid10_26</vt:lpstr>
      <vt:lpstr>GenMid10_27</vt:lpstr>
      <vt:lpstr>GenMid10_28</vt:lpstr>
      <vt:lpstr>GenMid10_29</vt:lpstr>
      <vt:lpstr>GenMid10_3</vt:lpstr>
      <vt:lpstr>GenMid10_30</vt:lpstr>
      <vt:lpstr>GenMid10_31</vt:lpstr>
      <vt:lpstr>GenMid10_32</vt:lpstr>
      <vt:lpstr>GenMid10_33</vt:lpstr>
      <vt:lpstr>GenMid10_34</vt:lpstr>
      <vt:lpstr>GenMid10_35</vt:lpstr>
      <vt:lpstr>GenMid10_36</vt:lpstr>
      <vt:lpstr>GenMid10_37</vt:lpstr>
      <vt:lpstr>GenMid10_38</vt:lpstr>
      <vt:lpstr>GenMid10_39</vt:lpstr>
      <vt:lpstr>GenMid10_4</vt:lpstr>
      <vt:lpstr>GenMid10_40</vt:lpstr>
      <vt:lpstr>GenMid10_41</vt:lpstr>
      <vt:lpstr>GenMid10_42</vt:lpstr>
      <vt:lpstr>GenMid10_43</vt:lpstr>
      <vt:lpstr>GenMid10_44</vt:lpstr>
      <vt:lpstr>GenMid10_45</vt:lpstr>
      <vt:lpstr>GenMid10_5</vt:lpstr>
      <vt:lpstr>GenMid10_6</vt:lpstr>
      <vt:lpstr>GenMid10_7</vt:lpstr>
      <vt:lpstr>GenMid10_8</vt:lpstr>
      <vt:lpstr>GenMid10_9</vt:lpstr>
      <vt:lpstr>GenMid11_1</vt:lpstr>
      <vt:lpstr>GenMid11_10</vt:lpstr>
      <vt:lpstr>GenMid11_11</vt:lpstr>
      <vt:lpstr>GenMid11_12</vt:lpstr>
      <vt:lpstr>GenMid11_13</vt:lpstr>
      <vt:lpstr>GenMid11_14</vt:lpstr>
      <vt:lpstr>GenMid11_15</vt:lpstr>
      <vt:lpstr>GenMid11_16</vt:lpstr>
      <vt:lpstr>GenMid11_17</vt:lpstr>
      <vt:lpstr>GenMid11_18</vt:lpstr>
      <vt:lpstr>GenMid11_19</vt:lpstr>
      <vt:lpstr>GenMid11_2</vt:lpstr>
      <vt:lpstr>GenMid11_20</vt:lpstr>
      <vt:lpstr>GenMid11_21</vt:lpstr>
      <vt:lpstr>GenMid11_22</vt:lpstr>
      <vt:lpstr>GenMid11_23</vt:lpstr>
      <vt:lpstr>GenMid11_24</vt:lpstr>
      <vt:lpstr>GenMid11_25</vt:lpstr>
      <vt:lpstr>GenMid11_26</vt:lpstr>
      <vt:lpstr>GenMid11_27</vt:lpstr>
      <vt:lpstr>GenMid11_28</vt:lpstr>
      <vt:lpstr>GenMid11_29</vt:lpstr>
      <vt:lpstr>GenMid11_3</vt:lpstr>
      <vt:lpstr>GenMid11_30</vt:lpstr>
      <vt:lpstr>GenMid11_31</vt:lpstr>
      <vt:lpstr>GenMid11_32</vt:lpstr>
      <vt:lpstr>GenMid11_33</vt:lpstr>
      <vt:lpstr>GenMid11_34</vt:lpstr>
      <vt:lpstr>GenMid11_35</vt:lpstr>
      <vt:lpstr>GenMid11_36</vt:lpstr>
      <vt:lpstr>GenMid11_37</vt:lpstr>
      <vt:lpstr>GenMid11_38</vt:lpstr>
      <vt:lpstr>GenMid11_39</vt:lpstr>
      <vt:lpstr>GenMid11_4</vt:lpstr>
      <vt:lpstr>GenMid11_40</vt:lpstr>
      <vt:lpstr>GenMid11_41</vt:lpstr>
      <vt:lpstr>GenMid11_42</vt:lpstr>
      <vt:lpstr>GenMid11_43</vt:lpstr>
      <vt:lpstr>GenMid11_44</vt:lpstr>
      <vt:lpstr>GenMid11_45</vt:lpstr>
      <vt:lpstr>GenMid11_5</vt:lpstr>
      <vt:lpstr>GenMid11_6</vt:lpstr>
      <vt:lpstr>GenMid11_7</vt:lpstr>
      <vt:lpstr>GenMid11_8</vt:lpstr>
      <vt:lpstr>GenMid11_9</vt:lpstr>
      <vt:lpstr>GenMid12_1</vt:lpstr>
      <vt:lpstr>GenMid12_10</vt:lpstr>
      <vt:lpstr>GenMid12_11</vt:lpstr>
      <vt:lpstr>GenMid12_12</vt:lpstr>
      <vt:lpstr>GenMid12_13</vt:lpstr>
      <vt:lpstr>GenMid12_14</vt:lpstr>
      <vt:lpstr>GenMid12_15</vt:lpstr>
      <vt:lpstr>GenMid12_16</vt:lpstr>
      <vt:lpstr>GenMid12_17</vt:lpstr>
      <vt:lpstr>GenMid12_18</vt:lpstr>
      <vt:lpstr>GenMid12_19</vt:lpstr>
      <vt:lpstr>GenMid12_2</vt:lpstr>
      <vt:lpstr>GenMid12_20</vt:lpstr>
      <vt:lpstr>GenMid12_21</vt:lpstr>
      <vt:lpstr>GenMid12_22</vt:lpstr>
      <vt:lpstr>GenMid12_23</vt:lpstr>
      <vt:lpstr>GenMid12_24</vt:lpstr>
      <vt:lpstr>GenMid12_25</vt:lpstr>
      <vt:lpstr>GenMid12_26</vt:lpstr>
      <vt:lpstr>GenMid12_27</vt:lpstr>
      <vt:lpstr>GenMid12_28</vt:lpstr>
      <vt:lpstr>GenMid12_29</vt:lpstr>
      <vt:lpstr>GenMid12_3</vt:lpstr>
      <vt:lpstr>GenMid12_30</vt:lpstr>
      <vt:lpstr>GenMid12_31</vt:lpstr>
      <vt:lpstr>GenMid12_32</vt:lpstr>
      <vt:lpstr>GenMid12_33</vt:lpstr>
      <vt:lpstr>GenMid12_34</vt:lpstr>
      <vt:lpstr>GenMid12_35</vt:lpstr>
      <vt:lpstr>GenMid12_36</vt:lpstr>
      <vt:lpstr>GenMid12_37</vt:lpstr>
      <vt:lpstr>GenMid12_38</vt:lpstr>
      <vt:lpstr>GenMid12_39</vt:lpstr>
      <vt:lpstr>GenMid12_4</vt:lpstr>
      <vt:lpstr>GenMid12_40</vt:lpstr>
      <vt:lpstr>GenMid12_41</vt:lpstr>
      <vt:lpstr>GenMid12_42</vt:lpstr>
      <vt:lpstr>GenMid12_43</vt:lpstr>
      <vt:lpstr>GenMid12_44</vt:lpstr>
      <vt:lpstr>GenMid12_45</vt:lpstr>
      <vt:lpstr>GenMid12_5</vt:lpstr>
      <vt:lpstr>GenMid12_6</vt:lpstr>
      <vt:lpstr>GenMid12_7</vt:lpstr>
      <vt:lpstr>GenMid12_8</vt:lpstr>
      <vt:lpstr>GenMid12_9</vt:lpstr>
      <vt:lpstr>GenMid2_1</vt:lpstr>
      <vt:lpstr>GenMid2_10</vt:lpstr>
      <vt:lpstr>GenMid2_11</vt:lpstr>
      <vt:lpstr>GenMid2_12</vt:lpstr>
      <vt:lpstr>GenMid2_13</vt:lpstr>
      <vt:lpstr>GenMid2_14</vt:lpstr>
      <vt:lpstr>GenMid2_15</vt:lpstr>
      <vt:lpstr>GenMid2_16</vt:lpstr>
      <vt:lpstr>GenMid2_17</vt:lpstr>
      <vt:lpstr>GenMid2_18</vt:lpstr>
      <vt:lpstr>GenMid2_19</vt:lpstr>
      <vt:lpstr>GenMid2_2</vt:lpstr>
      <vt:lpstr>GenMid2_20</vt:lpstr>
      <vt:lpstr>GenMid2_21</vt:lpstr>
      <vt:lpstr>GenMid2_22</vt:lpstr>
      <vt:lpstr>GenMid2_23</vt:lpstr>
      <vt:lpstr>GenMid2_24</vt:lpstr>
      <vt:lpstr>GenMid2_25</vt:lpstr>
      <vt:lpstr>GenMid2_26</vt:lpstr>
      <vt:lpstr>GenMid2_27</vt:lpstr>
      <vt:lpstr>GenMid2_28</vt:lpstr>
      <vt:lpstr>GenMid2_29</vt:lpstr>
      <vt:lpstr>GenMid2_3</vt:lpstr>
      <vt:lpstr>GenMid2_30</vt:lpstr>
      <vt:lpstr>GenMid2_31</vt:lpstr>
      <vt:lpstr>GenMid2_32</vt:lpstr>
      <vt:lpstr>GenMid2_33</vt:lpstr>
      <vt:lpstr>GenMid2_34</vt:lpstr>
      <vt:lpstr>GenMid2_35</vt:lpstr>
      <vt:lpstr>GenMid2_36</vt:lpstr>
      <vt:lpstr>GenMid2_37</vt:lpstr>
      <vt:lpstr>GenMid2_38</vt:lpstr>
      <vt:lpstr>GenMid2_39</vt:lpstr>
      <vt:lpstr>GenMid2_4</vt:lpstr>
      <vt:lpstr>GenMid2_40</vt:lpstr>
      <vt:lpstr>GenMid2_41</vt:lpstr>
      <vt:lpstr>GenMid2_42</vt:lpstr>
      <vt:lpstr>GenMid2_43</vt:lpstr>
      <vt:lpstr>GenMid2_44</vt:lpstr>
      <vt:lpstr>GenMid2_45</vt:lpstr>
      <vt:lpstr>GenMid2_5</vt:lpstr>
      <vt:lpstr>GenMid2_6</vt:lpstr>
      <vt:lpstr>GenMid2_7</vt:lpstr>
      <vt:lpstr>GenMid2_8</vt:lpstr>
      <vt:lpstr>GenMid2_9</vt:lpstr>
      <vt:lpstr>GenMid3_1</vt:lpstr>
      <vt:lpstr>GenMid3_10</vt:lpstr>
      <vt:lpstr>GenMid3_11</vt:lpstr>
      <vt:lpstr>GenMid3_12</vt:lpstr>
      <vt:lpstr>GenMid3_13</vt:lpstr>
      <vt:lpstr>GenMid3_14</vt:lpstr>
      <vt:lpstr>GenMid3_15</vt:lpstr>
      <vt:lpstr>GenMid3_16</vt:lpstr>
      <vt:lpstr>GenMid3_17</vt:lpstr>
      <vt:lpstr>GenMid3_18</vt:lpstr>
      <vt:lpstr>GenMid3_19</vt:lpstr>
      <vt:lpstr>GenMid3_2</vt:lpstr>
      <vt:lpstr>GenMid3_20</vt:lpstr>
      <vt:lpstr>GenMid3_21</vt:lpstr>
      <vt:lpstr>GenMid3_22</vt:lpstr>
      <vt:lpstr>GenMid3_23</vt:lpstr>
      <vt:lpstr>GenMid3_24</vt:lpstr>
      <vt:lpstr>GenMid3_25</vt:lpstr>
      <vt:lpstr>GenMid3_26</vt:lpstr>
      <vt:lpstr>GenMid3_27</vt:lpstr>
      <vt:lpstr>GenMid3_28</vt:lpstr>
      <vt:lpstr>GenMid3_29</vt:lpstr>
      <vt:lpstr>GenMid3_3</vt:lpstr>
      <vt:lpstr>GenMid3_30</vt:lpstr>
      <vt:lpstr>GenMid3_31</vt:lpstr>
      <vt:lpstr>GenMid3_32</vt:lpstr>
      <vt:lpstr>GenMid3_33</vt:lpstr>
      <vt:lpstr>GenMid3_34</vt:lpstr>
      <vt:lpstr>GenMid3_35</vt:lpstr>
      <vt:lpstr>GenMid3_36</vt:lpstr>
      <vt:lpstr>GenMid3_37</vt:lpstr>
      <vt:lpstr>GenMid3_38</vt:lpstr>
      <vt:lpstr>GenMid3_39</vt:lpstr>
      <vt:lpstr>GenMid3_4</vt:lpstr>
      <vt:lpstr>GenMid3_40</vt:lpstr>
      <vt:lpstr>GenMid3_41</vt:lpstr>
      <vt:lpstr>GenMid3_42</vt:lpstr>
      <vt:lpstr>GenMid3_43</vt:lpstr>
      <vt:lpstr>GenMid3_44</vt:lpstr>
      <vt:lpstr>GenMid3_45</vt:lpstr>
      <vt:lpstr>GenMid3_5</vt:lpstr>
      <vt:lpstr>GenMid3_6</vt:lpstr>
      <vt:lpstr>GenMid3_7</vt:lpstr>
      <vt:lpstr>GenMid3_8</vt:lpstr>
      <vt:lpstr>GenMid3_9</vt:lpstr>
      <vt:lpstr>GenMid4_1</vt:lpstr>
      <vt:lpstr>GenMid4_10</vt:lpstr>
      <vt:lpstr>GenMid4_11</vt:lpstr>
      <vt:lpstr>GenMid4_12</vt:lpstr>
      <vt:lpstr>GenMid4_13</vt:lpstr>
      <vt:lpstr>GenMid4_14</vt:lpstr>
      <vt:lpstr>GenMid4_15</vt:lpstr>
      <vt:lpstr>GenMid4_16</vt:lpstr>
      <vt:lpstr>GenMid4_17</vt:lpstr>
      <vt:lpstr>GenMid4_18</vt:lpstr>
      <vt:lpstr>GenMid4_19</vt:lpstr>
      <vt:lpstr>GenMid4_2</vt:lpstr>
      <vt:lpstr>GenMid4_20</vt:lpstr>
      <vt:lpstr>GenMid4_21</vt:lpstr>
      <vt:lpstr>GenMid4_22</vt:lpstr>
      <vt:lpstr>GenMid4_23</vt:lpstr>
      <vt:lpstr>GenMid4_24</vt:lpstr>
      <vt:lpstr>GenMid4_25</vt:lpstr>
      <vt:lpstr>GenMid4_26</vt:lpstr>
      <vt:lpstr>GenMid4_27</vt:lpstr>
      <vt:lpstr>GenMid4_28</vt:lpstr>
      <vt:lpstr>GenMid4_29</vt:lpstr>
      <vt:lpstr>GenMid4_3</vt:lpstr>
      <vt:lpstr>GenMid4_30</vt:lpstr>
      <vt:lpstr>GenMid4_31</vt:lpstr>
      <vt:lpstr>GenMid4_32</vt:lpstr>
      <vt:lpstr>GenMid4_33</vt:lpstr>
      <vt:lpstr>GenMid4_34</vt:lpstr>
      <vt:lpstr>GenMid4_35</vt:lpstr>
      <vt:lpstr>GenMid4_36</vt:lpstr>
      <vt:lpstr>GenMid4_37</vt:lpstr>
      <vt:lpstr>GenMid4_38</vt:lpstr>
      <vt:lpstr>GenMid4_39</vt:lpstr>
      <vt:lpstr>GenMid4_4</vt:lpstr>
      <vt:lpstr>GenMid4_40</vt:lpstr>
      <vt:lpstr>GenMid4_41</vt:lpstr>
      <vt:lpstr>GenMid4_42</vt:lpstr>
      <vt:lpstr>GenMid4_43</vt:lpstr>
      <vt:lpstr>GenMid4_44</vt:lpstr>
      <vt:lpstr>GenMid4_45</vt:lpstr>
      <vt:lpstr>GenMid4_5</vt:lpstr>
      <vt:lpstr>GenMid4_6</vt:lpstr>
      <vt:lpstr>GenMid4_7</vt:lpstr>
      <vt:lpstr>GenMid4_8</vt:lpstr>
      <vt:lpstr>GenMid4_9</vt:lpstr>
      <vt:lpstr>GenMid5_1</vt:lpstr>
      <vt:lpstr>GenMid5_10</vt:lpstr>
      <vt:lpstr>GenMid5_11</vt:lpstr>
      <vt:lpstr>GenMid5_12</vt:lpstr>
      <vt:lpstr>GenMid5_13</vt:lpstr>
      <vt:lpstr>GenMid5_14</vt:lpstr>
      <vt:lpstr>GenMid5_15</vt:lpstr>
      <vt:lpstr>GenMid5_16</vt:lpstr>
      <vt:lpstr>GenMid5_17</vt:lpstr>
      <vt:lpstr>GenMid5_18</vt:lpstr>
      <vt:lpstr>GenMid5_19</vt:lpstr>
      <vt:lpstr>GenMid5_2</vt:lpstr>
      <vt:lpstr>GenMid5_20</vt:lpstr>
      <vt:lpstr>GenMid5_21</vt:lpstr>
      <vt:lpstr>GenMid5_22</vt:lpstr>
      <vt:lpstr>GenMid5_23</vt:lpstr>
      <vt:lpstr>GenMid5_24</vt:lpstr>
      <vt:lpstr>GenMid5_25</vt:lpstr>
      <vt:lpstr>GenMid5_26</vt:lpstr>
      <vt:lpstr>GenMid5_27</vt:lpstr>
      <vt:lpstr>GenMid5_28</vt:lpstr>
      <vt:lpstr>GenMid5_29</vt:lpstr>
      <vt:lpstr>GenMid5_3</vt:lpstr>
      <vt:lpstr>GenMid5_30</vt:lpstr>
      <vt:lpstr>GenMid5_31</vt:lpstr>
      <vt:lpstr>GenMid5_32</vt:lpstr>
      <vt:lpstr>GenMid5_33</vt:lpstr>
      <vt:lpstr>GenMid5_34</vt:lpstr>
      <vt:lpstr>GenMid5_35</vt:lpstr>
      <vt:lpstr>GenMid5_36</vt:lpstr>
      <vt:lpstr>GenMid5_37</vt:lpstr>
      <vt:lpstr>GenMid5_38</vt:lpstr>
      <vt:lpstr>GenMid5_39</vt:lpstr>
      <vt:lpstr>GenMid5_4</vt:lpstr>
      <vt:lpstr>GenMid5_40</vt:lpstr>
      <vt:lpstr>GenMid5_41</vt:lpstr>
      <vt:lpstr>GenMid5_42</vt:lpstr>
      <vt:lpstr>GenMid5_43</vt:lpstr>
      <vt:lpstr>GenMid5_44</vt:lpstr>
      <vt:lpstr>GenMid5_45</vt:lpstr>
      <vt:lpstr>GenMid5_5</vt:lpstr>
      <vt:lpstr>GenMid5_6</vt:lpstr>
      <vt:lpstr>GenMid5_7</vt:lpstr>
      <vt:lpstr>GenMid5_8</vt:lpstr>
      <vt:lpstr>GenMid5_9</vt:lpstr>
      <vt:lpstr>GenMid6_1</vt:lpstr>
      <vt:lpstr>GenMid6_10</vt:lpstr>
      <vt:lpstr>GenMid6_11</vt:lpstr>
      <vt:lpstr>GenMid6_12</vt:lpstr>
      <vt:lpstr>GenMid6_13</vt:lpstr>
      <vt:lpstr>GenMid6_14</vt:lpstr>
      <vt:lpstr>GenMid6_15</vt:lpstr>
      <vt:lpstr>GenMid6_16</vt:lpstr>
      <vt:lpstr>GenMid6_17</vt:lpstr>
      <vt:lpstr>GenMid6_18</vt:lpstr>
      <vt:lpstr>GenMid6_19</vt:lpstr>
      <vt:lpstr>GenMid6_2</vt:lpstr>
      <vt:lpstr>GenMid6_20</vt:lpstr>
      <vt:lpstr>GenMid6_21</vt:lpstr>
      <vt:lpstr>GenMid6_22</vt:lpstr>
      <vt:lpstr>GenMid6_23</vt:lpstr>
      <vt:lpstr>GenMid6_24</vt:lpstr>
      <vt:lpstr>GenMid6_25</vt:lpstr>
      <vt:lpstr>GenMid6_26</vt:lpstr>
      <vt:lpstr>GenMid6_27</vt:lpstr>
      <vt:lpstr>GenMid6_28</vt:lpstr>
      <vt:lpstr>GenMid6_29</vt:lpstr>
      <vt:lpstr>GenMid6_3</vt:lpstr>
      <vt:lpstr>GenMid6_30</vt:lpstr>
      <vt:lpstr>GenMid6_31</vt:lpstr>
      <vt:lpstr>GenMid6_32</vt:lpstr>
      <vt:lpstr>GenMid6_33</vt:lpstr>
      <vt:lpstr>GenMid6_34</vt:lpstr>
      <vt:lpstr>GenMid6_35</vt:lpstr>
      <vt:lpstr>GenMid6_36</vt:lpstr>
      <vt:lpstr>GenMid6_37</vt:lpstr>
      <vt:lpstr>GenMid6_38</vt:lpstr>
      <vt:lpstr>GenMid6_39</vt:lpstr>
      <vt:lpstr>GenMid6_4</vt:lpstr>
      <vt:lpstr>GenMid6_40</vt:lpstr>
      <vt:lpstr>GenMid6_41</vt:lpstr>
      <vt:lpstr>GenMid6_42</vt:lpstr>
      <vt:lpstr>GenMid6_43</vt:lpstr>
      <vt:lpstr>GenMid6_44</vt:lpstr>
      <vt:lpstr>GenMid6_45</vt:lpstr>
      <vt:lpstr>GenMid6_5</vt:lpstr>
      <vt:lpstr>GenMid6_6</vt:lpstr>
      <vt:lpstr>GenMid6_7</vt:lpstr>
      <vt:lpstr>GenMid6_8</vt:lpstr>
      <vt:lpstr>GenMid6_9</vt:lpstr>
      <vt:lpstr>GenMid7_1</vt:lpstr>
      <vt:lpstr>GenMid7_10</vt:lpstr>
      <vt:lpstr>GenMid7_11</vt:lpstr>
      <vt:lpstr>GenMid7_12</vt:lpstr>
      <vt:lpstr>GenMid7_13</vt:lpstr>
      <vt:lpstr>GenMid7_14</vt:lpstr>
      <vt:lpstr>GenMid7_15</vt:lpstr>
      <vt:lpstr>GenMid7_16</vt:lpstr>
      <vt:lpstr>GenMid7_17</vt:lpstr>
      <vt:lpstr>GenMid7_18</vt:lpstr>
      <vt:lpstr>GenMid7_19</vt:lpstr>
      <vt:lpstr>GenMid7_2</vt:lpstr>
      <vt:lpstr>GenMid7_20</vt:lpstr>
      <vt:lpstr>GenMid7_21</vt:lpstr>
      <vt:lpstr>GenMid7_22</vt:lpstr>
      <vt:lpstr>GenMid7_23</vt:lpstr>
      <vt:lpstr>GenMid7_24</vt:lpstr>
      <vt:lpstr>GenMid7_25</vt:lpstr>
      <vt:lpstr>GenMid7_26</vt:lpstr>
      <vt:lpstr>GenMid7_27</vt:lpstr>
      <vt:lpstr>GenMid7_28</vt:lpstr>
      <vt:lpstr>GenMid7_29</vt:lpstr>
      <vt:lpstr>GenMid7_3</vt:lpstr>
      <vt:lpstr>GenMid7_30</vt:lpstr>
      <vt:lpstr>GenMid7_31</vt:lpstr>
      <vt:lpstr>GenMid7_32</vt:lpstr>
      <vt:lpstr>GenMid7_33</vt:lpstr>
      <vt:lpstr>GenMid7_34</vt:lpstr>
      <vt:lpstr>GenMid7_35</vt:lpstr>
      <vt:lpstr>GenMid7_36</vt:lpstr>
      <vt:lpstr>GenMid7_37</vt:lpstr>
      <vt:lpstr>GenMid7_38</vt:lpstr>
      <vt:lpstr>GenMid7_39</vt:lpstr>
      <vt:lpstr>GenMid7_4</vt:lpstr>
      <vt:lpstr>GenMid7_40</vt:lpstr>
      <vt:lpstr>GenMid7_41</vt:lpstr>
      <vt:lpstr>GenMid7_42</vt:lpstr>
      <vt:lpstr>GenMid7_43</vt:lpstr>
      <vt:lpstr>GenMid7_44</vt:lpstr>
      <vt:lpstr>GenMid7_45</vt:lpstr>
      <vt:lpstr>GenMid7_5</vt:lpstr>
      <vt:lpstr>GenMid7_6</vt:lpstr>
      <vt:lpstr>GenMid7_7</vt:lpstr>
      <vt:lpstr>GenMid7_8</vt:lpstr>
      <vt:lpstr>GenMid7_9</vt:lpstr>
      <vt:lpstr>GenMid8_1</vt:lpstr>
      <vt:lpstr>GenMid8_10</vt:lpstr>
      <vt:lpstr>GenMid8_11</vt:lpstr>
      <vt:lpstr>GenMid8_12</vt:lpstr>
      <vt:lpstr>GenMid8_13</vt:lpstr>
      <vt:lpstr>GenMid8_14</vt:lpstr>
      <vt:lpstr>GenMid8_15</vt:lpstr>
      <vt:lpstr>GenMid8_16</vt:lpstr>
      <vt:lpstr>GenMid8_17</vt:lpstr>
      <vt:lpstr>GenMid8_18</vt:lpstr>
      <vt:lpstr>GenMid8_19</vt:lpstr>
      <vt:lpstr>GenMid8_2</vt:lpstr>
      <vt:lpstr>GenMid8_20</vt:lpstr>
      <vt:lpstr>GenMid8_21</vt:lpstr>
      <vt:lpstr>GenMid8_22</vt:lpstr>
      <vt:lpstr>GenMid8_23</vt:lpstr>
      <vt:lpstr>GenMid8_24</vt:lpstr>
      <vt:lpstr>GenMid8_25</vt:lpstr>
      <vt:lpstr>GenMid8_26</vt:lpstr>
      <vt:lpstr>GenMid8_27</vt:lpstr>
      <vt:lpstr>GenMid8_28</vt:lpstr>
      <vt:lpstr>GenMid8_29</vt:lpstr>
      <vt:lpstr>GenMid8_3</vt:lpstr>
      <vt:lpstr>GenMid8_30</vt:lpstr>
      <vt:lpstr>GenMid8_31</vt:lpstr>
      <vt:lpstr>GenMid8_32</vt:lpstr>
      <vt:lpstr>GenMid8_33</vt:lpstr>
      <vt:lpstr>GenMid8_34</vt:lpstr>
      <vt:lpstr>GenMid8_35</vt:lpstr>
      <vt:lpstr>GenMid8_36</vt:lpstr>
      <vt:lpstr>GenMid8_37</vt:lpstr>
      <vt:lpstr>GenMid8_38</vt:lpstr>
      <vt:lpstr>GenMid8_39</vt:lpstr>
      <vt:lpstr>GenMid8_4</vt:lpstr>
      <vt:lpstr>GenMid8_40</vt:lpstr>
      <vt:lpstr>GenMid8_41</vt:lpstr>
      <vt:lpstr>GenMid8_42</vt:lpstr>
      <vt:lpstr>GenMid8_43</vt:lpstr>
      <vt:lpstr>GenMid8_44</vt:lpstr>
      <vt:lpstr>GenMid8_45</vt:lpstr>
      <vt:lpstr>GenMid8_5</vt:lpstr>
      <vt:lpstr>GenMid8_6</vt:lpstr>
      <vt:lpstr>GenMid8_7</vt:lpstr>
      <vt:lpstr>GenMid8_8</vt:lpstr>
      <vt:lpstr>GenMid8_9</vt:lpstr>
      <vt:lpstr>GenMid9_1</vt:lpstr>
      <vt:lpstr>GenMid9_10</vt:lpstr>
      <vt:lpstr>GenMid9_11</vt:lpstr>
      <vt:lpstr>GenMid9_12</vt:lpstr>
      <vt:lpstr>GenMid9_13</vt:lpstr>
      <vt:lpstr>GenMid9_14</vt:lpstr>
      <vt:lpstr>GenMid9_15</vt:lpstr>
      <vt:lpstr>GenMid9_16</vt:lpstr>
      <vt:lpstr>GenMid9_17</vt:lpstr>
      <vt:lpstr>GenMid9_18</vt:lpstr>
      <vt:lpstr>GenMid9_19</vt:lpstr>
      <vt:lpstr>GenMid9_2</vt:lpstr>
      <vt:lpstr>GenMid9_20</vt:lpstr>
      <vt:lpstr>GenMid9_21</vt:lpstr>
      <vt:lpstr>GenMid9_22</vt:lpstr>
      <vt:lpstr>GenMid9_23</vt:lpstr>
      <vt:lpstr>GenMid9_24</vt:lpstr>
      <vt:lpstr>GenMid9_25</vt:lpstr>
      <vt:lpstr>GenMid9_26</vt:lpstr>
      <vt:lpstr>GenMid9_27</vt:lpstr>
      <vt:lpstr>GenMid9_28</vt:lpstr>
      <vt:lpstr>GenMid9_29</vt:lpstr>
      <vt:lpstr>GenMid9_3</vt:lpstr>
      <vt:lpstr>GenMid9_30</vt:lpstr>
      <vt:lpstr>GenMid9_31</vt:lpstr>
      <vt:lpstr>GenMid9_32</vt:lpstr>
      <vt:lpstr>GenMid9_33</vt:lpstr>
      <vt:lpstr>GenMid9_34</vt:lpstr>
      <vt:lpstr>GenMid9_35</vt:lpstr>
      <vt:lpstr>GenMid9_36</vt:lpstr>
      <vt:lpstr>GenMid9_37</vt:lpstr>
      <vt:lpstr>GenMid9_38</vt:lpstr>
      <vt:lpstr>GenMid9_39</vt:lpstr>
      <vt:lpstr>GenMid9_4</vt:lpstr>
      <vt:lpstr>GenMid9_40</vt:lpstr>
      <vt:lpstr>GenMid9_41</vt:lpstr>
      <vt:lpstr>GenMid9_42</vt:lpstr>
      <vt:lpstr>GenMid9_43</vt:lpstr>
      <vt:lpstr>GenMid9_44</vt:lpstr>
      <vt:lpstr>GenMid9_45</vt:lpstr>
      <vt:lpstr>GenMid9_5</vt:lpstr>
      <vt:lpstr>GenMid9_6</vt:lpstr>
      <vt:lpstr>GenMid9_7</vt:lpstr>
      <vt:lpstr>GenMid9_8</vt:lpstr>
      <vt:lpstr>GenMid9_9</vt:lpstr>
      <vt:lpstr>'6.2ปลายภาค'!GPA_1</vt:lpstr>
      <vt:lpstr>GPA_1</vt:lpstr>
      <vt:lpstr>'6.2ปลายภาค'!GPA_10</vt:lpstr>
      <vt:lpstr>GPA_10</vt:lpstr>
      <vt:lpstr>'6.2ปลายภาค'!GPA_11</vt:lpstr>
      <vt:lpstr>GPA_11</vt:lpstr>
      <vt:lpstr>'6.2ปลายภาค'!GPA_12</vt:lpstr>
      <vt:lpstr>GPA_12</vt:lpstr>
      <vt:lpstr>'6.2ปลายภาค'!GPA_13</vt:lpstr>
      <vt:lpstr>GPA_13</vt:lpstr>
      <vt:lpstr>'6.2ปลายภาค'!GPA_14</vt:lpstr>
      <vt:lpstr>GPA_14</vt:lpstr>
      <vt:lpstr>'6.2ปลายภาค'!GPA_15</vt:lpstr>
      <vt:lpstr>GPA_15</vt:lpstr>
      <vt:lpstr>'6.2ปลายภาค'!GPA_16</vt:lpstr>
      <vt:lpstr>GPA_16</vt:lpstr>
      <vt:lpstr>'6.2ปลายภาค'!GPA_17</vt:lpstr>
      <vt:lpstr>GPA_17</vt:lpstr>
      <vt:lpstr>'6.2ปลายภาค'!GPA_18</vt:lpstr>
      <vt:lpstr>GPA_18</vt:lpstr>
      <vt:lpstr>'6.2ปลายภาค'!GPA_19</vt:lpstr>
      <vt:lpstr>GPA_19</vt:lpstr>
      <vt:lpstr>'6.2ปลายภาค'!GPA_2</vt:lpstr>
      <vt:lpstr>GPA_2</vt:lpstr>
      <vt:lpstr>'6.2ปลายภาค'!GPA_20</vt:lpstr>
      <vt:lpstr>GPA_20</vt:lpstr>
      <vt:lpstr>'6.2ปลายภาค'!GPA_21</vt:lpstr>
      <vt:lpstr>GPA_21</vt:lpstr>
      <vt:lpstr>'6.2ปลายภาค'!GPA_22</vt:lpstr>
      <vt:lpstr>GPA_22</vt:lpstr>
      <vt:lpstr>'6.2ปลายภาค'!GPA_23</vt:lpstr>
      <vt:lpstr>GPA_23</vt:lpstr>
      <vt:lpstr>'6.2ปลายภาค'!GPA_24</vt:lpstr>
      <vt:lpstr>GPA_24</vt:lpstr>
      <vt:lpstr>'6.2ปลายภาค'!GPA_25</vt:lpstr>
      <vt:lpstr>GPA_25</vt:lpstr>
      <vt:lpstr>'6.2ปลายภาค'!GPA_26</vt:lpstr>
      <vt:lpstr>GPA_26</vt:lpstr>
      <vt:lpstr>'6.2ปลายภาค'!GPA_27</vt:lpstr>
      <vt:lpstr>GPA_27</vt:lpstr>
      <vt:lpstr>'6.2ปลายภาค'!GPA_28</vt:lpstr>
      <vt:lpstr>GPA_28</vt:lpstr>
      <vt:lpstr>'6.2ปลายภาค'!GPA_29</vt:lpstr>
      <vt:lpstr>GPA_29</vt:lpstr>
      <vt:lpstr>'6.2ปลายภาค'!GPA_3</vt:lpstr>
      <vt:lpstr>GPA_3</vt:lpstr>
      <vt:lpstr>'6.2ปลายภาค'!GPA_30</vt:lpstr>
      <vt:lpstr>GPA_30</vt:lpstr>
      <vt:lpstr>'6.2ปลายภาค'!GPA_31</vt:lpstr>
      <vt:lpstr>GPA_31</vt:lpstr>
      <vt:lpstr>'6.2ปลายภาค'!GPA_32</vt:lpstr>
      <vt:lpstr>GPA_32</vt:lpstr>
      <vt:lpstr>'6.2ปลายภาค'!GPA_33</vt:lpstr>
      <vt:lpstr>GPA_33</vt:lpstr>
      <vt:lpstr>'6.2ปลายภาค'!GPA_34</vt:lpstr>
      <vt:lpstr>GPA_34</vt:lpstr>
      <vt:lpstr>'6.2ปลายภาค'!GPA_35</vt:lpstr>
      <vt:lpstr>GPA_35</vt:lpstr>
      <vt:lpstr>'6.2ปลายภาค'!GPA_36</vt:lpstr>
      <vt:lpstr>GPA_36</vt:lpstr>
      <vt:lpstr>'6.2ปลายภาค'!GPA_37</vt:lpstr>
      <vt:lpstr>GPA_37</vt:lpstr>
      <vt:lpstr>'6.2ปลายภาค'!GPA_38</vt:lpstr>
      <vt:lpstr>GPA_38</vt:lpstr>
      <vt:lpstr>'6.2ปลายภาค'!GPA_39</vt:lpstr>
      <vt:lpstr>GPA_39</vt:lpstr>
      <vt:lpstr>'6.2ปลายภาค'!GPA_4</vt:lpstr>
      <vt:lpstr>GPA_4</vt:lpstr>
      <vt:lpstr>'6.2ปลายภาค'!GPA_40</vt:lpstr>
      <vt:lpstr>GPA_40</vt:lpstr>
      <vt:lpstr>'6.2ปลายภาค'!GPA_41</vt:lpstr>
      <vt:lpstr>GPA_41</vt:lpstr>
      <vt:lpstr>'6.2ปลายภาค'!GPA_42</vt:lpstr>
      <vt:lpstr>GPA_42</vt:lpstr>
      <vt:lpstr>'6.2ปลายภาค'!GPA_43</vt:lpstr>
      <vt:lpstr>GPA_43</vt:lpstr>
      <vt:lpstr>'6.2ปลายภาค'!GPA_44</vt:lpstr>
      <vt:lpstr>GPA_44</vt:lpstr>
      <vt:lpstr>'6.2ปลายภาค'!GPA_45</vt:lpstr>
      <vt:lpstr>GPA_45</vt:lpstr>
      <vt:lpstr>'6.2ปลายภาค'!GPA_5</vt:lpstr>
      <vt:lpstr>GPA_5</vt:lpstr>
      <vt:lpstr>'6.2ปลายภาค'!GPA_6</vt:lpstr>
      <vt:lpstr>GPA_6</vt:lpstr>
      <vt:lpstr>'6.2ปลายภาค'!GPA_7</vt:lpstr>
      <vt:lpstr>GPA_7</vt:lpstr>
      <vt:lpstr>'6.2ปลายภาค'!GPA_8</vt:lpstr>
      <vt:lpstr>GPA_8</vt:lpstr>
      <vt:lpstr>'6.2ปลายภาค'!GPA_9</vt:lpstr>
      <vt:lpstr>GPA_9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Midscore_1</vt:lpstr>
      <vt:lpstr>Midscore_2</vt:lpstr>
      <vt:lpstr>MidscoreF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'2.ชื่อนักเรียน'!Print_Area</vt:lpstr>
      <vt:lpstr>'3.เวลาเรียน'!Print_Area</vt:lpstr>
      <vt:lpstr>'5.กลางภาค'!Print_Area</vt:lpstr>
      <vt:lpstr>'6.1ประกาศผลปลายภาค'!Print_Area</vt:lpstr>
      <vt:lpstr>'6.2ปลายภาค'!Print_Area</vt:lpstr>
      <vt:lpstr>'7.บันทึกการเจริญเติบโต'!Print_Area</vt:lpstr>
      <vt:lpstr>'8.ความคิดเห็น'!Print_Area</vt:lpstr>
      <vt:lpstr>'8.คุณลักษณะ'!Print_Area</vt:lpstr>
      <vt:lpstr>ปถ.07!Print_Area</vt:lpstr>
      <vt:lpstr>รายงาน!Print_Area</vt:lpstr>
      <vt:lpstr>'5.กลางภาค'!Print_Titles</vt:lpstr>
      <vt:lpstr>'7.บันทึกการเจริญเติบโต'!Print_Titles</vt:lpstr>
      <vt:lpstr>'9.บันทึกการเจริญเติบโต'!Print_Titles</vt:lpstr>
      <vt:lpstr>Read</vt:lpstr>
      <vt:lpstr>Read_1</vt:lpstr>
      <vt:lpstr>Read_10</vt:lpstr>
      <vt:lpstr>Read_11</vt:lpstr>
      <vt:lpstr>Read_12</vt:lpstr>
      <vt:lpstr>Read_13</vt:lpstr>
      <vt:lpstr>Read_14</vt:lpstr>
      <vt:lpstr>Read_15</vt:lpstr>
      <vt:lpstr>Read_16</vt:lpstr>
      <vt:lpstr>Read_17</vt:lpstr>
      <vt:lpstr>Read_18</vt:lpstr>
      <vt:lpstr>Read_19</vt:lpstr>
      <vt:lpstr>Read_2</vt:lpstr>
      <vt:lpstr>Read_20</vt:lpstr>
      <vt:lpstr>Read_21</vt:lpstr>
      <vt:lpstr>Read_22</vt:lpstr>
      <vt:lpstr>Read_23</vt:lpstr>
      <vt:lpstr>Read_24</vt:lpstr>
      <vt:lpstr>Read_25</vt:lpstr>
      <vt:lpstr>Read_26</vt:lpstr>
      <vt:lpstr>Read_27</vt:lpstr>
      <vt:lpstr>Read_28</vt:lpstr>
      <vt:lpstr>Read_29</vt:lpstr>
      <vt:lpstr>Read_3</vt:lpstr>
      <vt:lpstr>Read_30</vt:lpstr>
      <vt:lpstr>Read_31</vt:lpstr>
      <vt:lpstr>Read_32</vt:lpstr>
      <vt:lpstr>Read_33</vt:lpstr>
      <vt:lpstr>Read_34</vt:lpstr>
      <vt:lpstr>Read_35</vt:lpstr>
      <vt:lpstr>Read_36</vt:lpstr>
      <vt:lpstr>Read_37</vt:lpstr>
      <vt:lpstr>Read_38</vt:lpstr>
      <vt:lpstr>Read_39</vt:lpstr>
      <vt:lpstr>Read_4</vt:lpstr>
      <vt:lpstr>Read_40</vt:lpstr>
      <vt:lpstr>Read_41</vt:lpstr>
      <vt:lpstr>Read_42</vt:lpstr>
      <vt:lpstr>Read_43</vt:lpstr>
      <vt:lpstr>Read_44</vt:lpstr>
      <vt:lpstr>Read_45</vt:lpstr>
      <vt:lpstr>Read_5</vt:lpstr>
      <vt:lpstr>Read_6</vt:lpstr>
      <vt:lpstr>Read_7</vt:lpstr>
      <vt:lpstr>Read_8</vt:lpstr>
      <vt:lpstr>Read_9</vt:lpstr>
      <vt:lpstr>Semester</vt:lpstr>
      <vt:lpstr>'6.2ปลายภาค'!StRank_1</vt:lpstr>
      <vt:lpstr>StRank_1</vt:lpstr>
      <vt:lpstr>'6.2ปลายภาค'!StRank_10</vt:lpstr>
      <vt:lpstr>StRank_10</vt:lpstr>
      <vt:lpstr>'6.2ปลายภาค'!StRank_11</vt:lpstr>
      <vt:lpstr>StRank_11</vt:lpstr>
      <vt:lpstr>'6.2ปลายภาค'!StRank_12</vt:lpstr>
      <vt:lpstr>StRank_12</vt:lpstr>
      <vt:lpstr>'6.2ปลายภาค'!StRank_13</vt:lpstr>
      <vt:lpstr>StRank_13</vt:lpstr>
      <vt:lpstr>'6.2ปลายภาค'!StRank_14</vt:lpstr>
      <vt:lpstr>StRank_14</vt:lpstr>
      <vt:lpstr>'6.2ปลายภาค'!StRank_15</vt:lpstr>
      <vt:lpstr>StRank_15</vt:lpstr>
      <vt:lpstr>'6.2ปลายภาค'!StRank_16</vt:lpstr>
      <vt:lpstr>StRank_16</vt:lpstr>
      <vt:lpstr>'6.2ปลายภาค'!StRank_17</vt:lpstr>
      <vt:lpstr>StRank_17</vt:lpstr>
      <vt:lpstr>'6.2ปลายภาค'!StRank_18</vt:lpstr>
      <vt:lpstr>StRank_18</vt:lpstr>
      <vt:lpstr>'6.2ปลายภาค'!StRank_19</vt:lpstr>
      <vt:lpstr>StRank_19</vt:lpstr>
      <vt:lpstr>'6.2ปลายภาค'!StRank_2</vt:lpstr>
      <vt:lpstr>StRank_2</vt:lpstr>
      <vt:lpstr>'6.2ปลายภาค'!StRank_20</vt:lpstr>
      <vt:lpstr>StRank_20</vt:lpstr>
      <vt:lpstr>'6.2ปลายภาค'!StRank_21</vt:lpstr>
      <vt:lpstr>StRank_21</vt:lpstr>
      <vt:lpstr>'6.2ปลายภาค'!StRank_22</vt:lpstr>
      <vt:lpstr>StRank_22</vt:lpstr>
      <vt:lpstr>'6.2ปลายภาค'!StRank_23</vt:lpstr>
      <vt:lpstr>StRank_23</vt:lpstr>
      <vt:lpstr>'6.2ปลายภาค'!StRank_24</vt:lpstr>
      <vt:lpstr>StRank_24</vt:lpstr>
      <vt:lpstr>'6.2ปลายภาค'!StRank_25</vt:lpstr>
      <vt:lpstr>StRank_25</vt:lpstr>
      <vt:lpstr>'6.2ปลายภาค'!StRank_26</vt:lpstr>
      <vt:lpstr>StRank_26</vt:lpstr>
      <vt:lpstr>'6.2ปลายภาค'!StRank_27</vt:lpstr>
      <vt:lpstr>StRank_27</vt:lpstr>
      <vt:lpstr>'6.2ปลายภาค'!StRank_28</vt:lpstr>
      <vt:lpstr>StRank_28</vt:lpstr>
      <vt:lpstr>'6.2ปลายภาค'!StRank_29</vt:lpstr>
      <vt:lpstr>StRank_29</vt:lpstr>
      <vt:lpstr>'6.2ปลายภาค'!StRank_3</vt:lpstr>
      <vt:lpstr>StRank_3</vt:lpstr>
      <vt:lpstr>'6.2ปลายภาค'!StRank_30</vt:lpstr>
      <vt:lpstr>StRank_30</vt:lpstr>
      <vt:lpstr>'6.2ปลายภาค'!StRank_31</vt:lpstr>
      <vt:lpstr>StRank_31</vt:lpstr>
      <vt:lpstr>'6.2ปลายภาค'!StRank_32</vt:lpstr>
      <vt:lpstr>StRank_32</vt:lpstr>
      <vt:lpstr>'6.2ปลายภาค'!StRank_33</vt:lpstr>
      <vt:lpstr>StRank_33</vt:lpstr>
      <vt:lpstr>'6.2ปลายภาค'!StRank_34</vt:lpstr>
      <vt:lpstr>StRank_34</vt:lpstr>
      <vt:lpstr>'6.2ปลายภาค'!StRank_35</vt:lpstr>
      <vt:lpstr>StRank_35</vt:lpstr>
      <vt:lpstr>'6.2ปลายภาค'!StRank_36</vt:lpstr>
      <vt:lpstr>StRank_36</vt:lpstr>
      <vt:lpstr>'6.2ปลายภาค'!StRank_37</vt:lpstr>
      <vt:lpstr>StRank_37</vt:lpstr>
      <vt:lpstr>'6.2ปลายภาค'!StRank_38</vt:lpstr>
      <vt:lpstr>StRank_38</vt:lpstr>
      <vt:lpstr>'6.2ปลายภาค'!StRank_39</vt:lpstr>
      <vt:lpstr>StRank_39</vt:lpstr>
      <vt:lpstr>'6.2ปลายภาค'!StRank_4</vt:lpstr>
      <vt:lpstr>StRank_4</vt:lpstr>
      <vt:lpstr>'6.2ปลายภาค'!StRank_40</vt:lpstr>
      <vt:lpstr>StRank_40</vt:lpstr>
      <vt:lpstr>'6.2ปลายภาค'!StRank_41</vt:lpstr>
      <vt:lpstr>StRank_41</vt:lpstr>
      <vt:lpstr>'6.2ปลายภาค'!StRank_42</vt:lpstr>
      <vt:lpstr>StRank_42</vt:lpstr>
      <vt:lpstr>'6.2ปลายภาค'!StRank_43</vt:lpstr>
      <vt:lpstr>StRank_43</vt:lpstr>
      <vt:lpstr>'6.2ปลายภาค'!StRank_44</vt:lpstr>
      <vt:lpstr>StRank_44</vt:lpstr>
      <vt:lpstr>'6.2ปลายภาค'!StRank_45</vt:lpstr>
      <vt:lpstr>StRank_45</vt:lpstr>
      <vt:lpstr>'6.2ปลายภาค'!StRank_5</vt:lpstr>
      <vt:lpstr>StRank_5</vt:lpstr>
      <vt:lpstr>'6.2ปลายภาค'!StRank_6</vt:lpstr>
      <vt:lpstr>StRank_6</vt:lpstr>
      <vt:lpstr>'6.2ปลายภาค'!StRank_7</vt:lpstr>
      <vt:lpstr>StRank_7</vt:lpstr>
      <vt:lpstr>'6.2ปลายภาค'!StRank_8</vt:lpstr>
      <vt:lpstr>StRank_8</vt:lpstr>
      <vt:lpstr>'6.2ปลายภาค'!StRank_9</vt:lpstr>
      <vt:lpstr>StRank_9</vt:lpstr>
      <vt:lpstr>SubEle1</vt:lpstr>
      <vt:lpstr>SubEle10</vt:lpstr>
      <vt:lpstr>SubEle11</vt:lpstr>
      <vt:lpstr>SubEle12</vt:lpstr>
      <vt:lpstr>SubEle2</vt:lpstr>
      <vt:lpstr>SubEle3</vt:lpstr>
      <vt:lpstr>SubEle4</vt:lpstr>
      <vt:lpstr>SubEle5</vt:lpstr>
      <vt:lpstr>SubEle6</vt:lpstr>
      <vt:lpstr>SubEle7</vt:lpstr>
      <vt:lpstr>SubEle8</vt:lpstr>
      <vt:lpstr>SubEle9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Time1</vt:lpstr>
      <vt:lpstr>Time2</vt:lpstr>
      <vt:lpstr>Time4</vt:lpstr>
      <vt:lpstr>'6.2ปลายภาค'!top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Middleton</cp:lastModifiedBy>
  <cp:lastPrinted>2024-05-14T09:02:14Z</cp:lastPrinted>
  <dcterms:created xsi:type="dcterms:W3CDTF">2011-06-30T05:49:59Z</dcterms:created>
  <dcterms:modified xsi:type="dcterms:W3CDTF">2025-06-07T07:55:40Z</dcterms:modified>
</cp:coreProperties>
</file>