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Shared drives\งานวัดผล สธร\for Foreign Teachers\Grades\2024-1\"/>
    </mc:Choice>
  </mc:AlternateContent>
  <xr:revisionPtr revIDLastSave="0" documentId="13_ncr:1_{2EC6ADE0-69C4-4EB2-991C-C955024E3654}" xr6:coauthVersionLast="47" xr6:coauthVersionMax="47" xr10:uidLastSave="{00000000-0000-0000-0000-000000000000}"/>
  <bookViews>
    <workbookView xWindow="28680" yWindow="-120" windowWidth="29040" windowHeight="15840" tabRatio="857" xr2:uid="{00000000-000D-0000-FFFF-FFFF00000000}"/>
  </bookViews>
  <sheets>
    <sheet name="1.ข้อมูลเบื้องต้น" sheetId="1" r:id="rId1"/>
    <sheet name="2.Students' data" sheetId="2" r:id="rId2"/>
    <sheet name="3.Grades" sheetId="18" r:id="rId3"/>
    <sheet name="6.1Summary of grades" sheetId="5" r:id="rId4"/>
    <sheet name="7.บันทึกการเจริญเติบโต" sheetId="14" state="hidden" r:id="rId5"/>
    <sheet name="8.ความคิดเห็น" sheetId="15" state="hidden" r:id="rId6"/>
    <sheet name="9.บันทึกการเจริญเติบโต" sheetId="20" state="hidden" r:id="rId7"/>
    <sheet name="Report" sheetId="16" r:id="rId8"/>
    <sheet name="Subject" sheetId="12" r:id="rId9"/>
    <sheet name="list" sheetId="21" r:id="rId10"/>
  </sheets>
  <externalReferences>
    <externalReference r:id="rId11"/>
    <externalReference r:id="rId12"/>
  </externalReferences>
  <definedNames>
    <definedName name="ActAll_1">'[1]4.คีย์ปลายภาค'!$BG$11</definedName>
    <definedName name="Activities">#REF!</definedName>
    <definedName name="Activity1" localSheetId="6">'[1]1.ข้อมูลเบื้องต้น'!$C$26</definedName>
    <definedName name="Activity1">'1.ข้อมูลเบื้องต้น'!#REF!</definedName>
    <definedName name="Activity2" localSheetId="6">'[1]1.ข้อมูลเบื้องต้น'!$C$27</definedName>
    <definedName name="Activity2">'1.ข้อมูลเบื้องต้น'!#REF!</definedName>
    <definedName name="Activity3" localSheetId="6">'[1]1.ข้อมูลเบื้องต้น'!$C$28</definedName>
    <definedName name="Activity3">'1.ข้อมูลเบื้องต้น'!#REF!</definedName>
    <definedName name="Activity4" localSheetId="6">'[1]1.ข้อมูลเบื้องต้น'!$C$29</definedName>
    <definedName name="Activity4">'1.ข้อมูลเบื้องต้น'!#REF!</definedName>
    <definedName name="Advisor" localSheetId="6">'[1]1.ข้อมูลเบื้องต้น'!$J$6</definedName>
    <definedName name="Advisor">'1.ข้อมูลเบื้องต้น'!$K$6</definedName>
    <definedName name="AppDate">'1.ข้อมูลเบื้องต้น'!$K$14</definedName>
    <definedName name="AppMonth">'1.ข้อมูลเบื้องต้น'!$L$14</definedName>
    <definedName name="AppYear">'1.ข้อมูลเบื้องต้น'!$M$14</definedName>
    <definedName name="AssDirector" localSheetId="6">'[1]1.ข้อมูลเบื้องต้น'!$J$10</definedName>
    <definedName name="AssDirector">'1.ข้อมูลเบื้องต้น'!$K$10</definedName>
    <definedName name="Att_1" localSheetId="6">'9.บันทึกการเจริญเติบโต'!#REF!</definedName>
    <definedName name="Att_1">#REF!</definedName>
    <definedName name="Att_10" localSheetId="6">'9.บันทึกการเจริญเติบโต'!#REF!</definedName>
    <definedName name="Att_10">#REF!</definedName>
    <definedName name="Att_11" localSheetId="6">'9.บันทึกการเจริญเติบโต'!#REF!</definedName>
    <definedName name="Att_11">#REF!</definedName>
    <definedName name="Att_12" localSheetId="6">'9.บันทึกการเจริญเติบโต'!#REF!</definedName>
    <definedName name="Att_12">#REF!</definedName>
    <definedName name="Att_13" localSheetId="6">'9.บันทึกการเจริญเติบโต'!#REF!</definedName>
    <definedName name="Att_13">#REF!</definedName>
    <definedName name="Att_14" localSheetId="6">'9.บันทึกการเจริญเติบโต'!#REF!</definedName>
    <definedName name="Att_14">#REF!</definedName>
    <definedName name="Att_15" localSheetId="6">'9.บันทึกการเจริญเติบโต'!#REF!</definedName>
    <definedName name="Att_15">#REF!</definedName>
    <definedName name="Att_16" localSheetId="6">'9.บันทึกการเจริญเติบโต'!#REF!</definedName>
    <definedName name="Att_16">#REF!</definedName>
    <definedName name="Att_17" localSheetId="6">'9.บันทึกการเจริญเติบโต'!#REF!</definedName>
    <definedName name="Att_17">#REF!</definedName>
    <definedName name="Att_18" localSheetId="6">'9.บันทึกการเจริญเติบโต'!#REF!</definedName>
    <definedName name="Att_18">#REF!</definedName>
    <definedName name="Att_19" localSheetId="6">'9.บันทึกการเจริญเติบโต'!#REF!</definedName>
    <definedName name="Att_19">#REF!</definedName>
    <definedName name="Att_2" localSheetId="6">'9.บันทึกการเจริญเติบโต'!#REF!</definedName>
    <definedName name="Att_2">#REF!</definedName>
    <definedName name="Att_20" localSheetId="6">'9.บันทึกการเจริญเติบโต'!#REF!</definedName>
    <definedName name="Att_20">#REF!</definedName>
    <definedName name="Att_21" localSheetId="6">'9.บันทึกการเจริญเติบโต'!#REF!</definedName>
    <definedName name="Att_21">#REF!</definedName>
    <definedName name="Att_22" localSheetId="6">'9.บันทึกการเจริญเติบโต'!#REF!</definedName>
    <definedName name="Att_22">#REF!</definedName>
    <definedName name="Att_23" localSheetId="6">'9.บันทึกการเจริญเติบโต'!#REF!</definedName>
    <definedName name="Att_23">#REF!</definedName>
    <definedName name="Att_24" localSheetId="6">'9.บันทึกการเจริญเติบโต'!#REF!</definedName>
    <definedName name="Att_24">#REF!</definedName>
    <definedName name="Att_25" localSheetId="6">'9.บันทึกการเจริญเติบโต'!#REF!</definedName>
    <definedName name="Att_25">#REF!</definedName>
    <definedName name="Att_26" localSheetId="6">'9.บันทึกการเจริญเติบโต'!#REF!</definedName>
    <definedName name="Att_26">#REF!</definedName>
    <definedName name="Att_27" localSheetId="6">'9.บันทึกการเจริญเติบโต'!#REF!</definedName>
    <definedName name="Att_27">#REF!</definedName>
    <definedName name="Att_28" localSheetId="6">'9.บันทึกการเจริญเติบโต'!#REF!</definedName>
    <definedName name="Att_28">#REF!</definedName>
    <definedName name="Att_29" localSheetId="6">'9.บันทึกการเจริญเติบโต'!#REF!</definedName>
    <definedName name="Att_29">#REF!</definedName>
    <definedName name="Att_3" localSheetId="6">'9.บันทึกการเจริญเติบโต'!#REF!</definedName>
    <definedName name="Att_3">#REF!</definedName>
    <definedName name="Att_30" localSheetId="6">'9.บันทึกการเจริญเติบโต'!#REF!</definedName>
    <definedName name="Att_30">#REF!</definedName>
    <definedName name="Att_31" localSheetId="6">'9.บันทึกการเจริญเติบโต'!#REF!</definedName>
    <definedName name="Att_31">#REF!</definedName>
    <definedName name="Att_32" localSheetId="6">'9.บันทึกการเจริญเติบโต'!#REF!</definedName>
    <definedName name="Att_32">#REF!</definedName>
    <definedName name="Att_33" localSheetId="6">'9.บันทึกการเจริญเติบโต'!#REF!</definedName>
    <definedName name="Att_33">#REF!</definedName>
    <definedName name="Att_34" localSheetId="6">'9.บันทึกการเจริญเติบโต'!#REF!</definedName>
    <definedName name="Att_34">#REF!</definedName>
    <definedName name="Att_35" localSheetId="6">'9.บันทึกการเจริญเติบโต'!#REF!</definedName>
    <definedName name="Att_35">#REF!</definedName>
    <definedName name="Att_36" localSheetId="6">'9.บันทึกการเจริญเติบโต'!#REF!</definedName>
    <definedName name="Att_36">#REF!</definedName>
    <definedName name="Att_37" localSheetId="6">'9.บันทึกการเจริญเติบโต'!#REF!</definedName>
    <definedName name="Att_37">#REF!</definedName>
    <definedName name="Att_38" localSheetId="6">'9.บันทึกการเจริญเติบโต'!#REF!</definedName>
    <definedName name="Att_38">#REF!</definedName>
    <definedName name="Att_39" localSheetId="6">'9.บันทึกการเจริญเติบโต'!#REF!</definedName>
    <definedName name="Att_39">#REF!</definedName>
    <definedName name="Att_4" localSheetId="6">'9.บันทึกการเจริญเติบโต'!#REF!</definedName>
    <definedName name="Att_4">#REF!</definedName>
    <definedName name="Att_40" localSheetId="6">'9.บันทึกการเจริญเติบโต'!#REF!</definedName>
    <definedName name="Att_40">#REF!</definedName>
    <definedName name="Att_41" localSheetId="6">'9.บันทึกการเจริญเติบโต'!#REF!</definedName>
    <definedName name="Att_41">#REF!</definedName>
    <definedName name="Att_42" localSheetId="6">'9.บันทึกการเจริญเติบโต'!#REF!</definedName>
    <definedName name="Att_42">#REF!</definedName>
    <definedName name="Att_43" localSheetId="6">'9.บันทึกการเจริญเติบโต'!#REF!</definedName>
    <definedName name="Att_43">#REF!</definedName>
    <definedName name="Att_44" localSheetId="6">'9.บันทึกการเจริญเติบโต'!#REF!</definedName>
    <definedName name="Att_44">#REF!</definedName>
    <definedName name="Att_45" localSheetId="6">'9.บันทึกการเจริญเติบโต'!#REF!</definedName>
    <definedName name="Att_45">#REF!</definedName>
    <definedName name="Att_5" localSheetId="6">'9.บันทึกการเจริญเติบโต'!#REF!</definedName>
    <definedName name="Att_5">#REF!</definedName>
    <definedName name="Att_6" localSheetId="6">'9.บันทึกการเจริญเติบโต'!#REF!</definedName>
    <definedName name="Att_6">#REF!</definedName>
    <definedName name="Att_7" localSheetId="6">'9.บันทึกการเจริญเติบโต'!#REF!</definedName>
    <definedName name="Att_7">#REF!</definedName>
    <definedName name="Att_8" localSheetId="6">'9.บันทึกการเจริญเติบโต'!#REF!</definedName>
    <definedName name="Att_8">#REF!</definedName>
    <definedName name="Att_9" localSheetId="6">'9.บันทึกการเจริญเติบโต'!#REF!</definedName>
    <definedName name="Att_9">#REF!</definedName>
    <definedName name="Attribute">#REF!</definedName>
    <definedName name="Class" localSheetId="6">'[1]1.ข้อมูลเบื้องต้น'!$J$2</definedName>
    <definedName name="Class">'1.ข้อมูลเบื้องต้น'!$K$2</definedName>
    <definedName name="CodeEle1" localSheetId="6">'[1]1.ข้อมูลเบื้องต้น'!$B$20</definedName>
    <definedName name="CodeEle1">'1.ข้อมูลเบื้องต้น'!#REF!</definedName>
    <definedName name="CodeEle10">'1.ข้อมูลเบื้องต้น'!#REF!</definedName>
    <definedName name="CodeEle11">'1.ข้อมูลเบื้องต้น'!#REF!</definedName>
    <definedName name="CodeEle12">'1.ข้อมูลเบื้องต้น'!#REF!</definedName>
    <definedName name="CodeEle2" localSheetId="6">'[1]1.ข้อมูลเบื้องต้น'!$B$21</definedName>
    <definedName name="CodeEle2">'1.ข้อมูลเบื้องต้น'!#REF!</definedName>
    <definedName name="CodeEle3" localSheetId="6">'[1]1.ข้อมูลเบื้องต้น'!$B$22</definedName>
    <definedName name="CodeEle3">'1.ข้อมูลเบื้องต้น'!#REF!</definedName>
    <definedName name="CodeEle4" localSheetId="6">'[1]1.ข้อมูลเบื้องต้น'!$B$23</definedName>
    <definedName name="CodeEle4">'1.ข้อมูลเบื้องต้น'!#REF!</definedName>
    <definedName name="CodeEle5" localSheetId="6">'[1]1.ข้อมูลเบื้องต้น'!$B$24</definedName>
    <definedName name="CodeEle5">'1.ข้อมูลเบื้องต้น'!#REF!</definedName>
    <definedName name="CodeEle6">'1.ข้อมูลเบื้องต้น'!#REF!</definedName>
    <definedName name="CodeEle7">'1.ข้อมูลเบื้องต้น'!#REF!</definedName>
    <definedName name="CodeEle8">'1.ข้อมูลเบื้องต้น'!#REF!</definedName>
    <definedName name="CodeEle9">'1.ข้อมูลเบื้องต้น'!#REF!</definedName>
    <definedName name="codegen1" localSheetId="6">'[1]1.ข้อมูลเบื้องต้น'!$B$7</definedName>
    <definedName name="codegen1">'1.ข้อมูลเบื้องต้น'!$B$7</definedName>
    <definedName name="codegen10" localSheetId="6">'[1]1.ข้อมูลเบื้องต้น'!$B$16</definedName>
    <definedName name="codegen10">'1.ข้อมูลเบื้องต้น'!$B$16</definedName>
    <definedName name="codegen11" localSheetId="6">'[1]1.ข้อมูลเบื้องต้น'!$B$17</definedName>
    <definedName name="codegen11">'1.ข้อมูลเบื้องต้น'!$B$17</definedName>
    <definedName name="codegen12" localSheetId="6">'[1]1.ข้อมูลเบื้องต้น'!$B$18</definedName>
    <definedName name="codegen12">'1.ข้อมูลเบื้องต้น'!$B$18</definedName>
    <definedName name="codegen2" localSheetId="6">'[1]1.ข้อมูลเบื้องต้น'!$B$8</definedName>
    <definedName name="codegen2">'1.ข้อมูลเบื้องต้น'!$B$8</definedName>
    <definedName name="codegen3" localSheetId="6">'[1]1.ข้อมูลเบื้องต้น'!$B$9</definedName>
    <definedName name="codegen3">'1.ข้อมูลเบื้องต้น'!$B$9</definedName>
    <definedName name="codegen4" localSheetId="6">'[1]1.ข้อมูลเบื้องต้น'!$B$10</definedName>
    <definedName name="codegen4">'1.ข้อมูลเบื้องต้น'!$B$10</definedName>
    <definedName name="codegen5" localSheetId="6">'[1]1.ข้อมูลเบื้องต้น'!$B$11</definedName>
    <definedName name="codegen5">'1.ข้อมูลเบื้องต้น'!$B$11</definedName>
    <definedName name="codegen6" localSheetId="6">'[1]1.ข้อมูลเบื้องต้น'!$B$12</definedName>
    <definedName name="codegen6">'1.ข้อมูลเบื้องต้น'!$B$12</definedName>
    <definedName name="codegen7" localSheetId="6">'[1]1.ข้อมูลเบื้องต้น'!$B$13</definedName>
    <definedName name="codegen7">'1.ข้อมูลเบื้องต้น'!$B$13</definedName>
    <definedName name="codegen8" localSheetId="6">'[1]1.ข้อมูลเบื้องต้น'!$B$14</definedName>
    <definedName name="codegen8">'1.ข้อมูลเบื้องต้น'!$B$14</definedName>
    <definedName name="codegen9" localSheetId="6">'[1]1.ข้อมูลเบื้องต้น'!$B$15</definedName>
    <definedName name="codegen9">'1.ข้อมูลเบื้องต้น'!$B$15</definedName>
    <definedName name="CreditEle1" localSheetId="6">'[1]1.ข้อมูลเบื้องต้น'!$D$20</definedName>
    <definedName name="CreditEle1">'1.ข้อมูลเบื้องต้น'!#REF!</definedName>
    <definedName name="CreditEle10">'1.ข้อมูลเบื้องต้น'!#REF!</definedName>
    <definedName name="CreditEle11">'1.ข้อมูลเบื้องต้น'!#REF!</definedName>
    <definedName name="CreditEle12">'1.ข้อมูลเบื้องต้น'!#REF!</definedName>
    <definedName name="CreditEle2" localSheetId="6">'[1]1.ข้อมูลเบื้องต้น'!$D$21</definedName>
    <definedName name="CreditEle2">'1.ข้อมูลเบื้องต้น'!#REF!</definedName>
    <definedName name="CreditEle3" localSheetId="6">'[1]1.ข้อมูลเบื้องต้น'!$D$22</definedName>
    <definedName name="CreditEle3">'1.ข้อมูลเบื้องต้น'!#REF!</definedName>
    <definedName name="CreditEle4" localSheetId="6">'[1]1.ข้อมูลเบื้องต้น'!$D$23</definedName>
    <definedName name="CreditEle4">'1.ข้อมูลเบื้องต้น'!#REF!</definedName>
    <definedName name="CreditEle5" localSheetId="6">'[1]1.ข้อมูลเบื้องต้น'!$D$24</definedName>
    <definedName name="CreditEle5">'1.ข้อมูลเบื้องต้น'!#REF!</definedName>
    <definedName name="CreditEle6">'1.ข้อมูลเบื้องต้น'!#REF!</definedName>
    <definedName name="CreditEle7">'1.ข้อมูลเบื้องต้น'!#REF!</definedName>
    <definedName name="CreditEle8">'1.ข้อมูลเบื้องต้น'!#REF!</definedName>
    <definedName name="CreditEle9">'1.ข้อมูลเบื้องต้น'!#REF!</definedName>
    <definedName name="CreditGen1" localSheetId="6">'[1]1.ข้อมูลเบื้องต้น'!$D$7</definedName>
    <definedName name="CreditGen1">'1.ข้อมูลเบื้องต้น'!$D$7</definedName>
    <definedName name="CreditGen10" localSheetId="6">'[1]1.ข้อมูลเบื้องต้น'!$D$16</definedName>
    <definedName name="CreditGen10">'1.ข้อมูลเบื้องต้น'!$D$16</definedName>
    <definedName name="CreditGen11" localSheetId="6">'[1]1.ข้อมูลเบื้องต้น'!$D$17</definedName>
    <definedName name="CreditGen11">'1.ข้อมูลเบื้องต้น'!$D$17</definedName>
    <definedName name="CreditGen12" localSheetId="6">'[1]1.ข้อมูลเบื้องต้น'!$D$18</definedName>
    <definedName name="CreditGen12">'1.ข้อมูลเบื้องต้น'!$D$18</definedName>
    <definedName name="CreditGen2" localSheetId="6">'[1]1.ข้อมูลเบื้องต้น'!$D$8</definedName>
    <definedName name="CreditGen2">'1.ข้อมูลเบื้องต้น'!$D$8</definedName>
    <definedName name="CreditGen3" localSheetId="6">'[1]1.ข้อมูลเบื้องต้น'!$D$9</definedName>
    <definedName name="CreditGen3">'1.ข้อมูลเบื้องต้น'!$D$9</definedName>
    <definedName name="CreditGen4" localSheetId="6">'[1]1.ข้อมูลเบื้องต้น'!$D$10</definedName>
    <definedName name="CreditGen4">'1.ข้อมูลเบื้องต้น'!$D$10</definedName>
    <definedName name="CreditGen5" localSheetId="6">'[1]1.ข้อมูลเบื้องต้น'!$D$11</definedName>
    <definedName name="CreditGen5">'1.ข้อมูลเบื้องต้น'!$D$11</definedName>
    <definedName name="CreditGen6" localSheetId="6">'[1]1.ข้อมูลเบื้องต้น'!$D$12</definedName>
    <definedName name="CreditGen6">'1.ข้อมูลเบื้องต้น'!$D$12</definedName>
    <definedName name="CreditGen7" localSheetId="6">'[1]1.ข้อมูลเบื้องต้น'!$D$13</definedName>
    <definedName name="CreditGen7">'1.ข้อมูลเบื้องต้น'!$D$13</definedName>
    <definedName name="CreditGen8" localSheetId="6">'[1]1.ข้อมูลเบื้องต้น'!$D$14</definedName>
    <definedName name="CreditGen8">'1.ข้อมูลเบื้องต้น'!$D$14</definedName>
    <definedName name="CreditGen9" localSheetId="6">'[1]1.ข้อมูลเบื้องต้น'!$D$15</definedName>
    <definedName name="CreditGen9">'1.ข้อมูลเบื้องต้น'!$D$15</definedName>
    <definedName name="Date">'1.ข้อมูลเบื้องต้น'!$K$14</definedName>
    <definedName name="Director" localSheetId="6">'[1]1.ข้อมูลเบื้องต้น'!$J$12</definedName>
    <definedName name="Director">'1.ข้อมูลเบื้องต้น'!$K$12</definedName>
    <definedName name="EleGrade1" localSheetId="6">'[1]4.คีย์ปลายภาค'!$AC$11:$AC$55</definedName>
    <definedName name="EleGrade1">'3.Grades'!#REF!</definedName>
    <definedName name="EleGrade10">'3.Grades'!#REF!</definedName>
    <definedName name="EleGrade11">'3.Grades'!#REF!</definedName>
    <definedName name="EleGrade12">'3.Grades'!#REF!</definedName>
    <definedName name="EleGrade2" localSheetId="6">'[1]4.คีย์ปลายภาค'!$AE$11:$AE$55</definedName>
    <definedName name="EleGrade2">'3.Grades'!#REF!</definedName>
    <definedName name="EleGrade3" localSheetId="6">'[1]4.คีย์ปลายภาค'!$AG$11:$AG$55</definedName>
    <definedName name="EleGrade3">'3.Grades'!#REF!</definedName>
    <definedName name="EleGrade4" localSheetId="6">'[1]4.คีย์ปลายภาค'!$AI$11:$AI$55</definedName>
    <definedName name="EleGrade4">'3.Grades'!#REF!</definedName>
    <definedName name="EleGrade5" localSheetId="6">'[1]4.คีย์ปลายภาค'!$AK$11:$AK$55</definedName>
    <definedName name="EleGrade5">'3.Grades'!#REF!</definedName>
    <definedName name="EleGrade6">'3.Grades'!#REF!</definedName>
    <definedName name="EleGrade7">'3.Grades'!#REF!</definedName>
    <definedName name="EleGrade8">'3.Grades'!#REF!</definedName>
    <definedName name="EleGrade9">'3.Grades'!#REF!</definedName>
    <definedName name="EleMid1_1">#REF!</definedName>
    <definedName name="EleMid1_10">#REF!</definedName>
    <definedName name="EleMid1_11">#REF!</definedName>
    <definedName name="EleMid1_12">#REF!</definedName>
    <definedName name="EleMid1_13">#REF!</definedName>
    <definedName name="EleMid1_14">#REF!</definedName>
    <definedName name="EleMid1_15">#REF!</definedName>
    <definedName name="EleMid1_16">#REF!</definedName>
    <definedName name="EleMid1_17">#REF!</definedName>
    <definedName name="EleMid1_18">#REF!</definedName>
    <definedName name="EleMid1_19">#REF!</definedName>
    <definedName name="EleMid1_2">#REF!</definedName>
    <definedName name="EleMid1_20">#REF!</definedName>
    <definedName name="EleMid1_21">#REF!</definedName>
    <definedName name="EleMid1_22">#REF!</definedName>
    <definedName name="EleMid1_23">#REF!</definedName>
    <definedName name="EleMid1_24">#REF!</definedName>
    <definedName name="EleMid1_25">#REF!</definedName>
    <definedName name="EleMid1_26">#REF!</definedName>
    <definedName name="EleMid1_27">#REF!</definedName>
    <definedName name="EleMid1_28">#REF!</definedName>
    <definedName name="EleMid1_29">#REF!</definedName>
    <definedName name="EleMid1_3">#REF!</definedName>
    <definedName name="EleMid1_30">#REF!</definedName>
    <definedName name="EleMid1_31">#REF!</definedName>
    <definedName name="EleMid1_32">#REF!</definedName>
    <definedName name="EleMid1_33">#REF!</definedName>
    <definedName name="EleMid1_34">#REF!</definedName>
    <definedName name="EleMid1_35">#REF!</definedName>
    <definedName name="EleMid1_36">#REF!</definedName>
    <definedName name="EleMid1_37">#REF!</definedName>
    <definedName name="EleMid1_38">#REF!</definedName>
    <definedName name="EleMid1_39">#REF!</definedName>
    <definedName name="EleMid1_4">#REF!</definedName>
    <definedName name="EleMid1_40">#REF!</definedName>
    <definedName name="EleMid1_41">#REF!</definedName>
    <definedName name="EleMid1_42">#REF!</definedName>
    <definedName name="EleMid1_43">#REF!</definedName>
    <definedName name="EleMid1_44">#REF!</definedName>
    <definedName name="EleMid1_45">#REF!</definedName>
    <definedName name="EleMid1_5">#REF!</definedName>
    <definedName name="EleMid1_6">#REF!</definedName>
    <definedName name="EleMid1_7">#REF!</definedName>
    <definedName name="EleMid1_8">#REF!</definedName>
    <definedName name="EleMid1_9">#REF!</definedName>
    <definedName name="EleMid2_1">#REF!</definedName>
    <definedName name="EleMid2_10">#REF!</definedName>
    <definedName name="EleMid2_11">#REF!</definedName>
    <definedName name="EleMid2_12">#REF!</definedName>
    <definedName name="EleMid2_13">#REF!</definedName>
    <definedName name="EleMid2_14">#REF!</definedName>
    <definedName name="EleMid2_15">#REF!</definedName>
    <definedName name="EleMid2_16">#REF!</definedName>
    <definedName name="EleMid2_17">#REF!</definedName>
    <definedName name="EleMid2_18">#REF!</definedName>
    <definedName name="EleMid2_19">#REF!</definedName>
    <definedName name="EleMid2_2">#REF!</definedName>
    <definedName name="EleMid2_20">#REF!</definedName>
    <definedName name="EleMid2_21">#REF!</definedName>
    <definedName name="EleMid2_22">#REF!</definedName>
    <definedName name="EleMid2_23">#REF!</definedName>
    <definedName name="EleMid2_24">#REF!</definedName>
    <definedName name="EleMid2_25">#REF!</definedName>
    <definedName name="EleMid2_26">#REF!</definedName>
    <definedName name="EleMid2_27">#REF!</definedName>
    <definedName name="EleMid2_28">#REF!</definedName>
    <definedName name="EleMid2_29">#REF!</definedName>
    <definedName name="EleMid2_3">#REF!</definedName>
    <definedName name="EleMid2_30">#REF!</definedName>
    <definedName name="EleMid2_31">#REF!</definedName>
    <definedName name="EleMid2_32">#REF!</definedName>
    <definedName name="EleMid2_33">#REF!</definedName>
    <definedName name="EleMid2_34">#REF!</definedName>
    <definedName name="EleMid2_35">#REF!</definedName>
    <definedName name="EleMid2_36">#REF!</definedName>
    <definedName name="EleMid2_37">#REF!</definedName>
    <definedName name="EleMid2_38">#REF!</definedName>
    <definedName name="EleMid2_39">#REF!</definedName>
    <definedName name="EleMid2_4">#REF!</definedName>
    <definedName name="EleMid2_40">#REF!</definedName>
    <definedName name="EleMid2_41">#REF!</definedName>
    <definedName name="EleMid2_42">#REF!</definedName>
    <definedName name="EleMid2_43">#REF!</definedName>
    <definedName name="EleMid2_44">#REF!</definedName>
    <definedName name="EleMid2_45">#REF!</definedName>
    <definedName name="EleMid2_5">#REF!</definedName>
    <definedName name="EleMid2_6">#REF!</definedName>
    <definedName name="EleMid2_7">#REF!</definedName>
    <definedName name="EleMid2_8">#REF!</definedName>
    <definedName name="EleMid2_9">#REF!</definedName>
    <definedName name="EleMid3_1">#REF!</definedName>
    <definedName name="EleMid3_10">#REF!</definedName>
    <definedName name="EleMid3_11">#REF!</definedName>
    <definedName name="EleMid3_12">#REF!</definedName>
    <definedName name="EleMid3_13">#REF!</definedName>
    <definedName name="EleMid3_14">#REF!</definedName>
    <definedName name="EleMid3_15">#REF!</definedName>
    <definedName name="EleMid3_16">#REF!</definedName>
    <definedName name="EleMid3_17">#REF!</definedName>
    <definedName name="EleMid3_18">#REF!</definedName>
    <definedName name="EleMid3_19">#REF!</definedName>
    <definedName name="EleMid3_2">#REF!</definedName>
    <definedName name="EleMid3_20">#REF!</definedName>
    <definedName name="EleMid3_21">#REF!</definedName>
    <definedName name="EleMid3_22">#REF!</definedName>
    <definedName name="EleMid3_23">#REF!</definedName>
    <definedName name="EleMid3_24">#REF!</definedName>
    <definedName name="EleMid3_25">#REF!</definedName>
    <definedName name="EleMid3_26">#REF!</definedName>
    <definedName name="EleMid3_27">#REF!</definedName>
    <definedName name="EleMid3_28">#REF!</definedName>
    <definedName name="EleMid3_29">#REF!</definedName>
    <definedName name="EleMid3_3">#REF!</definedName>
    <definedName name="EleMid3_30">#REF!</definedName>
    <definedName name="EleMid3_31">#REF!</definedName>
    <definedName name="EleMid3_32">#REF!</definedName>
    <definedName name="EleMid3_33">#REF!</definedName>
    <definedName name="EleMid3_34">#REF!</definedName>
    <definedName name="EleMid3_35">#REF!</definedName>
    <definedName name="EleMid3_36">#REF!</definedName>
    <definedName name="EleMid3_37">#REF!</definedName>
    <definedName name="EleMid3_38">#REF!</definedName>
    <definedName name="EleMid3_39">#REF!</definedName>
    <definedName name="EleMid3_4">#REF!</definedName>
    <definedName name="EleMid3_40">#REF!</definedName>
    <definedName name="EleMid3_41">#REF!</definedName>
    <definedName name="EleMid3_42">#REF!</definedName>
    <definedName name="EleMid3_43">#REF!</definedName>
    <definedName name="EleMid3_44">#REF!</definedName>
    <definedName name="EleMid3_45">#REF!</definedName>
    <definedName name="EleMid3_5">#REF!</definedName>
    <definedName name="EleMid3_6">#REF!</definedName>
    <definedName name="EleMid3_7">#REF!</definedName>
    <definedName name="EleMid3_8">#REF!</definedName>
    <definedName name="EleMid3_9">#REF!</definedName>
    <definedName name="EleMid4_1">#REF!</definedName>
    <definedName name="EleMid4_10">#REF!</definedName>
    <definedName name="EleMid4_11">#REF!</definedName>
    <definedName name="EleMid4_12">#REF!</definedName>
    <definedName name="EleMid4_13">#REF!</definedName>
    <definedName name="EleMid4_14">#REF!</definedName>
    <definedName name="EleMid4_15">#REF!</definedName>
    <definedName name="EleMid4_16">#REF!</definedName>
    <definedName name="EleMid4_17">#REF!</definedName>
    <definedName name="EleMid4_18">#REF!</definedName>
    <definedName name="EleMid4_19">#REF!</definedName>
    <definedName name="EleMid4_2">#REF!</definedName>
    <definedName name="EleMid4_20">#REF!</definedName>
    <definedName name="EleMid4_21">#REF!</definedName>
    <definedName name="EleMid4_22">#REF!</definedName>
    <definedName name="EleMid4_23">#REF!</definedName>
    <definedName name="EleMid4_24">#REF!</definedName>
    <definedName name="EleMid4_25">#REF!</definedName>
    <definedName name="EleMid4_26">#REF!</definedName>
    <definedName name="EleMid4_27">#REF!</definedName>
    <definedName name="EleMid4_28">#REF!</definedName>
    <definedName name="EleMid4_29">#REF!</definedName>
    <definedName name="EleMid4_3">#REF!</definedName>
    <definedName name="EleMid4_30">#REF!</definedName>
    <definedName name="EleMid4_31">#REF!</definedName>
    <definedName name="EleMid4_32">#REF!</definedName>
    <definedName name="EleMid4_33">#REF!</definedName>
    <definedName name="EleMid4_34">#REF!</definedName>
    <definedName name="EleMid4_35">#REF!</definedName>
    <definedName name="EleMid4_36">#REF!</definedName>
    <definedName name="EleMid4_37">#REF!</definedName>
    <definedName name="EleMid4_38">#REF!</definedName>
    <definedName name="EleMid4_39">#REF!</definedName>
    <definedName name="EleMid4_4">#REF!</definedName>
    <definedName name="EleMid4_40">#REF!</definedName>
    <definedName name="EleMid4_41">#REF!</definedName>
    <definedName name="EleMid4_42">#REF!</definedName>
    <definedName name="EleMid4_43">#REF!</definedName>
    <definedName name="EleMid4_44">#REF!</definedName>
    <definedName name="EleMid4_45">#REF!</definedName>
    <definedName name="EleMid4_5">#REF!</definedName>
    <definedName name="EleMid4_6">#REF!</definedName>
    <definedName name="EleMid4_7">#REF!</definedName>
    <definedName name="EleMid4_8">#REF!</definedName>
    <definedName name="EleMid4_9">#REF!</definedName>
    <definedName name="EleMid5_1">#REF!</definedName>
    <definedName name="EleMid5_10">#REF!</definedName>
    <definedName name="EleMid5_11">#REF!</definedName>
    <definedName name="EleMid5_12">#REF!</definedName>
    <definedName name="EleMid5_13">#REF!</definedName>
    <definedName name="EleMid5_14">#REF!</definedName>
    <definedName name="EleMid5_15">#REF!</definedName>
    <definedName name="EleMid5_16">#REF!</definedName>
    <definedName name="EleMid5_17">#REF!</definedName>
    <definedName name="EleMid5_18">#REF!</definedName>
    <definedName name="EleMid5_19">#REF!</definedName>
    <definedName name="EleMid5_2">#REF!</definedName>
    <definedName name="EleMid5_20">#REF!</definedName>
    <definedName name="EleMid5_21">#REF!</definedName>
    <definedName name="EleMid5_22">#REF!</definedName>
    <definedName name="EleMid5_23">#REF!</definedName>
    <definedName name="EleMid5_24">#REF!</definedName>
    <definedName name="EleMid5_25">#REF!</definedName>
    <definedName name="EleMid5_26">#REF!</definedName>
    <definedName name="EleMid5_27">#REF!</definedName>
    <definedName name="EleMid5_28">#REF!</definedName>
    <definedName name="EleMid5_29">#REF!</definedName>
    <definedName name="EleMid5_3">#REF!</definedName>
    <definedName name="EleMid5_30">#REF!</definedName>
    <definedName name="EleMid5_31">#REF!</definedName>
    <definedName name="EleMid5_32">#REF!</definedName>
    <definedName name="EleMid5_33">#REF!</definedName>
    <definedName name="EleMid5_34">#REF!</definedName>
    <definedName name="EleMid5_35">#REF!</definedName>
    <definedName name="EleMid5_36">#REF!</definedName>
    <definedName name="EleMid5_37">#REF!</definedName>
    <definedName name="EleMid5_38">#REF!</definedName>
    <definedName name="EleMid5_39">#REF!</definedName>
    <definedName name="EleMid5_4">#REF!</definedName>
    <definedName name="EleMid5_40">#REF!</definedName>
    <definedName name="EleMid5_41">#REF!</definedName>
    <definedName name="EleMid5_42">#REF!</definedName>
    <definedName name="EleMid5_43">#REF!</definedName>
    <definedName name="EleMid5_44">#REF!</definedName>
    <definedName name="EleMid5_45">#REF!</definedName>
    <definedName name="EleMid5_5">#REF!</definedName>
    <definedName name="EleMid5_6">#REF!</definedName>
    <definedName name="EleMid5_7">#REF!</definedName>
    <definedName name="EleMid5_8">#REF!</definedName>
    <definedName name="EleMid5_9">#REF!</definedName>
    <definedName name="Eval" localSheetId="6">'[1]1.ข้อมูลเบื้องต้น'!$J$8</definedName>
    <definedName name="Eval">'1.ข้อมูลเบื้องต้น'!$K$8</definedName>
    <definedName name="GenGrade1" localSheetId="6">'[1]4.คีย์ปลายภาค'!$E$11:$E$55</definedName>
    <definedName name="Gengrade1">'3.Grades'!$K$6:$K$50</definedName>
    <definedName name="GenGrade10" localSheetId="6">'[1]4.คีย์ปลายภาค'!$W$11:$W$55</definedName>
    <definedName name="Gengrade10">'3.Grades'!$BD$6:$BD$50</definedName>
    <definedName name="GenGrade11" localSheetId="6">'[1]4.คีย์ปลายภาค'!$Y$11:$Y$55</definedName>
    <definedName name="Gengrade11">'3.Grades'!$BI$6:$BI$50</definedName>
    <definedName name="GenGrade12" localSheetId="6">'[1]4.คีย์ปลายภาค'!$AA$11:$AA$55</definedName>
    <definedName name="Gengrade12">'3.Grades'!$BN$6:$BN$50</definedName>
    <definedName name="GenGrade2" localSheetId="6">'[1]4.คีย์ปลายภาค'!$G$11:$G$55</definedName>
    <definedName name="Gengrade2">'3.Grades'!$P$6:$P$50</definedName>
    <definedName name="GenGrade3" localSheetId="6">'[1]4.คีย์ปลายภาค'!$I$11:$I$55</definedName>
    <definedName name="Gengrade3">'3.Grades'!$U$6:$U$50</definedName>
    <definedName name="GenGrade4" localSheetId="6">'[1]4.คีย์ปลายภาค'!$K$11:$K$55</definedName>
    <definedName name="Gengrade4">'3.Grades'!$Z$6:$Z$50</definedName>
    <definedName name="GenGrade5" localSheetId="6">'[1]4.คีย์ปลายภาค'!$M$11:$M$55</definedName>
    <definedName name="Gengrade5">'3.Grades'!$AE$6:$AE$50</definedName>
    <definedName name="GenGrade6" localSheetId="6">'[1]4.คีย์ปลายภาค'!$O$11:$O$55</definedName>
    <definedName name="Gengrade6">'3.Grades'!$AJ$6:$AJ$50</definedName>
    <definedName name="GenGrade7" localSheetId="6">'[1]4.คีย์ปลายภาค'!$Q$11:$Q$55</definedName>
    <definedName name="Gengrade7">'3.Grades'!$AO$6:$AO$50</definedName>
    <definedName name="GenGrade8" localSheetId="6">'[1]4.คีย์ปลายภาค'!$S$11:$S$55</definedName>
    <definedName name="Gengrade8">'3.Grades'!$AT$6:$AT$50</definedName>
    <definedName name="GenGrade9" localSheetId="6">'[1]4.คีย์ปลายภาค'!$U$11:$U$55</definedName>
    <definedName name="Gengrade9">'3.Grades'!$AY$6:$AY$50</definedName>
    <definedName name="GenMid1_1">#REF!</definedName>
    <definedName name="GenMid1_10">#REF!</definedName>
    <definedName name="GenMid1_11">#REF!</definedName>
    <definedName name="GenMid1_12">#REF!</definedName>
    <definedName name="GenMid1_13">#REF!</definedName>
    <definedName name="GenMid1_14">#REF!</definedName>
    <definedName name="GenMid1_15">#REF!</definedName>
    <definedName name="GenMid1_16">#REF!</definedName>
    <definedName name="GenMid1_17">#REF!</definedName>
    <definedName name="GenMid1_18">#REF!</definedName>
    <definedName name="GenMid1_19">#REF!</definedName>
    <definedName name="GenMid1_2">#REF!</definedName>
    <definedName name="GenMid1_20">#REF!</definedName>
    <definedName name="GenMid1_21">#REF!</definedName>
    <definedName name="GenMid1_22">#REF!</definedName>
    <definedName name="GenMid1_23">#REF!</definedName>
    <definedName name="GenMid1_24">#REF!</definedName>
    <definedName name="GenMid1_25">#REF!</definedName>
    <definedName name="GenMid1_26">#REF!</definedName>
    <definedName name="GenMid1_27">#REF!</definedName>
    <definedName name="GenMid1_28">#REF!</definedName>
    <definedName name="GenMid1_29">#REF!</definedName>
    <definedName name="GenMid1_3">#REF!</definedName>
    <definedName name="GenMid1_30">#REF!</definedName>
    <definedName name="GenMid1_31">#REF!</definedName>
    <definedName name="GenMid1_32">#REF!</definedName>
    <definedName name="GenMid1_33">#REF!</definedName>
    <definedName name="GenMid1_34">#REF!</definedName>
    <definedName name="GenMid1_35">#REF!</definedName>
    <definedName name="GenMid1_36">#REF!</definedName>
    <definedName name="GenMid1_37">#REF!</definedName>
    <definedName name="GenMid1_38">#REF!</definedName>
    <definedName name="GenMid1_39">#REF!</definedName>
    <definedName name="GenMid1_4">#REF!</definedName>
    <definedName name="GenMid1_40">#REF!</definedName>
    <definedName name="GenMid1_41">#REF!</definedName>
    <definedName name="GenMid1_42">#REF!</definedName>
    <definedName name="GenMid1_43">#REF!</definedName>
    <definedName name="GenMid1_44">#REF!</definedName>
    <definedName name="GenMid1_45">#REF!</definedName>
    <definedName name="GenMid1_5">#REF!</definedName>
    <definedName name="GenMid1_6">#REF!</definedName>
    <definedName name="GenMid1_7">#REF!</definedName>
    <definedName name="GenMid1_8">#REF!</definedName>
    <definedName name="GenMid1_9">#REF!</definedName>
    <definedName name="GenMid10_1">#REF!</definedName>
    <definedName name="GenMid10_10">#REF!</definedName>
    <definedName name="GenMid10_11">#REF!</definedName>
    <definedName name="GenMid10_12">#REF!</definedName>
    <definedName name="GenMid10_13">#REF!</definedName>
    <definedName name="GenMid10_14">#REF!</definedName>
    <definedName name="GenMid10_15">#REF!</definedName>
    <definedName name="GenMid10_16">#REF!</definedName>
    <definedName name="GenMid10_17">#REF!</definedName>
    <definedName name="GenMid10_18">#REF!</definedName>
    <definedName name="GenMid10_19">#REF!</definedName>
    <definedName name="GenMid10_2">#REF!</definedName>
    <definedName name="GenMid10_20">#REF!</definedName>
    <definedName name="GenMid10_21">#REF!</definedName>
    <definedName name="GenMid10_22">#REF!</definedName>
    <definedName name="GenMid10_23">#REF!</definedName>
    <definedName name="GenMid10_24">#REF!</definedName>
    <definedName name="GenMid10_25">#REF!</definedName>
    <definedName name="GenMid10_26">#REF!</definedName>
    <definedName name="GenMid10_27">#REF!</definedName>
    <definedName name="GenMid10_28">#REF!</definedName>
    <definedName name="GenMid10_29">#REF!</definedName>
    <definedName name="GenMid10_3">#REF!</definedName>
    <definedName name="GenMid10_30">#REF!</definedName>
    <definedName name="GenMid10_31">#REF!</definedName>
    <definedName name="GenMid10_32">#REF!</definedName>
    <definedName name="GenMid10_33">#REF!</definedName>
    <definedName name="GenMid10_34">#REF!</definedName>
    <definedName name="GenMid10_35">#REF!</definedName>
    <definedName name="GenMid10_36">#REF!</definedName>
    <definedName name="GenMid10_37">#REF!</definedName>
    <definedName name="GenMid10_38">#REF!</definedName>
    <definedName name="GenMid10_39">#REF!</definedName>
    <definedName name="GenMid10_4">#REF!</definedName>
    <definedName name="GenMid10_40">#REF!</definedName>
    <definedName name="GenMid10_41">#REF!</definedName>
    <definedName name="GenMid10_42">#REF!</definedName>
    <definedName name="GenMid10_43">#REF!</definedName>
    <definedName name="GenMid10_44">#REF!</definedName>
    <definedName name="GenMid10_45">#REF!</definedName>
    <definedName name="GenMid10_5">#REF!</definedName>
    <definedName name="GenMid10_6">#REF!</definedName>
    <definedName name="GenMid10_7">#REF!</definedName>
    <definedName name="GenMid10_8">#REF!</definedName>
    <definedName name="GenMid10_9">#REF!</definedName>
    <definedName name="GenMid11_1">#REF!</definedName>
    <definedName name="GenMid11_10">#REF!</definedName>
    <definedName name="GenMid11_11">#REF!</definedName>
    <definedName name="GenMid11_12">#REF!</definedName>
    <definedName name="GenMid11_13">#REF!</definedName>
    <definedName name="GenMid11_14">#REF!</definedName>
    <definedName name="GenMid11_15">#REF!</definedName>
    <definedName name="GenMid11_16">#REF!</definedName>
    <definedName name="GenMid11_17">#REF!</definedName>
    <definedName name="GenMid11_18">#REF!</definedName>
    <definedName name="GenMid11_19">#REF!</definedName>
    <definedName name="GenMid11_2">#REF!</definedName>
    <definedName name="GenMid11_20">#REF!</definedName>
    <definedName name="GenMid11_21">#REF!</definedName>
    <definedName name="GenMid11_22">#REF!</definedName>
    <definedName name="GenMid11_23">#REF!</definedName>
    <definedName name="GenMid11_24">#REF!</definedName>
    <definedName name="GenMid11_25">#REF!</definedName>
    <definedName name="GenMid11_26">#REF!</definedName>
    <definedName name="GenMid11_27">#REF!</definedName>
    <definedName name="GenMid11_28">#REF!</definedName>
    <definedName name="GenMid11_29">#REF!</definedName>
    <definedName name="GenMid11_3">#REF!</definedName>
    <definedName name="GenMid11_30">#REF!</definedName>
    <definedName name="GenMid11_31">#REF!</definedName>
    <definedName name="GenMid11_32">#REF!</definedName>
    <definedName name="GenMid11_33">#REF!</definedName>
    <definedName name="GenMid11_34">#REF!</definedName>
    <definedName name="GenMid11_35">#REF!</definedName>
    <definedName name="GenMid11_36">#REF!</definedName>
    <definedName name="GenMid11_37">#REF!</definedName>
    <definedName name="GenMid11_38">#REF!</definedName>
    <definedName name="GenMid11_39">#REF!</definedName>
    <definedName name="GenMid11_4">#REF!</definedName>
    <definedName name="GenMid11_40">#REF!</definedName>
    <definedName name="GenMid11_41">#REF!</definedName>
    <definedName name="GenMid11_42">#REF!</definedName>
    <definedName name="GenMid11_43">#REF!</definedName>
    <definedName name="GenMid11_44">#REF!</definedName>
    <definedName name="GenMid11_45">#REF!</definedName>
    <definedName name="GenMid11_5">#REF!</definedName>
    <definedName name="GenMid11_6">#REF!</definedName>
    <definedName name="GenMid11_7">#REF!</definedName>
    <definedName name="GenMid11_8">#REF!</definedName>
    <definedName name="GenMid11_9">#REF!</definedName>
    <definedName name="GenMid12_1">#REF!</definedName>
    <definedName name="GenMid12_10">#REF!</definedName>
    <definedName name="GenMid12_11">#REF!</definedName>
    <definedName name="GenMid12_12">#REF!</definedName>
    <definedName name="GenMid12_13">#REF!</definedName>
    <definedName name="GenMid12_14">#REF!</definedName>
    <definedName name="GenMid12_15">#REF!</definedName>
    <definedName name="GenMid12_16">#REF!</definedName>
    <definedName name="GenMid12_17">#REF!</definedName>
    <definedName name="GenMid12_18">#REF!</definedName>
    <definedName name="GenMid12_19">#REF!</definedName>
    <definedName name="GenMid12_2">#REF!</definedName>
    <definedName name="GenMid12_20">#REF!</definedName>
    <definedName name="GenMid12_21">#REF!</definedName>
    <definedName name="GenMid12_22">#REF!</definedName>
    <definedName name="GenMid12_23">#REF!</definedName>
    <definedName name="GenMid12_24">#REF!</definedName>
    <definedName name="GenMid12_25">#REF!</definedName>
    <definedName name="GenMid12_26">#REF!</definedName>
    <definedName name="GenMid12_27">#REF!</definedName>
    <definedName name="GenMid12_28">#REF!</definedName>
    <definedName name="GenMid12_29">#REF!</definedName>
    <definedName name="GenMid12_3">#REF!</definedName>
    <definedName name="GenMid12_30">#REF!</definedName>
    <definedName name="GenMid12_31">#REF!</definedName>
    <definedName name="GenMid12_32">#REF!</definedName>
    <definedName name="GenMid12_33">#REF!</definedName>
    <definedName name="GenMid12_34">#REF!</definedName>
    <definedName name="GenMid12_35">#REF!</definedName>
    <definedName name="GenMid12_36">#REF!</definedName>
    <definedName name="GenMid12_37">#REF!</definedName>
    <definedName name="GenMid12_38">#REF!</definedName>
    <definedName name="GenMid12_39">#REF!</definedName>
    <definedName name="GenMid12_4">#REF!</definedName>
    <definedName name="GenMid12_40">#REF!</definedName>
    <definedName name="GenMid12_41">#REF!</definedName>
    <definedName name="GenMid12_42">#REF!</definedName>
    <definedName name="GenMid12_43">#REF!</definedName>
    <definedName name="GenMid12_44">#REF!</definedName>
    <definedName name="GenMid12_45">#REF!</definedName>
    <definedName name="GenMid12_5">#REF!</definedName>
    <definedName name="GenMid12_6">#REF!</definedName>
    <definedName name="GenMid12_7">#REF!</definedName>
    <definedName name="GenMid12_8">#REF!</definedName>
    <definedName name="GenMid12_9">#REF!</definedName>
    <definedName name="GenMid2_1">#REF!</definedName>
    <definedName name="GenMid2_10">#REF!</definedName>
    <definedName name="GenMid2_11">#REF!</definedName>
    <definedName name="GenMid2_12">#REF!</definedName>
    <definedName name="GenMid2_13">#REF!</definedName>
    <definedName name="GenMid2_14">#REF!</definedName>
    <definedName name="GenMid2_15">#REF!</definedName>
    <definedName name="GenMid2_16">#REF!</definedName>
    <definedName name="GenMid2_17">#REF!</definedName>
    <definedName name="GenMid2_18">#REF!</definedName>
    <definedName name="GenMid2_19">#REF!</definedName>
    <definedName name="GenMid2_2">#REF!</definedName>
    <definedName name="GenMid2_20">#REF!</definedName>
    <definedName name="GenMid2_21">#REF!</definedName>
    <definedName name="GenMid2_22">#REF!</definedName>
    <definedName name="GenMid2_23">#REF!</definedName>
    <definedName name="GenMid2_24">#REF!</definedName>
    <definedName name="GenMid2_25">#REF!</definedName>
    <definedName name="GenMid2_26">#REF!</definedName>
    <definedName name="GenMid2_27">#REF!</definedName>
    <definedName name="GenMid2_28">#REF!</definedName>
    <definedName name="GenMid2_29">#REF!</definedName>
    <definedName name="GenMid2_3">#REF!</definedName>
    <definedName name="GenMid2_30">#REF!</definedName>
    <definedName name="GenMid2_31">#REF!</definedName>
    <definedName name="GenMid2_32">#REF!</definedName>
    <definedName name="GenMid2_33">#REF!</definedName>
    <definedName name="GenMid2_34">#REF!</definedName>
    <definedName name="GenMid2_35">#REF!</definedName>
    <definedName name="GenMid2_36">#REF!</definedName>
    <definedName name="GenMid2_37">#REF!</definedName>
    <definedName name="GenMid2_38">#REF!</definedName>
    <definedName name="GenMid2_39">#REF!</definedName>
    <definedName name="GenMid2_4">#REF!</definedName>
    <definedName name="GenMid2_40">#REF!</definedName>
    <definedName name="GenMid2_41">#REF!</definedName>
    <definedName name="GenMid2_42">#REF!</definedName>
    <definedName name="GenMid2_43">#REF!</definedName>
    <definedName name="GenMid2_44">#REF!</definedName>
    <definedName name="GenMid2_45">#REF!</definedName>
    <definedName name="GenMid2_5">#REF!</definedName>
    <definedName name="GenMid2_6">#REF!</definedName>
    <definedName name="GenMid2_7">#REF!</definedName>
    <definedName name="GenMid2_8">#REF!</definedName>
    <definedName name="GenMid2_9">#REF!</definedName>
    <definedName name="GenMid3_1">#REF!</definedName>
    <definedName name="GenMid3_10">#REF!</definedName>
    <definedName name="GenMid3_11">#REF!</definedName>
    <definedName name="GenMid3_12">#REF!</definedName>
    <definedName name="GenMid3_13">#REF!</definedName>
    <definedName name="GenMid3_14">#REF!</definedName>
    <definedName name="GenMid3_15">#REF!</definedName>
    <definedName name="GenMid3_16">#REF!</definedName>
    <definedName name="GenMid3_17">#REF!</definedName>
    <definedName name="GenMid3_18">#REF!</definedName>
    <definedName name="GenMid3_19">#REF!</definedName>
    <definedName name="GenMid3_2">#REF!</definedName>
    <definedName name="GenMid3_20">#REF!</definedName>
    <definedName name="GenMid3_21">#REF!</definedName>
    <definedName name="GenMid3_22">#REF!</definedName>
    <definedName name="GenMid3_23">#REF!</definedName>
    <definedName name="GenMid3_24">#REF!</definedName>
    <definedName name="GenMid3_25">#REF!</definedName>
    <definedName name="GenMid3_26">#REF!</definedName>
    <definedName name="GenMid3_27">#REF!</definedName>
    <definedName name="GenMid3_28">#REF!</definedName>
    <definedName name="GenMid3_29">#REF!</definedName>
    <definedName name="GenMid3_3">#REF!</definedName>
    <definedName name="GenMid3_30">#REF!</definedName>
    <definedName name="GenMid3_31">#REF!</definedName>
    <definedName name="GenMid3_32">#REF!</definedName>
    <definedName name="GenMid3_33">#REF!</definedName>
    <definedName name="GenMid3_34">#REF!</definedName>
    <definedName name="GenMid3_35">#REF!</definedName>
    <definedName name="GenMid3_36">#REF!</definedName>
    <definedName name="GenMid3_37">#REF!</definedName>
    <definedName name="GenMid3_38">#REF!</definedName>
    <definedName name="GenMid3_39">#REF!</definedName>
    <definedName name="GenMid3_4">#REF!</definedName>
    <definedName name="GenMid3_40">#REF!</definedName>
    <definedName name="GenMid3_41">#REF!</definedName>
    <definedName name="GenMid3_42">#REF!</definedName>
    <definedName name="GenMid3_43">#REF!</definedName>
    <definedName name="GenMid3_44">#REF!</definedName>
    <definedName name="GenMid3_45">#REF!</definedName>
    <definedName name="GenMid3_5">#REF!</definedName>
    <definedName name="GenMid3_6">#REF!</definedName>
    <definedName name="GenMid3_7">#REF!</definedName>
    <definedName name="GenMid3_8">#REF!</definedName>
    <definedName name="GenMid3_9">#REF!</definedName>
    <definedName name="GenMid4_1">#REF!</definedName>
    <definedName name="GenMid4_10">#REF!</definedName>
    <definedName name="GenMid4_11">#REF!</definedName>
    <definedName name="GenMid4_12">#REF!</definedName>
    <definedName name="GenMid4_13">#REF!</definedName>
    <definedName name="GenMid4_14">#REF!</definedName>
    <definedName name="GenMid4_15">#REF!</definedName>
    <definedName name="GenMid4_16">#REF!</definedName>
    <definedName name="GenMid4_17">#REF!</definedName>
    <definedName name="GenMid4_18">#REF!</definedName>
    <definedName name="GenMid4_19">#REF!</definedName>
    <definedName name="GenMid4_2">#REF!</definedName>
    <definedName name="GenMid4_20">#REF!</definedName>
    <definedName name="GenMid4_21">#REF!</definedName>
    <definedName name="GenMid4_22">#REF!</definedName>
    <definedName name="GenMid4_23">#REF!</definedName>
    <definedName name="GenMid4_24">#REF!</definedName>
    <definedName name="GenMid4_25">#REF!</definedName>
    <definedName name="GenMid4_26">#REF!</definedName>
    <definedName name="GenMid4_27">#REF!</definedName>
    <definedName name="GenMid4_28">#REF!</definedName>
    <definedName name="GenMid4_29">#REF!</definedName>
    <definedName name="GenMid4_3">#REF!</definedName>
    <definedName name="GenMid4_30">#REF!</definedName>
    <definedName name="GenMid4_31">#REF!</definedName>
    <definedName name="GenMid4_32">#REF!</definedName>
    <definedName name="GenMid4_33">#REF!</definedName>
    <definedName name="GenMid4_34">#REF!</definedName>
    <definedName name="GenMid4_35">#REF!</definedName>
    <definedName name="GenMid4_36">#REF!</definedName>
    <definedName name="GenMid4_37">#REF!</definedName>
    <definedName name="GenMid4_38">#REF!</definedName>
    <definedName name="GenMid4_39">#REF!</definedName>
    <definedName name="GenMid4_4">#REF!</definedName>
    <definedName name="GenMid4_40">#REF!</definedName>
    <definedName name="GenMid4_41">#REF!</definedName>
    <definedName name="GenMid4_42">#REF!</definedName>
    <definedName name="GenMid4_43">#REF!</definedName>
    <definedName name="GenMid4_44">#REF!</definedName>
    <definedName name="GenMid4_45">#REF!</definedName>
    <definedName name="GenMid4_5">#REF!</definedName>
    <definedName name="GenMid4_6">#REF!</definedName>
    <definedName name="GenMid4_7">#REF!</definedName>
    <definedName name="GenMid4_8">#REF!</definedName>
    <definedName name="GenMid4_9">#REF!</definedName>
    <definedName name="GenMid5_1">#REF!</definedName>
    <definedName name="GenMid5_10">#REF!</definedName>
    <definedName name="GenMid5_11">#REF!</definedName>
    <definedName name="GenMid5_12">#REF!</definedName>
    <definedName name="GenMid5_13">#REF!</definedName>
    <definedName name="GenMid5_14">#REF!</definedName>
    <definedName name="GenMid5_15">#REF!</definedName>
    <definedName name="GenMid5_16">#REF!</definedName>
    <definedName name="GenMid5_17">#REF!</definedName>
    <definedName name="GenMid5_18">#REF!</definedName>
    <definedName name="GenMid5_19">#REF!</definedName>
    <definedName name="GenMid5_2">#REF!</definedName>
    <definedName name="GenMid5_20">#REF!</definedName>
    <definedName name="GenMid5_21">#REF!</definedName>
    <definedName name="GenMid5_22">#REF!</definedName>
    <definedName name="GenMid5_23">#REF!</definedName>
    <definedName name="GenMid5_24">#REF!</definedName>
    <definedName name="GenMid5_25">#REF!</definedName>
    <definedName name="GenMid5_26">#REF!</definedName>
    <definedName name="GenMid5_27">#REF!</definedName>
    <definedName name="GenMid5_28">#REF!</definedName>
    <definedName name="GenMid5_29">#REF!</definedName>
    <definedName name="GenMid5_3">#REF!</definedName>
    <definedName name="GenMid5_30">#REF!</definedName>
    <definedName name="GenMid5_31">#REF!</definedName>
    <definedName name="GenMid5_32">#REF!</definedName>
    <definedName name="GenMid5_33">#REF!</definedName>
    <definedName name="GenMid5_34">#REF!</definedName>
    <definedName name="GenMid5_35">#REF!</definedName>
    <definedName name="GenMid5_36">#REF!</definedName>
    <definedName name="GenMid5_37">#REF!</definedName>
    <definedName name="GenMid5_38">#REF!</definedName>
    <definedName name="GenMid5_39">#REF!</definedName>
    <definedName name="GenMid5_4">#REF!</definedName>
    <definedName name="GenMid5_40">#REF!</definedName>
    <definedName name="GenMid5_41">#REF!</definedName>
    <definedName name="GenMid5_42">#REF!</definedName>
    <definedName name="GenMid5_43">#REF!</definedName>
    <definedName name="GenMid5_44">#REF!</definedName>
    <definedName name="GenMid5_45">#REF!</definedName>
    <definedName name="GenMid5_5">#REF!</definedName>
    <definedName name="GenMid5_6">#REF!</definedName>
    <definedName name="GenMid5_7">#REF!</definedName>
    <definedName name="GenMid5_8">#REF!</definedName>
    <definedName name="GenMid5_9">#REF!</definedName>
    <definedName name="GenMid6_1">#REF!</definedName>
    <definedName name="GenMid6_10">#REF!</definedName>
    <definedName name="GenMid6_11">#REF!</definedName>
    <definedName name="GenMid6_12">#REF!</definedName>
    <definedName name="GenMid6_13">#REF!</definedName>
    <definedName name="GenMid6_14">#REF!</definedName>
    <definedName name="GenMid6_15">#REF!</definedName>
    <definedName name="GenMid6_16">#REF!</definedName>
    <definedName name="GenMid6_17">#REF!</definedName>
    <definedName name="GenMid6_18">#REF!</definedName>
    <definedName name="GenMid6_19">#REF!</definedName>
    <definedName name="GenMid6_2">#REF!</definedName>
    <definedName name="GenMid6_20">#REF!</definedName>
    <definedName name="GenMid6_21">#REF!</definedName>
    <definedName name="GenMid6_22">#REF!</definedName>
    <definedName name="GenMid6_23">#REF!</definedName>
    <definedName name="GenMid6_24">#REF!</definedName>
    <definedName name="GenMid6_25">#REF!</definedName>
    <definedName name="GenMid6_26">#REF!</definedName>
    <definedName name="GenMid6_27">#REF!</definedName>
    <definedName name="GenMid6_28">#REF!</definedName>
    <definedName name="GenMid6_29">#REF!</definedName>
    <definedName name="GenMid6_3">#REF!</definedName>
    <definedName name="GenMid6_30">#REF!</definedName>
    <definedName name="GenMid6_31">#REF!</definedName>
    <definedName name="GenMid6_32">#REF!</definedName>
    <definedName name="GenMid6_33">#REF!</definedName>
    <definedName name="GenMid6_34">#REF!</definedName>
    <definedName name="GenMid6_35">#REF!</definedName>
    <definedName name="GenMid6_36">#REF!</definedName>
    <definedName name="GenMid6_37">#REF!</definedName>
    <definedName name="GenMid6_38">#REF!</definedName>
    <definedName name="GenMid6_39">#REF!</definedName>
    <definedName name="GenMid6_4">#REF!</definedName>
    <definedName name="GenMid6_40">#REF!</definedName>
    <definedName name="GenMid6_41">#REF!</definedName>
    <definedName name="GenMid6_42">#REF!</definedName>
    <definedName name="GenMid6_43">#REF!</definedName>
    <definedName name="GenMid6_44">#REF!</definedName>
    <definedName name="GenMid6_45">#REF!</definedName>
    <definedName name="GenMid6_5">#REF!</definedName>
    <definedName name="GenMid6_6">#REF!</definedName>
    <definedName name="GenMid6_7">#REF!</definedName>
    <definedName name="GenMid6_8">#REF!</definedName>
    <definedName name="GenMid6_9">#REF!</definedName>
    <definedName name="GenMid7_1">#REF!</definedName>
    <definedName name="GenMid7_10">#REF!</definedName>
    <definedName name="GenMid7_11">#REF!</definedName>
    <definedName name="GenMid7_12">#REF!</definedName>
    <definedName name="GenMid7_13">#REF!</definedName>
    <definedName name="GenMid7_14">#REF!</definedName>
    <definedName name="GenMid7_15">#REF!</definedName>
    <definedName name="GenMid7_16">#REF!</definedName>
    <definedName name="GenMid7_17">#REF!</definedName>
    <definedName name="GenMid7_18">#REF!</definedName>
    <definedName name="GenMid7_19">#REF!</definedName>
    <definedName name="GenMid7_2">#REF!</definedName>
    <definedName name="GenMid7_20">#REF!</definedName>
    <definedName name="GenMid7_21">#REF!</definedName>
    <definedName name="GenMid7_22">#REF!</definedName>
    <definedName name="GenMid7_23">#REF!</definedName>
    <definedName name="GenMid7_24">#REF!</definedName>
    <definedName name="GenMid7_25">#REF!</definedName>
    <definedName name="GenMid7_26">#REF!</definedName>
    <definedName name="GenMid7_27">#REF!</definedName>
    <definedName name="GenMid7_28">#REF!</definedName>
    <definedName name="GenMid7_29">#REF!</definedName>
    <definedName name="GenMid7_3">#REF!</definedName>
    <definedName name="GenMid7_30">#REF!</definedName>
    <definedName name="GenMid7_31">#REF!</definedName>
    <definedName name="GenMid7_32">#REF!</definedName>
    <definedName name="GenMid7_33">#REF!</definedName>
    <definedName name="GenMid7_34">#REF!</definedName>
    <definedName name="GenMid7_35">#REF!</definedName>
    <definedName name="GenMid7_36">#REF!</definedName>
    <definedName name="GenMid7_37">#REF!</definedName>
    <definedName name="GenMid7_38">#REF!</definedName>
    <definedName name="GenMid7_39">#REF!</definedName>
    <definedName name="GenMid7_4">#REF!</definedName>
    <definedName name="GenMid7_40">#REF!</definedName>
    <definedName name="GenMid7_41">#REF!</definedName>
    <definedName name="GenMid7_42">#REF!</definedName>
    <definedName name="GenMid7_43">#REF!</definedName>
    <definedName name="GenMid7_44">#REF!</definedName>
    <definedName name="GenMid7_45">#REF!</definedName>
    <definedName name="GenMid7_5">#REF!</definedName>
    <definedName name="GenMid7_6">#REF!</definedName>
    <definedName name="GenMid7_7">#REF!</definedName>
    <definedName name="GenMid7_8">#REF!</definedName>
    <definedName name="GenMid7_9">#REF!</definedName>
    <definedName name="GenMid8_1">#REF!</definedName>
    <definedName name="GenMid8_10">#REF!</definedName>
    <definedName name="GenMid8_11">#REF!</definedName>
    <definedName name="GenMid8_12">#REF!</definedName>
    <definedName name="GenMid8_13">#REF!</definedName>
    <definedName name="GenMid8_14">#REF!</definedName>
    <definedName name="GenMid8_15">#REF!</definedName>
    <definedName name="GenMid8_16">#REF!</definedName>
    <definedName name="GenMid8_17">#REF!</definedName>
    <definedName name="GenMid8_18">#REF!</definedName>
    <definedName name="GenMid8_19">#REF!</definedName>
    <definedName name="GenMid8_2">#REF!</definedName>
    <definedName name="GenMid8_20">#REF!</definedName>
    <definedName name="GenMid8_21">#REF!</definedName>
    <definedName name="GenMid8_22">#REF!</definedName>
    <definedName name="GenMid8_23">#REF!</definedName>
    <definedName name="GenMid8_24">#REF!</definedName>
    <definedName name="GenMid8_25">#REF!</definedName>
    <definedName name="GenMid8_26">#REF!</definedName>
    <definedName name="GenMid8_27">#REF!</definedName>
    <definedName name="GenMid8_28">#REF!</definedName>
    <definedName name="GenMid8_29">#REF!</definedName>
    <definedName name="GenMid8_3">#REF!</definedName>
    <definedName name="GenMid8_30">#REF!</definedName>
    <definedName name="GenMid8_31">#REF!</definedName>
    <definedName name="GenMid8_32">#REF!</definedName>
    <definedName name="GenMid8_33">#REF!</definedName>
    <definedName name="GenMid8_34">#REF!</definedName>
    <definedName name="GenMid8_35">#REF!</definedName>
    <definedName name="GenMid8_36">#REF!</definedName>
    <definedName name="GenMid8_37">#REF!</definedName>
    <definedName name="GenMid8_38">#REF!</definedName>
    <definedName name="GenMid8_39">#REF!</definedName>
    <definedName name="GenMid8_4">#REF!</definedName>
    <definedName name="GenMid8_40">#REF!</definedName>
    <definedName name="GenMid8_41">#REF!</definedName>
    <definedName name="GenMid8_42">#REF!</definedName>
    <definedName name="GenMid8_43">#REF!</definedName>
    <definedName name="GenMid8_44">#REF!</definedName>
    <definedName name="GenMid8_45">#REF!</definedName>
    <definedName name="GenMid8_5">#REF!</definedName>
    <definedName name="GenMid8_6">#REF!</definedName>
    <definedName name="GenMid8_7">#REF!</definedName>
    <definedName name="GenMid8_8">#REF!</definedName>
    <definedName name="GenMid8_9">#REF!</definedName>
    <definedName name="GenMid9_1">#REF!</definedName>
    <definedName name="GenMid9_10">#REF!</definedName>
    <definedName name="GenMid9_11">#REF!</definedName>
    <definedName name="GenMid9_12">#REF!</definedName>
    <definedName name="GenMid9_13">#REF!</definedName>
    <definedName name="GenMid9_14">#REF!</definedName>
    <definedName name="GenMid9_15">#REF!</definedName>
    <definedName name="GenMid9_16">#REF!</definedName>
    <definedName name="GenMid9_17">#REF!</definedName>
    <definedName name="GenMid9_18">#REF!</definedName>
    <definedName name="GenMid9_19">#REF!</definedName>
    <definedName name="GenMid9_2">#REF!</definedName>
    <definedName name="GenMid9_20">#REF!</definedName>
    <definedName name="GenMid9_21">#REF!</definedName>
    <definedName name="GenMid9_22">#REF!</definedName>
    <definedName name="GenMid9_23">#REF!</definedName>
    <definedName name="GenMid9_24">#REF!</definedName>
    <definedName name="GenMid9_25">#REF!</definedName>
    <definedName name="GenMid9_26">#REF!</definedName>
    <definedName name="GenMid9_27">#REF!</definedName>
    <definedName name="GenMid9_28">#REF!</definedName>
    <definedName name="GenMid9_29">#REF!</definedName>
    <definedName name="GenMid9_3">#REF!</definedName>
    <definedName name="GenMid9_30">#REF!</definedName>
    <definedName name="GenMid9_31">#REF!</definedName>
    <definedName name="GenMid9_32">#REF!</definedName>
    <definedName name="GenMid9_33">#REF!</definedName>
    <definedName name="GenMid9_34">#REF!</definedName>
    <definedName name="GenMid9_35">#REF!</definedName>
    <definedName name="GenMid9_36">#REF!</definedName>
    <definedName name="GenMid9_37">#REF!</definedName>
    <definedName name="GenMid9_38">#REF!</definedName>
    <definedName name="GenMid9_39">#REF!</definedName>
    <definedName name="GenMid9_4">#REF!</definedName>
    <definedName name="GenMid9_40">#REF!</definedName>
    <definedName name="GenMid9_41">#REF!</definedName>
    <definedName name="GenMid9_42">#REF!</definedName>
    <definedName name="GenMid9_43">#REF!</definedName>
    <definedName name="GenMid9_44">#REF!</definedName>
    <definedName name="GenMid9_45">#REF!</definedName>
    <definedName name="GenMid9_5">#REF!</definedName>
    <definedName name="GenMid9_6">#REF!</definedName>
    <definedName name="GenMid9_7">#REF!</definedName>
    <definedName name="GenMid9_8">#REF!</definedName>
    <definedName name="GenMid9_9">#REF!</definedName>
    <definedName name="GPA_1">'6.1Summary of grades'!#REF!</definedName>
    <definedName name="GPA_10">'6.1Summary of grades'!#REF!</definedName>
    <definedName name="GPA_11">'6.1Summary of grades'!#REF!</definedName>
    <definedName name="GPA_12">'6.1Summary of grades'!#REF!</definedName>
    <definedName name="GPA_13">'6.1Summary of grades'!#REF!</definedName>
    <definedName name="GPA_14">'6.1Summary of grades'!#REF!</definedName>
    <definedName name="GPA_15">'6.1Summary of grades'!#REF!</definedName>
    <definedName name="GPA_16">'6.1Summary of grades'!#REF!</definedName>
    <definedName name="GPA_17">'6.1Summary of grades'!#REF!</definedName>
    <definedName name="GPA_18">'6.1Summary of grades'!#REF!</definedName>
    <definedName name="GPA_19">'6.1Summary of grades'!#REF!</definedName>
    <definedName name="GPA_2">'6.1Summary of grades'!#REF!</definedName>
    <definedName name="GPA_20">'6.1Summary of grades'!#REF!</definedName>
    <definedName name="GPA_21">'6.1Summary of grades'!#REF!</definedName>
    <definedName name="GPA_22">'6.1Summary of grades'!#REF!</definedName>
    <definedName name="GPA_23">'6.1Summary of grades'!#REF!</definedName>
    <definedName name="GPA_24">'6.1Summary of grades'!#REF!</definedName>
    <definedName name="GPA_25">'6.1Summary of grades'!#REF!</definedName>
    <definedName name="GPA_26">'6.1Summary of grades'!#REF!</definedName>
    <definedName name="GPA_27">'6.1Summary of grades'!#REF!</definedName>
    <definedName name="GPA_28">'6.1Summary of grades'!#REF!</definedName>
    <definedName name="GPA_29">'6.1Summary of grades'!#REF!</definedName>
    <definedName name="GPA_3">'6.1Summary of grades'!#REF!</definedName>
    <definedName name="GPA_30">'6.1Summary of grades'!#REF!</definedName>
    <definedName name="GPA_31">'6.1Summary of grades'!#REF!</definedName>
    <definedName name="GPA_32">'6.1Summary of grades'!#REF!</definedName>
    <definedName name="GPA_33">'6.1Summary of grades'!#REF!</definedName>
    <definedName name="GPA_34">'6.1Summary of grades'!#REF!</definedName>
    <definedName name="GPA_35">'6.1Summary of grades'!#REF!</definedName>
    <definedName name="GPA_36">'6.1Summary of grades'!#REF!</definedName>
    <definedName name="GPA_37">'6.1Summary of grades'!#REF!</definedName>
    <definedName name="GPA_38">'6.1Summary of grades'!#REF!</definedName>
    <definedName name="GPA_39">'6.1Summary of grades'!#REF!</definedName>
    <definedName name="GPA_4">'6.1Summary of grades'!#REF!</definedName>
    <definedName name="GPA_40">'6.1Summary of grades'!#REF!</definedName>
    <definedName name="GPA_41">'6.1Summary of grades'!#REF!</definedName>
    <definedName name="GPA_42">'6.1Summary of grades'!#REF!</definedName>
    <definedName name="GPA_43">'6.1Summary of grades'!#REF!</definedName>
    <definedName name="GPA_44">'6.1Summary of grades'!#REF!</definedName>
    <definedName name="GPA_45">'6.1Summary of grades'!#REF!</definedName>
    <definedName name="GPA_5">'6.1Summary of grades'!#REF!</definedName>
    <definedName name="GPA_6">'6.1Summary of grades'!#REF!</definedName>
    <definedName name="GPA_7">'6.1Summary of grades'!#REF!</definedName>
    <definedName name="GPA_8">'6.1Summary of grades'!#REF!</definedName>
    <definedName name="GPA_9">'6.1Summary of grades'!#REF!</definedName>
    <definedName name="IDstu_1">'[1]2.ชื่อนักเรียน'!$B$11</definedName>
    <definedName name="IDstu1">'2.Students'' data'!$B$11</definedName>
    <definedName name="IDstu10">'2.Students'' data'!$B$20</definedName>
    <definedName name="IDstu11">'2.Students'' data'!$B$21</definedName>
    <definedName name="IDstu12">'2.Students'' data'!$B$22</definedName>
    <definedName name="IDstu13">'2.Students'' data'!$B$23</definedName>
    <definedName name="IDstu14">'2.Students'' data'!$B$24</definedName>
    <definedName name="IDstu15">'2.Students'' data'!$B$25</definedName>
    <definedName name="IDstu16">'2.Students'' data'!$B$26</definedName>
    <definedName name="IDstu17">'2.Students'' data'!$B$27</definedName>
    <definedName name="IDstu18">'2.Students'' data'!$B$28</definedName>
    <definedName name="IDstu19">'2.Students'' data'!$B$29</definedName>
    <definedName name="IDstu2">'2.Students'' data'!$B$12</definedName>
    <definedName name="IDstu20">'2.Students'' data'!$B$30</definedName>
    <definedName name="IDstu21">'2.Students'' data'!$B$31</definedName>
    <definedName name="IDstu22">'2.Students'' data'!$B$32</definedName>
    <definedName name="IDstu23">'2.Students'' data'!$B$33</definedName>
    <definedName name="IDstu24">'2.Students'' data'!$B$34</definedName>
    <definedName name="IDstu25">'2.Students'' data'!$B$35</definedName>
    <definedName name="IDstu26">'2.Students'' data'!$B$36</definedName>
    <definedName name="IDstu27">'2.Students'' data'!$B$37</definedName>
    <definedName name="IDstu28">'2.Students'' data'!$B$38</definedName>
    <definedName name="IDstu29">'2.Students'' data'!$B$39</definedName>
    <definedName name="IDstu3">'2.Students'' data'!$B$13</definedName>
    <definedName name="IDstu30">'2.Students'' data'!$B$40</definedName>
    <definedName name="IDstu31">'2.Students'' data'!$B$41</definedName>
    <definedName name="IDstu32">'2.Students'' data'!$B$42</definedName>
    <definedName name="IDstu33">'2.Students'' data'!$B$43</definedName>
    <definedName name="IDstu34">'2.Students'' data'!$B$44</definedName>
    <definedName name="IDstu35">'2.Students'' data'!$B$45</definedName>
    <definedName name="IDstu36">'2.Students'' data'!$B$46</definedName>
    <definedName name="IDstu37">'2.Students'' data'!$B$47</definedName>
    <definedName name="IDstu38">'2.Students'' data'!$B$48</definedName>
    <definedName name="IDstu39">'2.Students'' data'!$B$49</definedName>
    <definedName name="IDstu4">'2.Students'' data'!$B$14</definedName>
    <definedName name="IDstu40">'2.Students'' data'!$B$50</definedName>
    <definedName name="IDstu41">'2.Students'' data'!$B$51</definedName>
    <definedName name="IDstu42">'2.Students'' data'!$B$52</definedName>
    <definedName name="IDstu43">'2.Students'' data'!$B$53</definedName>
    <definedName name="IDstu44">'2.Students'' data'!$B$54</definedName>
    <definedName name="IDstu45">'2.Students'' data'!$B$55</definedName>
    <definedName name="IDstu5">'2.Students'' data'!$B$15</definedName>
    <definedName name="IDstu6">'2.Students'' data'!$B$16</definedName>
    <definedName name="IDstu7">'2.Students'' data'!$B$17</definedName>
    <definedName name="IDstu8">'2.Students'' data'!$B$18</definedName>
    <definedName name="IDstu9">'2.Students'' data'!$B$19</definedName>
    <definedName name="Midscore_1">#REF!</definedName>
    <definedName name="Midscore_2">#REF!</definedName>
    <definedName name="MidscoreF">#REF!</definedName>
    <definedName name="Month">'1.ข้อมูลเบื้องต้น'!$L$14</definedName>
    <definedName name="Name_1">'[1]2.ชื่อนักเรียน'!$C$11</definedName>
    <definedName name="Name_10">'[1]2.ชื่อนักเรียน'!$C$20</definedName>
    <definedName name="Name_11">'[1]2.ชื่อนักเรียน'!$C$21</definedName>
    <definedName name="Name_12">'[1]2.ชื่อนักเรียน'!$C$22</definedName>
    <definedName name="Name_13">'[1]2.ชื่อนักเรียน'!$C$23</definedName>
    <definedName name="Name_14">'[1]2.ชื่อนักเรียน'!$C$24</definedName>
    <definedName name="Name_15">'[1]2.ชื่อนักเรียน'!$C$25</definedName>
    <definedName name="Name_16">'[1]2.ชื่อนักเรียน'!$C$26</definedName>
    <definedName name="Name_17">'[1]2.ชื่อนักเรียน'!$C$27</definedName>
    <definedName name="Name_18">'[1]2.ชื่อนักเรียน'!$C$28</definedName>
    <definedName name="Name_19">'[1]2.ชื่อนักเรียน'!$C$29</definedName>
    <definedName name="Name_2">'[1]2.ชื่อนักเรียน'!$C$12</definedName>
    <definedName name="Name_20">'[1]2.ชื่อนักเรียน'!$C$30</definedName>
    <definedName name="Name_21">'[1]2.ชื่อนักเรียน'!$C$31</definedName>
    <definedName name="Name_22">'[1]2.ชื่อนักเรียน'!$C$32</definedName>
    <definedName name="Name_23">'[1]2.ชื่อนักเรียน'!$C$33</definedName>
    <definedName name="Name_24">'[1]2.ชื่อนักเรียน'!$C$34</definedName>
    <definedName name="Name_25">'[1]2.ชื่อนักเรียน'!$C$35</definedName>
    <definedName name="Name_26">'[1]2.ชื่อนักเรียน'!$C$36</definedName>
    <definedName name="Name_27">'[1]2.ชื่อนักเรียน'!$C$37</definedName>
    <definedName name="Name_28">'[1]2.ชื่อนักเรียน'!$C$38</definedName>
    <definedName name="Name_29">'[1]2.ชื่อนักเรียน'!$C$39</definedName>
    <definedName name="Name_3">'[1]2.ชื่อนักเรียน'!$C$13</definedName>
    <definedName name="Name_30">'[1]2.ชื่อนักเรียน'!$C$40</definedName>
    <definedName name="Name_31">'[1]2.ชื่อนักเรียน'!$C$41</definedName>
    <definedName name="Name_32">'[1]2.ชื่อนักเรียน'!$C$42</definedName>
    <definedName name="Name_33">'[1]2.ชื่อนักเรียน'!$C$43</definedName>
    <definedName name="Name_34">'[1]2.ชื่อนักเรียน'!$C$44</definedName>
    <definedName name="Name_35">'[1]2.ชื่อนักเรียน'!$C$45</definedName>
    <definedName name="Name_36">'[1]2.ชื่อนักเรียน'!$C$46</definedName>
    <definedName name="Name_37">'[1]2.ชื่อนักเรียน'!$C$47</definedName>
    <definedName name="Name_38">'[1]2.ชื่อนักเรียน'!$C$48</definedName>
    <definedName name="Name_39">'[1]2.ชื่อนักเรียน'!$C$49</definedName>
    <definedName name="Name_4">'[1]2.ชื่อนักเรียน'!$C$14</definedName>
    <definedName name="Name_40">'[1]2.ชื่อนักเรียน'!$C$50</definedName>
    <definedName name="Name_41">'[1]2.ชื่อนักเรียน'!$C$51</definedName>
    <definedName name="Name_42">'[1]2.ชื่อนักเรียน'!$C$52</definedName>
    <definedName name="Name_43">'[1]2.ชื่อนักเรียน'!$C$53</definedName>
    <definedName name="Name_44">'[1]2.ชื่อนักเรียน'!$C$54</definedName>
    <definedName name="Name_45">'[1]2.ชื่อนักเรียน'!$C$55</definedName>
    <definedName name="Name_5">'[1]2.ชื่อนักเรียน'!$C$15</definedName>
    <definedName name="Name_6">'[1]2.ชื่อนักเรียน'!$C$16</definedName>
    <definedName name="Name_7">'[1]2.ชื่อนักเรียน'!$C$17</definedName>
    <definedName name="Name_8">'[1]2.ชื่อนักเรียน'!$C$18</definedName>
    <definedName name="Name_9">'[1]2.ชื่อนักเรียน'!$C$19</definedName>
    <definedName name="Name1">'2.Students'' data'!$C$11</definedName>
    <definedName name="Name10">'2.Students'' data'!$C$20</definedName>
    <definedName name="Name11">'2.Students'' data'!$C$21</definedName>
    <definedName name="Name12">'2.Students'' data'!$C$22</definedName>
    <definedName name="Name13">'2.Students'' data'!$C$23</definedName>
    <definedName name="Name14">'2.Students'' data'!$C$24</definedName>
    <definedName name="Name15">'2.Students'' data'!$C$25</definedName>
    <definedName name="Name16">'2.Students'' data'!$C$26</definedName>
    <definedName name="Name17">'2.Students'' data'!$C$27</definedName>
    <definedName name="Name18">'2.Students'' data'!$C$28</definedName>
    <definedName name="Name19">'2.Students'' data'!$C$29</definedName>
    <definedName name="Name2">'2.Students'' data'!$C$12</definedName>
    <definedName name="Name20">'2.Students'' data'!$C$30</definedName>
    <definedName name="Name21">'2.Students'' data'!$C$31</definedName>
    <definedName name="Name22">'2.Students'' data'!$C$32</definedName>
    <definedName name="Name23">'2.Students'' data'!$C$33</definedName>
    <definedName name="Name24">'2.Students'' data'!$C$34</definedName>
    <definedName name="Name25">'2.Students'' data'!$C$35</definedName>
    <definedName name="Name26">'2.Students'' data'!$C$36</definedName>
    <definedName name="Name27">'2.Students'' data'!$C$37</definedName>
    <definedName name="Name28">'2.Students'' data'!$C$38</definedName>
    <definedName name="Name29">'2.Students'' data'!$C$39</definedName>
    <definedName name="Name3">'2.Students'' data'!$C$13</definedName>
    <definedName name="Name30">'2.Students'' data'!$C$40</definedName>
    <definedName name="Name31">'2.Students'' data'!$C$41</definedName>
    <definedName name="Name32">'2.Students'' data'!$C$42</definedName>
    <definedName name="Name33">'2.Students'' data'!$C$43</definedName>
    <definedName name="Name34">'2.Students'' data'!$C$44</definedName>
    <definedName name="Name35">'2.Students'' data'!$C$45</definedName>
    <definedName name="Name36">'2.Students'' data'!$C$46</definedName>
    <definedName name="Name37">'2.Students'' data'!$C$47</definedName>
    <definedName name="Name38">'2.Students'' data'!$C$48</definedName>
    <definedName name="Name39">'2.Students'' data'!$C$49</definedName>
    <definedName name="Name4">'2.Students'' data'!$C$14</definedName>
    <definedName name="Name40">'2.Students'' data'!$C$50</definedName>
    <definedName name="Name41">'2.Students'' data'!$C$51</definedName>
    <definedName name="Name42">'2.Students'' data'!$C$52</definedName>
    <definedName name="Name43">'2.Students'' data'!$C$53</definedName>
    <definedName name="Name44">'2.Students'' data'!$C$54</definedName>
    <definedName name="Name45">'2.Students'' data'!$C$55</definedName>
    <definedName name="Name5">'2.Students'' data'!$C$15</definedName>
    <definedName name="Name6">'2.Students'' data'!$C$16</definedName>
    <definedName name="Name7">'2.Students'' data'!$C$17</definedName>
    <definedName name="Name8">'2.Students'' data'!$C$18</definedName>
    <definedName name="Name9">'2.Students'' data'!$C$19</definedName>
    <definedName name="Number_1">'[1]2.ชื่อนักเรียน'!$A$11</definedName>
    <definedName name="Number1">'2.Students'' data'!$A$11</definedName>
    <definedName name="Number10">'2.Students'' data'!$A$20</definedName>
    <definedName name="Number11">'2.Students'' data'!$A$21</definedName>
    <definedName name="Number12">'2.Students'' data'!$A$22</definedName>
    <definedName name="Number13">'2.Students'' data'!$A$23</definedName>
    <definedName name="Number14">'2.Students'' data'!$A$24</definedName>
    <definedName name="Number15">'2.Students'' data'!$A$25</definedName>
    <definedName name="Number16">'2.Students'' data'!$A$26</definedName>
    <definedName name="Number17">'2.Students'' data'!$A$27</definedName>
    <definedName name="Number18">'2.Students'' data'!$A$28</definedName>
    <definedName name="Number19">'2.Students'' data'!$A$29</definedName>
    <definedName name="Number2">'2.Students'' data'!$A$12</definedName>
    <definedName name="Number20">'2.Students'' data'!$A$30</definedName>
    <definedName name="Number21">'2.Students'' data'!$A$31</definedName>
    <definedName name="Number22">'2.Students'' data'!$A$32</definedName>
    <definedName name="Number23">'2.Students'' data'!$A$33</definedName>
    <definedName name="Number24">'2.Students'' data'!$A$34</definedName>
    <definedName name="Number25">'2.Students'' data'!$A$35</definedName>
    <definedName name="Number26">'2.Students'' data'!$A$36</definedName>
    <definedName name="Number27">'2.Students'' data'!$A$37</definedName>
    <definedName name="Number28">'2.Students'' data'!$A$38</definedName>
    <definedName name="Number29">'2.Students'' data'!$A$39</definedName>
    <definedName name="Number3">'2.Students'' data'!$A$13</definedName>
    <definedName name="Number30">'2.Students'' data'!$A$40</definedName>
    <definedName name="Number31">'2.Students'' data'!$A$41</definedName>
    <definedName name="Number32">'2.Students'' data'!$A$42</definedName>
    <definedName name="Number33">'2.Students'' data'!$A$43</definedName>
    <definedName name="Number34">'2.Students'' data'!$A$44</definedName>
    <definedName name="Number35">'2.Students'' data'!$A$45</definedName>
    <definedName name="Number36">'2.Students'' data'!$A$46</definedName>
    <definedName name="Number37">'2.Students'' data'!$A$47</definedName>
    <definedName name="Number38">'2.Students'' data'!$A$48</definedName>
    <definedName name="Number39">'2.Students'' data'!$A$49</definedName>
    <definedName name="Number4">'2.Students'' data'!$A$14</definedName>
    <definedName name="Number40">'2.Students'' data'!$A$50</definedName>
    <definedName name="Number41">'2.Students'' data'!$A$51</definedName>
    <definedName name="Number42">'2.Students'' data'!$A$52</definedName>
    <definedName name="Number43">'2.Students'' data'!$A$53</definedName>
    <definedName name="Number44">'2.Students'' data'!$A$54</definedName>
    <definedName name="Number45">'2.Students'' data'!$A$55</definedName>
    <definedName name="Number5">'2.Students'' data'!$A$15</definedName>
    <definedName name="Number6">'2.Students'' data'!$A$16</definedName>
    <definedName name="Number7">'2.Students'' data'!$A$17</definedName>
    <definedName name="Number8">'2.Students'' data'!$A$18</definedName>
    <definedName name="Number9">'2.Students'' data'!$A$19</definedName>
    <definedName name="_xlnm.Print_Area" localSheetId="1">'2.Students'' data'!$A$1:$S$55</definedName>
    <definedName name="_xlnm.Print_Area" localSheetId="3">'6.1Summary of grades'!$A$1:$X$62</definedName>
    <definedName name="_xlnm.Print_Area" localSheetId="4">'7.บันทึกการเจริญเติบโต'!$A$1:$P$55</definedName>
    <definedName name="_xlnm.Print_Area" localSheetId="5">'8.ความคิดเห็น'!$A$1:$S$55</definedName>
    <definedName name="_xlnm.Print_Area" localSheetId="7">Report!$A$4:$BT$38</definedName>
    <definedName name="_xlnm.Print_Titles" localSheetId="4">'7.บันทึกการเจริญเติบโต'!$A:$D</definedName>
    <definedName name="_xlnm.Print_Titles" localSheetId="6">'9.บันทึกการเจริญเติบโต'!$A:$D</definedName>
    <definedName name="Read">#REF!</definedName>
    <definedName name="Read_1" localSheetId="6">'[1]5.อ่านคิดวิเคราะห์'!$I$11</definedName>
    <definedName name="Read_1">#REF!</definedName>
    <definedName name="Read_10">#REF!</definedName>
    <definedName name="Read_11">#REF!</definedName>
    <definedName name="Read_12">#REF!</definedName>
    <definedName name="Read_13">#REF!</definedName>
    <definedName name="Read_14">#REF!</definedName>
    <definedName name="Read_15">#REF!</definedName>
    <definedName name="Read_16">#REF!</definedName>
    <definedName name="Read_17">#REF!</definedName>
    <definedName name="Read_18">#REF!</definedName>
    <definedName name="Read_19">#REF!</definedName>
    <definedName name="Read_2">#REF!</definedName>
    <definedName name="Read_20">#REF!</definedName>
    <definedName name="Read_21">#REF!</definedName>
    <definedName name="Read_22">#REF!</definedName>
    <definedName name="Read_23">#REF!</definedName>
    <definedName name="Read_24">#REF!</definedName>
    <definedName name="Read_25">#REF!</definedName>
    <definedName name="Read_26">#REF!</definedName>
    <definedName name="Read_27">#REF!</definedName>
    <definedName name="Read_28">#REF!</definedName>
    <definedName name="Read_29">#REF!</definedName>
    <definedName name="Read_3">#REF!</definedName>
    <definedName name="Read_30">#REF!</definedName>
    <definedName name="Read_31">#REF!</definedName>
    <definedName name="Read_32">#REF!</definedName>
    <definedName name="Read_33">#REF!</definedName>
    <definedName name="Read_34">#REF!</definedName>
    <definedName name="Read_35">#REF!</definedName>
    <definedName name="Read_36">#REF!</definedName>
    <definedName name="Read_37">#REF!</definedName>
    <definedName name="Read_38">#REF!</definedName>
    <definedName name="Read_39">#REF!</definedName>
    <definedName name="Read_4">#REF!</definedName>
    <definedName name="Read_40">#REF!</definedName>
    <definedName name="Read_41">#REF!</definedName>
    <definedName name="Read_42">#REF!</definedName>
    <definedName name="Read_43">#REF!</definedName>
    <definedName name="Read_44">#REF!</definedName>
    <definedName name="Read_45">#REF!</definedName>
    <definedName name="Read_5">#REF!</definedName>
    <definedName name="Read_6">#REF!</definedName>
    <definedName name="Read_7">#REF!</definedName>
    <definedName name="Read_8">#REF!</definedName>
    <definedName name="Read_9">#REF!</definedName>
    <definedName name="Semester" localSheetId="6">'[1]1.ข้อมูลเบื้องต้น'!$L$4</definedName>
    <definedName name="Semester">'1.ข้อมูลเบื้องต้น'!$M$4</definedName>
    <definedName name="StRank_1">'6.1Summary of grades'!#REF!</definedName>
    <definedName name="StRank_10">'6.1Summary of grades'!#REF!</definedName>
    <definedName name="StRank_11">'6.1Summary of grades'!#REF!</definedName>
    <definedName name="StRank_12">'6.1Summary of grades'!#REF!</definedName>
    <definedName name="StRank_13">'6.1Summary of grades'!#REF!</definedName>
    <definedName name="StRank_14">'6.1Summary of grades'!#REF!</definedName>
    <definedName name="StRank_15">'6.1Summary of grades'!#REF!</definedName>
    <definedName name="StRank_16">'6.1Summary of grades'!#REF!</definedName>
    <definedName name="StRank_17">'6.1Summary of grades'!#REF!</definedName>
    <definedName name="StRank_18">'6.1Summary of grades'!#REF!</definedName>
    <definedName name="StRank_19">'6.1Summary of grades'!#REF!</definedName>
    <definedName name="StRank_2">'6.1Summary of grades'!#REF!</definedName>
    <definedName name="StRank_20">'6.1Summary of grades'!#REF!</definedName>
    <definedName name="StRank_21">'6.1Summary of grades'!#REF!</definedName>
    <definedName name="StRank_22">'6.1Summary of grades'!#REF!</definedName>
    <definedName name="StRank_23">'6.1Summary of grades'!#REF!</definedName>
    <definedName name="StRank_24">'6.1Summary of grades'!#REF!</definedName>
    <definedName name="StRank_25">'6.1Summary of grades'!#REF!</definedName>
    <definedName name="StRank_26">'6.1Summary of grades'!#REF!</definedName>
    <definedName name="StRank_27">'6.1Summary of grades'!#REF!</definedName>
    <definedName name="StRank_28">'6.1Summary of grades'!#REF!</definedName>
    <definedName name="StRank_29">'6.1Summary of grades'!#REF!</definedName>
    <definedName name="StRank_3">'6.1Summary of grades'!#REF!</definedName>
    <definedName name="StRank_30">'6.1Summary of grades'!#REF!</definedName>
    <definedName name="StRank_31">'6.1Summary of grades'!#REF!</definedName>
    <definedName name="StRank_32">'6.1Summary of grades'!#REF!</definedName>
    <definedName name="StRank_33">'6.1Summary of grades'!#REF!</definedName>
    <definedName name="StRank_34">'6.1Summary of grades'!#REF!</definedName>
    <definedName name="StRank_35">'6.1Summary of grades'!#REF!</definedName>
    <definedName name="StRank_36">'6.1Summary of grades'!#REF!</definedName>
    <definedName name="StRank_37">'6.1Summary of grades'!#REF!</definedName>
    <definedName name="StRank_38">'6.1Summary of grades'!#REF!</definedName>
    <definedName name="StRank_39">'6.1Summary of grades'!#REF!</definedName>
    <definedName name="StRank_4">'6.1Summary of grades'!#REF!</definedName>
    <definedName name="StRank_40">'6.1Summary of grades'!#REF!</definedName>
    <definedName name="StRank_41">'6.1Summary of grades'!#REF!</definedName>
    <definedName name="StRank_42">'6.1Summary of grades'!#REF!</definedName>
    <definedName name="StRank_43">'6.1Summary of grades'!#REF!</definedName>
    <definedName name="StRank_44">'6.1Summary of grades'!#REF!</definedName>
    <definedName name="StRank_45">'6.1Summary of grades'!#REF!</definedName>
    <definedName name="StRank_5">'6.1Summary of grades'!#REF!</definedName>
    <definedName name="StRank_6">'6.1Summary of grades'!#REF!</definedName>
    <definedName name="StRank_7">'6.1Summary of grades'!#REF!</definedName>
    <definedName name="StRank_8">'6.1Summary of grades'!#REF!</definedName>
    <definedName name="StRank_9">'6.1Summary of grades'!#REF!</definedName>
    <definedName name="SubEle1" localSheetId="6">'[1]1.ข้อมูลเบื้องต้น'!$C$20</definedName>
    <definedName name="SubEle1">'1.ข้อมูลเบื้องต้น'!#REF!</definedName>
    <definedName name="SubEle10">'1.ข้อมูลเบื้องต้น'!#REF!</definedName>
    <definedName name="SubEle11">'1.ข้อมูลเบื้องต้น'!#REF!</definedName>
    <definedName name="SubEle12">'1.ข้อมูลเบื้องต้น'!#REF!</definedName>
    <definedName name="SubEle2" localSheetId="6">'[1]1.ข้อมูลเบื้องต้น'!$C$21</definedName>
    <definedName name="SubEle2">'1.ข้อมูลเบื้องต้น'!#REF!</definedName>
    <definedName name="SubEle3" localSheetId="6">'[1]1.ข้อมูลเบื้องต้น'!$C$22</definedName>
    <definedName name="SubEle3">'1.ข้อมูลเบื้องต้น'!#REF!</definedName>
    <definedName name="SubEle4" localSheetId="6">'[1]1.ข้อมูลเบื้องต้น'!$C$23</definedName>
    <definedName name="SubEle4">'1.ข้อมูลเบื้องต้น'!#REF!</definedName>
    <definedName name="SubEle5" localSheetId="6">'[1]1.ข้อมูลเบื้องต้น'!$C$24</definedName>
    <definedName name="SubEle5">'1.ข้อมูลเบื้องต้น'!#REF!</definedName>
    <definedName name="SubEle6">'1.ข้อมูลเบื้องต้น'!#REF!</definedName>
    <definedName name="SubEle7">'1.ข้อมูลเบื้องต้น'!#REF!</definedName>
    <definedName name="SubEle8">'1.ข้อมูลเบื้องต้น'!#REF!</definedName>
    <definedName name="SubEle9">'1.ข้อมูลเบื้องต้น'!#REF!</definedName>
    <definedName name="SubGen1" localSheetId="6">'[1]1.ข้อมูลเบื้องต้น'!$C$7</definedName>
    <definedName name="SubGen1">'1.ข้อมูลเบื้องต้น'!$C$7</definedName>
    <definedName name="SubGen10" localSheetId="6">'[1]1.ข้อมูลเบื้องต้น'!$C$16</definedName>
    <definedName name="SubGen10">'1.ข้อมูลเบื้องต้น'!$C$16</definedName>
    <definedName name="SubGen11" localSheetId="6">'[1]1.ข้อมูลเบื้องต้น'!$C$17</definedName>
    <definedName name="SubGen11">'1.ข้อมูลเบื้องต้น'!$C$17</definedName>
    <definedName name="SubGen12" localSheetId="6">'[1]1.ข้อมูลเบื้องต้น'!$C$18</definedName>
    <definedName name="SubGen12">'1.ข้อมูลเบื้องต้น'!$C$18</definedName>
    <definedName name="SubGen2" localSheetId="6">'[1]1.ข้อมูลเบื้องต้น'!$C$8</definedName>
    <definedName name="SubGen2">'1.ข้อมูลเบื้องต้น'!$C$8</definedName>
    <definedName name="SubGen3" localSheetId="6">'[1]1.ข้อมูลเบื้องต้น'!$C$9</definedName>
    <definedName name="SubGen3">'1.ข้อมูลเบื้องต้น'!$C$9</definedName>
    <definedName name="SubGen4" localSheetId="6">'[1]1.ข้อมูลเบื้องต้น'!$C$10</definedName>
    <definedName name="SubGen4">'1.ข้อมูลเบื้องต้น'!$C$10</definedName>
    <definedName name="SubGen5" localSheetId="6">'[1]1.ข้อมูลเบื้องต้น'!$C$11</definedName>
    <definedName name="SubGen5">'1.ข้อมูลเบื้องต้น'!$C$11</definedName>
    <definedName name="SubGen6" localSheetId="6">'[1]1.ข้อมูลเบื้องต้น'!$C$12</definedName>
    <definedName name="SubGen6">'1.ข้อมูลเบื้องต้น'!$C$12</definedName>
    <definedName name="SubGen7" localSheetId="6">'[1]1.ข้อมูลเบื้องต้น'!$C$13</definedName>
    <definedName name="SubGen7">'1.ข้อมูลเบื้องต้น'!$C$13</definedName>
    <definedName name="SubGen8" localSheetId="6">'[1]1.ข้อมูลเบื้องต้น'!$C$14</definedName>
    <definedName name="SubGen8">'1.ข้อมูลเบื้องต้น'!$C$14</definedName>
    <definedName name="SubGen9" localSheetId="6">'[1]1.ข้อมูลเบื้องต้น'!$C$15</definedName>
    <definedName name="SubGen9">'1.ข้อมูลเบื้องต้น'!$C$15</definedName>
    <definedName name="Surname_1">'[1]2.ชื่อนักเรียน'!$D$11</definedName>
    <definedName name="Surname_10">'[1]2.ชื่อนักเรียน'!$D$20</definedName>
    <definedName name="Surname_11">'[1]2.ชื่อนักเรียน'!$D$21</definedName>
    <definedName name="Surname_12">'[1]2.ชื่อนักเรียน'!$D$22</definedName>
    <definedName name="Surname_13">'[1]2.ชื่อนักเรียน'!$D$23</definedName>
    <definedName name="Surname_14">'[1]2.ชื่อนักเรียน'!$D$24</definedName>
    <definedName name="Surname_15">'[1]2.ชื่อนักเรียน'!$D$25</definedName>
    <definedName name="Surname_16">'[1]2.ชื่อนักเรียน'!$D$26</definedName>
    <definedName name="Surname_17">'[1]2.ชื่อนักเรียน'!$D$27</definedName>
    <definedName name="Surname_18">'[1]2.ชื่อนักเรียน'!$D$28</definedName>
    <definedName name="Surname_19">'[1]2.ชื่อนักเรียน'!$D$29</definedName>
    <definedName name="Surname_2">'[1]2.ชื่อนักเรียน'!$D$12</definedName>
    <definedName name="Surname_20">'[1]2.ชื่อนักเรียน'!$D$30</definedName>
    <definedName name="Surname_21">'[1]2.ชื่อนักเรียน'!$D$31</definedName>
    <definedName name="Surname_22">'[1]2.ชื่อนักเรียน'!$D$32</definedName>
    <definedName name="Surname_23">'[1]2.ชื่อนักเรียน'!$D$33</definedName>
    <definedName name="Surname_24">'[1]2.ชื่อนักเรียน'!$D$34</definedName>
    <definedName name="Surname_25">'[1]2.ชื่อนักเรียน'!$D$35</definedName>
    <definedName name="Surname_26">'[1]2.ชื่อนักเรียน'!$D$36</definedName>
    <definedName name="Surname_27">'[1]2.ชื่อนักเรียน'!$D$37</definedName>
    <definedName name="Surname_28">'[1]2.ชื่อนักเรียน'!$D$38</definedName>
    <definedName name="Surname_29">'[1]2.ชื่อนักเรียน'!$D$39</definedName>
    <definedName name="Surname_3">'[1]2.ชื่อนักเรียน'!$D$13</definedName>
    <definedName name="Surname_30">'[1]2.ชื่อนักเรียน'!$D$40</definedName>
    <definedName name="Surname_31">'[1]2.ชื่อนักเรียน'!$D$41</definedName>
    <definedName name="Surname_32">'[1]2.ชื่อนักเรียน'!$D$42</definedName>
    <definedName name="Surname_33">'[1]2.ชื่อนักเรียน'!$D$43</definedName>
    <definedName name="Surname_34">'[1]2.ชื่อนักเรียน'!$D$44</definedName>
    <definedName name="Surname_35">'[1]2.ชื่อนักเรียน'!$D$45</definedName>
    <definedName name="Surname_36">'[1]2.ชื่อนักเรียน'!$D$46</definedName>
    <definedName name="Surname_37">'[1]2.ชื่อนักเรียน'!$D$47</definedName>
    <definedName name="Surname_38">'[1]2.ชื่อนักเรียน'!$D$48</definedName>
    <definedName name="Surname_39">'[1]2.ชื่อนักเรียน'!$D$49</definedName>
    <definedName name="Surname_4">'[1]2.ชื่อนักเรียน'!$D$14</definedName>
    <definedName name="Surname_40">'[1]2.ชื่อนักเรียน'!$D$50</definedName>
    <definedName name="Surname_41">'[1]2.ชื่อนักเรียน'!$D$51</definedName>
    <definedName name="Surname_42">'[1]2.ชื่อนักเรียน'!$D$52</definedName>
    <definedName name="Surname_43">'[1]2.ชื่อนักเรียน'!$D$53</definedName>
    <definedName name="Surname_44">'[1]2.ชื่อนักเรียน'!$D$54</definedName>
    <definedName name="Surname_45">'[1]2.ชื่อนักเรียน'!$D$55</definedName>
    <definedName name="Surname_5">'[1]2.ชื่อนักเรียน'!$D$15</definedName>
    <definedName name="Surname_6">'[1]2.ชื่อนักเรียน'!$D$16</definedName>
    <definedName name="Surname_7">'[1]2.ชื่อนักเรียน'!$D$17</definedName>
    <definedName name="Surname_8">'[1]2.ชื่อนักเรียน'!$D$18</definedName>
    <definedName name="Surname_9">'[1]2.ชื่อนักเรียน'!$D$19</definedName>
    <definedName name="Surname1">'2.Students'' data'!$D$11</definedName>
    <definedName name="Surname10">'2.Students'' data'!$D$20</definedName>
    <definedName name="Surname11">'2.Students'' data'!$D$21</definedName>
    <definedName name="Surname12">'2.Students'' data'!$D$22</definedName>
    <definedName name="Surname13">'2.Students'' data'!$D$23</definedName>
    <definedName name="Surname14">'2.Students'' data'!$D$24</definedName>
    <definedName name="Surname15">'2.Students'' data'!$D$25</definedName>
    <definedName name="Surname16">'2.Students'' data'!$D$26</definedName>
    <definedName name="Surname17">'2.Students'' data'!$D$27</definedName>
    <definedName name="Surname18">'2.Students'' data'!$D$28</definedName>
    <definedName name="Surname19">'2.Students'' data'!$D$29</definedName>
    <definedName name="Surname2">'2.Students'' data'!$D$12</definedName>
    <definedName name="Surname20">'2.Students'' data'!$D$30</definedName>
    <definedName name="Surname21">'2.Students'' data'!$D$31</definedName>
    <definedName name="Surname22">'2.Students'' data'!$D$32</definedName>
    <definedName name="Surname23">'2.Students'' data'!$D$33</definedName>
    <definedName name="Surname24">'2.Students'' data'!$D$34</definedName>
    <definedName name="Surname25">'2.Students'' data'!$D$35</definedName>
    <definedName name="Surname26">'2.Students'' data'!$D$36</definedName>
    <definedName name="Surname27">'2.Students'' data'!$D$37</definedName>
    <definedName name="Surname28">'2.Students'' data'!$D$38</definedName>
    <definedName name="Surname29">'2.Students'' data'!$D$39</definedName>
    <definedName name="Surname3">'2.Students'' data'!$D$13</definedName>
    <definedName name="Surname30">'2.Students'' data'!$D$40</definedName>
    <definedName name="Surname31">'2.Students'' data'!$D$41</definedName>
    <definedName name="Surname32">'2.Students'' data'!$D$42</definedName>
    <definedName name="Surname33">'2.Students'' data'!$D$43</definedName>
    <definedName name="Surname34">'2.Students'' data'!$D$44</definedName>
    <definedName name="Surname35">'2.Students'' data'!$D$45</definedName>
    <definedName name="Surname36">'2.Students'' data'!$D$46</definedName>
    <definedName name="Surname37">'2.Students'' data'!$D$47</definedName>
    <definedName name="Surname38">'2.Students'' data'!$D$48</definedName>
    <definedName name="Surname39">'2.Students'' data'!$D$49</definedName>
    <definedName name="Surname4">'2.Students'' data'!$D$14</definedName>
    <definedName name="Surname40">'2.Students'' data'!$D$50</definedName>
    <definedName name="Surname41">'2.Students'' data'!$D$51</definedName>
    <definedName name="Surname42">'2.Students'' data'!$D$52</definedName>
    <definedName name="Surname43">'2.Students'' data'!$D$53</definedName>
    <definedName name="Surname44">'2.Students'' data'!$D$54</definedName>
    <definedName name="Surname45">'2.Students'' data'!$D$55</definedName>
    <definedName name="Surname5">'2.Students'' data'!$D$15</definedName>
    <definedName name="Surname6">'2.Students'' data'!$D$16</definedName>
    <definedName name="Surname7">'2.Students'' data'!$D$17</definedName>
    <definedName name="Surname8">'2.Students'' data'!$D$18</definedName>
    <definedName name="Surname9">'2.Students'' data'!$D$19</definedName>
    <definedName name="Time1" localSheetId="6">'[1]1.ข้อมูลเบื้องต้น'!$E$26</definedName>
    <definedName name="Time1">'1.ข้อมูลเบื้องต้น'!#REF!</definedName>
    <definedName name="Time2" localSheetId="6">'[1]1.ข้อมูลเบื้องต้น'!$E$27</definedName>
    <definedName name="Time2">'1.ข้อมูลเบื้องต้น'!#REF!</definedName>
    <definedName name="Time3" localSheetId="6">'[1]1.ข้อมูลเบื้องต้น'!$E$28</definedName>
    <definedName name="Time3">'1.ข้อมูลเบื้องต้น'!#REF!</definedName>
    <definedName name="Time4" localSheetId="6">'[1]1.ข้อมูลเบื้องต้น'!$E$29</definedName>
    <definedName name="Time4">'1.ข้อมูลเบื้องต้น'!#REF!</definedName>
    <definedName name="top" localSheetId="6">[1]final!$W$8:$AM$8</definedName>
    <definedName name="top">'6.1Summary of grades'!$AQ$8:$BG$8</definedName>
    <definedName name="Year" localSheetId="6">'[1]1.ข้อมูลเบื้องต้น'!$L$2</definedName>
    <definedName name="Year">'1.ข้อมูลเบื้องต้น'!$M$2</definedName>
    <definedName name="Z_D1BB6683_1C02_4800_8A34_4095A10BD8CF_.wvu.Cols" localSheetId="1" hidden="1">'2.Students'' data'!#REF!</definedName>
    <definedName name="Z_D1BB6683_1C02_4800_8A34_4095A10BD8CF_.wvu.Cols" localSheetId="3" hidden="1">'6.1Summary of grades'!$AQ:$BF</definedName>
    <definedName name="Z_D1BB6683_1C02_4800_8A34_4095A10BD8CF_.wvu.PrintArea" localSheetId="1" hidden="1">'2.Students'' data'!$A$1:$R$55</definedName>
    <definedName name="Z_D1BB6683_1C02_4800_8A34_4095A10BD8CF_.wvu.PrintArea" localSheetId="3" hidden="1">'6.1Summary of grades'!$A$1:$X$53</definedName>
    <definedName name="Z_D1BB6683_1C02_4800_8A34_4095A10BD8CF_.wvu.Rows" localSheetId="1" hidden="1">'2.Students'' data'!$4:$7</definedName>
    <definedName name="Z_D1BB6683_1C02_4800_8A34_4095A10BD8CF_.wvu.Rows" localSheetId="3" hidden="1">'6.1Summary of grades'!$6:$6</definedName>
    <definedName name="Z_D1BB6683_1C02_4800_8A34_4095A10BD8CF_.wvu.Rows" localSheetId="4" hidden="1">'7.บันทึกการเจริญเติบโต'!$3:$8</definedName>
    <definedName name="Z_D1BB6683_1C02_4800_8A34_4095A10BD8CF_.wvu.Rows" localSheetId="5" hidden="1">'8.ความคิดเห็น'!$3:$8</definedName>
    <definedName name="Z_D1BB6683_1C02_4800_8A34_4095A10BD8CF_.wvu.Rows" localSheetId="6" hidden="1">'9.บันทึกการเจริญเติบโต'!$3:$8</definedName>
    <definedName name="เกรด0">#REF!</definedName>
    <definedName name="เกรด1">#REF!</definedName>
    <definedName name="เกรด1.5">#REF!</definedName>
    <definedName name="เกรด2">#REF!</definedName>
    <definedName name="เกรด2.5">#REF!</definedName>
    <definedName name="เกรด3.5">#REF!</definedName>
    <definedName name="เกรดสาม">#REF!</definedName>
    <definedName name="เกรดสี่">#REF!</definedName>
    <definedName name="ครูประจำชั้น">'[2]1.ข้อมูลเบื้องต้น'!$D$9</definedName>
    <definedName name="ครูประจำชั้น1">'[2]1.ข้อมูลเบื้องต้น'!$D$9</definedName>
    <definedName name="ครูประจำชั้น2">'[2]1.ข้อมูลเบื้องต้น'!#REF!</definedName>
    <definedName name="ชั้น">'[2]1.ข้อมูลเบื้องต้น'!$C$7</definedName>
    <definedName name="เดือนอนุมัติ">'[2]1.ข้อมูลเบื้องต้น'!$E$15</definedName>
    <definedName name="ปีการศึกษา">'[2]1.ข้อมูลเบื้องต้น'!$F$7</definedName>
    <definedName name="ปีอนุมัติ">'[2]1.ข้อมูลเบื้องต้น'!$F$15</definedName>
    <definedName name="ผอ">'[2]1.ข้อมูลเบื้องต้น'!$D$13</definedName>
    <definedName name="ผู้สอน">'[2]1.ข้อมูลเบื้องต้น'!#REF!</definedName>
    <definedName name="ภาคเรียน">'[2]1.ข้อมูลเบื้องต้น'!#REF!</definedName>
    <definedName name="มส">#REF!</definedName>
    <definedName name="ร">#REF!</definedName>
    <definedName name="รหัสวิชา">'[2]1.ข้อมูลเบื้องต้น'!#REF!</definedName>
    <definedName name="รายวิชา">'[2]1.ข้อมูลเบื้องต้น'!#REF!</definedName>
    <definedName name="วัดผล">'[2]1.ข้อมูลเบื้องต้น'!#REF!</definedName>
    <definedName name="วันอนุมัติ">'[2]1.ข้อมูลเบื้องต้น'!$D$15</definedName>
    <definedName name="หน่วยกิต">'[2]1.ข้อมูลเบื้องต้น'!#REF!</definedName>
  </definedNames>
  <calcPr calcId="191029"/>
  <customWorkbookViews>
    <customWorkbookView name="Deluxe r - มุมมองส่วนบุคคล" guid="{D1BB6683-1C02-4800-8A34-4095A10BD8CF}" mergeInterval="0" personalView="1" maximized="1" xWindow="1" yWindow="1" windowWidth="1600" windowHeight="679" tabRatio="857" activeSheetId="3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8" l="1"/>
  <c r="K61" i="5"/>
  <c r="AX35" i="16"/>
  <c r="AX36" i="16"/>
  <c r="A11" i="16" l="1"/>
  <c r="R61" i="5"/>
  <c r="R59" i="5"/>
  <c r="BN12" i="18"/>
  <c r="BN50" i="18"/>
  <c r="BN49" i="18"/>
  <c r="BN48" i="18"/>
  <c r="BN47" i="18"/>
  <c r="BN46" i="18"/>
  <c r="BN45" i="18"/>
  <c r="BN44" i="18"/>
  <c r="BN43" i="18"/>
  <c r="BN42" i="18"/>
  <c r="BN41" i="18"/>
  <c r="BN40" i="18"/>
  <c r="BN39" i="18"/>
  <c r="BN38" i="18"/>
  <c r="BN37" i="18"/>
  <c r="BN36" i="18"/>
  <c r="BN35" i="18"/>
  <c r="BN34" i="18"/>
  <c r="BN33" i="18"/>
  <c r="BN32" i="18"/>
  <c r="BN31" i="18"/>
  <c r="BN30" i="18"/>
  <c r="BN29" i="18"/>
  <c r="BN28" i="18"/>
  <c r="BN27" i="18"/>
  <c r="BN26" i="18"/>
  <c r="BN25" i="18"/>
  <c r="BN24" i="18"/>
  <c r="BN23" i="18"/>
  <c r="BN22" i="18"/>
  <c r="BN21" i="18"/>
  <c r="BN20" i="18"/>
  <c r="BN19" i="18"/>
  <c r="BN18" i="18"/>
  <c r="BN17" i="18"/>
  <c r="BN16" i="18"/>
  <c r="BN15" i="18"/>
  <c r="BN14" i="18"/>
  <c r="BN13" i="18"/>
  <c r="BN11" i="18"/>
  <c r="BN10" i="18"/>
  <c r="BN9" i="18"/>
  <c r="BN8" i="18"/>
  <c r="BN7" i="18"/>
  <c r="BN6" i="18"/>
  <c r="BI50" i="18"/>
  <c r="BI49" i="18"/>
  <c r="BI48" i="18"/>
  <c r="BI47" i="18"/>
  <c r="BI46" i="18"/>
  <c r="BI45" i="18"/>
  <c r="BI44" i="18"/>
  <c r="BI43" i="18"/>
  <c r="BI42" i="18"/>
  <c r="BI41" i="18"/>
  <c r="BI40" i="18"/>
  <c r="BI39" i="18"/>
  <c r="BI38" i="18"/>
  <c r="BI37" i="18"/>
  <c r="BI36" i="18"/>
  <c r="BI35" i="18"/>
  <c r="BI34" i="18"/>
  <c r="BI33" i="18"/>
  <c r="BI32" i="18"/>
  <c r="BI31" i="18"/>
  <c r="BI30" i="18"/>
  <c r="BI29" i="18"/>
  <c r="BI28" i="18"/>
  <c r="BI27" i="18"/>
  <c r="BI26" i="18"/>
  <c r="BI25" i="18"/>
  <c r="BI24" i="18"/>
  <c r="BI23" i="18"/>
  <c r="BI22" i="18"/>
  <c r="BI21" i="18"/>
  <c r="BI20" i="18"/>
  <c r="BI19" i="18"/>
  <c r="BI18" i="18"/>
  <c r="BI17" i="18"/>
  <c r="BI16" i="18"/>
  <c r="BI15" i="18"/>
  <c r="BI14" i="18"/>
  <c r="BI13" i="18"/>
  <c r="BI12" i="18"/>
  <c r="BI11" i="18"/>
  <c r="BI10" i="18"/>
  <c r="BI9" i="18"/>
  <c r="BI8" i="18"/>
  <c r="BI7" i="18"/>
  <c r="BI6" i="18"/>
  <c r="BD50" i="18"/>
  <c r="BD49" i="18"/>
  <c r="BD48" i="18"/>
  <c r="BD47" i="18"/>
  <c r="BD46" i="18"/>
  <c r="BD45" i="18"/>
  <c r="BD44" i="18"/>
  <c r="BD43" i="18"/>
  <c r="BD42" i="18"/>
  <c r="BD41" i="18"/>
  <c r="BD40" i="18"/>
  <c r="BD39" i="18"/>
  <c r="BD38" i="18"/>
  <c r="BD37" i="18"/>
  <c r="BD36" i="18"/>
  <c r="BD35" i="18"/>
  <c r="BD34" i="18"/>
  <c r="BD33" i="18"/>
  <c r="BD32" i="18"/>
  <c r="BD31" i="18"/>
  <c r="BD30" i="18"/>
  <c r="BD29" i="18"/>
  <c r="BD28" i="18"/>
  <c r="BD27" i="18"/>
  <c r="BD26" i="18"/>
  <c r="BD25" i="18"/>
  <c r="BD24" i="18"/>
  <c r="BD23" i="18"/>
  <c r="BD22" i="18"/>
  <c r="BD21" i="18"/>
  <c r="BD20" i="18"/>
  <c r="BD19" i="18"/>
  <c r="BD18" i="18"/>
  <c r="BD17" i="18"/>
  <c r="BD16" i="18"/>
  <c r="BD15" i="18"/>
  <c r="BD14" i="18"/>
  <c r="BD13" i="18"/>
  <c r="BD12" i="18"/>
  <c r="BD11" i="18"/>
  <c r="BD10" i="18"/>
  <c r="BD9" i="18"/>
  <c r="BD8" i="18"/>
  <c r="BD7" i="18"/>
  <c r="BD6" i="18"/>
  <c r="AY50" i="18"/>
  <c r="AY49" i="18"/>
  <c r="AY48" i="18"/>
  <c r="AY47" i="18"/>
  <c r="AY46" i="18"/>
  <c r="AY45" i="18"/>
  <c r="AY44" i="18"/>
  <c r="AY43" i="18"/>
  <c r="AY42" i="18"/>
  <c r="AY41" i="18"/>
  <c r="AY40" i="18"/>
  <c r="AY39" i="18"/>
  <c r="AY38" i="18"/>
  <c r="AY37" i="18"/>
  <c r="AY36" i="18"/>
  <c r="AY35" i="18"/>
  <c r="AY34" i="18"/>
  <c r="AY33" i="18"/>
  <c r="AY32" i="18"/>
  <c r="AY31" i="18"/>
  <c r="AY30" i="18"/>
  <c r="AY29" i="18"/>
  <c r="AY28" i="18"/>
  <c r="AY27" i="18"/>
  <c r="AY26" i="18"/>
  <c r="AY25" i="18"/>
  <c r="AY24" i="18"/>
  <c r="AY23" i="18"/>
  <c r="AY22" i="18"/>
  <c r="AY21" i="18"/>
  <c r="AY20" i="18"/>
  <c r="AY19" i="18"/>
  <c r="AY18" i="18"/>
  <c r="AY17" i="18"/>
  <c r="AY16" i="18"/>
  <c r="AY15" i="18"/>
  <c r="AY14" i="18"/>
  <c r="AY13" i="18"/>
  <c r="AY12" i="18"/>
  <c r="AY11" i="18"/>
  <c r="AY10" i="18"/>
  <c r="AY9" i="18"/>
  <c r="AY8" i="18"/>
  <c r="AY7" i="18"/>
  <c r="AY6" i="18"/>
  <c r="AT50" i="18"/>
  <c r="AT49" i="18"/>
  <c r="AT48" i="18"/>
  <c r="AT47" i="18"/>
  <c r="AT46" i="18"/>
  <c r="AT45" i="18"/>
  <c r="AT44" i="18"/>
  <c r="AT43" i="18"/>
  <c r="AT42" i="18"/>
  <c r="AT41" i="18"/>
  <c r="AT40" i="18"/>
  <c r="AT39" i="18"/>
  <c r="AT38" i="18"/>
  <c r="AT37" i="18"/>
  <c r="AT36" i="18"/>
  <c r="AT35" i="18"/>
  <c r="AT34" i="18"/>
  <c r="AT33" i="18"/>
  <c r="AT32" i="18"/>
  <c r="AT31" i="18"/>
  <c r="AT30" i="18"/>
  <c r="AT29" i="18"/>
  <c r="AT28" i="18"/>
  <c r="AT27" i="18"/>
  <c r="AT26" i="18"/>
  <c r="AT25" i="18"/>
  <c r="AT24" i="18"/>
  <c r="AT23" i="18"/>
  <c r="AT22" i="18"/>
  <c r="AT21" i="18"/>
  <c r="AT20" i="18"/>
  <c r="AT19" i="18"/>
  <c r="AT18" i="18"/>
  <c r="AT17" i="18"/>
  <c r="AT16" i="18"/>
  <c r="AT15" i="18"/>
  <c r="AT14" i="18"/>
  <c r="AT13" i="18"/>
  <c r="AT12" i="18"/>
  <c r="AT11" i="18"/>
  <c r="AT10" i="18"/>
  <c r="AT9" i="18"/>
  <c r="AT8" i="18"/>
  <c r="AT7" i="18"/>
  <c r="AT6" i="18"/>
  <c r="AO50" i="18"/>
  <c r="AO49" i="18"/>
  <c r="AO48" i="18"/>
  <c r="AO47" i="18"/>
  <c r="AO46" i="18"/>
  <c r="AO45" i="18"/>
  <c r="AO44" i="18"/>
  <c r="AO43" i="18"/>
  <c r="AO42" i="18"/>
  <c r="AO41" i="18"/>
  <c r="AO40" i="18"/>
  <c r="AO39" i="18"/>
  <c r="AO38" i="18"/>
  <c r="AO37" i="18"/>
  <c r="AO36" i="18"/>
  <c r="AO35" i="18"/>
  <c r="AO34" i="18"/>
  <c r="AO33" i="18"/>
  <c r="AO32" i="18"/>
  <c r="AO31" i="18"/>
  <c r="AO30" i="18"/>
  <c r="AO29" i="18"/>
  <c r="AO28" i="18"/>
  <c r="AO27" i="18"/>
  <c r="AO26" i="18"/>
  <c r="AO25" i="18"/>
  <c r="AO24" i="18"/>
  <c r="AO23" i="18"/>
  <c r="AO22" i="18"/>
  <c r="AO21" i="18"/>
  <c r="AO20" i="18"/>
  <c r="AO19" i="18"/>
  <c r="AO18" i="18"/>
  <c r="AO17" i="18"/>
  <c r="AO16" i="18"/>
  <c r="AO15" i="18"/>
  <c r="AO14" i="18"/>
  <c r="AO13" i="18"/>
  <c r="AO12" i="18"/>
  <c r="AO11" i="18"/>
  <c r="AO10" i="18"/>
  <c r="AO9" i="18"/>
  <c r="AO8" i="18"/>
  <c r="AO7" i="18"/>
  <c r="AO6" i="18"/>
  <c r="AJ50" i="18"/>
  <c r="AJ49" i="18"/>
  <c r="AJ48" i="18"/>
  <c r="AJ47" i="18"/>
  <c r="AJ46" i="18"/>
  <c r="AJ45" i="18"/>
  <c r="AJ44" i="18"/>
  <c r="AJ43" i="18"/>
  <c r="AJ42" i="18"/>
  <c r="AJ41" i="18"/>
  <c r="AJ40" i="18"/>
  <c r="AJ39" i="18"/>
  <c r="AJ38" i="18"/>
  <c r="AJ37" i="18"/>
  <c r="AJ36" i="18"/>
  <c r="AJ35" i="18"/>
  <c r="AJ34" i="18"/>
  <c r="AJ33" i="18"/>
  <c r="AJ32" i="18"/>
  <c r="AJ31" i="18"/>
  <c r="AJ30" i="18"/>
  <c r="AJ29" i="18"/>
  <c r="AJ28" i="18"/>
  <c r="AJ27" i="18"/>
  <c r="AJ26" i="18"/>
  <c r="AJ25" i="18"/>
  <c r="AJ24" i="18"/>
  <c r="AJ23" i="18"/>
  <c r="AJ22" i="18"/>
  <c r="AJ21" i="18"/>
  <c r="AJ20" i="18"/>
  <c r="AJ19" i="18"/>
  <c r="AJ18" i="18"/>
  <c r="AJ17" i="18"/>
  <c r="AJ16" i="18"/>
  <c r="AJ15" i="18"/>
  <c r="AJ14" i="18"/>
  <c r="AJ13" i="18"/>
  <c r="AJ12" i="18"/>
  <c r="AJ11" i="18"/>
  <c r="AJ10" i="18"/>
  <c r="AJ9" i="18"/>
  <c r="AJ8" i="18"/>
  <c r="AJ7" i="18"/>
  <c r="AJ6" i="18"/>
  <c r="AE50" i="18"/>
  <c r="AE49" i="18"/>
  <c r="AE48" i="18"/>
  <c r="AE47" i="18"/>
  <c r="AE46" i="18"/>
  <c r="AE45" i="18"/>
  <c r="AE44" i="18"/>
  <c r="AE43" i="18"/>
  <c r="AE42" i="18"/>
  <c r="AE41" i="18"/>
  <c r="AE40" i="18"/>
  <c r="AE39" i="18"/>
  <c r="AE38" i="18"/>
  <c r="AE37" i="18"/>
  <c r="AE36" i="18"/>
  <c r="AE35" i="18"/>
  <c r="AE34" i="18"/>
  <c r="AE33" i="18"/>
  <c r="AE32" i="18"/>
  <c r="AE31" i="18"/>
  <c r="AE30" i="18"/>
  <c r="AE29" i="18"/>
  <c r="AE28" i="18"/>
  <c r="AE27" i="18"/>
  <c r="AE26" i="18"/>
  <c r="AE25" i="18"/>
  <c r="AE24" i="18"/>
  <c r="AE23" i="18"/>
  <c r="AE22" i="18"/>
  <c r="AE21" i="18"/>
  <c r="AE20" i="18"/>
  <c r="AE19" i="18"/>
  <c r="AE18" i="18"/>
  <c r="AE17" i="18"/>
  <c r="AE16" i="18"/>
  <c r="AE15" i="18"/>
  <c r="AE14" i="18"/>
  <c r="AE13" i="18"/>
  <c r="AE12" i="18"/>
  <c r="AE11" i="18"/>
  <c r="AE10" i="18"/>
  <c r="AE9" i="18"/>
  <c r="AE8" i="18"/>
  <c r="AE7" i="18"/>
  <c r="AE6" i="18"/>
  <c r="Z50" i="18"/>
  <c r="Z49" i="18"/>
  <c r="Z48" i="18"/>
  <c r="Z47" i="18"/>
  <c r="Z46" i="18"/>
  <c r="Z45" i="18"/>
  <c r="Z44" i="18"/>
  <c r="Z43" i="18"/>
  <c r="Z42" i="18"/>
  <c r="Z41" i="18"/>
  <c r="Z40" i="18"/>
  <c r="Z39" i="18"/>
  <c r="Z38" i="18"/>
  <c r="Z37" i="18"/>
  <c r="Z36" i="18"/>
  <c r="Z35" i="18"/>
  <c r="Z34" i="18"/>
  <c r="Z33" i="18"/>
  <c r="Z32" i="18"/>
  <c r="Z31" i="18"/>
  <c r="Z30" i="18"/>
  <c r="Z29" i="18"/>
  <c r="Z28" i="18"/>
  <c r="Z27" i="18"/>
  <c r="Z26" i="18"/>
  <c r="Z25" i="18"/>
  <c r="Z24" i="18"/>
  <c r="Z23" i="18"/>
  <c r="Z22" i="18"/>
  <c r="Z21" i="18"/>
  <c r="Z20" i="18"/>
  <c r="Z19" i="18"/>
  <c r="Z18" i="18"/>
  <c r="Z17" i="18"/>
  <c r="Z16" i="18"/>
  <c r="Z15" i="18"/>
  <c r="Z14" i="18"/>
  <c r="Z13" i="18"/>
  <c r="Z12" i="18"/>
  <c r="Z11" i="18"/>
  <c r="Z10" i="18"/>
  <c r="Z9" i="18"/>
  <c r="Z8" i="18"/>
  <c r="Z7" i="18"/>
  <c r="Z6" i="18"/>
  <c r="U50" i="18"/>
  <c r="U49" i="18"/>
  <c r="U48" i="18"/>
  <c r="U47" i="18"/>
  <c r="U46" i="18"/>
  <c r="U45" i="18"/>
  <c r="U44" i="18"/>
  <c r="U43" i="18"/>
  <c r="U42" i="18"/>
  <c r="U41" i="18"/>
  <c r="U40" i="18"/>
  <c r="U39" i="18"/>
  <c r="U38" i="18"/>
  <c r="U37" i="18"/>
  <c r="U36" i="18"/>
  <c r="U35" i="18"/>
  <c r="U34" i="18"/>
  <c r="U33" i="18"/>
  <c r="U32" i="18"/>
  <c r="U31" i="18"/>
  <c r="U30" i="18"/>
  <c r="U29" i="18"/>
  <c r="U28" i="18"/>
  <c r="U27" i="18"/>
  <c r="U26" i="18"/>
  <c r="U25" i="18"/>
  <c r="U24" i="18"/>
  <c r="U23" i="18"/>
  <c r="U22" i="18"/>
  <c r="U21" i="18"/>
  <c r="U20" i="18"/>
  <c r="U19" i="18"/>
  <c r="U18" i="18"/>
  <c r="U17" i="18"/>
  <c r="U16" i="18"/>
  <c r="U15" i="18"/>
  <c r="U14" i="18"/>
  <c r="U13" i="18"/>
  <c r="U12" i="18"/>
  <c r="U11" i="18"/>
  <c r="U10" i="18"/>
  <c r="U9" i="18"/>
  <c r="U8" i="18"/>
  <c r="U7" i="18"/>
  <c r="U6" i="18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P6" i="18"/>
  <c r="K50" i="18"/>
  <c r="K49" i="18"/>
  <c r="K48" i="18"/>
  <c r="K47" i="18"/>
  <c r="K46" i="18"/>
  <c r="K45" i="18"/>
  <c r="K44" i="18"/>
  <c r="K43" i="18"/>
  <c r="K42" i="18"/>
  <c r="K41" i="18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A3" i="2" l="1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C7" i="1" l="1"/>
  <c r="C8" i="1"/>
  <c r="C9" i="1"/>
  <c r="C10" i="1"/>
  <c r="C11" i="1"/>
  <c r="D7" i="1"/>
  <c r="D8" i="1"/>
  <c r="D9" i="1"/>
  <c r="D10" i="1"/>
  <c r="D11" i="1"/>
  <c r="N55" i="20"/>
  <c r="N54" i="20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K55" i="20"/>
  <c r="K54" i="20"/>
  <c r="K53" i="20"/>
  <c r="K52" i="20"/>
  <c r="K51" i="20"/>
  <c r="K50" i="20"/>
  <c r="K49" i="20"/>
  <c r="K48" i="20"/>
  <c r="K47" i="20"/>
  <c r="K46" i="20"/>
  <c r="K45" i="20"/>
  <c r="K44" i="20"/>
  <c r="K43" i="20"/>
  <c r="K42" i="20"/>
  <c r="K41" i="20"/>
  <c r="K40" i="20"/>
  <c r="K39" i="20"/>
  <c r="K38" i="20"/>
  <c r="K37" i="20"/>
  <c r="K36" i="20"/>
  <c r="K35" i="20"/>
  <c r="K34" i="20"/>
  <c r="K33" i="20"/>
  <c r="K32" i="20"/>
  <c r="K31" i="20"/>
  <c r="K30" i="20"/>
  <c r="K29" i="20"/>
  <c r="K28" i="20"/>
  <c r="K27" i="20"/>
  <c r="K26" i="20"/>
  <c r="K25" i="20"/>
  <c r="K24" i="20"/>
  <c r="K23" i="20"/>
  <c r="K22" i="20"/>
  <c r="K21" i="20"/>
  <c r="K20" i="20"/>
  <c r="K19" i="20"/>
  <c r="K18" i="20"/>
  <c r="K17" i="20"/>
  <c r="K16" i="20"/>
  <c r="K15" i="20"/>
  <c r="K14" i="20"/>
  <c r="K13" i="20"/>
  <c r="K12" i="20"/>
  <c r="K11" i="20"/>
  <c r="H11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E55" i="20"/>
  <c r="E54" i="20"/>
  <c r="E53" i="20"/>
  <c r="E52" i="20"/>
  <c r="E51" i="20"/>
  <c r="E50" i="20"/>
  <c r="E49" i="20"/>
  <c r="E48" i="20"/>
  <c r="E47" i="20"/>
  <c r="E46" i="20"/>
  <c r="E45" i="20"/>
  <c r="E44" i="20"/>
  <c r="E43" i="20"/>
  <c r="E42" i="20"/>
  <c r="E41" i="20"/>
  <c r="E40" i="20"/>
  <c r="E39" i="20"/>
  <c r="E38" i="20"/>
  <c r="E37" i="20"/>
  <c r="E36" i="20"/>
  <c r="E35" i="20"/>
  <c r="E34" i="20"/>
  <c r="E33" i="20"/>
  <c r="E32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C55" i="20"/>
  <c r="B55" i="20"/>
  <c r="C54" i="20"/>
  <c r="B54" i="20"/>
  <c r="C53" i="20"/>
  <c r="B53" i="20"/>
  <c r="C52" i="20"/>
  <c r="B52" i="20"/>
  <c r="C51" i="20"/>
  <c r="B51" i="20"/>
  <c r="C50" i="20"/>
  <c r="B50" i="20"/>
  <c r="C49" i="20"/>
  <c r="B49" i="20"/>
  <c r="C48" i="20"/>
  <c r="B48" i="20"/>
  <c r="C47" i="20"/>
  <c r="B47" i="20"/>
  <c r="C46" i="20"/>
  <c r="B46" i="20"/>
  <c r="C45" i="20"/>
  <c r="B45" i="20"/>
  <c r="C44" i="20"/>
  <c r="B44" i="20"/>
  <c r="C43" i="20"/>
  <c r="B43" i="20"/>
  <c r="C42" i="20"/>
  <c r="B42" i="20"/>
  <c r="C41" i="20"/>
  <c r="B41" i="20"/>
  <c r="C40" i="20"/>
  <c r="B40" i="20"/>
  <c r="C39" i="20"/>
  <c r="B39" i="20"/>
  <c r="C38" i="20"/>
  <c r="B38" i="20"/>
  <c r="C37" i="20"/>
  <c r="B37" i="20"/>
  <c r="C36" i="20"/>
  <c r="B36" i="20"/>
  <c r="C35" i="20"/>
  <c r="B35" i="20"/>
  <c r="C34" i="20"/>
  <c r="B34" i="20"/>
  <c r="C33" i="20"/>
  <c r="B33" i="20"/>
  <c r="C32" i="20"/>
  <c r="B32" i="20"/>
  <c r="C31" i="20"/>
  <c r="B31" i="20"/>
  <c r="C30" i="20"/>
  <c r="B30" i="20"/>
  <c r="C29" i="20"/>
  <c r="B29" i="20"/>
  <c r="C28" i="20"/>
  <c r="B28" i="20"/>
  <c r="C27" i="20"/>
  <c r="B27" i="20"/>
  <c r="C26" i="20"/>
  <c r="B26" i="20"/>
  <c r="C25" i="20"/>
  <c r="B25" i="20"/>
  <c r="C24" i="20"/>
  <c r="B24" i="20"/>
  <c r="C23" i="20"/>
  <c r="B23" i="20"/>
  <c r="C22" i="20"/>
  <c r="B22" i="20"/>
  <c r="C21" i="20"/>
  <c r="B21" i="20"/>
  <c r="C20" i="20"/>
  <c r="B20" i="20"/>
  <c r="C19" i="20"/>
  <c r="B19" i="20"/>
  <c r="C18" i="20"/>
  <c r="B18" i="20"/>
  <c r="C17" i="20"/>
  <c r="B17" i="20"/>
  <c r="C16" i="20"/>
  <c r="B16" i="20"/>
  <c r="C15" i="20"/>
  <c r="B15" i="20"/>
  <c r="C14" i="20"/>
  <c r="B14" i="20"/>
  <c r="C13" i="20"/>
  <c r="B13" i="20"/>
  <c r="C12" i="20"/>
  <c r="B12" i="20"/>
  <c r="C11" i="20"/>
  <c r="B11" i="20"/>
  <c r="C60" i="5" l="1"/>
  <c r="K60" i="5"/>
  <c r="K59" i="5"/>
  <c r="D56" i="5"/>
  <c r="CC37" i="16" l="1"/>
  <c r="B53" i="5" l="1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M51" i="18"/>
  <c r="BM55" i="18" s="1"/>
  <c r="BH51" i="18"/>
  <c r="BC51" i="18"/>
  <c r="AX51" i="18"/>
  <c r="AS51" i="18"/>
  <c r="AN51" i="18"/>
  <c r="AI51" i="18"/>
  <c r="AD51" i="18"/>
  <c r="Y51" i="18"/>
  <c r="Y54" i="18" s="1"/>
  <c r="T51" i="18"/>
  <c r="O51" i="18"/>
  <c r="J51" i="18"/>
  <c r="BJ50" i="18"/>
  <c r="C50" i="18"/>
  <c r="B50" i="18"/>
  <c r="E50" i="18" s="1"/>
  <c r="BJ49" i="18"/>
  <c r="C49" i="18"/>
  <c r="B49" i="18"/>
  <c r="E49" i="18" s="1"/>
  <c r="BJ48" i="18"/>
  <c r="C48" i="18"/>
  <c r="B48" i="18"/>
  <c r="E48" i="18" s="1"/>
  <c r="BJ47" i="18"/>
  <c r="C47" i="18"/>
  <c r="B47" i="18"/>
  <c r="E47" i="18" s="1"/>
  <c r="BJ46" i="18"/>
  <c r="C46" i="18"/>
  <c r="B46" i="18"/>
  <c r="E46" i="18" s="1"/>
  <c r="BJ45" i="18"/>
  <c r="C45" i="18"/>
  <c r="B45" i="18"/>
  <c r="E45" i="18" s="1"/>
  <c r="BJ44" i="18"/>
  <c r="C44" i="18"/>
  <c r="B44" i="18"/>
  <c r="E44" i="18" s="1"/>
  <c r="BJ43" i="18"/>
  <c r="C43" i="18"/>
  <c r="B43" i="18"/>
  <c r="E43" i="18" s="1"/>
  <c r="BJ42" i="18"/>
  <c r="C42" i="18"/>
  <c r="B42" i="18"/>
  <c r="E42" i="18" s="1"/>
  <c r="BJ41" i="18"/>
  <c r="C41" i="18"/>
  <c r="B41" i="18"/>
  <c r="E41" i="18" s="1"/>
  <c r="BJ40" i="18"/>
  <c r="C40" i="18"/>
  <c r="B40" i="18"/>
  <c r="E40" i="18" s="1"/>
  <c r="BJ39" i="18"/>
  <c r="C39" i="18"/>
  <c r="B39" i="18"/>
  <c r="E39" i="18" s="1"/>
  <c r="BJ38" i="18"/>
  <c r="C38" i="18"/>
  <c r="B38" i="18"/>
  <c r="E38" i="18" s="1"/>
  <c r="BJ37" i="18"/>
  <c r="C37" i="18"/>
  <c r="B37" i="18"/>
  <c r="E37" i="18" s="1"/>
  <c r="BJ36" i="18"/>
  <c r="C36" i="18"/>
  <c r="B36" i="18"/>
  <c r="E36" i="18" s="1"/>
  <c r="BJ35" i="18"/>
  <c r="C35" i="18"/>
  <c r="B35" i="18"/>
  <c r="E35" i="18" s="1"/>
  <c r="BJ34" i="18"/>
  <c r="C34" i="18"/>
  <c r="B34" i="18"/>
  <c r="E34" i="18" s="1"/>
  <c r="BJ33" i="18"/>
  <c r="C33" i="18"/>
  <c r="B33" i="18"/>
  <c r="E33" i="18" s="1"/>
  <c r="BJ32" i="18"/>
  <c r="C32" i="18"/>
  <c r="B32" i="18"/>
  <c r="E32" i="18" s="1"/>
  <c r="BJ31" i="18"/>
  <c r="C31" i="18"/>
  <c r="B31" i="18"/>
  <c r="E31" i="18" s="1"/>
  <c r="BJ30" i="18"/>
  <c r="C30" i="18"/>
  <c r="B30" i="18"/>
  <c r="E30" i="18" s="1"/>
  <c r="BJ29" i="18"/>
  <c r="C29" i="18"/>
  <c r="B29" i="18"/>
  <c r="E29" i="18" s="1"/>
  <c r="BJ28" i="18"/>
  <c r="C28" i="18"/>
  <c r="B28" i="18"/>
  <c r="E28" i="18" s="1"/>
  <c r="BJ27" i="18"/>
  <c r="C27" i="18"/>
  <c r="B27" i="18"/>
  <c r="E27" i="18" s="1"/>
  <c r="BJ26" i="18"/>
  <c r="C26" i="18"/>
  <c r="B26" i="18"/>
  <c r="E26" i="18" s="1"/>
  <c r="BJ25" i="18"/>
  <c r="C25" i="18"/>
  <c r="B25" i="18"/>
  <c r="E25" i="18" s="1"/>
  <c r="BJ24" i="18"/>
  <c r="C24" i="18"/>
  <c r="B24" i="18"/>
  <c r="E24" i="18" s="1"/>
  <c r="BJ23" i="18"/>
  <c r="C23" i="18"/>
  <c r="B23" i="18"/>
  <c r="E23" i="18" s="1"/>
  <c r="BJ22" i="18"/>
  <c r="C22" i="18"/>
  <c r="B22" i="18"/>
  <c r="E22" i="18" s="1"/>
  <c r="BJ21" i="18"/>
  <c r="C21" i="18"/>
  <c r="B21" i="18"/>
  <c r="E21" i="18" s="1"/>
  <c r="BJ20" i="18"/>
  <c r="C20" i="18"/>
  <c r="B20" i="18"/>
  <c r="E20" i="18" s="1"/>
  <c r="BJ19" i="18"/>
  <c r="C19" i="18"/>
  <c r="B19" i="18"/>
  <c r="E19" i="18" s="1"/>
  <c r="BJ18" i="18"/>
  <c r="C18" i="18"/>
  <c r="B18" i="18"/>
  <c r="E18" i="18" s="1"/>
  <c r="BJ17" i="18"/>
  <c r="C17" i="18"/>
  <c r="B17" i="18"/>
  <c r="E17" i="18" s="1"/>
  <c r="BJ16" i="18"/>
  <c r="C16" i="18"/>
  <c r="B16" i="18"/>
  <c r="E16" i="18" s="1"/>
  <c r="BJ15" i="18"/>
  <c r="C15" i="18"/>
  <c r="B15" i="18"/>
  <c r="E15" i="18" s="1"/>
  <c r="BJ14" i="18"/>
  <c r="C14" i="18"/>
  <c r="B14" i="18"/>
  <c r="E14" i="18" s="1"/>
  <c r="BJ13" i="18"/>
  <c r="C13" i="18"/>
  <c r="B13" i="18"/>
  <c r="E13" i="18" s="1"/>
  <c r="BJ12" i="18"/>
  <c r="C12" i="18"/>
  <c r="B12" i="18"/>
  <c r="E12" i="18" s="1"/>
  <c r="BJ11" i="18"/>
  <c r="C11" i="18"/>
  <c r="B11" i="18"/>
  <c r="E11" i="18" s="1"/>
  <c r="BJ10" i="18"/>
  <c r="C10" i="18"/>
  <c r="B10" i="18"/>
  <c r="E10" i="18" s="1"/>
  <c r="BJ9" i="18"/>
  <c r="C9" i="18"/>
  <c r="B9" i="18"/>
  <c r="E9" i="18" s="1"/>
  <c r="BJ8" i="18"/>
  <c r="C8" i="18"/>
  <c r="B8" i="18"/>
  <c r="E8" i="18" s="1"/>
  <c r="BJ7" i="18"/>
  <c r="C7" i="18"/>
  <c r="B7" i="18"/>
  <c r="E7" i="18" s="1"/>
  <c r="BJ6" i="18"/>
  <c r="BM5" i="18" s="1"/>
  <c r="C6" i="18"/>
  <c r="B6" i="18"/>
  <c r="E6" i="18" s="1"/>
  <c r="DA49" i="16" l="1"/>
  <c r="Q12" i="18"/>
  <c r="AZ49" i="18"/>
  <c r="Q8" i="18"/>
  <c r="Q15" i="18"/>
  <c r="L39" i="18"/>
  <c r="AF38" i="18"/>
  <c r="Q34" i="18"/>
  <c r="BE32" i="18"/>
  <c r="G46" i="18"/>
  <c r="Q44" i="18"/>
  <c r="AZ7" i="18"/>
  <c r="BM52" i="18"/>
  <c r="BM53" i="18"/>
  <c r="BM54" i="18"/>
  <c r="M9" i="5"/>
  <c r="S14" i="5"/>
  <c r="Q11" i="5"/>
  <c r="S10" i="5"/>
  <c r="S9" i="5"/>
  <c r="U9" i="5"/>
  <c r="R10" i="5"/>
  <c r="O52" i="5"/>
  <c r="N13" i="5"/>
  <c r="O20" i="5"/>
  <c r="Q27" i="5"/>
  <c r="R34" i="5"/>
  <c r="S41" i="5"/>
  <c r="U48" i="5"/>
  <c r="M14" i="5"/>
  <c r="N21" i="5"/>
  <c r="U24" i="5"/>
  <c r="V31" i="5"/>
  <c r="R42" i="5"/>
  <c r="S49" i="5"/>
  <c r="N53" i="5"/>
  <c r="N9" i="5"/>
  <c r="M10" i="5"/>
  <c r="W10" i="5"/>
  <c r="W11" i="5"/>
  <c r="W14" i="5"/>
  <c r="R18" i="5"/>
  <c r="M22" i="5"/>
  <c r="S25" i="5"/>
  <c r="N29" i="5"/>
  <c r="U32" i="5"/>
  <c r="O36" i="5"/>
  <c r="V39" i="5"/>
  <c r="Q43" i="5"/>
  <c r="W46" i="5"/>
  <c r="R50" i="5"/>
  <c r="U16" i="5"/>
  <c r="V23" i="5"/>
  <c r="W30" i="5"/>
  <c r="M38" i="5"/>
  <c r="N45" i="5"/>
  <c r="R11" i="5"/>
  <c r="S17" i="5"/>
  <c r="O28" i="5"/>
  <c r="Q35" i="5"/>
  <c r="W38" i="5"/>
  <c r="M46" i="5"/>
  <c r="O9" i="5"/>
  <c r="N10" i="5"/>
  <c r="M11" i="5"/>
  <c r="O12" i="5"/>
  <c r="V15" i="5"/>
  <c r="Q19" i="5"/>
  <c r="W22" i="5"/>
  <c r="R26" i="5"/>
  <c r="M30" i="5"/>
  <c r="S33" i="5"/>
  <c r="N37" i="5"/>
  <c r="U40" i="5"/>
  <c r="O44" i="5"/>
  <c r="V47" i="5"/>
  <c r="Q51" i="5"/>
  <c r="Q12" i="5"/>
  <c r="O13" i="5"/>
  <c r="M15" i="5"/>
  <c r="V16" i="5"/>
  <c r="U17" i="5"/>
  <c r="R19" i="5"/>
  <c r="O21" i="5"/>
  <c r="M23" i="5"/>
  <c r="W23" i="5"/>
  <c r="U25" i="5"/>
  <c r="R27" i="5"/>
  <c r="Q28" i="5"/>
  <c r="N30" i="5"/>
  <c r="W31" i="5"/>
  <c r="U33" i="5"/>
  <c r="S34" i="5"/>
  <c r="Q36" i="5"/>
  <c r="N38" i="5"/>
  <c r="M39" i="5"/>
  <c r="V40" i="5"/>
  <c r="S42" i="5"/>
  <c r="Q44" i="5"/>
  <c r="O45" i="5"/>
  <c r="M47" i="5"/>
  <c r="V48" i="5"/>
  <c r="U49" i="5"/>
  <c r="R51" i="5"/>
  <c r="Q52" i="5"/>
  <c r="O53" i="5"/>
  <c r="V11" i="5"/>
  <c r="U12" i="5"/>
  <c r="S13" i="5"/>
  <c r="R14" i="5"/>
  <c r="Q15" i="5"/>
  <c r="O16" i="5"/>
  <c r="N17" i="5"/>
  <c r="M18" i="5"/>
  <c r="W18" i="5"/>
  <c r="V19" i="5"/>
  <c r="U20" i="5"/>
  <c r="S21" i="5"/>
  <c r="R22" i="5"/>
  <c r="Q23" i="5"/>
  <c r="O24" i="5"/>
  <c r="N25" i="5"/>
  <c r="M26" i="5"/>
  <c r="W26" i="5"/>
  <c r="V27" i="5"/>
  <c r="U28" i="5"/>
  <c r="S29" i="5"/>
  <c r="R30" i="5"/>
  <c r="Q31" i="5"/>
  <c r="O32" i="5"/>
  <c r="N33" i="5"/>
  <c r="M34" i="5"/>
  <c r="W34" i="5"/>
  <c r="V35" i="5"/>
  <c r="U36" i="5"/>
  <c r="S37" i="5"/>
  <c r="R38" i="5"/>
  <c r="Q39" i="5"/>
  <c r="O40" i="5"/>
  <c r="N41" i="5"/>
  <c r="M42" i="5"/>
  <c r="W42" i="5"/>
  <c r="V43" i="5"/>
  <c r="U44" i="5"/>
  <c r="S45" i="5"/>
  <c r="R46" i="5"/>
  <c r="Q47" i="5"/>
  <c r="O48" i="5"/>
  <c r="N49" i="5"/>
  <c r="M50" i="5"/>
  <c r="W50" i="5"/>
  <c r="V51" i="5"/>
  <c r="U52" i="5"/>
  <c r="S53" i="5"/>
  <c r="N14" i="5"/>
  <c r="W15" i="5"/>
  <c r="S18" i="5"/>
  <c r="Q20" i="5"/>
  <c r="N22" i="5"/>
  <c r="V24" i="5"/>
  <c r="S26" i="5"/>
  <c r="O29" i="5"/>
  <c r="M31" i="5"/>
  <c r="V32" i="5"/>
  <c r="R35" i="5"/>
  <c r="O37" i="5"/>
  <c r="W39" i="5"/>
  <c r="U41" i="5"/>
  <c r="R43" i="5"/>
  <c r="N46" i="5"/>
  <c r="W47" i="5"/>
  <c r="S50" i="5"/>
  <c r="V12" i="5"/>
  <c r="U13" i="5"/>
  <c r="R15" i="5"/>
  <c r="Q16" i="5"/>
  <c r="O17" i="5"/>
  <c r="N18" i="5"/>
  <c r="M19" i="5"/>
  <c r="W19" i="5"/>
  <c r="V20" i="5"/>
  <c r="U21" i="5"/>
  <c r="S22" i="5"/>
  <c r="R23" i="5"/>
  <c r="Q24" i="5"/>
  <c r="O25" i="5"/>
  <c r="N26" i="5"/>
  <c r="M27" i="5"/>
  <c r="W27" i="5"/>
  <c r="V28" i="5"/>
  <c r="U29" i="5"/>
  <c r="S30" i="5"/>
  <c r="R31" i="5"/>
  <c r="Q32" i="5"/>
  <c r="O33" i="5"/>
  <c r="N34" i="5"/>
  <c r="M35" i="5"/>
  <c r="W35" i="5"/>
  <c r="V36" i="5"/>
  <c r="U37" i="5"/>
  <c r="S38" i="5"/>
  <c r="R39" i="5"/>
  <c r="Q40" i="5"/>
  <c r="O41" i="5"/>
  <c r="N42" i="5"/>
  <c r="M43" i="5"/>
  <c r="W43" i="5"/>
  <c r="V44" i="5"/>
  <c r="U45" i="5"/>
  <c r="S46" i="5"/>
  <c r="R47" i="5"/>
  <c r="Q48" i="5"/>
  <c r="O49" i="5"/>
  <c r="N50" i="5"/>
  <c r="M51" i="5"/>
  <c r="W51" i="5"/>
  <c r="V52" i="5"/>
  <c r="U53" i="5"/>
  <c r="X53" i="5"/>
  <c r="T53" i="5"/>
  <c r="P53" i="5"/>
  <c r="X52" i="5"/>
  <c r="T52" i="5"/>
  <c r="P52" i="5"/>
  <c r="X51" i="5"/>
  <c r="T51" i="5"/>
  <c r="P51" i="5"/>
  <c r="X50" i="5"/>
  <c r="T50" i="5"/>
  <c r="P50" i="5"/>
  <c r="X49" i="5"/>
  <c r="T49" i="5"/>
  <c r="P49" i="5"/>
  <c r="X48" i="5"/>
  <c r="T48" i="5"/>
  <c r="P48" i="5"/>
  <c r="X47" i="5"/>
  <c r="T47" i="5"/>
  <c r="P47" i="5"/>
  <c r="X46" i="5"/>
  <c r="T46" i="5"/>
  <c r="P46" i="5"/>
  <c r="X45" i="5"/>
  <c r="T45" i="5"/>
  <c r="P45" i="5"/>
  <c r="X44" i="5"/>
  <c r="T44" i="5"/>
  <c r="P44" i="5"/>
  <c r="X43" i="5"/>
  <c r="T43" i="5"/>
  <c r="P43" i="5"/>
  <c r="X42" i="5"/>
  <c r="T42" i="5"/>
  <c r="P42" i="5"/>
  <c r="X41" i="5"/>
  <c r="T41" i="5"/>
  <c r="P41" i="5"/>
  <c r="X40" i="5"/>
  <c r="T40" i="5"/>
  <c r="P40" i="5"/>
  <c r="X39" i="5"/>
  <c r="T39" i="5"/>
  <c r="P39" i="5"/>
  <c r="X38" i="5"/>
  <c r="T38" i="5"/>
  <c r="P38" i="5"/>
  <c r="X37" i="5"/>
  <c r="T37" i="5"/>
  <c r="P37" i="5"/>
  <c r="X36" i="5"/>
  <c r="T36" i="5"/>
  <c r="P36" i="5"/>
  <c r="X35" i="5"/>
  <c r="T35" i="5"/>
  <c r="P35" i="5"/>
  <c r="X34" i="5"/>
  <c r="T34" i="5"/>
  <c r="P34" i="5"/>
  <c r="X33" i="5"/>
  <c r="T33" i="5"/>
  <c r="P33" i="5"/>
  <c r="X32" i="5"/>
  <c r="T32" i="5"/>
  <c r="P32" i="5"/>
  <c r="X31" i="5"/>
  <c r="T31" i="5"/>
  <c r="P31" i="5"/>
  <c r="X30" i="5"/>
  <c r="T30" i="5"/>
  <c r="P30" i="5"/>
  <c r="X29" i="5"/>
  <c r="T29" i="5"/>
  <c r="P29" i="5"/>
  <c r="X28" i="5"/>
  <c r="T28" i="5"/>
  <c r="P28" i="5"/>
  <c r="X27" i="5"/>
  <c r="T27" i="5"/>
  <c r="P27" i="5"/>
  <c r="X26" i="5"/>
  <c r="T26" i="5"/>
  <c r="P26" i="5"/>
  <c r="X25" i="5"/>
  <c r="T25" i="5"/>
  <c r="P25" i="5"/>
  <c r="X24" i="5"/>
  <c r="T24" i="5"/>
  <c r="P24" i="5"/>
  <c r="X23" i="5"/>
  <c r="T23" i="5"/>
  <c r="P23" i="5"/>
  <c r="X22" i="5"/>
  <c r="T22" i="5"/>
  <c r="P22" i="5"/>
  <c r="X21" i="5"/>
  <c r="T21" i="5"/>
  <c r="P21" i="5"/>
  <c r="X20" i="5"/>
  <c r="T20" i="5"/>
  <c r="P20" i="5"/>
  <c r="X19" i="5"/>
  <c r="T19" i="5"/>
  <c r="P19" i="5"/>
  <c r="X18" i="5"/>
  <c r="T18" i="5"/>
  <c r="P18" i="5"/>
  <c r="X17" i="5"/>
  <c r="T17" i="5"/>
  <c r="P17" i="5"/>
  <c r="X16" i="5"/>
  <c r="T16" i="5"/>
  <c r="P16" i="5"/>
  <c r="X15" i="5"/>
  <c r="T15" i="5"/>
  <c r="P15" i="5"/>
  <c r="X14" i="5"/>
  <c r="T14" i="5"/>
  <c r="P14" i="5"/>
  <c r="X13" i="5"/>
  <c r="T13" i="5"/>
  <c r="P13" i="5"/>
  <c r="X12" i="5"/>
  <c r="T12" i="5"/>
  <c r="P12" i="5"/>
  <c r="X11" i="5"/>
  <c r="T11" i="5"/>
  <c r="P11" i="5"/>
  <c r="X10" i="5"/>
  <c r="T10" i="5"/>
  <c r="P10" i="5"/>
  <c r="X9" i="5"/>
  <c r="T9" i="5"/>
  <c r="P9" i="5"/>
  <c r="V45" i="18"/>
  <c r="Q9" i="5"/>
  <c r="V9" i="5"/>
  <c r="O10" i="5"/>
  <c r="U10" i="5"/>
  <c r="N11" i="5"/>
  <c r="S11" i="5"/>
  <c r="M12" i="5"/>
  <c r="R12" i="5"/>
  <c r="W12" i="5"/>
  <c r="Q13" i="5"/>
  <c r="V13" i="5"/>
  <c r="O14" i="5"/>
  <c r="U14" i="5"/>
  <c r="N15" i="5"/>
  <c r="S15" i="5"/>
  <c r="M16" i="5"/>
  <c r="R16" i="5"/>
  <c r="W16" i="5"/>
  <c r="Q17" i="5"/>
  <c r="V17" i="5"/>
  <c r="O18" i="5"/>
  <c r="U18" i="5"/>
  <c r="N19" i="5"/>
  <c r="S19" i="5"/>
  <c r="M20" i="5"/>
  <c r="R20" i="5"/>
  <c r="W20" i="5"/>
  <c r="Q21" i="5"/>
  <c r="V21" i="5"/>
  <c r="O22" i="5"/>
  <c r="U22" i="5"/>
  <c r="N23" i="5"/>
  <c r="S23" i="5"/>
  <c r="M24" i="5"/>
  <c r="R24" i="5"/>
  <c r="W24" i="5"/>
  <c r="Q25" i="5"/>
  <c r="V25" i="5"/>
  <c r="O26" i="5"/>
  <c r="U26" i="5"/>
  <c r="N27" i="5"/>
  <c r="S27" i="5"/>
  <c r="M28" i="5"/>
  <c r="R28" i="5"/>
  <c r="W28" i="5"/>
  <c r="Q29" i="5"/>
  <c r="V29" i="5"/>
  <c r="O30" i="5"/>
  <c r="U30" i="5"/>
  <c r="N31" i="5"/>
  <c r="S31" i="5"/>
  <c r="M32" i="5"/>
  <c r="R32" i="5"/>
  <c r="W32" i="5"/>
  <c r="Q33" i="5"/>
  <c r="V33" i="5"/>
  <c r="O34" i="5"/>
  <c r="U34" i="5"/>
  <c r="N35" i="5"/>
  <c r="S35" i="5"/>
  <c r="M36" i="5"/>
  <c r="R36" i="5"/>
  <c r="W36" i="5"/>
  <c r="Q37" i="5"/>
  <c r="V37" i="5"/>
  <c r="O38" i="5"/>
  <c r="U38" i="5"/>
  <c r="N39" i="5"/>
  <c r="S39" i="5"/>
  <c r="M40" i="5"/>
  <c r="R40" i="5"/>
  <c r="W40" i="5"/>
  <c r="Q41" i="5"/>
  <c r="V41" i="5"/>
  <c r="O42" i="5"/>
  <c r="U42" i="5"/>
  <c r="N43" i="5"/>
  <c r="S43" i="5"/>
  <c r="M44" i="5"/>
  <c r="R44" i="5"/>
  <c r="W44" i="5"/>
  <c r="Q45" i="5"/>
  <c r="V45" i="5"/>
  <c r="O46" i="5"/>
  <c r="U46" i="5"/>
  <c r="N47" i="5"/>
  <c r="S47" i="5"/>
  <c r="M48" i="5"/>
  <c r="R48" i="5"/>
  <c r="W48" i="5"/>
  <c r="Q49" i="5"/>
  <c r="V49" i="5"/>
  <c r="O50" i="5"/>
  <c r="U50" i="5"/>
  <c r="N51" i="5"/>
  <c r="S51" i="5"/>
  <c r="M52" i="5"/>
  <c r="R52" i="5"/>
  <c r="W52" i="5"/>
  <c r="Q53" i="5"/>
  <c r="V53" i="5"/>
  <c r="R9" i="5"/>
  <c r="W9" i="5"/>
  <c r="Q10" i="5"/>
  <c r="V10" i="5"/>
  <c r="O11" i="5"/>
  <c r="U11" i="5"/>
  <c r="N12" i="5"/>
  <c r="S12" i="5"/>
  <c r="M13" i="5"/>
  <c r="R13" i="5"/>
  <c r="W13" i="5"/>
  <c r="Q14" i="5"/>
  <c r="V14" i="5"/>
  <c r="O15" i="5"/>
  <c r="U15" i="5"/>
  <c r="N16" i="5"/>
  <c r="S16" i="5"/>
  <c r="M17" i="5"/>
  <c r="R17" i="5"/>
  <c r="W17" i="5"/>
  <c r="Q18" i="5"/>
  <c r="V18" i="5"/>
  <c r="O19" i="5"/>
  <c r="U19" i="5"/>
  <c r="N20" i="5"/>
  <c r="S20" i="5"/>
  <c r="M21" i="5"/>
  <c r="R21" i="5"/>
  <c r="W21" i="5"/>
  <c r="Q22" i="5"/>
  <c r="V22" i="5"/>
  <c r="O23" i="5"/>
  <c r="U23" i="5"/>
  <c r="N24" i="5"/>
  <c r="S24" i="5"/>
  <c r="M25" i="5"/>
  <c r="R25" i="5"/>
  <c r="W25" i="5"/>
  <c r="Q26" i="5"/>
  <c r="V26" i="5"/>
  <c r="O27" i="5"/>
  <c r="U27" i="5"/>
  <c r="N28" i="5"/>
  <c r="S28" i="5"/>
  <c r="M29" i="5"/>
  <c r="R29" i="5"/>
  <c r="W29" i="5"/>
  <c r="Q30" i="5"/>
  <c r="V30" i="5"/>
  <c r="O31" i="5"/>
  <c r="U31" i="5"/>
  <c r="N32" i="5"/>
  <c r="S32" i="5"/>
  <c r="M33" i="5"/>
  <c r="R33" i="5"/>
  <c r="W33" i="5"/>
  <c r="Q34" i="5"/>
  <c r="V34" i="5"/>
  <c r="O35" i="5"/>
  <c r="U35" i="5"/>
  <c r="N36" i="5"/>
  <c r="S36" i="5"/>
  <c r="M37" i="5"/>
  <c r="R37" i="5"/>
  <c r="W37" i="5"/>
  <c r="Q38" i="5"/>
  <c r="V38" i="5"/>
  <c r="O39" i="5"/>
  <c r="U39" i="5"/>
  <c r="N40" i="5"/>
  <c r="S40" i="5"/>
  <c r="M41" i="5"/>
  <c r="R41" i="5"/>
  <c r="W41" i="5"/>
  <c r="Q42" i="5"/>
  <c r="V42" i="5"/>
  <c r="O43" i="5"/>
  <c r="U43" i="5"/>
  <c r="N44" i="5"/>
  <c r="S44" i="5"/>
  <c r="M45" i="5"/>
  <c r="R45" i="5"/>
  <c r="W45" i="5"/>
  <c r="Q46" i="5"/>
  <c r="V46" i="5"/>
  <c r="O47" i="5"/>
  <c r="U47" i="5"/>
  <c r="N48" i="5"/>
  <c r="S48" i="5"/>
  <c r="M49" i="5"/>
  <c r="R49" i="5"/>
  <c r="W49" i="5"/>
  <c r="Q50" i="5"/>
  <c r="V50" i="5"/>
  <c r="O51" i="5"/>
  <c r="U51" i="5"/>
  <c r="N52" i="5"/>
  <c r="S52" i="5"/>
  <c r="M53" i="5"/>
  <c r="R53" i="5"/>
  <c r="W53" i="5"/>
  <c r="Y53" i="18"/>
  <c r="Y52" i="18"/>
  <c r="AP28" i="18"/>
  <c r="AA17" i="18"/>
  <c r="AK9" i="18"/>
  <c r="AU25" i="18"/>
  <c r="BE28" i="18"/>
  <c r="AZ34" i="18"/>
  <c r="AA28" i="18"/>
  <c r="AU17" i="18"/>
  <c r="AA25" i="18"/>
  <c r="AP27" i="18"/>
  <c r="V28" i="18"/>
  <c r="V29" i="18"/>
  <c r="BE33" i="18"/>
  <c r="L36" i="18"/>
  <c r="AZ8" i="18"/>
  <c r="BE24" i="18"/>
  <c r="AA29" i="18"/>
  <c r="BE15" i="18"/>
  <c r="AP31" i="18"/>
  <c r="AZ9" i="18"/>
  <c r="AZ15" i="18"/>
  <c r="BE25" i="18"/>
  <c r="BE29" i="18"/>
  <c r="G31" i="18"/>
  <c r="F38" i="18"/>
  <c r="Q26" i="18"/>
  <c r="AU30" i="18"/>
  <c r="Q35" i="18"/>
  <c r="Q40" i="18"/>
  <c r="AZ11" i="18"/>
  <c r="AZ12" i="18"/>
  <c r="Q13" i="18"/>
  <c r="AA23" i="18"/>
  <c r="V24" i="18"/>
  <c r="V26" i="18"/>
  <c r="Q27" i="18"/>
  <c r="AU27" i="18"/>
  <c r="V30" i="18"/>
  <c r="BE30" i="18"/>
  <c r="AK35" i="18"/>
  <c r="Q39" i="18"/>
  <c r="AK40" i="18"/>
  <c r="BE45" i="18"/>
  <c r="AK12" i="18"/>
  <c r="BE26" i="18"/>
  <c r="AK8" i="18"/>
  <c r="AK13" i="18"/>
  <c r="BE17" i="18"/>
  <c r="AU23" i="18"/>
  <c r="AA24" i="18"/>
  <c r="V25" i="18"/>
  <c r="AA26" i="18"/>
  <c r="V27" i="18"/>
  <c r="BE27" i="18"/>
  <c r="Q28" i="18"/>
  <c r="AU28" i="18"/>
  <c r="AP29" i="18"/>
  <c r="AA30" i="18"/>
  <c r="AK31" i="18"/>
  <c r="AZ33" i="18"/>
  <c r="AZ35" i="18"/>
  <c r="AZ38" i="18"/>
  <c r="AZ39" i="18"/>
  <c r="AZ40" i="18"/>
  <c r="V23" i="18"/>
  <c r="AU26" i="18"/>
  <c r="Q30" i="18"/>
  <c r="Q9" i="18"/>
  <c r="AZ13" i="18"/>
  <c r="AK15" i="18"/>
  <c r="V17" i="18"/>
  <c r="BE23" i="18"/>
  <c r="AU24" i="18"/>
  <c r="AP26" i="18"/>
  <c r="AA27" i="18"/>
  <c r="Q29" i="18"/>
  <c r="AU29" i="18"/>
  <c r="AP30" i="18"/>
  <c r="AK34" i="18"/>
  <c r="BE39" i="18"/>
  <c r="AK48" i="18"/>
  <c r="F49" i="18"/>
  <c r="L10" i="18"/>
  <c r="AK14" i="18"/>
  <c r="AU19" i="18"/>
  <c r="V19" i="18"/>
  <c r="AP19" i="18"/>
  <c r="Q19" i="18"/>
  <c r="BE10" i="18"/>
  <c r="L14" i="18"/>
  <c r="L16" i="18"/>
  <c r="AZ16" i="18"/>
  <c r="AU18" i="18"/>
  <c r="V18" i="18"/>
  <c r="AP18" i="18"/>
  <c r="Q18" i="18"/>
  <c r="G18" i="18"/>
  <c r="G19" i="18"/>
  <c r="AU20" i="18"/>
  <c r="V20" i="18"/>
  <c r="AP20" i="18"/>
  <c r="Q20" i="18"/>
  <c r="G20" i="18"/>
  <c r="AU21" i="18"/>
  <c r="V21" i="18"/>
  <c r="AP21" i="18"/>
  <c r="Q21" i="18"/>
  <c r="G21" i="18"/>
  <c r="AU22" i="18"/>
  <c r="V22" i="18"/>
  <c r="AP22" i="18"/>
  <c r="Q22" i="18"/>
  <c r="G22" i="18"/>
  <c r="AZ41" i="18"/>
  <c r="AK41" i="18"/>
  <c r="Q41" i="18"/>
  <c r="F42" i="18"/>
  <c r="L47" i="18"/>
  <c r="AU47" i="18"/>
  <c r="L7" i="18"/>
  <c r="Q10" i="18"/>
  <c r="L11" i="18"/>
  <c r="BE11" i="18"/>
  <c r="Q14" i="18"/>
  <c r="AA18" i="18"/>
  <c r="AA19" i="18"/>
  <c r="AA20" i="18"/>
  <c r="AA21" i="18"/>
  <c r="AA22" i="18"/>
  <c r="AZ36" i="18"/>
  <c r="AK36" i="18"/>
  <c r="Q36" i="18"/>
  <c r="AK37" i="18"/>
  <c r="Q37" i="18"/>
  <c r="L37" i="18"/>
  <c r="BE44" i="18"/>
  <c r="AK44" i="18"/>
  <c r="V7" i="18"/>
  <c r="L8" i="18"/>
  <c r="BE8" i="18"/>
  <c r="AK10" i="18"/>
  <c r="Q11" i="18"/>
  <c r="L12" i="18"/>
  <c r="BE12" i="18"/>
  <c r="AZ14" i="18"/>
  <c r="AK18" i="18"/>
  <c r="AK19" i="18"/>
  <c r="AK20" i="18"/>
  <c r="AK21" i="18"/>
  <c r="AK22" i="18"/>
  <c r="BE36" i="18"/>
  <c r="AZ37" i="18"/>
  <c r="AP50" i="18"/>
  <c r="L9" i="18"/>
  <c r="BE9" i="18"/>
  <c r="AZ10" i="18"/>
  <c r="AK11" i="18"/>
  <c r="L13" i="18"/>
  <c r="BE13" i="18"/>
  <c r="BE14" i="18"/>
  <c r="L15" i="18"/>
  <c r="AK16" i="18"/>
  <c r="BE18" i="18"/>
  <c r="BE19" i="18"/>
  <c r="BE20" i="18"/>
  <c r="BE21" i="18"/>
  <c r="BE22" i="18"/>
  <c r="BE31" i="18"/>
  <c r="AA31" i="18"/>
  <c r="AU31" i="18"/>
  <c r="V31" i="18"/>
  <c r="Q31" i="18"/>
  <c r="BE37" i="18"/>
  <c r="L41" i="18"/>
  <c r="AF42" i="18"/>
  <c r="AA47" i="18"/>
  <c r="G17" i="18"/>
  <c r="AK17" i="18"/>
  <c r="G23" i="18"/>
  <c r="AK23" i="18"/>
  <c r="G24" i="18"/>
  <c r="AK24" i="18"/>
  <c r="G25" i="18"/>
  <c r="AK25" i="18"/>
  <c r="L33" i="18"/>
  <c r="L34" i="18"/>
  <c r="BE34" i="18"/>
  <c r="L45" i="18"/>
  <c r="Q17" i="18"/>
  <c r="AP17" i="18"/>
  <c r="Q23" i="18"/>
  <c r="AP23" i="18"/>
  <c r="Q24" i="18"/>
  <c r="AP24" i="18"/>
  <c r="Q25" i="18"/>
  <c r="AP25" i="18"/>
  <c r="G26" i="18"/>
  <c r="AK26" i="18"/>
  <c r="G27" i="18"/>
  <c r="AK27" i="18"/>
  <c r="G28" i="18"/>
  <c r="AK28" i="18"/>
  <c r="G29" i="18"/>
  <c r="AK29" i="18"/>
  <c r="G30" i="18"/>
  <c r="AK30" i="18"/>
  <c r="Q33" i="18"/>
  <c r="L35" i="18"/>
  <c r="BE35" i="18"/>
  <c r="L40" i="18"/>
  <c r="BE40" i="18"/>
  <c r="F6" i="18"/>
  <c r="AP6" i="18"/>
  <c r="AS5" i="18" s="1"/>
  <c r="Q6" i="18"/>
  <c r="T5" i="18" s="1"/>
  <c r="AZ6" i="18"/>
  <c r="BC5" i="18" s="1"/>
  <c r="AP7" i="18"/>
  <c r="AU7" i="18"/>
  <c r="AA7" i="18"/>
  <c r="G7" i="18"/>
  <c r="F7" i="18"/>
  <c r="AF7" i="18"/>
  <c r="BE7" i="18"/>
  <c r="AK6" i="18"/>
  <c r="AN5" i="18" s="1"/>
  <c r="Q7" i="18"/>
  <c r="AP8" i="18"/>
  <c r="V8" i="18"/>
  <c r="AU8" i="18"/>
  <c r="AA8" i="18"/>
  <c r="G8" i="18"/>
  <c r="F8" i="18"/>
  <c r="AF8" i="18"/>
  <c r="AP9" i="18"/>
  <c r="V9" i="18"/>
  <c r="AU9" i="18"/>
  <c r="AA9" i="18"/>
  <c r="G9" i="18"/>
  <c r="F9" i="18"/>
  <c r="AF9" i="18"/>
  <c r="AP10" i="18"/>
  <c r="V10" i="18"/>
  <c r="AU10" i="18"/>
  <c r="AA10" i="18"/>
  <c r="G10" i="18"/>
  <c r="F10" i="18"/>
  <c r="AF10" i="18"/>
  <c r="AP11" i="18"/>
  <c r="V11" i="18"/>
  <c r="AU11" i="18"/>
  <c r="AA11" i="18"/>
  <c r="G11" i="18"/>
  <c r="F11" i="18"/>
  <c r="AF11" i="18"/>
  <c r="AP12" i="18"/>
  <c r="V12" i="18"/>
  <c r="AU12" i="18"/>
  <c r="AA12" i="18"/>
  <c r="G12" i="18"/>
  <c r="F12" i="18"/>
  <c r="AF12" i="18"/>
  <c r="AP13" i="18"/>
  <c r="V13" i="18"/>
  <c r="AU13" i="18"/>
  <c r="AA13" i="18"/>
  <c r="G13" i="18"/>
  <c r="F13" i="18"/>
  <c r="AF13" i="18"/>
  <c r="AP14" i="18"/>
  <c r="V14" i="18"/>
  <c r="AU14" i="18"/>
  <c r="AA14" i="18"/>
  <c r="G14" i="18"/>
  <c r="F14" i="18"/>
  <c r="AF14" i="18"/>
  <c r="AP15" i="18"/>
  <c r="V15" i="18"/>
  <c r="AU15" i="18"/>
  <c r="AA15" i="18"/>
  <c r="G15" i="18"/>
  <c r="F15" i="18"/>
  <c r="AF15" i="18"/>
  <c r="Q16" i="18"/>
  <c r="BE16" i="18"/>
  <c r="AU6" i="18"/>
  <c r="AX5" i="18" s="1"/>
  <c r="AA6" i="18"/>
  <c r="AD5" i="18" s="1"/>
  <c r="G6" i="18"/>
  <c r="J5" i="18" s="1"/>
  <c r="AF6" i="18"/>
  <c r="AI5" i="18" s="1"/>
  <c r="L6" i="18"/>
  <c r="O5" i="18" s="1"/>
  <c r="V6" i="18"/>
  <c r="Y5" i="18" s="1"/>
  <c r="BE6" i="18"/>
  <c r="BH5" i="18" s="1"/>
  <c r="AK7" i="18"/>
  <c r="AP16" i="18"/>
  <c r="V16" i="18"/>
  <c r="AU16" i="18"/>
  <c r="AA16" i="18"/>
  <c r="G16" i="18"/>
  <c r="F16" i="18"/>
  <c r="AF16" i="18"/>
  <c r="F17" i="18"/>
  <c r="L17" i="18"/>
  <c r="AF17" i="18"/>
  <c r="AZ17" i="18"/>
  <c r="AP32" i="18"/>
  <c r="V32" i="18"/>
  <c r="AU32" i="18"/>
  <c r="AA32" i="18"/>
  <c r="G32" i="18"/>
  <c r="AZ32" i="18"/>
  <c r="L32" i="18"/>
  <c r="AK32" i="18"/>
  <c r="F32" i="18"/>
  <c r="AF32" i="18"/>
  <c r="Q32" i="18"/>
  <c r="AP38" i="18"/>
  <c r="V38" i="18"/>
  <c r="AU38" i="18"/>
  <c r="AA38" i="18"/>
  <c r="G38" i="18"/>
  <c r="Q38" i="18"/>
  <c r="BE38" i="18"/>
  <c r="L38" i="18"/>
  <c r="AK38" i="18"/>
  <c r="AP43" i="18"/>
  <c r="V43" i="18"/>
  <c r="AU43" i="18"/>
  <c r="AA43" i="18"/>
  <c r="G43" i="18"/>
  <c r="BE43" i="18"/>
  <c r="Q43" i="18"/>
  <c r="AZ43" i="18"/>
  <c r="L43" i="18"/>
  <c r="AF43" i="18"/>
  <c r="F43" i="18"/>
  <c r="AK43" i="18"/>
  <c r="AP33" i="18"/>
  <c r="V33" i="18"/>
  <c r="AU33" i="18"/>
  <c r="AA33" i="18"/>
  <c r="G33" i="18"/>
  <c r="F33" i="18"/>
  <c r="AF33" i="18"/>
  <c r="F18" i="18"/>
  <c r="L18" i="18"/>
  <c r="AF18" i="18"/>
  <c r="AZ18" i="18"/>
  <c r="F19" i="18"/>
  <c r="L19" i="18"/>
  <c r="AF19" i="18"/>
  <c r="AZ19" i="18"/>
  <c r="F20" i="18"/>
  <c r="L20" i="18"/>
  <c r="AF20" i="18"/>
  <c r="AZ20" i="18"/>
  <c r="F21" i="18"/>
  <c r="L21" i="18"/>
  <c r="AF21" i="18"/>
  <c r="AZ21" i="18"/>
  <c r="F22" i="18"/>
  <c r="L22" i="18"/>
  <c r="AF22" i="18"/>
  <c r="AZ22" i="18"/>
  <c r="F23" i="18"/>
  <c r="L23" i="18"/>
  <c r="AF23" i="18"/>
  <c r="AZ23" i="18"/>
  <c r="F24" i="18"/>
  <c r="L24" i="18"/>
  <c r="AF24" i="18"/>
  <c r="AZ24" i="18"/>
  <c r="F25" i="18"/>
  <c r="L25" i="18"/>
  <c r="AF25" i="18"/>
  <c r="AZ25" i="18"/>
  <c r="F26" i="18"/>
  <c r="L26" i="18"/>
  <c r="AF26" i="18"/>
  <c r="AZ26" i="18"/>
  <c r="F27" i="18"/>
  <c r="L27" i="18"/>
  <c r="AF27" i="18"/>
  <c r="AZ27" i="18"/>
  <c r="F28" i="18"/>
  <c r="L28" i="18"/>
  <c r="AF28" i="18"/>
  <c r="AZ28" i="18"/>
  <c r="F29" i="18"/>
  <c r="L29" i="18"/>
  <c r="AF29" i="18"/>
  <c r="AZ29" i="18"/>
  <c r="F30" i="18"/>
  <c r="L30" i="18"/>
  <c r="AF30" i="18"/>
  <c r="AZ30" i="18"/>
  <c r="F31" i="18"/>
  <c r="L31" i="18"/>
  <c r="AF31" i="18"/>
  <c r="AZ31" i="18"/>
  <c r="AK33" i="18"/>
  <c r="AP34" i="18"/>
  <c r="V34" i="18"/>
  <c r="AU34" i="18"/>
  <c r="AA34" i="18"/>
  <c r="G34" i="18"/>
  <c r="F34" i="18"/>
  <c r="AF34" i="18"/>
  <c r="AP35" i="18"/>
  <c r="V35" i="18"/>
  <c r="AU35" i="18"/>
  <c r="AA35" i="18"/>
  <c r="G35" i="18"/>
  <c r="F35" i="18"/>
  <c r="AF35" i="18"/>
  <c r="AP36" i="18"/>
  <c r="V36" i="18"/>
  <c r="AU36" i="18"/>
  <c r="AA36" i="18"/>
  <c r="G36" i="18"/>
  <c r="F36" i="18"/>
  <c r="AF36" i="18"/>
  <c r="AP37" i="18"/>
  <c r="V37" i="18"/>
  <c r="AU37" i="18"/>
  <c r="AA37" i="18"/>
  <c r="G37" i="18"/>
  <c r="F37" i="18"/>
  <c r="AF37" i="18"/>
  <c r="AP42" i="18"/>
  <c r="V42" i="18"/>
  <c r="AU42" i="18"/>
  <c r="AA42" i="18"/>
  <c r="G42" i="18"/>
  <c r="BE42" i="18"/>
  <c r="Q42" i="18"/>
  <c r="AZ42" i="18"/>
  <c r="L42" i="18"/>
  <c r="AK42" i="18"/>
  <c r="BE46" i="18"/>
  <c r="AK46" i="18"/>
  <c r="Q46" i="18"/>
  <c r="AU46" i="18"/>
  <c r="L46" i="18"/>
  <c r="AA46" i="18"/>
  <c r="V46" i="18"/>
  <c r="F46" i="18"/>
  <c r="AZ46" i="18"/>
  <c r="AF46" i="18"/>
  <c r="AP46" i="18"/>
  <c r="AP39" i="18"/>
  <c r="V39" i="18"/>
  <c r="AU39" i="18"/>
  <c r="AA39" i="18"/>
  <c r="G39" i="18"/>
  <c r="F39" i="18"/>
  <c r="AF39" i="18"/>
  <c r="BE41" i="18"/>
  <c r="AK39" i="18"/>
  <c r="AP40" i="18"/>
  <c r="V40" i="18"/>
  <c r="AU40" i="18"/>
  <c r="AA40" i="18"/>
  <c r="G40" i="18"/>
  <c r="F40" i="18"/>
  <c r="AF40" i="18"/>
  <c r="AP41" i="18"/>
  <c r="V41" i="18"/>
  <c r="AU41" i="18"/>
  <c r="AA41" i="18"/>
  <c r="G41" i="18"/>
  <c r="F41" i="18"/>
  <c r="AF41" i="18"/>
  <c r="AU49" i="18"/>
  <c r="AA49" i="18"/>
  <c r="G49" i="18"/>
  <c r="AK49" i="18"/>
  <c r="L49" i="18"/>
  <c r="BE49" i="18"/>
  <c r="AF49" i="18"/>
  <c r="V49" i="18"/>
  <c r="AP49" i="18"/>
  <c r="Q49" i="18"/>
  <c r="F44" i="18"/>
  <c r="L44" i="18"/>
  <c r="AF44" i="18"/>
  <c r="AZ44" i="18"/>
  <c r="AU45" i="18"/>
  <c r="AA45" i="18"/>
  <c r="G45" i="18"/>
  <c r="F45" i="18"/>
  <c r="AF45" i="18"/>
  <c r="AP45" i="18"/>
  <c r="J54" i="18"/>
  <c r="AD53" i="18"/>
  <c r="AD52" i="18"/>
  <c r="AX52" i="18"/>
  <c r="J52" i="18"/>
  <c r="AX53" i="18"/>
  <c r="G44" i="18"/>
  <c r="AA44" i="18"/>
  <c r="AU44" i="18"/>
  <c r="Q45" i="18"/>
  <c r="AZ45" i="18"/>
  <c r="AD54" i="18"/>
  <c r="V44" i="18"/>
  <c r="AP44" i="18"/>
  <c r="AK45" i="18"/>
  <c r="AU50" i="18"/>
  <c r="AA50" i="18"/>
  <c r="G50" i="18"/>
  <c r="AZ50" i="18"/>
  <c r="Q50" i="18"/>
  <c r="AK50" i="18"/>
  <c r="L50" i="18"/>
  <c r="BE50" i="18"/>
  <c r="AF50" i="18"/>
  <c r="V50" i="18"/>
  <c r="F50" i="18"/>
  <c r="J53" i="18"/>
  <c r="AX54" i="18"/>
  <c r="F47" i="18"/>
  <c r="V47" i="18"/>
  <c r="AF47" i="18"/>
  <c r="F48" i="18"/>
  <c r="Q48" i="18"/>
  <c r="AP48" i="18"/>
  <c r="AZ48" i="18"/>
  <c r="BE47" i="18"/>
  <c r="AK47" i="18"/>
  <c r="Q47" i="18"/>
  <c r="G47" i="18"/>
  <c r="AP47" i="18"/>
  <c r="AZ47" i="18"/>
  <c r="AU48" i="18"/>
  <c r="AA48" i="18"/>
  <c r="G48" i="18"/>
  <c r="BE48" i="18"/>
  <c r="V48" i="18"/>
  <c r="L48" i="18"/>
  <c r="AF48" i="18"/>
  <c r="AS52" i="18"/>
  <c r="AS53" i="18"/>
  <c r="AS54" i="18"/>
  <c r="O52" i="18"/>
  <c r="AI52" i="18"/>
  <c r="BC52" i="18"/>
  <c r="O53" i="18"/>
  <c r="AI53" i="18"/>
  <c r="BC53" i="18"/>
  <c r="O54" i="18"/>
  <c r="AI54" i="18"/>
  <c r="BC54" i="18"/>
  <c r="T52" i="18"/>
  <c r="AN52" i="18"/>
  <c r="BH52" i="18"/>
  <c r="T53" i="18"/>
  <c r="AN53" i="18"/>
  <c r="BH53" i="18"/>
  <c r="T54" i="18"/>
  <c r="AN54" i="18"/>
  <c r="BH54" i="18"/>
  <c r="J55" i="18" l="1"/>
  <c r="AL48" i="5"/>
  <c r="AO53" i="5"/>
  <c r="AN48" i="5"/>
  <c r="AM53" i="5"/>
  <c r="AN53" i="5"/>
  <c r="AM50" i="5"/>
  <c r="AK53" i="5"/>
  <c r="AL53" i="5"/>
  <c r="AK47" i="5"/>
  <c r="AN50" i="5"/>
  <c r="AM51" i="5"/>
  <c r="AO51" i="5"/>
  <c r="AL50" i="5"/>
  <c r="AL51" i="5"/>
  <c r="AN47" i="5"/>
  <c r="AN51" i="5"/>
  <c r="AL47" i="5"/>
  <c r="AK51" i="5"/>
  <c r="AO47" i="5"/>
  <c r="AM47" i="5"/>
  <c r="AK48" i="5"/>
  <c r="AO48" i="5"/>
  <c r="AK49" i="5"/>
  <c r="AO49" i="5"/>
  <c r="AN49" i="5"/>
  <c r="AM48" i="5"/>
  <c r="AM49" i="5"/>
  <c r="AL49" i="5"/>
  <c r="AO52" i="5"/>
  <c r="AK52" i="5"/>
  <c r="AN52" i="5"/>
  <c r="AM52" i="5"/>
  <c r="AL52" i="5"/>
  <c r="AK50" i="5"/>
  <c r="AO50" i="5"/>
  <c r="Y55" i="18"/>
  <c r="BH55" i="18"/>
  <c r="O55" i="18"/>
  <c r="AI55" i="18"/>
  <c r="AD55" i="18"/>
  <c r="AS55" i="18"/>
  <c r="AX55" i="18"/>
  <c r="T55" i="18"/>
  <c r="BC55" i="18"/>
  <c r="AN55" i="18"/>
  <c r="DV46" i="16"/>
  <c r="DV45" i="16"/>
  <c r="H50" i="18" l="1"/>
  <c r="H48" i="18"/>
  <c r="H49" i="18"/>
  <c r="H46" i="18"/>
  <c r="H44" i="18"/>
  <c r="H43" i="18"/>
  <c r="H42" i="18"/>
  <c r="H41" i="18"/>
  <c r="H40" i="18"/>
  <c r="H39" i="18"/>
  <c r="H45" i="18"/>
  <c r="H47" i="18"/>
  <c r="H38" i="18"/>
  <c r="H37" i="18"/>
  <c r="H36" i="18"/>
  <c r="H35" i="18"/>
  <c r="H34" i="18"/>
  <c r="H33" i="18"/>
  <c r="H32" i="18"/>
  <c r="H23" i="18"/>
  <c r="H21" i="18"/>
  <c r="H19" i="18"/>
  <c r="H30" i="18"/>
  <c r="H28" i="18"/>
  <c r="H26" i="18"/>
  <c r="H31" i="18"/>
  <c r="H27" i="18"/>
  <c r="H16" i="18"/>
  <c r="H15" i="18"/>
  <c r="H14" i="18"/>
  <c r="H13" i="18"/>
  <c r="H12" i="18"/>
  <c r="H11" i="18"/>
  <c r="H10" i="18"/>
  <c r="H9" i="18"/>
  <c r="H8" i="18"/>
  <c r="H24" i="18"/>
  <c r="H20" i="18"/>
  <c r="H29" i="18"/>
  <c r="H18" i="18"/>
  <c r="H17" i="18"/>
  <c r="H7" i="18"/>
  <c r="H6" i="18"/>
  <c r="H25" i="18"/>
  <c r="H22" i="18"/>
  <c r="Y7" i="5"/>
  <c r="AO39" i="5" l="1"/>
  <c r="AM39" i="5"/>
  <c r="AN39" i="5"/>
  <c r="AL39" i="5"/>
  <c r="AK39" i="5"/>
  <c r="AN44" i="5"/>
  <c r="AL44" i="5"/>
  <c r="AK44" i="5"/>
  <c r="AO44" i="5"/>
  <c r="AM44" i="5"/>
  <c r="AK45" i="5"/>
  <c r="AM45" i="5"/>
  <c r="AO45" i="5"/>
  <c r="AN45" i="5"/>
  <c r="AL45" i="5"/>
  <c r="AL38" i="5"/>
  <c r="AM38" i="5"/>
  <c r="AK38" i="5"/>
  <c r="AN38" i="5"/>
  <c r="AO38" i="5"/>
  <c r="AK37" i="5"/>
  <c r="AO37" i="5"/>
  <c r="AM37" i="5"/>
  <c r="AL37" i="5"/>
  <c r="AN37" i="5"/>
  <c r="AK42" i="5"/>
  <c r="AO42" i="5"/>
  <c r="AN42" i="5"/>
  <c r="AL42" i="5"/>
  <c r="AM42" i="5"/>
  <c r="AK41" i="5"/>
  <c r="AO41" i="5"/>
  <c r="AL41" i="5"/>
  <c r="AN41" i="5"/>
  <c r="AM41" i="5"/>
  <c r="AN40" i="5"/>
  <c r="AL40" i="5"/>
  <c r="AM40" i="5"/>
  <c r="AO40" i="5"/>
  <c r="AK40" i="5"/>
  <c r="AK46" i="5"/>
  <c r="AL46" i="5"/>
  <c r="AO46" i="5"/>
  <c r="AM46" i="5"/>
  <c r="AN46" i="5"/>
  <c r="AL43" i="5"/>
  <c r="AO43" i="5"/>
  <c r="AK43" i="5"/>
  <c r="AM43" i="5"/>
  <c r="AN43" i="5"/>
  <c r="AK7" i="5" l="1"/>
  <c r="AK35" i="5" l="1"/>
  <c r="AK27" i="5"/>
  <c r="AK26" i="5"/>
  <c r="AK19" i="5"/>
  <c r="AK36" i="5"/>
  <c r="AK34" i="5"/>
  <c r="AK32" i="5"/>
  <c r="AK11" i="5"/>
  <c r="AK28" i="5"/>
  <c r="AK12" i="5"/>
  <c r="AK18" i="5"/>
  <c r="AK33" i="5"/>
  <c r="AK29" i="5"/>
  <c r="AK14" i="5"/>
  <c r="AK24" i="5"/>
  <c r="AK10" i="5"/>
  <c r="AK25" i="5"/>
  <c r="AK20" i="5"/>
  <c r="AK17" i="5"/>
  <c r="AK21" i="5"/>
  <c r="AK13" i="5"/>
  <c r="AK30" i="5"/>
  <c r="BC7" i="5"/>
  <c r="AK16" i="5"/>
  <c r="AK23" i="5"/>
  <c r="AK22" i="5"/>
  <c r="AK31" i="5"/>
  <c r="AK15" i="5"/>
  <c r="AK9" i="5"/>
  <c r="BV29" i="16"/>
  <c r="DG43" i="16"/>
  <c r="DF43" i="16"/>
  <c r="DE43" i="16"/>
  <c r="DD43" i="16"/>
  <c r="DB43" i="16"/>
  <c r="DG42" i="16"/>
  <c r="DF42" i="16"/>
  <c r="DE42" i="16"/>
  <c r="DD42" i="16"/>
  <c r="DB42" i="16"/>
  <c r="DA38" i="16"/>
  <c r="BV38" i="16"/>
  <c r="DO38" i="16" s="1"/>
  <c r="DP38" i="16" s="1"/>
  <c r="DQ38" i="16" s="1"/>
  <c r="DR38" i="16" s="1"/>
  <c r="DS38" i="16" s="1"/>
  <c r="DT38" i="16" s="1"/>
  <c r="DU38" i="16" s="1"/>
  <c r="DA37" i="16"/>
  <c r="BV37" i="16"/>
  <c r="DO37" i="16" s="1"/>
  <c r="DP37" i="16" s="1"/>
  <c r="DQ37" i="16" s="1"/>
  <c r="DR37" i="16" s="1"/>
  <c r="DS37" i="16" s="1"/>
  <c r="DT37" i="16" s="1"/>
  <c r="DU37" i="16" s="1"/>
  <c r="DA36" i="16"/>
  <c r="BV36" i="16"/>
  <c r="DO36" i="16" s="1"/>
  <c r="DP36" i="16" s="1"/>
  <c r="DQ36" i="16" s="1"/>
  <c r="DR36" i="16" s="1"/>
  <c r="DS36" i="16" s="1"/>
  <c r="DT36" i="16" s="1"/>
  <c r="DU36" i="16" s="1"/>
  <c r="DA35" i="16"/>
  <c r="BV35" i="16"/>
  <c r="DO35" i="16" s="1"/>
  <c r="DP35" i="16" s="1"/>
  <c r="DQ35" i="16" s="1"/>
  <c r="DR35" i="16" s="1"/>
  <c r="DS35" i="16" s="1"/>
  <c r="DT35" i="16" s="1"/>
  <c r="DU35" i="16" s="1"/>
  <c r="BV27" i="16"/>
  <c r="A27" i="16"/>
  <c r="BV26" i="16"/>
  <c r="A26" i="16"/>
  <c r="BV25" i="16"/>
  <c r="A25" i="16"/>
  <c r="BV24" i="16"/>
  <c r="A24" i="16"/>
  <c r="BV23" i="16"/>
  <c r="A23" i="16"/>
  <c r="BV22" i="16"/>
  <c r="A22" i="16"/>
  <c r="BV21" i="16"/>
  <c r="A21" i="16"/>
  <c r="BV20" i="16"/>
  <c r="A20" i="16"/>
  <c r="BV19" i="16"/>
  <c r="A19" i="16"/>
  <c r="BV18" i="16"/>
  <c r="A18" i="16"/>
  <c r="BV17" i="16"/>
  <c r="A17" i="16"/>
  <c r="BV16" i="16"/>
  <c r="A16" i="16"/>
  <c r="A9" i="16" s="1"/>
  <c r="C55" i="15"/>
  <c r="B55" i="15"/>
  <c r="C54" i="15"/>
  <c r="B54" i="15"/>
  <c r="C53" i="15"/>
  <c r="B53" i="15"/>
  <c r="C52" i="15"/>
  <c r="B52" i="15"/>
  <c r="C51" i="15"/>
  <c r="B51" i="15"/>
  <c r="C50" i="15"/>
  <c r="B50" i="15"/>
  <c r="C49" i="15"/>
  <c r="B49" i="15"/>
  <c r="C48" i="15"/>
  <c r="B48" i="15"/>
  <c r="C47" i="15"/>
  <c r="B47" i="15"/>
  <c r="C46" i="15"/>
  <c r="B46" i="15"/>
  <c r="C45" i="15"/>
  <c r="B45" i="15"/>
  <c r="C44" i="15"/>
  <c r="B44" i="15"/>
  <c r="C43" i="15"/>
  <c r="B43" i="15"/>
  <c r="C42" i="15"/>
  <c r="B42" i="15"/>
  <c r="C41" i="15"/>
  <c r="B41" i="15"/>
  <c r="C40" i="15"/>
  <c r="B40" i="15"/>
  <c r="C39" i="15"/>
  <c r="B39" i="15"/>
  <c r="C38" i="15"/>
  <c r="B38" i="15"/>
  <c r="C37" i="15"/>
  <c r="B37" i="15"/>
  <c r="C36" i="15"/>
  <c r="B36" i="15"/>
  <c r="C35" i="15"/>
  <c r="B35" i="15"/>
  <c r="C34" i="15"/>
  <c r="B34" i="15"/>
  <c r="C33" i="15"/>
  <c r="B33" i="15"/>
  <c r="C32" i="15"/>
  <c r="B32" i="15"/>
  <c r="C31" i="15"/>
  <c r="B31" i="15"/>
  <c r="C30" i="15"/>
  <c r="B30" i="15"/>
  <c r="C29" i="15"/>
  <c r="B29" i="15"/>
  <c r="C28" i="15"/>
  <c r="B28" i="15"/>
  <c r="C27" i="15"/>
  <c r="B27" i="15"/>
  <c r="C26" i="15"/>
  <c r="B26" i="15"/>
  <c r="C25" i="15"/>
  <c r="B25" i="15"/>
  <c r="C24" i="15"/>
  <c r="B24" i="15"/>
  <c r="C23" i="15"/>
  <c r="B23" i="15"/>
  <c r="C22" i="15"/>
  <c r="B22" i="15"/>
  <c r="C21" i="15"/>
  <c r="B21" i="15"/>
  <c r="C20" i="15"/>
  <c r="B20" i="15"/>
  <c r="C19" i="15"/>
  <c r="B19" i="15"/>
  <c r="C18" i="15"/>
  <c r="B18" i="15"/>
  <c r="C17" i="15"/>
  <c r="B17" i="15"/>
  <c r="C16" i="15"/>
  <c r="B16" i="15"/>
  <c r="C15" i="15"/>
  <c r="B15" i="15"/>
  <c r="C14" i="15"/>
  <c r="B14" i="15"/>
  <c r="C13" i="15"/>
  <c r="B13" i="15"/>
  <c r="C12" i="15"/>
  <c r="B12" i="15"/>
  <c r="C11" i="15"/>
  <c r="B11" i="15"/>
  <c r="C55" i="14"/>
  <c r="B55" i="14"/>
  <c r="C54" i="14"/>
  <c r="B54" i="14"/>
  <c r="C53" i="14"/>
  <c r="B53" i="14"/>
  <c r="C52" i="14"/>
  <c r="B52" i="14"/>
  <c r="C51" i="14"/>
  <c r="B51" i="14"/>
  <c r="C50" i="14"/>
  <c r="B50" i="14"/>
  <c r="C49" i="14"/>
  <c r="B49" i="14"/>
  <c r="C48" i="14"/>
  <c r="B48" i="14"/>
  <c r="C47" i="14"/>
  <c r="B47" i="14"/>
  <c r="C46" i="14"/>
  <c r="B46" i="14"/>
  <c r="C45" i="14"/>
  <c r="B45" i="14"/>
  <c r="C44" i="14"/>
  <c r="B44" i="14"/>
  <c r="C43" i="14"/>
  <c r="B43" i="14"/>
  <c r="C42" i="14"/>
  <c r="B42" i="14"/>
  <c r="C41" i="14"/>
  <c r="B41" i="14"/>
  <c r="C40" i="14"/>
  <c r="B40" i="14"/>
  <c r="C39" i="14"/>
  <c r="B39" i="14"/>
  <c r="C38" i="14"/>
  <c r="B38" i="14"/>
  <c r="C37" i="14"/>
  <c r="B37" i="14"/>
  <c r="C36" i="14"/>
  <c r="B36" i="14"/>
  <c r="C35" i="14"/>
  <c r="B35" i="14"/>
  <c r="C34" i="14"/>
  <c r="B34" i="14"/>
  <c r="C33" i="14"/>
  <c r="B33" i="14"/>
  <c r="C32" i="14"/>
  <c r="B32" i="14"/>
  <c r="C31" i="14"/>
  <c r="B31" i="14"/>
  <c r="C30" i="14"/>
  <c r="B30" i="14"/>
  <c r="C29" i="14"/>
  <c r="B29" i="14"/>
  <c r="C28" i="14"/>
  <c r="B28" i="14"/>
  <c r="C27" i="14"/>
  <c r="B27" i="14"/>
  <c r="C26" i="14"/>
  <c r="B26" i="14"/>
  <c r="C25" i="14"/>
  <c r="B25" i="14"/>
  <c r="C24" i="14"/>
  <c r="B24" i="14"/>
  <c r="C23" i="14"/>
  <c r="B23" i="14"/>
  <c r="C22" i="14"/>
  <c r="B22" i="14"/>
  <c r="C21" i="14"/>
  <c r="B21" i="14"/>
  <c r="C20" i="14"/>
  <c r="B20" i="14"/>
  <c r="C19" i="14"/>
  <c r="B19" i="14"/>
  <c r="C18" i="14"/>
  <c r="B18" i="14"/>
  <c r="C17" i="14"/>
  <c r="B17" i="14"/>
  <c r="C16" i="14"/>
  <c r="B16" i="14"/>
  <c r="C15" i="14"/>
  <c r="B15" i="14"/>
  <c r="C14" i="14"/>
  <c r="B14" i="14"/>
  <c r="C13" i="14"/>
  <c r="B13" i="14"/>
  <c r="C12" i="14"/>
  <c r="B12" i="14"/>
  <c r="C11" i="14"/>
  <c r="B11" i="14"/>
  <c r="N46" i="14"/>
  <c r="K46" i="14"/>
  <c r="H46" i="14"/>
  <c r="E46" i="14"/>
  <c r="N45" i="14"/>
  <c r="K45" i="14"/>
  <c r="H45" i="14"/>
  <c r="E45" i="14"/>
  <c r="N44" i="14"/>
  <c r="K44" i="14"/>
  <c r="H44" i="14"/>
  <c r="E44" i="14"/>
  <c r="N43" i="14"/>
  <c r="K43" i="14"/>
  <c r="H43" i="14"/>
  <c r="E43" i="14"/>
  <c r="N42" i="14"/>
  <c r="K42" i="14"/>
  <c r="H42" i="14"/>
  <c r="E42" i="14"/>
  <c r="N41" i="14"/>
  <c r="K41" i="14"/>
  <c r="H41" i="14"/>
  <c r="E41" i="14"/>
  <c r="N40" i="14"/>
  <c r="K40" i="14"/>
  <c r="H40" i="14"/>
  <c r="E40" i="14"/>
  <c r="N39" i="14"/>
  <c r="K39" i="14"/>
  <c r="H39" i="14"/>
  <c r="E39" i="14"/>
  <c r="N38" i="14"/>
  <c r="K38" i="14"/>
  <c r="H38" i="14"/>
  <c r="E38" i="14"/>
  <c r="N37" i="14"/>
  <c r="K37" i="14"/>
  <c r="H37" i="14"/>
  <c r="E37" i="14"/>
  <c r="N36" i="14"/>
  <c r="K36" i="14"/>
  <c r="H36" i="14"/>
  <c r="E36" i="14"/>
  <c r="N35" i="14"/>
  <c r="K35" i="14"/>
  <c r="H35" i="14"/>
  <c r="E35" i="14"/>
  <c r="N34" i="14"/>
  <c r="K34" i="14"/>
  <c r="H34" i="14"/>
  <c r="E34" i="14"/>
  <c r="N33" i="14"/>
  <c r="K33" i="14"/>
  <c r="H33" i="14"/>
  <c r="E33" i="14"/>
  <c r="N32" i="14"/>
  <c r="K32" i="14"/>
  <c r="H32" i="14"/>
  <c r="E32" i="14"/>
  <c r="N31" i="14"/>
  <c r="K31" i="14"/>
  <c r="H31" i="14"/>
  <c r="E31" i="14"/>
  <c r="N30" i="14"/>
  <c r="K30" i="14"/>
  <c r="H30" i="14"/>
  <c r="E30" i="14"/>
  <c r="N29" i="14"/>
  <c r="K29" i="14"/>
  <c r="H29" i="14"/>
  <c r="E29" i="14"/>
  <c r="N28" i="14"/>
  <c r="K28" i="14"/>
  <c r="H28" i="14"/>
  <c r="E28" i="14"/>
  <c r="N27" i="14"/>
  <c r="K27" i="14"/>
  <c r="H27" i="14"/>
  <c r="E27" i="14"/>
  <c r="N26" i="14"/>
  <c r="K26" i="14"/>
  <c r="H26" i="14"/>
  <c r="E26" i="14"/>
  <c r="N25" i="14"/>
  <c r="K25" i="14"/>
  <c r="H25" i="14"/>
  <c r="E25" i="14"/>
  <c r="N24" i="14"/>
  <c r="K24" i="14"/>
  <c r="H24" i="14"/>
  <c r="E24" i="14"/>
  <c r="N23" i="14"/>
  <c r="K23" i="14"/>
  <c r="H23" i="14"/>
  <c r="E23" i="14"/>
  <c r="N22" i="14"/>
  <c r="K22" i="14"/>
  <c r="H22" i="14"/>
  <c r="E22" i="14"/>
  <c r="N21" i="14"/>
  <c r="K21" i="14"/>
  <c r="H21" i="14"/>
  <c r="E21" i="14"/>
  <c r="N20" i="14"/>
  <c r="K20" i="14"/>
  <c r="H20" i="14"/>
  <c r="E20" i="14"/>
  <c r="N19" i="14"/>
  <c r="K19" i="14"/>
  <c r="H19" i="14"/>
  <c r="E19" i="14"/>
  <c r="N18" i="14"/>
  <c r="K18" i="14"/>
  <c r="H18" i="14"/>
  <c r="E18" i="14"/>
  <c r="N17" i="14"/>
  <c r="K17" i="14"/>
  <c r="H17" i="14"/>
  <c r="E17" i="14"/>
  <c r="N16" i="14"/>
  <c r="K16" i="14"/>
  <c r="H16" i="14"/>
  <c r="E16" i="14"/>
  <c r="N15" i="14"/>
  <c r="K15" i="14"/>
  <c r="H15" i="14"/>
  <c r="E15" i="14"/>
  <c r="N14" i="14"/>
  <c r="K14" i="14"/>
  <c r="H14" i="14"/>
  <c r="E14" i="14"/>
  <c r="N13" i="14"/>
  <c r="K13" i="14"/>
  <c r="H13" i="14"/>
  <c r="E13" i="14"/>
  <c r="N12" i="14"/>
  <c r="K12" i="14"/>
  <c r="H12" i="14"/>
  <c r="E12" i="14"/>
  <c r="N11" i="14"/>
  <c r="K11" i="14"/>
  <c r="H11" i="14"/>
  <c r="E11" i="14"/>
  <c r="CC29" i="16" l="1"/>
  <c r="DA29" i="16"/>
  <c r="DH29" i="16"/>
  <c r="DO27" i="16"/>
  <c r="DP27" i="16" s="1"/>
  <c r="DQ27" i="16" s="1"/>
  <c r="DR27" i="16" s="1"/>
  <c r="DS27" i="16" s="1"/>
  <c r="DT27" i="16" s="1"/>
  <c r="DU27" i="16" s="1"/>
  <c r="DH27" i="16"/>
  <c r="DV27" i="16" s="1"/>
  <c r="AT16" i="16"/>
  <c r="AM16" i="16"/>
  <c r="AT22" i="16"/>
  <c r="AU22" i="16" s="1"/>
  <c r="AV22" i="16" s="1"/>
  <c r="AW22" i="16" s="1"/>
  <c r="AX22" i="16" s="1"/>
  <c r="AY22" i="16" s="1"/>
  <c r="AZ22" i="16" s="1"/>
  <c r="AM22" i="16"/>
  <c r="DO22" i="16"/>
  <c r="DP22" i="16" s="1"/>
  <c r="DQ22" i="16" s="1"/>
  <c r="DR22" i="16" s="1"/>
  <c r="DS22" i="16" s="1"/>
  <c r="DT22" i="16" s="1"/>
  <c r="DU22" i="16" s="1"/>
  <c r="DH22" i="16"/>
  <c r="DO17" i="16"/>
  <c r="DP17" i="16" s="1"/>
  <c r="DQ17" i="16" s="1"/>
  <c r="DR17" i="16" s="1"/>
  <c r="DS17" i="16" s="1"/>
  <c r="DT17" i="16" s="1"/>
  <c r="DU17" i="16" s="1"/>
  <c r="DH17" i="16"/>
  <c r="DO23" i="16"/>
  <c r="DP23" i="16" s="1"/>
  <c r="DQ23" i="16" s="1"/>
  <c r="DR23" i="16" s="1"/>
  <c r="DS23" i="16" s="1"/>
  <c r="DT23" i="16" s="1"/>
  <c r="DU23" i="16" s="1"/>
  <c r="DH23" i="16"/>
  <c r="DH21" i="16"/>
  <c r="DO21" i="16"/>
  <c r="DP21" i="16" s="1"/>
  <c r="DQ21" i="16" s="1"/>
  <c r="DR21" i="16" s="1"/>
  <c r="DS21" i="16" s="1"/>
  <c r="DT21" i="16" s="1"/>
  <c r="DU21" i="16" s="1"/>
  <c r="DO16" i="16"/>
  <c r="DP16" i="16" s="1"/>
  <c r="DQ16" i="16" s="1"/>
  <c r="DR16" i="16" s="1"/>
  <c r="DS16" i="16" s="1"/>
  <c r="DT16" i="16" s="1"/>
  <c r="DU16" i="16" s="1"/>
  <c r="DH16" i="16"/>
  <c r="DG44" i="16"/>
  <c r="AT17" i="16"/>
  <c r="AU17" i="16" s="1"/>
  <c r="AV17" i="16" s="1"/>
  <c r="AW17" i="16" s="1"/>
  <c r="AX17" i="16" s="1"/>
  <c r="AY17" i="16" s="1"/>
  <c r="AZ17" i="16" s="1"/>
  <c r="AM17" i="16"/>
  <c r="AT23" i="16"/>
  <c r="AU23" i="16" s="1"/>
  <c r="AV23" i="16" s="1"/>
  <c r="AW23" i="16" s="1"/>
  <c r="AX23" i="16" s="1"/>
  <c r="AY23" i="16" s="1"/>
  <c r="AZ23" i="16" s="1"/>
  <c r="AM23" i="16"/>
  <c r="AT24" i="16"/>
  <c r="AU24" i="16" s="1"/>
  <c r="AV24" i="16" s="1"/>
  <c r="AW24" i="16" s="1"/>
  <c r="AX24" i="16" s="1"/>
  <c r="AY24" i="16" s="1"/>
  <c r="AZ24" i="16" s="1"/>
  <c r="AM24" i="16"/>
  <c r="DO18" i="16"/>
  <c r="DP18" i="16" s="1"/>
  <c r="DQ18" i="16" s="1"/>
  <c r="DR18" i="16" s="1"/>
  <c r="DS18" i="16" s="1"/>
  <c r="DT18" i="16" s="1"/>
  <c r="DU18" i="16" s="1"/>
  <c r="DH18" i="16"/>
  <c r="DH24" i="16"/>
  <c r="DO24" i="16"/>
  <c r="DP24" i="16" s="1"/>
  <c r="DQ24" i="16" s="1"/>
  <c r="DR24" i="16" s="1"/>
  <c r="DS24" i="16" s="1"/>
  <c r="DT24" i="16" s="1"/>
  <c r="DU24" i="16" s="1"/>
  <c r="AT19" i="16"/>
  <c r="AU19" i="16" s="1"/>
  <c r="AV19" i="16" s="1"/>
  <c r="AW19" i="16" s="1"/>
  <c r="AX19" i="16" s="1"/>
  <c r="AY19" i="16" s="1"/>
  <c r="AZ19" i="16" s="1"/>
  <c r="AM19" i="16"/>
  <c r="AT25" i="16"/>
  <c r="AU25" i="16" s="1"/>
  <c r="AV25" i="16" s="1"/>
  <c r="AW25" i="16" s="1"/>
  <c r="AX25" i="16" s="1"/>
  <c r="AY25" i="16" s="1"/>
  <c r="AZ25" i="16" s="1"/>
  <c r="AM25" i="16"/>
  <c r="DH19" i="16"/>
  <c r="DO19" i="16"/>
  <c r="DP19" i="16" s="1"/>
  <c r="DQ19" i="16" s="1"/>
  <c r="DR19" i="16" s="1"/>
  <c r="DS19" i="16" s="1"/>
  <c r="DT19" i="16" s="1"/>
  <c r="DU19" i="16" s="1"/>
  <c r="DO25" i="16"/>
  <c r="DP25" i="16" s="1"/>
  <c r="DQ25" i="16" s="1"/>
  <c r="DR25" i="16" s="1"/>
  <c r="DS25" i="16" s="1"/>
  <c r="DT25" i="16" s="1"/>
  <c r="DU25" i="16" s="1"/>
  <c r="DH25" i="16"/>
  <c r="AM18" i="16"/>
  <c r="AT18" i="16"/>
  <c r="AU18" i="16" s="1"/>
  <c r="AV18" i="16" s="1"/>
  <c r="AW18" i="16" s="1"/>
  <c r="AX18" i="16" s="1"/>
  <c r="AY18" i="16" s="1"/>
  <c r="AZ18" i="16" s="1"/>
  <c r="AT20" i="16"/>
  <c r="AU20" i="16" s="1"/>
  <c r="AV20" i="16" s="1"/>
  <c r="AW20" i="16" s="1"/>
  <c r="AX20" i="16" s="1"/>
  <c r="AY20" i="16" s="1"/>
  <c r="AZ20" i="16" s="1"/>
  <c r="AM20" i="16"/>
  <c r="AT26" i="16"/>
  <c r="AU26" i="16" s="1"/>
  <c r="AV26" i="16" s="1"/>
  <c r="AW26" i="16" s="1"/>
  <c r="AX26" i="16" s="1"/>
  <c r="AY26" i="16" s="1"/>
  <c r="AZ26" i="16" s="1"/>
  <c r="AM26" i="16"/>
  <c r="DO20" i="16"/>
  <c r="DP20" i="16" s="1"/>
  <c r="DQ20" i="16" s="1"/>
  <c r="DR20" i="16" s="1"/>
  <c r="DS20" i="16" s="1"/>
  <c r="DT20" i="16" s="1"/>
  <c r="DU20" i="16" s="1"/>
  <c r="DH20" i="16"/>
  <c r="DO26" i="16"/>
  <c r="DP26" i="16" s="1"/>
  <c r="DQ26" i="16" s="1"/>
  <c r="DR26" i="16" s="1"/>
  <c r="DS26" i="16" s="1"/>
  <c r="DT26" i="16" s="1"/>
  <c r="DU26" i="16" s="1"/>
  <c r="DH26" i="16"/>
  <c r="AM21" i="16"/>
  <c r="AT21" i="16"/>
  <c r="AU21" i="16" s="1"/>
  <c r="AV21" i="16" s="1"/>
  <c r="AW21" i="16" s="1"/>
  <c r="AX21" i="16" s="1"/>
  <c r="AY21" i="16" s="1"/>
  <c r="AZ21" i="16" s="1"/>
  <c r="AM27" i="16"/>
  <c r="AT27" i="16"/>
  <c r="AU27" i="16" s="1"/>
  <c r="AV27" i="16" s="1"/>
  <c r="AW27" i="16" s="1"/>
  <c r="AX27" i="16" s="1"/>
  <c r="AY27" i="16" s="1"/>
  <c r="AZ27" i="16" s="1"/>
  <c r="BC8" i="5"/>
  <c r="AK8" i="5"/>
  <c r="DF44" i="16"/>
  <c r="DB44" i="16"/>
  <c r="DD44" i="16"/>
  <c r="DE44" i="16"/>
  <c r="DV29" i="16" l="1"/>
  <c r="DO29" i="16"/>
  <c r="DP29" i="16" s="1"/>
  <c r="DQ29" i="16" s="1"/>
  <c r="DR29" i="16" s="1"/>
  <c r="DS29" i="16" s="1"/>
  <c r="DT29" i="16" s="1"/>
  <c r="DU29" i="16" s="1"/>
  <c r="R62" i="5"/>
  <c r="R60" i="5"/>
  <c r="I49" i="18" l="1"/>
  <c r="I47" i="18"/>
  <c r="I46" i="18"/>
  <c r="I50" i="18"/>
  <c r="I45" i="18"/>
  <c r="I48" i="18"/>
  <c r="I44" i="18"/>
  <c r="I39" i="18"/>
  <c r="I42" i="18"/>
  <c r="I41" i="18"/>
  <c r="I33" i="18"/>
  <c r="I40" i="18"/>
  <c r="I32" i="18"/>
  <c r="I31" i="18"/>
  <c r="I30" i="18"/>
  <c r="I29" i="18"/>
  <c r="I28" i="18"/>
  <c r="I27" i="18"/>
  <c r="I26" i="18"/>
  <c r="I25" i="18"/>
  <c r="I36" i="18"/>
  <c r="I43" i="18"/>
  <c r="I38" i="18"/>
  <c r="I35" i="18"/>
  <c r="I34" i="18"/>
  <c r="I24" i="18"/>
  <c r="I22" i="18"/>
  <c r="I20" i="18"/>
  <c r="I18" i="18"/>
  <c r="I23" i="18"/>
  <c r="I19" i="18"/>
  <c r="I21" i="18"/>
  <c r="I15" i="18"/>
  <c r="I14" i="18"/>
  <c r="I13" i="18"/>
  <c r="I12" i="18"/>
  <c r="I11" i="18"/>
  <c r="I10" i="18"/>
  <c r="I9" i="18"/>
  <c r="I8" i="18"/>
  <c r="I7" i="18"/>
  <c r="I37" i="18"/>
  <c r="I6" i="18"/>
  <c r="I16" i="18"/>
  <c r="I17" i="18"/>
  <c r="S50" i="18"/>
  <c r="S49" i="18"/>
  <c r="S48" i="18"/>
  <c r="S46" i="18"/>
  <c r="S45" i="18"/>
  <c r="S47" i="18"/>
  <c r="S44" i="18"/>
  <c r="S43" i="18"/>
  <c r="S42" i="18"/>
  <c r="S41" i="18"/>
  <c r="S40" i="18"/>
  <c r="S39" i="18"/>
  <c r="S38" i="18"/>
  <c r="S37" i="18"/>
  <c r="S36" i="18"/>
  <c r="S35" i="18"/>
  <c r="S34" i="18"/>
  <c r="S33" i="18"/>
  <c r="S32" i="18"/>
  <c r="S31" i="18"/>
  <c r="S30" i="18"/>
  <c r="S28" i="18"/>
  <c r="S26" i="18"/>
  <c r="S24" i="18"/>
  <c r="S22" i="18"/>
  <c r="S20" i="18"/>
  <c r="S18" i="18"/>
  <c r="S25" i="18"/>
  <c r="S21" i="18"/>
  <c r="S27" i="18"/>
  <c r="S16" i="18"/>
  <c r="S15" i="18"/>
  <c r="S14" i="18"/>
  <c r="S13" i="18"/>
  <c r="S12" i="18"/>
  <c r="S11" i="18"/>
  <c r="S10" i="18"/>
  <c r="S9" i="18"/>
  <c r="S8" i="18"/>
  <c r="S7" i="18"/>
  <c r="S6" i="18"/>
  <c r="S23" i="18"/>
  <c r="S17" i="18"/>
  <c r="S29" i="18"/>
  <c r="S19" i="18"/>
  <c r="AH50" i="18"/>
  <c r="AH49" i="18"/>
  <c r="AH46" i="18"/>
  <c r="AH44" i="18"/>
  <c r="AH43" i="18"/>
  <c r="AH42" i="18"/>
  <c r="AH41" i="18"/>
  <c r="AH40" i="18"/>
  <c r="AH39" i="18"/>
  <c r="AH48" i="18"/>
  <c r="AH47" i="18"/>
  <c r="AH45" i="18"/>
  <c r="AH38" i="18"/>
  <c r="AH37" i="18"/>
  <c r="AH36" i="18"/>
  <c r="AH35" i="18"/>
  <c r="AH34" i="18"/>
  <c r="AH33" i="18"/>
  <c r="AH32" i="18"/>
  <c r="AH30" i="18"/>
  <c r="AH28" i="18"/>
  <c r="AH26" i="18"/>
  <c r="AH24" i="18"/>
  <c r="AH23" i="18"/>
  <c r="AH21" i="18"/>
  <c r="AH19" i="18"/>
  <c r="AH25" i="18"/>
  <c r="AH22" i="18"/>
  <c r="AH16" i="18"/>
  <c r="AH15" i="18"/>
  <c r="AH14" i="18"/>
  <c r="AH13" i="18"/>
  <c r="AH12" i="18"/>
  <c r="AH11" i="18"/>
  <c r="AH10" i="18"/>
  <c r="AH9" i="18"/>
  <c r="AH8" i="18"/>
  <c r="AH27" i="18"/>
  <c r="AH18" i="18"/>
  <c r="AH20" i="18"/>
  <c r="AH31" i="18"/>
  <c r="AH17" i="18"/>
  <c r="AH7" i="18"/>
  <c r="AH6" i="18"/>
  <c r="AH29" i="18"/>
  <c r="N47" i="18"/>
  <c r="N48" i="18"/>
  <c r="N44" i="18"/>
  <c r="N43" i="18"/>
  <c r="N42" i="18"/>
  <c r="N41" i="18"/>
  <c r="N40" i="18"/>
  <c r="N39" i="18"/>
  <c r="N46" i="18"/>
  <c r="N49" i="18"/>
  <c r="N45" i="18"/>
  <c r="N38" i="18"/>
  <c r="N37" i="18"/>
  <c r="N36" i="18"/>
  <c r="N35" i="18"/>
  <c r="N34" i="18"/>
  <c r="N33" i="18"/>
  <c r="N32" i="18"/>
  <c r="N31" i="18"/>
  <c r="N29" i="18"/>
  <c r="N27" i="18"/>
  <c r="N25" i="18"/>
  <c r="N23" i="18"/>
  <c r="N21" i="18"/>
  <c r="N19" i="18"/>
  <c r="N24" i="18"/>
  <c r="N20" i="18"/>
  <c r="N18" i="18"/>
  <c r="N17" i="18"/>
  <c r="N16" i="18"/>
  <c r="N15" i="18"/>
  <c r="N14" i="18"/>
  <c r="N13" i="18"/>
  <c r="N12" i="18"/>
  <c r="N11" i="18"/>
  <c r="N10" i="18"/>
  <c r="N9" i="18"/>
  <c r="N8" i="18"/>
  <c r="N30" i="18"/>
  <c r="N26" i="18"/>
  <c r="N22" i="18"/>
  <c r="N28" i="18"/>
  <c r="N6" i="18"/>
  <c r="N7" i="18"/>
  <c r="N50" i="18"/>
  <c r="R49" i="18"/>
  <c r="R48" i="18"/>
  <c r="R46" i="18"/>
  <c r="R45" i="18"/>
  <c r="R47" i="18"/>
  <c r="R50" i="18"/>
  <c r="R44" i="18"/>
  <c r="R41" i="18"/>
  <c r="R40" i="18"/>
  <c r="R39" i="18"/>
  <c r="R37" i="18"/>
  <c r="R36" i="18"/>
  <c r="R35" i="18"/>
  <c r="R34" i="18"/>
  <c r="R31" i="18"/>
  <c r="R30" i="18"/>
  <c r="R29" i="18"/>
  <c r="R28" i="18"/>
  <c r="R27" i="18"/>
  <c r="R26" i="18"/>
  <c r="R25" i="18"/>
  <c r="R24" i="18"/>
  <c r="R23" i="18"/>
  <c r="R22" i="18"/>
  <c r="R21" i="18"/>
  <c r="R20" i="18"/>
  <c r="R19" i="18"/>
  <c r="R18" i="18"/>
  <c r="R33" i="18"/>
  <c r="R43" i="18"/>
  <c r="R38" i="18"/>
  <c r="R32" i="18"/>
  <c r="R17" i="18"/>
  <c r="R42" i="18"/>
  <c r="R16" i="18"/>
  <c r="R7" i="18"/>
  <c r="R15" i="18"/>
  <c r="R14" i="18"/>
  <c r="R13" i="18"/>
  <c r="R12" i="18"/>
  <c r="R11" i="18"/>
  <c r="R10" i="18"/>
  <c r="R9" i="18"/>
  <c r="R8" i="18"/>
  <c r="R6" i="18"/>
  <c r="AG50" i="18"/>
  <c r="AG49" i="18"/>
  <c r="AG48" i="18"/>
  <c r="AG47" i="18"/>
  <c r="AG45" i="18"/>
  <c r="AG46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8" i="18"/>
  <c r="AG26" i="18"/>
  <c r="AG24" i="18"/>
  <c r="AG23" i="18"/>
  <c r="AG21" i="18"/>
  <c r="AG19" i="18"/>
  <c r="AG29" i="18"/>
  <c r="AG17" i="18"/>
  <c r="AG25" i="18"/>
  <c r="AG22" i="18"/>
  <c r="AG16" i="18"/>
  <c r="AG15" i="18"/>
  <c r="AG14" i="18"/>
  <c r="AG13" i="18"/>
  <c r="AG12" i="18"/>
  <c r="AG11" i="18"/>
  <c r="AG10" i="18"/>
  <c r="AG9" i="18"/>
  <c r="AG8" i="18"/>
  <c r="AG7" i="18"/>
  <c r="AG6" i="18"/>
  <c r="AG27" i="18"/>
  <c r="AG20" i="18"/>
  <c r="AG18" i="18"/>
  <c r="BA50" i="18"/>
  <c r="BA49" i="18"/>
  <c r="BA48" i="18"/>
  <c r="BA46" i="18"/>
  <c r="BA45" i="18"/>
  <c r="BA47" i="18"/>
  <c r="BA44" i="18"/>
  <c r="BA43" i="18"/>
  <c r="BA42" i="18"/>
  <c r="BA41" i="18"/>
  <c r="BA40" i="18"/>
  <c r="BA39" i="18"/>
  <c r="BA38" i="18"/>
  <c r="BA37" i="18"/>
  <c r="BA36" i="18"/>
  <c r="BA35" i="18"/>
  <c r="BA34" i="18"/>
  <c r="BA33" i="18"/>
  <c r="BA32" i="18"/>
  <c r="BA31" i="18"/>
  <c r="BA29" i="18"/>
  <c r="BA27" i="18"/>
  <c r="BA25" i="18"/>
  <c r="BA23" i="18"/>
  <c r="BA21" i="18"/>
  <c r="BA19" i="18"/>
  <c r="BA20" i="18"/>
  <c r="BA28" i="18"/>
  <c r="BA18" i="18"/>
  <c r="BA16" i="18"/>
  <c r="BA15" i="18"/>
  <c r="BA14" i="18"/>
  <c r="BA13" i="18"/>
  <c r="BA12" i="18"/>
  <c r="BA11" i="18"/>
  <c r="BA10" i="18"/>
  <c r="BA9" i="18"/>
  <c r="BA8" i="18"/>
  <c r="BA7" i="18"/>
  <c r="BA6" i="18"/>
  <c r="BA24" i="18"/>
  <c r="BA22" i="18"/>
  <c r="BA30" i="18"/>
  <c r="BA26" i="18"/>
  <c r="BA17" i="18"/>
  <c r="AC48" i="18"/>
  <c r="AC47" i="18"/>
  <c r="AC46" i="18"/>
  <c r="AC50" i="18"/>
  <c r="AC49" i="18"/>
  <c r="AC45" i="18"/>
  <c r="AC43" i="18"/>
  <c r="AC42" i="18"/>
  <c r="AC44" i="18"/>
  <c r="AC41" i="18"/>
  <c r="AC40" i="18"/>
  <c r="AC38" i="18"/>
  <c r="AC37" i="18"/>
  <c r="AC36" i="18"/>
  <c r="AC35" i="18"/>
  <c r="AC34" i="18"/>
  <c r="AC31" i="18"/>
  <c r="AC30" i="18"/>
  <c r="AC29" i="18"/>
  <c r="AC28" i="18"/>
  <c r="AC27" i="18"/>
  <c r="AC26" i="18"/>
  <c r="AC25" i="18"/>
  <c r="AC24" i="18"/>
  <c r="AC39" i="18"/>
  <c r="AC22" i="18"/>
  <c r="AC20" i="18"/>
  <c r="AC21" i="18"/>
  <c r="AC33" i="18"/>
  <c r="AC32" i="18"/>
  <c r="AC17" i="18"/>
  <c r="AC23" i="18"/>
  <c r="AC18" i="18"/>
  <c r="AC6" i="18"/>
  <c r="AC7" i="18"/>
  <c r="AC19" i="18"/>
  <c r="AC16" i="18"/>
  <c r="AC15" i="18"/>
  <c r="AC14" i="18"/>
  <c r="AC13" i="18"/>
  <c r="AC12" i="18"/>
  <c r="AC11" i="18"/>
  <c r="AC10" i="18"/>
  <c r="AC9" i="18"/>
  <c r="AC8" i="18"/>
  <c r="AW47" i="18"/>
  <c r="AW46" i="18"/>
  <c r="AW49" i="18"/>
  <c r="AW50" i="18"/>
  <c r="AW48" i="18"/>
  <c r="AW45" i="18"/>
  <c r="AW39" i="18"/>
  <c r="AW38" i="18"/>
  <c r="AW33" i="18"/>
  <c r="AW43" i="18"/>
  <c r="AW41" i="18"/>
  <c r="AW32" i="18"/>
  <c r="AW31" i="18"/>
  <c r="AW30" i="18"/>
  <c r="AW29" i="18"/>
  <c r="AW28" i="18"/>
  <c r="AW27" i="18"/>
  <c r="AW26" i="18"/>
  <c r="AW25" i="18"/>
  <c r="AW24" i="18"/>
  <c r="AW44" i="18"/>
  <c r="AW42" i="18"/>
  <c r="AW40" i="18"/>
  <c r="AW37" i="18"/>
  <c r="AW36" i="18"/>
  <c r="AW35" i="18"/>
  <c r="AW23" i="18"/>
  <c r="AW21" i="18"/>
  <c r="AW19" i="18"/>
  <c r="AW34" i="18"/>
  <c r="AW17" i="18"/>
  <c r="AW20" i="18"/>
  <c r="AW15" i="18"/>
  <c r="AW14" i="18"/>
  <c r="AW13" i="18"/>
  <c r="AW12" i="18"/>
  <c r="AW11" i="18"/>
  <c r="AW10" i="18"/>
  <c r="AW9" i="18"/>
  <c r="AW8" i="18"/>
  <c r="AW7" i="18"/>
  <c r="AW16" i="18"/>
  <c r="AW18" i="18"/>
  <c r="AW22" i="18"/>
  <c r="AW6" i="18"/>
  <c r="AL48" i="18"/>
  <c r="AL46" i="18"/>
  <c r="AL47" i="18"/>
  <c r="AL49" i="18"/>
  <c r="AL44" i="18"/>
  <c r="AL50" i="18"/>
  <c r="AL43" i="18"/>
  <c r="AL42" i="18"/>
  <c r="AL45" i="18"/>
  <c r="AL32" i="18"/>
  <c r="AL31" i="18"/>
  <c r="AL30" i="18"/>
  <c r="AL29" i="18"/>
  <c r="AL28" i="18"/>
  <c r="AL27" i="18"/>
  <c r="AL26" i="18"/>
  <c r="AL25" i="18"/>
  <c r="AL24" i="18"/>
  <c r="AL23" i="18"/>
  <c r="AL22" i="18"/>
  <c r="AL21" i="18"/>
  <c r="AL20" i="18"/>
  <c r="AL19" i="18"/>
  <c r="AL18" i="18"/>
  <c r="AL39" i="18"/>
  <c r="AL38" i="18"/>
  <c r="AL41" i="18"/>
  <c r="AL34" i="18"/>
  <c r="AL37" i="18"/>
  <c r="AL36" i="18"/>
  <c r="AL33" i="18"/>
  <c r="AL17" i="18"/>
  <c r="AL40" i="18"/>
  <c r="AL6" i="18"/>
  <c r="AL13" i="18"/>
  <c r="AL12" i="18"/>
  <c r="AL11" i="18"/>
  <c r="AL10" i="18"/>
  <c r="AL9" i="18"/>
  <c r="AL8" i="18"/>
  <c r="AL7" i="18"/>
  <c r="AL16" i="18"/>
  <c r="AL35" i="18"/>
  <c r="AL15" i="18"/>
  <c r="AL14" i="18"/>
  <c r="BB49" i="18"/>
  <c r="BB48" i="18"/>
  <c r="BB46" i="18"/>
  <c r="BB50" i="18"/>
  <c r="BB47" i="18"/>
  <c r="BB45" i="18"/>
  <c r="BB44" i="18"/>
  <c r="BB43" i="18"/>
  <c r="BB42" i="18"/>
  <c r="BB41" i="18"/>
  <c r="BB40" i="18"/>
  <c r="BB39" i="18"/>
  <c r="BB38" i="18"/>
  <c r="BB37" i="18"/>
  <c r="BB36" i="18"/>
  <c r="BB35" i="18"/>
  <c r="BB34" i="18"/>
  <c r="BB33" i="18"/>
  <c r="BB32" i="18"/>
  <c r="BB31" i="18"/>
  <c r="BB30" i="18"/>
  <c r="BB28" i="18"/>
  <c r="BB26" i="18"/>
  <c r="BB24" i="18"/>
  <c r="BB22" i="18"/>
  <c r="BB20" i="18"/>
  <c r="BB18" i="18"/>
  <c r="BB25" i="18"/>
  <c r="BB23" i="18"/>
  <c r="BB19" i="18"/>
  <c r="BB16" i="18"/>
  <c r="BB15" i="18"/>
  <c r="BB14" i="18"/>
  <c r="BB13" i="18"/>
  <c r="BB12" i="18"/>
  <c r="BB11" i="18"/>
  <c r="BB10" i="18"/>
  <c r="BB9" i="18"/>
  <c r="BB8" i="18"/>
  <c r="BB7" i="18"/>
  <c r="BB27" i="18"/>
  <c r="BB21" i="18"/>
  <c r="BB6" i="18"/>
  <c r="BB29" i="18"/>
  <c r="BB17" i="18"/>
  <c r="M50" i="18"/>
  <c r="M49" i="18"/>
  <c r="M48" i="18"/>
  <c r="M47" i="18"/>
  <c r="M45" i="18"/>
  <c r="M44" i="18"/>
  <c r="M43" i="18"/>
  <c r="M42" i="18"/>
  <c r="M41" i="18"/>
  <c r="M40" i="18"/>
  <c r="M39" i="18"/>
  <c r="M46" i="18"/>
  <c r="M38" i="18"/>
  <c r="M37" i="18"/>
  <c r="M36" i="18"/>
  <c r="M35" i="18"/>
  <c r="M34" i="18"/>
  <c r="M33" i="18"/>
  <c r="M32" i="18"/>
  <c r="M30" i="18"/>
  <c r="M28" i="18"/>
  <c r="M26" i="18"/>
  <c r="M24" i="18"/>
  <c r="M22" i="18"/>
  <c r="M20" i="18"/>
  <c r="M23" i="18"/>
  <c r="M19" i="18"/>
  <c r="M29" i="18"/>
  <c r="M18" i="18"/>
  <c r="M17" i="18"/>
  <c r="M16" i="18"/>
  <c r="M15" i="18"/>
  <c r="M14" i="18"/>
  <c r="M13" i="18"/>
  <c r="M12" i="18"/>
  <c r="M11" i="18"/>
  <c r="M10" i="18"/>
  <c r="M9" i="18"/>
  <c r="M8" i="18"/>
  <c r="M7" i="18"/>
  <c r="M6" i="18"/>
  <c r="M25" i="18"/>
  <c r="M21" i="18"/>
  <c r="M31" i="18"/>
  <c r="M27" i="18"/>
  <c r="AB49" i="18"/>
  <c r="AB46" i="18"/>
  <c r="AB48" i="18"/>
  <c r="AB45" i="18"/>
  <c r="AB44" i="18"/>
  <c r="AB43" i="18"/>
  <c r="AB42" i="18"/>
  <c r="AB41" i="18"/>
  <c r="AB40" i="18"/>
  <c r="AB39" i="18"/>
  <c r="AB50" i="18"/>
  <c r="AB47" i="18"/>
  <c r="AB38" i="18"/>
  <c r="AB37" i="18"/>
  <c r="AB36" i="18"/>
  <c r="AB35" i="18"/>
  <c r="AB34" i="18"/>
  <c r="AB33" i="18"/>
  <c r="AB32" i="18"/>
  <c r="AB31" i="18"/>
  <c r="AB29" i="18"/>
  <c r="AB27" i="18"/>
  <c r="AB25" i="18"/>
  <c r="AB22" i="18"/>
  <c r="AB20" i="18"/>
  <c r="AB18" i="18"/>
  <c r="AB24" i="18"/>
  <c r="AB16" i="18"/>
  <c r="AB15" i="18"/>
  <c r="AB14" i="18"/>
  <c r="AB13" i="18"/>
  <c r="AB12" i="18"/>
  <c r="AB11" i="18"/>
  <c r="AB10" i="18"/>
  <c r="AB9" i="18"/>
  <c r="AB8" i="18"/>
  <c r="AB30" i="18"/>
  <c r="AB26" i="18"/>
  <c r="AB21" i="18"/>
  <c r="AB28" i="18"/>
  <c r="AB7" i="18"/>
  <c r="AB17" i="18"/>
  <c r="AB6" i="18"/>
  <c r="AB23" i="18"/>
  <c r="AB19" i="18"/>
  <c r="AQ50" i="18"/>
  <c r="AQ47" i="18"/>
  <c r="AQ46" i="18"/>
  <c r="AQ48" i="18"/>
  <c r="AQ49" i="18"/>
  <c r="AQ45" i="18"/>
  <c r="AQ43" i="18"/>
  <c r="AQ42" i="18"/>
  <c r="AQ41" i="18"/>
  <c r="AQ40" i="18"/>
  <c r="AQ39" i="18"/>
  <c r="AQ38" i="18"/>
  <c r="AQ37" i="18"/>
  <c r="AQ36" i="18"/>
  <c r="AQ35" i="18"/>
  <c r="AQ34" i="18"/>
  <c r="AQ31" i="18"/>
  <c r="AQ30" i="18"/>
  <c r="AQ29" i="18"/>
  <c r="AQ28" i="18"/>
  <c r="AQ27" i="18"/>
  <c r="AQ26" i="18"/>
  <c r="AQ25" i="18"/>
  <c r="AQ24" i="18"/>
  <c r="AQ33" i="18"/>
  <c r="AQ32" i="18"/>
  <c r="AQ23" i="18"/>
  <c r="AQ21" i="18"/>
  <c r="AQ19" i="18"/>
  <c r="AQ44" i="18"/>
  <c r="AQ22" i="18"/>
  <c r="AQ18" i="18"/>
  <c r="AQ20" i="18"/>
  <c r="AQ17" i="18"/>
  <c r="AQ16" i="18"/>
  <c r="AQ15" i="18"/>
  <c r="AQ14" i="18"/>
  <c r="AQ13" i="18"/>
  <c r="AQ12" i="18"/>
  <c r="AQ11" i="18"/>
  <c r="AQ10" i="18"/>
  <c r="AQ9" i="18"/>
  <c r="AQ8" i="18"/>
  <c r="AQ7" i="18"/>
  <c r="AQ6" i="18"/>
  <c r="BK49" i="18"/>
  <c r="BK47" i="18"/>
  <c r="BK46" i="18"/>
  <c r="BK48" i="18"/>
  <c r="BK45" i="18"/>
  <c r="BK50" i="18"/>
  <c r="BK43" i="18"/>
  <c r="BK42" i="18"/>
  <c r="BK39" i="18"/>
  <c r="BK32" i="18"/>
  <c r="BK31" i="18"/>
  <c r="BK30" i="18"/>
  <c r="BK29" i="18"/>
  <c r="BK28" i="18"/>
  <c r="BK27" i="18"/>
  <c r="BK26" i="18"/>
  <c r="BK25" i="18"/>
  <c r="BK24" i="18"/>
  <c r="BK41" i="18"/>
  <c r="BK40" i="18"/>
  <c r="BK44" i="18"/>
  <c r="BK37" i="18"/>
  <c r="BK38" i="18"/>
  <c r="BK36" i="18"/>
  <c r="BK33" i="18"/>
  <c r="BK35" i="18"/>
  <c r="BK22" i="18"/>
  <c r="BK20" i="18"/>
  <c r="BK18" i="18"/>
  <c r="BK34" i="18"/>
  <c r="BK16" i="18"/>
  <c r="BK23" i="18"/>
  <c r="BK19" i="18"/>
  <c r="BK15" i="18"/>
  <c r="BK14" i="18"/>
  <c r="BK6" i="18"/>
  <c r="BK17" i="18"/>
  <c r="BK13" i="18"/>
  <c r="BK12" i="18"/>
  <c r="BK11" i="18"/>
  <c r="BK10" i="18"/>
  <c r="BK9" i="18"/>
  <c r="BK8" i="18"/>
  <c r="BK7" i="18"/>
  <c r="BK21" i="18"/>
  <c r="AM50" i="18"/>
  <c r="AM49" i="18"/>
  <c r="AM48" i="18"/>
  <c r="AM47" i="18"/>
  <c r="AM45" i="18"/>
  <c r="AM46" i="18"/>
  <c r="AM44" i="18"/>
  <c r="AM43" i="18"/>
  <c r="AM42" i="18"/>
  <c r="AM41" i="18"/>
  <c r="AM40" i="18"/>
  <c r="AM39" i="18"/>
  <c r="AM38" i="18"/>
  <c r="AM37" i="18"/>
  <c r="AM36" i="18"/>
  <c r="AM35" i="18"/>
  <c r="AM34" i="18"/>
  <c r="AM33" i="18"/>
  <c r="AM32" i="18"/>
  <c r="AM31" i="18"/>
  <c r="AM29" i="18"/>
  <c r="AM27" i="18"/>
  <c r="AM25" i="18"/>
  <c r="AM22" i="18"/>
  <c r="AM20" i="18"/>
  <c r="AM23" i="18"/>
  <c r="AM19" i="18"/>
  <c r="AM28" i="18"/>
  <c r="AM17" i="18"/>
  <c r="AM16" i="18"/>
  <c r="AM15" i="18"/>
  <c r="AM14" i="18"/>
  <c r="AM13" i="18"/>
  <c r="AM12" i="18"/>
  <c r="AM11" i="18"/>
  <c r="AM10" i="18"/>
  <c r="AM9" i="18"/>
  <c r="AM8" i="18"/>
  <c r="AM7" i="18"/>
  <c r="AM6" i="18"/>
  <c r="AM24" i="18"/>
  <c r="AM21" i="18"/>
  <c r="AM30" i="18"/>
  <c r="AM26" i="18"/>
  <c r="AM18" i="18"/>
  <c r="BG50" i="18"/>
  <c r="BG49" i="18"/>
  <c r="BG48" i="18"/>
  <c r="BG47" i="18"/>
  <c r="BG45" i="18"/>
  <c r="BG44" i="18"/>
  <c r="BG43" i="18"/>
  <c r="BG42" i="18"/>
  <c r="BG41" i="18"/>
  <c r="BG40" i="18"/>
  <c r="BG39" i="18"/>
  <c r="BG38" i="18"/>
  <c r="BG46" i="18"/>
  <c r="BG37" i="18"/>
  <c r="BG36" i="18"/>
  <c r="BG35" i="18"/>
  <c r="BG34" i="18"/>
  <c r="BG33" i="18"/>
  <c r="BG32" i="18"/>
  <c r="BG31" i="18"/>
  <c r="BG29" i="18"/>
  <c r="BG27" i="18"/>
  <c r="BG25" i="18"/>
  <c r="BG23" i="18"/>
  <c r="BG21" i="18"/>
  <c r="BG19" i="18"/>
  <c r="BG24" i="18"/>
  <c r="BG22" i="18"/>
  <c r="BG17" i="18"/>
  <c r="BG30" i="18"/>
  <c r="BG26" i="18"/>
  <c r="BG15" i="18"/>
  <c r="BG14" i="18"/>
  <c r="BG13" i="18"/>
  <c r="BG12" i="18"/>
  <c r="BG11" i="18"/>
  <c r="BG10" i="18"/>
  <c r="BG9" i="18"/>
  <c r="BG8" i="18"/>
  <c r="BG7" i="18"/>
  <c r="BG6" i="18"/>
  <c r="BG20" i="18"/>
  <c r="BG16" i="18"/>
  <c r="BG28" i="18"/>
  <c r="BG18" i="18"/>
  <c r="BF50" i="18"/>
  <c r="BF49" i="18"/>
  <c r="BF47" i="18"/>
  <c r="BF46" i="18"/>
  <c r="BF48" i="18"/>
  <c r="BF45" i="18"/>
  <c r="BF44" i="18"/>
  <c r="BF41" i="18"/>
  <c r="BF40" i="18"/>
  <c r="BF39" i="18"/>
  <c r="BF38" i="18"/>
  <c r="BF43" i="18"/>
  <c r="BF37" i="18"/>
  <c r="BF36" i="18"/>
  <c r="BF35" i="18"/>
  <c r="BF34" i="18"/>
  <c r="BF31" i="18"/>
  <c r="BF30" i="18"/>
  <c r="BF29" i="18"/>
  <c r="BF28" i="18"/>
  <c r="BF27" i="18"/>
  <c r="BF26" i="18"/>
  <c r="BF25" i="18"/>
  <c r="BF24" i="18"/>
  <c r="BF23" i="18"/>
  <c r="BF22" i="18"/>
  <c r="BF21" i="18"/>
  <c r="BF20" i="18"/>
  <c r="BF19" i="18"/>
  <c r="BF18" i="18"/>
  <c r="BF42" i="18"/>
  <c r="BF33" i="18"/>
  <c r="BF32" i="18"/>
  <c r="BF17" i="18"/>
  <c r="BF16" i="18"/>
  <c r="BF15" i="18"/>
  <c r="BF14" i="18"/>
  <c r="BF13" i="18"/>
  <c r="BF12" i="18"/>
  <c r="BF11" i="18"/>
  <c r="BF10" i="18"/>
  <c r="BF9" i="18"/>
  <c r="BF8" i="18"/>
  <c r="BF7" i="18"/>
  <c r="BF6" i="18"/>
  <c r="W47" i="18"/>
  <c r="W46" i="18"/>
  <c r="W50" i="18"/>
  <c r="W49" i="18"/>
  <c r="W45" i="18"/>
  <c r="W39" i="18"/>
  <c r="W48" i="18"/>
  <c r="W33" i="18"/>
  <c r="W44" i="18"/>
  <c r="W43" i="18"/>
  <c r="W41" i="18"/>
  <c r="W32" i="18"/>
  <c r="W31" i="18"/>
  <c r="W30" i="18"/>
  <c r="W29" i="18"/>
  <c r="W28" i="18"/>
  <c r="W27" i="18"/>
  <c r="W26" i="18"/>
  <c r="W25" i="18"/>
  <c r="W24" i="18"/>
  <c r="W42" i="18"/>
  <c r="W40" i="18"/>
  <c r="W37" i="18"/>
  <c r="W36" i="18"/>
  <c r="W35" i="18"/>
  <c r="W23" i="18"/>
  <c r="W21" i="18"/>
  <c r="W19" i="18"/>
  <c r="W17" i="18"/>
  <c r="W20" i="18"/>
  <c r="W18" i="18"/>
  <c r="W34" i="18"/>
  <c r="W22" i="18"/>
  <c r="W15" i="18"/>
  <c r="W14" i="18"/>
  <c r="W13" i="18"/>
  <c r="W12" i="18"/>
  <c r="W11" i="18"/>
  <c r="W10" i="18"/>
  <c r="W9" i="18"/>
  <c r="W8" i="18"/>
  <c r="W7" i="18"/>
  <c r="W16" i="18"/>
  <c r="W6" i="18"/>
  <c r="W38" i="18"/>
  <c r="AV48" i="18"/>
  <c r="AV50" i="18"/>
  <c r="AV49" i="18"/>
  <c r="AV47" i="18"/>
  <c r="AV44" i="18"/>
  <c r="AV43" i="18"/>
  <c r="AV42" i="18"/>
  <c r="AV41" i="18"/>
  <c r="AV40" i="18"/>
  <c r="AV39" i="18"/>
  <c r="AV38" i="18"/>
  <c r="AV46" i="18"/>
  <c r="AV37" i="18"/>
  <c r="AV36" i="18"/>
  <c r="AV35" i="18"/>
  <c r="AV34" i="18"/>
  <c r="AV33" i="18"/>
  <c r="AV32" i="18"/>
  <c r="AV22" i="18"/>
  <c r="AV20" i="18"/>
  <c r="AV31" i="18"/>
  <c r="AV29" i="18"/>
  <c r="AV27" i="18"/>
  <c r="AV25" i="18"/>
  <c r="AV30" i="18"/>
  <c r="AV26" i="18"/>
  <c r="AV16" i="18"/>
  <c r="AV15" i="18"/>
  <c r="AV14" i="18"/>
  <c r="AV13" i="18"/>
  <c r="AV12" i="18"/>
  <c r="AV11" i="18"/>
  <c r="AV10" i="18"/>
  <c r="AV9" i="18"/>
  <c r="AV8" i="18"/>
  <c r="AV7" i="18"/>
  <c r="AV23" i="18"/>
  <c r="AV19" i="18"/>
  <c r="AV17" i="18"/>
  <c r="AV45" i="18"/>
  <c r="AV28" i="18"/>
  <c r="AV6" i="18"/>
  <c r="AV21" i="18"/>
  <c r="AV24" i="18"/>
  <c r="AV18" i="18"/>
  <c r="X50" i="18"/>
  <c r="X47" i="18"/>
  <c r="X49" i="18"/>
  <c r="X45" i="18"/>
  <c r="X48" i="18"/>
  <c r="X44" i="18"/>
  <c r="X43" i="18"/>
  <c r="X42" i="18"/>
  <c r="X46" i="18"/>
  <c r="X41" i="18"/>
  <c r="X32" i="18"/>
  <c r="X31" i="18"/>
  <c r="X30" i="18"/>
  <c r="X29" i="18"/>
  <c r="X28" i="18"/>
  <c r="X27" i="18"/>
  <c r="X26" i="18"/>
  <c r="X25" i="18"/>
  <c r="X24" i="18"/>
  <c r="X23" i="18"/>
  <c r="X22" i="18"/>
  <c r="X21" i="18"/>
  <c r="X20" i="18"/>
  <c r="X19" i="18"/>
  <c r="X18" i="18"/>
  <c r="X40" i="18"/>
  <c r="X38" i="18"/>
  <c r="X36" i="18"/>
  <c r="X33" i="18"/>
  <c r="X35" i="18"/>
  <c r="X39" i="18"/>
  <c r="X34" i="18"/>
  <c r="X17" i="18"/>
  <c r="X37" i="18"/>
  <c r="X12" i="18"/>
  <c r="X11" i="18"/>
  <c r="X10" i="18"/>
  <c r="X7" i="18"/>
  <c r="X16" i="18"/>
  <c r="X6" i="18"/>
  <c r="X15" i="18"/>
  <c r="X14" i="18"/>
  <c r="X13" i="18"/>
  <c r="X9" i="18"/>
  <c r="X8" i="18"/>
  <c r="AR49" i="18"/>
  <c r="AR50" i="18"/>
  <c r="AR46" i="18"/>
  <c r="AR45" i="18"/>
  <c r="AR44" i="18"/>
  <c r="AR41" i="18"/>
  <c r="AR40" i="18"/>
  <c r="AR47" i="18"/>
  <c r="AR39" i="18"/>
  <c r="AR48" i="18"/>
  <c r="AR37" i="18"/>
  <c r="AR36" i="18"/>
  <c r="AR35" i="18"/>
  <c r="AR34" i="18"/>
  <c r="AR31" i="18"/>
  <c r="AR30" i="18"/>
  <c r="AR29" i="18"/>
  <c r="AR28" i="18"/>
  <c r="AR27" i="18"/>
  <c r="AR26" i="18"/>
  <c r="AR25" i="18"/>
  <c r="AR24" i="18"/>
  <c r="AR23" i="18"/>
  <c r="AR22" i="18"/>
  <c r="AR21" i="18"/>
  <c r="AR20" i="18"/>
  <c r="AR19" i="18"/>
  <c r="AR18" i="18"/>
  <c r="AR33" i="18"/>
  <c r="AR43" i="18"/>
  <c r="AR38" i="18"/>
  <c r="AR32" i="18"/>
  <c r="AR42" i="18"/>
  <c r="AR17" i="18"/>
  <c r="AR16" i="18"/>
  <c r="AR15" i="18"/>
  <c r="AR14" i="18"/>
  <c r="AR13" i="18"/>
  <c r="AR12" i="18"/>
  <c r="AR11" i="18"/>
  <c r="AR10" i="18"/>
  <c r="AR9" i="18"/>
  <c r="AR8" i="18"/>
  <c r="AR7" i="18"/>
  <c r="AR6" i="18"/>
  <c r="BL48" i="18"/>
  <c r="BL46" i="18"/>
  <c r="BL50" i="18"/>
  <c r="BL49" i="18"/>
  <c r="BL47" i="18"/>
  <c r="BL44" i="18"/>
  <c r="BL43" i="18"/>
  <c r="BL42" i="18"/>
  <c r="BL41" i="18"/>
  <c r="BL40" i="18"/>
  <c r="BL45" i="18"/>
  <c r="BL31" i="18"/>
  <c r="BL30" i="18"/>
  <c r="BL29" i="18"/>
  <c r="BL28" i="18"/>
  <c r="BL27" i="18"/>
  <c r="BL26" i="18"/>
  <c r="BL25" i="18"/>
  <c r="BL24" i="18"/>
  <c r="BL23" i="18"/>
  <c r="BL22" i="18"/>
  <c r="BL21" i="18"/>
  <c r="BL20" i="18"/>
  <c r="BL19" i="18"/>
  <c r="BL18" i="18"/>
  <c r="BL37" i="18"/>
  <c r="BL36" i="18"/>
  <c r="BL35" i="18"/>
  <c r="BL34" i="18"/>
  <c r="BL38" i="18"/>
  <c r="BL33" i="18"/>
  <c r="BL32" i="18"/>
  <c r="BL39" i="18"/>
  <c r="BL17" i="18"/>
  <c r="BL16" i="18"/>
  <c r="BL6" i="18"/>
  <c r="BL15" i="18"/>
  <c r="BL14" i="18"/>
  <c r="BL13" i="18"/>
  <c r="BL12" i="18"/>
  <c r="BL11" i="18"/>
  <c r="BL10" i="18"/>
  <c r="BL9" i="18"/>
  <c r="BL8" i="18"/>
  <c r="BL7" i="18"/>
  <c r="AD7" i="5"/>
  <c r="AC8" i="5"/>
  <c r="AI7" i="5"/>
  <c r="AH7" i="5"/>
  <c r="AL7" i="5"/>
  <c r="Y8" i="5"/>
  <c r="AE7" i="5"/>
  <c r="AH8" i="5"/>
  <c r="Z7" i="5"/>
  <c r="AC7" i="5"/>
  <c r="AF7" i="5"/>
  <c r="AJ7" i="5"/>
  <c r="AE8" i="5"/>
  <c r="AI8" i="5"/>
  <c r="AA7" i="5"/>
  <c r="AG8" i="5"/>
  <c r="AM8" i="5"/>
  <c r="AA8" i="5"/>
  <c r="AD8" i="5"/>
  <c r="Z8" i="5"/>
  <c r="AB7" i="5"/>
  <c r="AG7" i="5"/>
  <c r="AB8" i="5"/>
  <c r="AF8" i="5"/>
  <c r="AJ8" i="5"/>
  <c r="AL8" i="5"/>
  <c r="H18" i="16"/>
  <c r="CC18" i="16"/>
  <c r="CC17" i="16"/>
  <c r="H17" i="16"/>
  <c r="H23" i="16"/>
  <c r="CC23" i="16"/>
  <c r="H27" i="16"/>
  <c r="CC27" i="16"/>
  <c r="DA17" i="16"/>
  <c r="AF17" i="16"/>
  <c r="H19" i="16"/>
  <c r="CC19" i="16"/>
  <c r="CC24" i="16"/>
  <c r="H24" i="16"/>
  <c r="AF19" i="16"/>
  <c r="DA19" i="16"/>
  <c r="DV19" i="16" s="1"/>
  <c r="DA23" i="16"/>
  <c r="DV23" i="16" s="1"/>
  <c r="AF23" i="16"/>
  <c r="AF27" i="16"/>
  <c r="DA27" i="16"/>
  <c r="CC25" i="16"/>
  <c r="H25" i="16"/>
  <c r="CC16" i="16"/>
  <c r="H16" i="16"/>
  <c r="H21" i="16"/>
  <c r="CC21" i="16"/>
  <c r="DA20" i="16"/>
  <c r="DV20" i="16" s="1"/>
  <c r="AF20" i="16"/>
  <c r="AF24" i="16"/>
  <c r="DA24" i="16"/>
  <c r="DV24" i="16" s="1"/>
  <c r="DA16" i="16"/>
  <c r="AF16" i="16"/>
  <c r="DA18" i="16"/>
  <c r="DV18" i="16" s="1"/>
  <c r="AF18" i="16"/>
  <c r="CC22" i="16"/>
  <c r="H22" i="16"/>
  <c r="H26" i="16"/>
  <c r="CC26" i="16"/>
  <c r="AF21" i="16"/>
  <c r="DA21" i="16"/>
  <c r="DV21" i="16" s="1"/>
  <c r="DA25" i="16"/>
  <c r="DV25" i="16" s="1"/>
  <c r="AF25" i="16"/>
  <c r="CC20" i="16"/>
  <c r="H20" i="16"/>
  <c r="DA22" i="16"/>
  <c r="DV22" i="16" s="1"/>
  <c r="AF22" i="16"/>
  <c r="AF26" i="16"/>
  <c r="DA26" i="16"/>
  <c r="DV26" i="16" s="1"/>
  <c r="AL27" i="5" l="1"/>
  <c r="AL35" i="5"/>
  <c r="AL26" i="5"/>
  <c r="AL19" i="5"/>
  <c r="AL36" i="5"/>
  <c r="AL33" i="5"/>
  <c r="AL29" i="5"/>
  <c r="AL14" i="5"/>
  <c r="AL24" i="5"/>
  <c r="AL10" i="5"/>
  <c r="AL25" i="5"/>
  <c r="AL28" i="5"/>
  <c r="AL17" i="5"/>
  <c r="AL13" i="5"/>
  <c r="AL18" i="5"/>
  <c r="AL30" i="5"/>
  <c r="AL34" i="5"/>
  <c r="AL32" i="5"/>
  <c r="AL11" i="5"/>
  <c r="AL20" i="5"/>
  <c r="AL12" i="5"/>
  <c r="AL21" i="5"/>
  <c r="BD7" i="5"/>
  <c r="AL15" i="5"/>
  <c r="AL22" i="5"/>
  <c r="AL23" i="5"/>
  <c r="AL16" i="5"/>
  <c r="AL31" i="5"/>
  <c r="AL9" i="5"/>
  <c r="AM7" i="5"/>
  <c r="BV30" i="16"/>
  <c r="DV16" i="16"/>
  <c r="DA42" i="16"/>
  <c r="DV17" i="16"/>
  <c r="AM26" i="5" l="1"/>
  <c r="AM27" i="5"/>
  <c r="AM35" i="5"/>
  <c r="AM19" i="5"/>
  <c r="AM33" i="5"/>
  <c r="AM32" i="5"/>
  <c r="AM14" i="5"/>
  <c r="AM10" i="5"/>
  <c r="AM11" i="5"/>
  <c r="AM20" i="5"/>
  <c r="AM28" i="5"/>
  <c r="AM12" i="5"/>
  <c r="AM17" i="5"/>
  <c r="AM21" i="5"/>
  <c r="AM13" i="5"/>
  <c r="AM36" i="5"/>
  <c r="AM34" i="5"/>
  <c r="AM29" i="5"/>
  <c r="AM24" i="5"/>
  <c r="AM25" i="5"/>
  <c r="AM18" i="5"/>
  <c r="AM30" i="5"/>
  <c r="BE7" i="5"/>
  <c r="AM15" i="5"/>
  <c r="AM22" i="5"/>
  <c r="AM16" i="5"/>
  <c r="AM31" i="5"/>
  <c r="AM23" i="5"/>
  <c r="AM9" i="5"/>
  <c r="DA30" i="16"/>
  <c r="CC30" i="16"/>
  <c r="DH42" i="16"/>
  <c r="DH30" i="16"/>
  <c r="BV31" i="16"/>
  <c r="AN7" i="5"/>
  <c r="AN35" i="5" s="1"/>
  <c r="DV30" i="16" l="1"/>
  <c r="AN36" i="5"/>
  <c r="AN34" i="5"/>
  <c r="AN33" i="5"/>
  <c r="AN32" i="5"/>
  <c r="DA31" i="16"/>
  <c r="CC31" i="16"/>
  <c r="DH31" i="16"/>
  <c r="DO30" i="16"/>
  <c r="DP30" i="16" s="1"/>
  <c r="DQ30" i="16" s="1"/>
  <c r="DR30" i="16" s="1"/>
  <c r="DS30" i="16" s="1"/>
  <c r="DT30" i="16" s="1"/>
  <c r="DU30" i="16" s="1"/>
  <c r="AN16" i="5"/>
  <c r="AN25" i="5"/>
  <c r="AN27" i="5"/>
  <c r="AN17" i="5"/>
  <c r="AN21" i="5"/>
  <c r="AN26" i="5"/>
  <c r="AN14" i="5"/>
  <c r="AN29" i="5"/>
  <c r="AN24" i="5"/>
  <c r="AN10" i="5"/>
  <c r="AN23" i="5"/>
  <c r="AN19" i="5"/>
  <c r="AN13" i="5"/>
  <c r="AN11" i="5"/>
  <c r="AN28" i="5"/>
  <c r="AN18" i="5"/>
  <c r="AN30" i="5"/>
  <c r="AN31" i="5"/>
  <c r="AN12" i="5"/>
  <c r="AN20" i="5"/>
  <c r="AN15" i="5"/>
  <c r="AN22" i="5"/>
  <c r="AN9" i="5"/>
  <c r="BF7" i="5"/>
  <c r="BF8" i="5" s="1"/>
  <c r="AN8" i="5"/>
  <c r="AO7" i="5"/>
  <c r="AO35" i="5" s="1"/>
  <c r="BV32" i="16"/>
  <c r="DV31" i="16" l="1"/>
  <c r="AO34" i="5"/>
  <c r="AO33" i="5"/>
  <c r="AO32" i="5"/>
  <c r="AO36" i="5"/>
  <c r="DA32" i="16"/>
  <c r="CC32" i="16"/>
  <c r="DH32" i="16"/>
  <c r="DO32" i="16"/>
  <c r="DP32" i="16" s="1"/>
  <c r="DQ32" i="16" s="1"/>
  <c r="DR32" i="16" s="1"/>
  <c r="DS32" i="16" s="1"/>
  <c r="DT32" i="16" s="1"/>
  <c r="DU32" i="16" s="1"/>
  <c r="DO31" i="16"/>
  <c r="DP31" i="16" s="1"/>
  <c r="DQ31" i="16" s="1"/>
  <c r="DR31" i="16" s="1"/>
  <c r="DS31" i="16" s="1"/>
  <c r="DT31" i="16" s="1"/>
  <c r="DU31" i="16" s="1"/>
  <c r="BF9" i="5"/>
  <c r="BF10" i="5"/>
  <c r="BF12" i="5"/>
  <c r="AO8" i="5"/>
  <c r="AO11" i="5"/>
  <c r="AO15" i="5"/>
  <c r="AO22" i="5"/>
  <c r="AO13" i="5"/>
  <c r="AO31" i="5"/>
  <c r="AO12" i="5"/>
  <c r="AO10" i="5"/>
  <c r="AO17" i="5"/>
  <c r="AO20" i="5"/>
  <c r="AO18" i="5"/>
  <c r="AO19" i="5"/>
  <c r="AO24" i="5"/>
  <c r="AO14" i="5"/>
  <c r="AO27" i="5"/>
  <c r="AO16" i="5"/>
  <c r="AO30" i="5"/>
  <c r="AO29" i="5"/>
  <c r="AO25" i="5"/>
  <c r="AO21" i="5"/>
  <c r="AO26" i="5"/>
  <c r="AO23" i="5"/>
  <c r="AO28" i="5"/>
  <c r="AO9" i="5"/>
  <c r="BG7" i="5"/>
  <c r="BG8" i="5" s="1"/>
  <c r="BV33" i="16"/>
  <c r="DA47" i="16"/>
  <c r="DA48" i="16"/>
  <c r="DV32" i="16" l="1"/>
  <c r="CC33" i="16"/>
  <c r="DO33" i="16"/>
  <c r="DP33" i="16" s="1"/>
  <c r="DQ33" i="16" s="1"/>
  <c r="DR33" i="16" s="1"/>
  <c r="DS33" i="16" s="1"/>
  <c r="DT33" i="16" s="1"/>
  <c r="DU33" i="16" s="1"/>
  <c r="DH33" i="16"/>
  <c r="DV33" i="16" s="1"/>
  <c r="DA33" i="16"/>
  <c r="DA43" i="16" s="1"/>
  <c r="DA44" i="16" s="1"/>
  <c r="DH43" i="16" l="1"/>
  <c r="DH44" i="16" l="1"/>
  <c r="C53" i="5"/>
  <c r="BH53" i="5" s="1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BH47" i="5" s="1"/>
  <c r="C48" i="5"/>
  <c r="BH48" i="5" s="1"/>
  <c r="C49" i="5"/>
  <c r="BH49" i="5" s="1"/>
  <c r="C50" i="5"/>
  <c r="BH50" i="5" s="1"/>
  <c r="C51" i="5"/>
  <c r="BH51" i="5" s="1"/>
  <c r="C52" i="5"/>
  <c r="BH52" i="5" s="1"/>
  <c r="AH9" i="5" l="1" a="1"/>
  <c r="AD9" i="5" a="1"/>
  <c r="Z9" i="5" l="1" a="1"/>
  <c r="AH9" i="5"/>
  <c r="AZ9" i="5" s="1"/>
  <c r="AH44" i="5"/>
  <c r="AZ44" i="5" s="1"/>
  <c r="AH28" i="5"/>
  <c r="AZ28" i="5" s="1"/>
  <c r="AH12" i="5"/>
  <c r="AZ12" i="5" s="1"/>
  <c r="AH36" i="5"/>
  <c r="AZ36" i="5" s="1"/>
  <c r="AH16" i="5"/>
  <c r="AZ16" i="5" s="1"/>
  <c r="AH39" i="5"/>
  <c r="AZ39" i="5" s="1"/>
  <c r="AH23" i="5"/>
  <c r="AZ23" i="5" s="1"/>
  <c r="AH50" i="5"/>
  <c r="AZ50" i="5" s="1"/>
  <c r="AH34" i="5"/>
  <c r="AZ34" i="5" s="1"/>
  <c r="AH18" i="5"/>
  <c r="AZ18" i="5" s="1"/>
  <c r="AH49" i="5"/>
  <c r="AZ49" i="5" s="1"/>
  <c r="AH33" i="5"/>
  <c r="AZ33" i="5" s="1"/>
  <c r="AH17" i="5"/>
  <c r="AZ17" i="5" s="1"/>
  <c r="AH43" i="5"/>
  <c r="AZ43" i="5" s="1"/>
  <c r="AH38" i="5"/>
  <c r="AZ38" i="5" s="1"/>
  <c r="AH37" i="5"/>
  <c r="AZ37" i="5" s="1"/>
  <c r="AH40" i="5"/>
  <c r="AZ40" i="5" s="1"/>
  <c r="AH20" i="5"/>
  <c r="AZ20" i="5" s="1"/>
  <c r="AH51" i="5"/>
  <c r="AZ51" i="5" s="1"/>
  <c r="AH35" i="5"/>
  <c r="AZ35" i="5" s="1"/>
  <c r="AH19" i="5"/>
  <c r="AZ19" i="5" s="1"/>
  <c r="AH46" i="5"/>
  <c r="AZ46" i="5" s="1"/>
  <c r="AH30" i="5"/>
  <c r="AZ30" i="5" s="1"/>
  <c r="AH14" i="5"/>
  <c r="AZ14" i="5" s="1"/>
  <c r="AH45" i="5"/>
  <c r="AZ45" i="5" s="1"/>
  <c r="AH29" i="5"/>
  <c r="AZ29" i="5" s="1"/>
  <c r="AH13" i="5"/>
  <c r="AZ13" i="5" s="1"/>
  <c r="AH11" i="5"/>
  <c r="AZ11" i="5" s="1"/>
  <c r="AH53" i="5"/>
  <c r="AZ53" i="5" s="1"/>
  <c r="AH24" i="5"/>
  <c r="AZ24" i="5" s="1"/>
  <c r="AH48" i="5"/>
  <c r="AZ48" i="5" s="1"/>
  <c r="AH47" i="5"/>
  <c r="AZ47" i="5" s="1"/>
  <c r="AH31" i="5"/>
  <c r="AZ31" i="5" s="1"/>
  <c r="AH15" i="5"/>
  <c r="AZ15" i="5" s="1"/>
  <c r="AH42" i="5"/>
  <c r="AZ42" i="5" s="1"/>
  <c r="AH26" i="5"/>
  <c r="AZ26" i="5" s="1"/>
  <c r="AH10" i="5"/>
  <c r="AZ10" i="5" s="1"/>
  <c r="AH41" i="5"/>
  <c r="AZ41" i="5" s="1"/>
  <c r="AH25" i="5"/>
  <c r="AZ25" i="5" s="1"/>
  <c r="AH52" i="5"/>
  <c r="AZ52" i="5" s="1"/>
  <c r="AH32" i="5"/>
  <c r="AZ32" i="5" s="1"/>
  <c r="AH27" i="5"/>
  <c r="AZ27" i="5" s="1"/>
  <c r="AH22" i="5"/>
  <c r="AZ22" i="5" s="1"/>
  <c r="AH21" i="5"/>
  <c r="AZ21" i="5" s="1"/>
  <c r="Y9" i="5" a="1"/>
  <c r="AC9" i="5" a="1"/>
  <c r="AG9" i="5" a="1"/>
  <c r="AE9" i="5" a="1"/>
  <c r="AI9" i="5" a="1"/>
  <c r="AD9" i="5"/>
  <c r="AV9" i="5" s="1"/>
  <c r="AD40" i="5"/>
  <c r="AV40" i="5" s="1"/>
  <c r="AD12" i="5"/>
  <c r="AV12" i="5" s="1"/>
  <c r="AD39" i="5"/>
  <c r="AV39" i="5" s="1"/>
  <c r="AD23" i="5"/>
  <c r="AV23" i="5" s="1"/>
  <c r="AD20" i="5"/>
  <c r="AV20" i="5" s="1"/>
  <c r="AD38" i="5"/>
  <c r="AV38" i="5" s="1"/>
  <c r="AD22" i="5"/>
  <c r="AV22" i="5" s="1"/>
  <c r="AD48" i="5"/>
  <c r="AV48" i="5" s="1"/>
  <c r="AD49" i="5"/>
  <c r="AV49" i="5" s="1"/>
  <c r="AD33" i="5"/>
  <c r="AV33" i="5" s="1"/>
  <c r="AD17" i="5"/>
  <c r="AV17" i="5" s="1"/>
  <c r="AD24" i="5"/>
  <c r="AV24" i="5" s="1"/>
  <c r="AD11" i="5"/>
  <c r="AV11" i="5" s="1"/>
  <c r="AD10" i="5"/>
  <c r="AV10" i="5" s="1"/>
  <c r="AD37" i="5"/>
  <c r="AV37" i="5" s="1"/>
  <c r="AD32" i="5"/>
  <c r="AV32" i="5" s="1"/>
  <c r="AD51" i="5"/>
  <c r="AV51" i="5" s="1"/>
  <c r="AD35" i="5"/>
  <c r="AV35" i="5" s="1"/>
  <c r="AD19" i="5"/>
  <c r="AV19" i="5" s="1"/>
  <c r="AD50" i="5"/>
  <c r="AV50" i="5" s="1"/>
  <c r="AD34" i="5"/>
  <c r="AV34" i="5" s="1"/>
  <c r="AD18" i="5"/>
  <c r="AV18" i="5" s="1"/>
  <c r="AD36" i="5"/>
  <c r="AV36" i="5" s="1"/>
  <c r="AD45" i="5"/>
  <c r="AV45" i="5" s="1"/>
  <c r="AD29" i="5"/>
  <c r="AV29" i="5" s="1"/>
  <c r="AD13" i="5"/>
  <c r="AV13" i="5" s="1"/>
  <c r="AD43" i="5"/>
  <c r="AV43" i="5" s="1"/>
  <c r="AD26" i="5"/>
  <c r="AV26" i="5" s="1"/>
  <c r="AD21" i="5"/>
  <c r="AV21" i="5" s="1"/>
  <c r="AD52" i="5"/>
  <c r="AV52" i="5" s="1"/>
  <c r="AD28" i="5"/>
  <c r="AV28" i="5" s="1"/>
  <c r="AD47" i="5"/>
  <c r="AV47" i="5" s="1"/>
  <c r="AD31" i="5"/>
  <c r="AV31" i="5" s="1"/>
  <c r="AD15" i="5"/>
  <c r="AV15" i="5" s="1"/>
  <c r="AD46" i="5"/>
  <c r="AV46" i="5" s="1"/>
  <c r="AD30" i="5"/>
  <c r="AV30" i="5" s="1"/>
  <c r="AD14" i="5"/>
  <c r="AV14" i="5" s="1"/>
  <c r="AD16" i="5"/>
  <c r="AV16" i="5" s="1"/>
  <c r="AD41" i="5"/>
  <c r="AV41" i="5" s="1"/>
  <c r="AD25" i="5"/>
  <c r="AV25" i="5" s="1"/>
  <c r="AD44" i="5"/>
  <c r="AV44" i="5" s="1"/>
  <c r="AD27" i="5"/>
  <c r="AV27" i="5" s="1"/>
  <c r="AD42" i="5"/>
  <c r="AV42" i="5" s="1"/>
  <c r="AD53" i="5"/>
  <c r="AV53" i="5" s="1"/>
  <c r="AA9" i="5" a="1"/>
  <c r="AB9" i="5" a="1"/>
  <c r="AF9" i="5" a="1"/>
  <c r="AJ9" i="5" a="1"/>
  <c r="AU16" i="16"/>
  <c r="AV16" i="16" s="1"/>
  <c r="AW16" i="16" s="1"/>
  <c r="AX16" i="16" s="1"/>
  <c r="AY16" i="16" s="1"/>
  <c r="AZ16" i="16" s="1"/>
  <c r="H13" i="5"/>
  <c r="H12" i="5"/>
  <c r="H11" i="5"/>
  <c r="H10" i="5"/>
  <c r="H9" i="5"/>
  <c r="C16" i="5"/>
  <c r="C15" i="5"/>
  <c r="C14" i="5"/>
  <c r="C13" i="5"/>
  <c r="C12" i="5"/>
  <c r="C11" i="5"/>
  <c r="C10" i="5"/>
  <c r="C9" i="5"/>
  <c r="A3" i="5" s="1"/>
  <c r="A1" i="5" l="1"/>
  <c r="AJ9" i="5"/>
  <c r="BB9" i="5" s="1"/>
  <c r="AJ12" i="5"/>
  <c r="BB12" i="5" s="1"/>
  <c r="AJ28" i="5"/>
  <c r="BB28" i="5" s="1"/>
  <c r="AJ24" i="5"/>
  <c r="BB24" i="5" s="1"/>
  <c r="AJ48" i="5"/>
  <c r="BB48" i="5" s="1"/>
  <c r="AJ47" i="5"/>
  <c r="BB47" i="5" s="1"/>
  <c r="AJ31" i="5"/>
  <c r="BB31" i="5" s="1"/>
  <c r="AJ15" i="5"/>
  <c r="BB15" i="5" s="1"/>
  <c r="AJ42" i="5"/>
  <c r="BB42" i="5" s="1"/>
  <c r="AJ26" i="5"/>
  <c r="BB26" i="5" s="1"/>
  <c r="AJ10" i="5"/>
  <c r="BB10" i="5" s="1"/>
  <c r="AJ41" i="5"/>
  <c r="BB41" i="5" s="1"/>
  <c r="AJ25" i="5"/>
  <c r="BB25" i="5" s="1"/>
  <c r="AJ19" i="5"/>
  <c r="BB19" i="5" s="1"/>
  <c r="AJ30" i="5"/>
  <c r="BB30" i="5" s="1"/>
  <c r="AJ45" i="5"/>
  <c r="BB45" i="5" s="1"/>
  <c r="AJ52" i="5"/>
  <c r="BB52" i="5" s="1"/>
  <c r="AJ32" i="5"/>
  <c r="BB32" i="5" s="1"/>
  <c r="AJ43" i="5"/>
  <c r="BB43" i="5" s="1"/>
  <c r="AJ27" i="5"/>
  <c r="BB27" i="5" s="1"/>
  <c r="AJ11" i="5"/>
  <c r="BB11" i="5" s="1"/>
  <c r="AJ38" i="5"/>
  <c r="BB38" i="5" s="1"/>
  <c r="AJ22" i="5"/>
  <c r="BB22" i="5" s="1"/>
  <c r="AJ53" i="5"/>
  <c r="BB53" i="5" s="1"/>
  <c r="AJ37" i="5"/>
  <c r="BB37" i="5" s="1"/>
  <c r="AJ21" i="5"/>
  <c r="BB21" i="5" s="1"/>
  <c r="AJ51" i="5"/>
  <c r="BB51" i="5" s="1"/>
  <c r="AJ14" i="5"/>
  <c r="BB14" i="5" s="1"/>
  <c r="AJ13" i="5"/>
  <c r="BB13" i="5" s="1"/>
  <c r="AJ44" i="5"/>
  <c r="BB44" i="5" s="1"/>
  <c r="AJ36" i="5"/>
  <c r="BB36" i="5" s="1"/>
  <c r="AJ16" i="5"/>
  <c r="BB16" i="5" s="1"/>
  <c r="AJ39" i="5"/>
  <c r="BB39" i="5" s="1"/>
  <c r="AJ23" i="5"/>
  <c r="BB23" i="5" s="1"/>
  <c r="AJ50" i="5"/>
  <c r="BB50" i="5" s="1"/>
  <c r="AJ34" i="5"/>
  <c r="BB34" i="5" s="1"/>
  <c r="AJ18" i="5"/>
  <c r="BB18" i="5" s="1"/>
  <c r="AJ49" i="5"/>
  <c r="BB49" i="5" s="1"/>
  <c r="AJ33" i="5"/>
  <c r="BB33" i="5" s="1"/>
  <c r="AJ17" i="5"/>
  <c r="BB17" i="5" s="1"/>
  <c r="AJ20" i="5"/>
  <c r="BB20" i="5" s="1"/>
  <c r="AJ40" i="5"/>
  <c r="BB40" i="5" s="1"/>
  <c r="AJ35" i="5"/>
  <c r="BB35" i="5" s="1"/>
  <c r="AJ46" i="5"/>
  <c r="BB46" i="5" s="1"/>
  <c r="AJ29" i="5"/>
  <c r="BB29" i="5" s="1"/>
  <c r="AG9" i="5"/>
  <c r="AY9" i="5" s="1"/>
  <c r="AG31" i="5"/>
  <c r="AY31" i="5" s="1"/>
  <c r="AG51" i="5"/>
  <c r="AY51" i="5" s="1"/>
  <c r="AG19" i="5"/>
  <c r="AY19" i="5" s="1"/>
  <c r="AG24" i="5"/>
  <c r="AY24" i="5" s="1"/>
  <c r="AG52" i="5"/>
  <c r="AY52" i="5" s="1"/>
  <c r="AG20" i="5"/>
  <c r="AY20" i="5" s="1"/>
  <c r="AG42" i="5"/>
  <c r="AY42" i="5" s="1"/>
  <c r="AG26" i="5"/>
  <c r="AY26" i="5" s="1"/>
  <c r="AG10" i="5"/>
  <c r="AY10" i="5" s="1"/>
  <c r="AG41" i="5"/>
  <c r="AY41" i="5" s="1"/>
  <c r="AG25" i="5"/>
  <c r="AY25" i="5" s="1"/>
  <c r="AG30" i="5"/>
  <c r="AY30" i="5" s="1"/>
  <c r="AG29" i="5"/>
  <c r="AY29" i="5" s="1"/>
  <c r="AG23" i="5"/>
  <c r="AY23" i="5" s="1"/>
  <c r="AG43" i="5"/>
  <c r="AY43" i="5" s="1"/>
  <c r="AG11" i="5"/>
  <c r="AY11" i="5" s="1"/>
  <c r="AG48" i="5"/>
  <c r="AY48" i="5" s="1"/>
  <c r="AG16" i="5"/>
  <c r="AY16" i="5" s="1"/>
  <c r="AG44" i="5"/>
  <c r="AY44" i="5" s="1"/>
  <c r="AG12" i="5"/>
  <c r="AY12" i="5" s="1"/>
  <c r="AG38" i="5"/>
  <c r="AY38" i="5" s="1"/>
  <c r="AG22" i="5"/>
  <c r="AY22" i="5" s="1"/>
  <c r="AG53" i="5"/>
  <c r="AY53" i="5" s="1"/>
  <c r="AG37" i="5"/>
  <c r="AY37" i="5" s="1"/>
  <c r="AG21" i="5"/>
  <c r="AY21" i="5" s="1"/>
  <c r="AG39" i="5"/>
  <c r="AY39" i="5" s="1"/>
  <c r="AG46" i="5"/>
  <c r="AY46" i="5" s="1"/>
  <c r="AG45" i="5"/>
  <c r="AY45" i="5" s="1"/>
  <c r="AG47" i="5"/>
  <c r="AY47" i="5" s="1"/>
  <c r="AG15" i="5"/>
  <c r="AY15" i="5" s="1"/>
  <c r="AG35" i="5"/>
  <c r="AY35" i="5" s="1"/>
  <c r="AG40" i="5"/>
  <c r="AY40" i="5" s="1"/>
  <c r="AG36" i="5"/>
  <c r="AY36" i="5" s="1"/>
  <c r="AG50" i="5"/>
  <c r="AY50" i="5" s="1"/>
  <c r="AG34" i="5"/>
  <c r="AY34" i="5" s="1"/>
  <c r="AG18" i="5"/>
  <c r="AY18" i="5" s="1"/>
  <c r="AG49" i="5"/>
  <c r="AY49" i="5" s="1"/>
  <c r="AG33" i="5"/>
  <c r="AY33" i="5" s="1"/>
  <c r="AG17" i="5"/>
  <c r="AY17" i="5" s="1"/>
  <c r="AG27" i="5"/>
  <c r="AY27" i="5" s="1"/>
  <c r="AG32" i="5"/>
  <c r="AY32" i="5" s="1"/>
  <c r="AG28" i="5"/>
  <c r="AY28" i="5" s="1"/>
  <c r="AG14" i="5"/>
  <c r="AY14" i="5" s="1"/>
  <c r="AG13" i="5"/>
  <c r="AY13" i="5" s="1"/>
  <c r="Y9" i="5"/>
  <c r="AQ9" i="5" s="1"/>
  <c r="Y20" i="5"/>
  <c r="AQ20" i="5" s="1"/>
  <c r="Y44" i="5"/>
  <c r="AQ44" i="5" s="1"/>
  <c r="Y51" i="5"/>
  <c r="AQ51" i="5" s="1"/>
  <c r="Y35" i="5"/>
  <c r="AQ35" i="5" s="1"/>
  <c r="Y19" i="5"/>
  <c r="AQ19" i="5" s="1"/>
  <c r="Y46" i="5"/>
  <c r="AQ46" i="5" s="1"/>
  <c r="Y30" i="5"/>
  <c r="AQ30" i="5" s="1"/>
  <c r="Y14" i="5"/>
  <c r="AQ14" i="5" s="1"/>
  <c r="Y36" i="5"/>
  <c r="AQ36" i="5" s="1"/>
  <c r="Y49" i="5"/>
  <c r="AQ49" i="5" s="1"/>
  <c r="Y33" i="5"/>
  <c r="AQ33" i="5" s="1"/>
  <c r="Y17" i="5"/>
  <c r="AQ17" i="5" s="1"/>
  <c r="Y31" i="5"/>
  <c r="AQ31" i="5" s="1"/>
  <c r="Y42" i="5"/>
  <c r="AQ42" i="5" s="1"/>
  <c r="Y10" i="5"/>
  <c r="AQ10" i="5" s="1"/>
  <c r="Y45" i="5"/>
  <c r="AQ45" i="5" s="1"/>
  <c r="Y13" i="5"/>
  <c r="AQ13" i="5" s="1"/>
  <c r="Y32" i="5"/>
  <c r="AQ32" i="5" s="1"/>
  <c r="Y47" i="5"/>
  <c r="AQ47" i="5" s="1"/>
  <c r="Y15" i="5"/>
  <c r="AQ15" i="5" s="1"/>
  <c r="Y26" i="5"/>
  <c r="AQ26" i="5" s="1"/>
  <c r="Y28" i="5"/>
  <c r="AQ28" i="5" s="1"/>
  <c r="Y29" i="5"/>
  <c r="AQ29" i="5" s="1"/>
  <c r="Y24" i="5"/>
  <c r="AQ24" i="5" s="1"/>
  <c r="Y43" i="5"/>
  <c r="AQ43" i="5" s="1"/>
  <c r="Y27" i="5"/>
  <c r="AQ27" i="5" s="1"/>
  <c r="Y11" i="5"/>
  <c r="AQ11" i="5" s="1"/>
  <c r="Y38" i="5"/>
  <c r="AQ38" i="5" s="1"/>
  <c r="Y22" i="5"/>
  <c r="AQ22" i="5" s="1"/>
  <c r="Y48" i="5"/>
  <c r="AQ48" i="5" s="1"/>
  <c r="Y16" i="5"/>
  <c r="AQ16" i="5" s="1"/>
  <c r="Y41" i="5"/>
  <c r="AQ41" i="5" s="1"/>
  <c r="Y25" i="5"/>
  <c r="AQ25" i="5" s="1"/>
  <c r="Y39" i="5"/>
  <c r="AQ39" i="5" s="1"/>
  <c r="Y18" i="5"/>
  <c r="AQ18" i="5" s="1"/>
  <c r="Y21" i="5"/>
  <c r="AQ21" i="5" s="1"/>
  <c r="Y23" i="5"/>
  <c r="AQ23" i="5" s="1"/>
  <c r="Y34" i="5"/>
  <c r="AQ34" i="5" s="1"/>
  <c r="Y40" i="5"/>
  <c r="AQ40" i="5" s="1"/>
  <c r="Y53" i="5"/>
  <c r="AQ53" i="5" s="1"/>
  <c r="Y12" i="5"/>
  <c r="AQ12" i="5" s="1"/>
  <c r="Y52" i="5"/>
  <c r="AQ52" i="5" s="1"/>
  <c r="Y50" i="5"/>
  <c r="AQ50" i="5" s="1"/>
  <c r="Y37" i="5"/>
  <c r="AQ37" i="5" s="1"/>
  <c r="AF9" i="5"/>
  <c r="AX9" i="5" s="1"/>
  <c r="AF16" i="5"/>
  <c r="AX16" i="5" s="1"/>
  <c r="AF48" i="5"/>
  <c r="AX48" i="5" s="1"/>
  <c r="AF28" i="5"/>
  <c r="AX28" i="5" s="1"/>
  <c r="AF32" i="5"/>
  <c r="AX32" i="5" s="1"/>
  <c r="AF12" i="5"/>
  <c r="AX12" i="5" s="1"/>
  <c r="AF44" i="5"/>
  <c r="AX44" i="5" s="1"/>
  <c r="AF40" i="5"/>
  <c r="AX40" i="5" s="1"/>
  <c r="AF51" i="5"/>
  <c r="AX51" i="5" s="1"/>
  <c r="AF35" i="5"/>
  <c r="AX35" i="5" s="1"/>
  <c r="AF19" i="5"/>
  <c r="AX19" i="5" s="1"/>
  <c r="AF46" i="5"/>
  <c r="AX46" i="5" s="1"/>
  <c r="AF30" i="5"/>
  <c r="AX30" i="5" s="1"/>
  <c r="AF14" i="5"/>
  <c r="AX14" i="5" s="1"/>
  <c r="AF45" i="5"/>
  <c r="AX45" i="5" s="1"/>
  <c r="AF29" i="5"/>
  <c r="AX29" i="5" s="1"/>
  <c r="AF13" i="5"/>
  <c r="AX13" i="5" s="1"/>
  <c r="AF20" i="5"/>
  <c r="AX20" i="5" s="1"/>
  <c r="AF50" i="5"/>
  <c r="AX50" i="5" s="1"/>
  <c r="AF18" i="5"/>
  <c r="AX18" i="5" s="1"/>
  <c r="AF24" i="5"/>
  <c r="AX24" i="5" s="1"/>
  <c r="AF52" i="5"/>
  <c r="AX52" i="5" s="1"/>
  <c r="AF47" i="5"/>
  <c r="AX47" i="5" s="1"/>
  <c r="AF31" i="5"/>
  <c r="AX31" i="5" s="1"/>
  <c r="AF15" i="5"/>
  <c r="AX15" i="5" s="1"/>
  <c r="AF42" i="5"/>
  <c r="AX42" i="5" s="1"/>
  <c r="AF26" i="5"/>
  <c r="AX26" i="5" s="1"/>
  <c r="AF10" i="5"/>
  <c r="AX10" i="5" s="1"/>
  <c r="AF41" i="5"/>
  <c r="AX41" i="5" s="1"/>
  <c r="AF25" i="5"/>
  <c r="AX25" i="5" s="1"/>
  <c r="AF39" i="5"/>
  <c r="AX39" i="5" s="1"/>
  <c r="AF34" i="5"/>
  <c r="AX34" i="5" s="1"/>
  <c r="AF33" i="5"/>
  <c r="AX33" i="5" s="1"/>
  <c r="AF36" i="5"/>
  <c r="AX36" i="5" s="1"/>
  <c r="AF43" i="5"/>
  <c r="AX43" i="5" s="1"/>
  <c r="AF27" i="5"/>
  <c r="AX27" i="5" s="1"/>
  <c r="AF11" i="5"/>
  <c r="AX11" i="5" s="1"/>
  <c r="AF38" i="5"/>
  <c r="AX38" i="5" s="1"/>
  <c r="AF22" i="5"/>
  <c r="AX22" i="5" s="1"/>
  <c r="AF53" i="5"/>
  <c r="AX53" i="5" s="1"/>
  <c r="AF37" i="5"/>
  <c r="AX37" i="5" s="1"/>
  <c r="AF21" i="5"/>
  <c r="AX21" i="5" s="1"/>
  <c r="AF23" i="5"/>
  <c r="AX23" i="5" s="1"/>
  <c r="AF49" i="5"/>
  <c r="AX49" i="5" s="1"/>
  <c r="AF17" i="5"/>
  <c r="AX17" i="5" s="1"/>
  <c r="AI9" i="5"/>
  <c r="BA9" i="5" s="1"/>
  <c r="AI40" i="5"/>
  <c r="BA40" i="5" s="1"/>
  <c r="AI44" i="5"/>
  <c r="BA44" i="5" s="1"/>
  <c r="AI12" i="5"/>
  <c r="BA12" i="5" s="1"/>
  <c r="AI20" i="5"/>
  <c r="BA20" i="5" s="1"/>
  <c r="AI51" i="5"/>
  <c r="BA51" i="5" s="1"/>
  <c r="AI35" i="5"/>
  <c r="BA35" i="5" s="1"/>
  <c r="AI19" i="5"/>
  <c r="BA19" i="5" s="1"/>
  <c r="AI46" i="5"/>
  <c r="BA46" i="5" s="1"/>
  <c r="AI30" i="5"/>
  <c r="BA30" i="5" s="1"/>
  <c r="AI14" i="5"/>
  <c r="BA14" i="5" s="1"/>
  <c r="AI45" i="5"/>
  <c r="BA45" i="5" s="1"/>
  <c r="AI29" i="5"/>
  <c r="BA29" i="5" s="1"/>
  <c r="AI13" i="5"/>
  <c r="BA13" i="5" s="1"/>
  <c r="AI16" i="5"/>
  <c r="BA16" i="5" s="1"/>
  <c r="AI39" i="5"/>
  <c r="BA39" i="5" s="1"/>
  <c r="AI50" i="5"/>
  <c r="BA50" i="5" s="1"/>
  <c r="AI49" i="5"/>
  <c r="BA49" i="5" s="1"/>
  <c r="AI28" i="5"/>
  <c r="BA28" i="5" s="1"/>
  <c r="AI48" i="5"/>
  <c r="BA48" i="5" s="1"/>
  <c r="AI47" i="5"/>
  <c r="BA47" i="5" s="1"/>
  <c r="AI31" i="5"/>
  <c r="BA31" i="5" s="1"/>
  <c r="AI15" i="5"/>
  <c r="BA15" i="5" s="1"/>
  <c r="AI42" i="5"/>
  <c r="BA42" i="5" s="1"/>
  <c r="AI26" i="5"/>
  <c r="BA26" i="5" s="1"/>
  <c r="AI10" i="5"/>
  <c r="BA10" i="5" s="1"/>
  <c r="AI41" i="5"/>
  <c r="BA41" i="5" s="1"/>
  <c r="AI25" i="5"/>
  <c r="BA25" i="5" s="1"/>
  <c r="AI24" i="5"/>
  <c r="BA24" i="5" s="1"/>
  <c r="AI36" i="5"/>
  <c r="BA36" i="5" s="1"/>
  <c r="AI34" i="5"/>
  <c r="BA34" i="5" s="1"/>
  <c r="AI17" i="5"/>
  <c r="BA17" i="5" s="1"/>
  <c r="AI52" i="5"/>
  <c r="BA52" i="5" s="1"/>
  <c r="AI32" i="5"/>
  <c r="BA32" i="5" s="1"/>
  <c r="AI43" i="5"/>
  <c r="BA43" i="5" s="1"/>
  <c r="AI27" i="5"/>
  <c r="BA27" i="5" s="1"/>
  <c r="AI11" i="5"/>
  <c r="BA11" i="5" s="1"/>
  <c r="AI38" i="5"/>
  <c r="BA38" i="5" s="1"/>
  <c r="AI22" i="5"/>
  <c r="BA22" i="5" s="1"/>
  <c r="AI53" i="5"/>
  <c r="BA53" i="5" s="1"/>
  <c r="AI37" i="5"/>
  <c r="BA37" i="5" s="1"/>
  <c r="AI21" i="5"/>
  <c r="BA21" i="5" s="1"/>
  <c r="AI23" i="5"/>
  <c r="BA23" i="5" s="1"/>
  <c r="AI18" i="5"/>
  <c r="BA18" i="5" s="1"/>
  <c r="AI33" i="5"/>
  <c r="BA33" i="5" s="1"/>
  <c r="AB24" i="5"/>
  <c r="AT24" i="5" s="1"/>
  <c r="AB28" i="5"/>
  <c r="AT28" i="5" s="1"/>
  <c r="AB12" i="5"/>
  <c r="AT12" i="5" s="1"/>
  <c r="AB44" i="5"/>
  <c r="AT44" i="5" s="1"/>
  <c r="AB51" i="5"/>
  <c r="AT51" i="5" s="1"/>
  <c r="AB35" i="5"/>
  <c r="AT35" i="5" s="1"/>
  <c r="AB19" i="5"/>
  <c r="AT19" i="5" s="1"/>
  <c r="AB46" i="5"/>
  <c r="AT46" i="5" s="1"/>
  <c r="AB30" i="5"/>
  <c r="AT30" i="5" s="1"/>
  <c r="AB14" i="5"/>
  <c r="AT14" i="5" s="1"/>
  <c r="AB45" i="5"/>
  <c r="AT45" i="5" s="1"/>
  <c r="AB29" i="5"/>
  <c r="AT29" i="5" s="1"/>
  <c r="AB13" i="5"/>
  <c r="AT13" i="5" s="1"/>
  <c r="AB20" i="5"/>
  <c r="AT20" i="5" s="1"/>
  <c r="AB32" i="5"/>
  <c r="AT32" i="5" s="1"/>
  <c r="AB52" i="5"/>
  <c r="AT52" i="5" s="1"/>
  <c r="AB47" i="5"/>
  <c r="AT47" i="5" s="1"/>
  <c r="AB31" i="5"/>
  <c r="AT31" i="5" s="1"/>
  <c r="AB15" i="5"/>
  <c r="AT15" i="5" s="1"/>
  <c r="AB42" i="5"/>
  <c r="AT42" i="5" s="1"/>
  <c r="AB26" i="5"/>
  <c r="AT26" i="5" s="1"/>
  <c r="AB10" i="5"/>
  <c r="AT10" i="5" s="1"/>
  <c r="AB41" i="5"/>
  <c r="AT41" i="5" s="1"/>
  <c r="AB25" i="5"/>
  <c r="AT25" i="5" s="1"/>
  <c r="AB9" i="5"/>
  <c r="AT9" i="5" s="1"/>
  <c r="AB40" i="5"/>
  <c r="AT40" i="5" s="1"/>
  <c r="AB16" i="5"/>
  <c r="AT16" i="5" s="1"/>
  <c r="AB48" i="5"/>
  <c r="AT48" i="5" s="1"/>
  <c r="AB36" i="5"/>
  <c r="AT36" i="5" s="1"/>
  <c r="AB43" i="5"/>
  <c r="AT43" i="5" s="1"/>
  <c r="AB27" i="5"/>
  <c r="AT27" i="5" s="1"/>
  <c r="AB11" i="5"/>
  <c r="AT11" i="5" s="1"/>
  <c r="AB38" i="5"/>
  <c r="AT38" i="5" s="1"/>
  <c r="AB22" i="5"/>
  <c r="AT22" i="5" s="1"/>
  <c r="AB53" i="5"/>
  <c r="AT53" i="5" s="1"/>
  <c r="AB37" i="5"/>
  <c r="AT37" i="5" s="1"/>
  <c r="AB21" i="5"/>
  <c r="AT21" i="5" s="1"/>
  <c r="AB50" i="5"/>
  <c r="AT50" i="5" s="1"/>
  <c r="AB33" i="5"/>
  <c r="AT33" i="5" s="1"/>
  <c r="AB34" i="5"/>
  <c r="AT34" i="5" s="1"/>
  <c r="AB17" i="5"/>
  <c r="AT17" i="5" s="1"/>
  <c r="AB49" i="5"/>
  <c r="AT49" i="5" s="1"/>
  <c r="AB39" i="5"/>
  <c r="AT39" i="5" s="1"/>
  <c r="AB18" i="5"/>
  <c r="AT18" i="5" s="1"/>
  <c r="AB23" i="5"/>
  <c r="AT23" i="5" s="1"/>
  <c r="AE9" i="5"/>
  <c r="AW9" i="5" s="1"/>
  <c r="AE28" i="5"/>
  <c r="AW28" i="5" s="1"/>
  <c r="AE32" i="5"/>
  <c r="AW32" i="5" s="1"/>
  <c r="AE16" i="5"/>
  <c r="AW16" i="5" s="1"/>
  <c r="AE40" i="5"/>
  <c r="AW40" i="5" s="1"/>
  <c r="AE20" i="5"/>
  <c r="AW20" i="5" s="1"/>
  <c r="AE39" i="5"/>
  <c r="AW39" i="5" s="1"/>
  <c r="AE23" i="5"/>
  <c r="AW23" i="5" s="1"/>
  <c r="AE50" i="5"/>
  <c r="AW50" i="5" s="1"/>
  <c r="AE34" i="5"/>
  <c r="AW34" i="5" s="1"/>
  <c r="AE18" i="5"/>
  <c r="AW18" i="5" s="1"/>
  <c r="AE49" i="5"/>
  <c r="AW49" i="5" s="1"/>
  <c r="AE33" i="5"/>
  <c r="AW33" i="5" s="1"/>
  <c r="AE17" i="5"/>
  <c r="AW17" i="5" s="1"/>
  <c r="AE43" i="5"/>
  <c r="AW43" i="5" s="1"/>
  <c r="AE11" i="5"/>
  <c r="AW11" i="5" s="1"/>
  <c r="AE37" i="5"/>
  <c r="AW37" i="5" s="1"/>
  <c r="AE44" i="5"/>
  <c r="AW44" i="5" s="1"/>
  <c r="AE24" i="5"/>
  <c r="AW24" i="5" s="1"/>
  <c r="AE51" i="5"/>
  <c r="AW51" i="5" s="1"/>
  <c r="AE35" i="5"/>
  <c r="AW35" i="5" s="1"/>
  <c r="AE19" i="5"/>
  <c r="AW19" i="5" s="1"/>
  <c r="AE46" i="5"/>
  <c r="AW46" i="5" s="1"/>
  <c r="AE30" i="5"/>
  <c r="AW30" i="5" s="1"/>
  <c r="AE14" i="5"/>
  <c r="AW14" i="5" s="1"/>
  <c r="AE45" i="5"/>
  <c r="AW45" i="5" s="1"/>
  <c r="AE29" i="5"/>
  <c r="AW29" i="5" s="1"/>
  <c r="AE13" i="5"/>
  <c r="AW13" i="5" s="1"/>
  <c r="AE36" i="5"/>
  <c r="AW36" i="5" s="1"/>
  <c r="AE27" i="5"/>
  <c r="AW27" i="5" s="1"/>
  <c r="AE22" i="5"/>
  <c r="AW22" i="5" s="1"/>
  <c r="AE21" i="5"/>
  <c r="AW21" i="5" s="1"/>
  <c r="AE12" i="5"/>
  <c r="AW12" i="5" s="1"/>
  <c r="AE52" i="5"/>
  <c r="AW52" i="5" s="1"/>
  <c r="AE47" i="5"/>
  <c r="AW47" i="5" s="1"/>
  <c r="AE31" i="5"/>
  <c r="AW31" i="5" s="1"/>
  <c r="AE15" i="5"/>
  <c r="AW15" i="5" s="1"/>
  <c r="AE42" i="5"/>
  <c r="AW42" i="5" s="1"/>
  <c r="AE26" i="5"/>
  <c r="AW26" i="5" s="1"/>
  <c r="AE10" i="5"/>
  <c r="AW10" i="5" s="1"/>
  <c r="AE41" i="5"/>
  <c r="AW41" i="5" s="1"/>
  <c r="AE25" i="5"/>
  <c r="AW25" i="5" s="1"/>
  <c r="AE48" i="5"/>
  <c r="AW48" i="5" s="1"/>
  <c r="AE38" i="5"/>
  <c r="AW38" i="5" s="1"/>
  <c r="AE53" i="5"/>
  <c r="AW53" i="5" s="1"/>
  <c r="AC19" i="5"/>
  <c r="AU19" i="5" s="1"/>
  <c r="AC35" i="5"/>
  <c r="AU35" i="5" s="1"/>
  <c r="AC40" i="5"/>
  <c r="AU40" i="5" s="1"/>
  <c r="AC24" i="5"/>
  <c r="AU24" i="5" s="1"/>
  <c r="AC11" i="5"/>
  <c r="AU11" i="5" s="1"/>
  <c r="AC32" i="5"/>
  <c r="AU32" i="5" s="1"/>
  <c r="AC39" i="5"/>
  <c r="AU39" i="5" s="1"/>
  <c r="AC52" i="5"/>
  <c r="AU52" i="5" s="1"/>
  <c r="AC20" i="5"/>
  <c r="AU20" i="5" s="1"/>
  <c r="AC42" i="5"/>
  <c r="AU42" i="5" s="1"/>
  <c r="AC26" i="5"/>
  <c r="AU26" i="5" s="1"/>
  <c r="AC10" i="5"/>
  <c r="AU10" i="5" s="1"/>
  <c r="AC41" i="5"/>
  <c r="AU41" i="5" s="1"/>
  <c r="AC25" i="5"/>
  <c r="AU25" i="5" s="1"/>
  <c r="AC30" i="5"/>
  <c r="AU30" i="5" s="1"/>
  <c r="AC51" i="5"/>
  <c r="AU51" i="5" s="1"/>
  <c r="AC27" i="5"/>
  <c r="AU27" i="5" s="1"/>
  <c r="AC48" i="5"/>
  <c r="AU48" i="5" s="1"/>
  <c r="AC31" i="5"/>
  <c r="AU31" i="5" s="1"/>
  <c r="AC44" i="5"/>
  <c r="AU44" i="5" s="1"/>
  <c r="AC12" i="5"/>
  <c r="AU12" i="5" s="1"/>
  <c r="AC38" i="5"/>
  <c r="AU38" i="5" s="1"/>
  <c r="AC22" i="5"/>
  <c r="AU22" i="5" s="1"/>
  <c r="AC53" i="5"/>
  <c r="AU53" i="5" s="1"/>
  <c r="AC37" i="5"/>
  <c r="AU37" i="5" s="1"/>
  <c r="AC21" i="5"/>
  <c r="AU21" i="5" s="1"/>
  <c r="AC9" i="5"/>
  <c r="AU9" i="5" s="1"/>
  <c r="AC16" i="5"/>
  <c r="AU16" i="5" s="1"/>
  <c r="AC47" i="5"/>
  <c r="AU47" i="5" s="1"/>
  <c r="AC14" i="5"/>
  <c r="AU14" i="5" s="1"/>
  <c r="AC43" i="5"/>
  <c r="AU43" i="5" s="1"/>
  <c r="AC23" i="5"/>
  <c r="AU23" i="5" s="1"/>
  <c r="AC36" i="5"/>
  <c r="AU36" i="5" s="1"/>
  <c r="AC50" i="5"/>
  <c r="AU50" i="5" s="1"/>
  <c r="AC34" i="5"/>
  <c r="AU34" i="5" s="1"/>
  <c r="AC18" i="5"/>
  <c r="AU18" i="5" s="1"/>
  <c r="AC49" i="5"/>
  <c r="AU49" i="5" s="1"/>
  <c r="AC33" i="5"/>
  <c r="AU33" i="5" s="1"/>
  <c r="AC17" i="5"/>
  <c r="AU17" i="5" s="1"/>
  <c r="AC15" i="5"/>
  <c r="AU15" i="5" s="1"/>
  <c r="AC28" i="5"/>
  <c r="AU28" i="5" s="1"/>
  <c r="AC46" i="5"/>
  <c r="AU46" i="5" s="1"/>
  <c r="AC29" i="5"/>
  <c r="AU29" i="5" s="1"/>
  <c r="AC13" i="5"/>
  <c r="AU13" i="5" s="1"/>
  <c r="AC45" i="5"/>
  <c r="AU45" i="5" s="1"/>
  <c r="AA9" i="5"/>
  <c r="AS9" i="5" s="1"/>
  <c r="AA12" i="5"/>
  <c r="AS12" i="5" s="1"/>
  <c r="AA44" i="5"/>
  <c r="AS44" i="5" s="1"/>
  <c r="AA16" i="5"/>
  <c r="AS16" i="5" s="1"/>
  <c r="AA48" i="5"/>
  <c r="AS48" i="5" s="1"/>
  <c r="AA32" i="5"/>
  <c r="AS32" i="5" s="1"/>
  <c r="AA28" i="5"/>
  <c r="AS28" i="5" s="1"/>
  <c r="AA20" i="5"/>
  <c r="AS20" i="5" s="1"/>
  <c r="AA39" i="5"/>
  <c r="AS39" i="5" s="1"/>
  <c r="AA23" i="5"/>
  <c r="AS23" i="5" s="1"/>
  <c r="AA50" i="5"/>
  <c r="AS50" i="5" s="1"/>
  <c r="AA34" i="5"/>
  <c r="AS34" i="5" s="1"/>
  <c r="AA18" i="5"/>
  <c r="AS18" i="5" s="1"/>
  <c r="AA49" i="5"/>
  <c r="AS49" i="5" s="1"/>
  <c r="AA33" i="5"/>
  <c r="AS33" i="5" s="1"/>
  <c r="AA17" i="5"/>
  <c r="AS17" i="5" s="1"/>
  <c r="AA40" i="5"/>
  <c r="AS40" i="5" s="1"/>
  <c r="AA51" i="5"/>
  <c r="AS51" i="5" s="1"/>
  <c r="AA35" i="5"/>
  <c r="AS35" i="5" s="1"/>
  <c r="AA19" i="5"/>
  <c r="AS19" i="5" s="1"/>
  <c r="AA46" i="5"/>
  <c r="AS46" i="5" s="1"/>
  <c r="AA30" i="5"/>
  <c r="AS30" i="5" s="1"/>
  <c r="AA14" i="5"/>
  <c r="AS14" i="5" s="1"/>
  <c r="AA45" i="5"/>
  <c r="AS45" i="5" s="1"/>
  <c r="AA29" i="5"/>
  <c r="AS29" i="5" s="1"/>
  <c r="AA13" i="5"/>
  <c r="AS13" i="5" s="1"/>
  <c r="AA24" i="5"/>
  <c r="AS24" i="5" s="1"/>
  <c r="AA52" i="5"/>
  <c r="AS52" i="5" s="1"/>
  <c r="AA47" i="5"/>
  <c r="AS47" i="5" s="1"/>
  <c r="AA31" i="5"/>
  <c r="AS31" i="5" s="1"/>
  <c r="AA15" i="5"/>
  <c r="AS15" i="5" s="1"/>
  <c r="AA42" i="5"/>
  <c r="AS42" i="5" s="1"/>
  <c r="AA26" i="5"/>
  <c r="AS26" i="5" s="1"/>
  <c r="AA10" i="5"/>
  <c r="AS10" i="5" s="1"/>
  <c r="AA41" i="5"/>
  <c r="AS41" i="5" s="1"/>
  <c r="AA25" i="5"/>
  <c r="AS25" i="5" s="1"/>
  <c r="AA36" i="5"/>
  <c r="AS36" i="5" s="1"/>
  <c r="AA11" i="5"/>
  <c r="AS11" i="5" s="1"/>
  <c r="AA37" i="5"/>
  <c r="AS37" i="5" s="1"/>
  <c r="AA38" i="5"/>
  <c r="AS38" i="5" s="1"/>
  <c r="AA21" i="5"/>
  <c r="AS21" i="5" s="1"/>
  <c r="AA27" i="5"/>
  <c r="AS27" i="5" s="1"/>
  <c r="AA43" i="5"/>
  <c r="AS43" i="5" s="1"/>
  <c r="AA22" i="5"/>
  <c r="AS22" i="5" s="1"/>
  <c r="AA53" i="5"/>
  <c r="AS53" i="5" s="1"/>
  <c r="Z48" i="5"/>
  <c r="AR48" i="5" s="1"/>
  <c r="Z24" i="5"/>
  <c r="AR24" i="5" s="1"/>
  <c r="Z16" i="5"/>
  <c r="AR16" i="5" s="1"/>
  <c r="Z36" i="5"/>
  <c r="AR36" i="5" s="1"/>
  <c r="Z43" i="5"/>
  <c r="AR43" i="5" s="1"/>
  <c r="Z27" i="5"/>
  <c r="AR27" i="5" s="1"/>
  <c r="Z11" i="5"/>
  <c r="AR11" i="5" s="1"/>
  <c r="Z38" i="5"/>
  <c r="AR38" i="5" s="1"/>
  <c r="Z22" i="5"/>
  <c r="AR22" i="5" s="1"/>
  <c r="Z53" i="5"/>
  <c r="AR53" i="5" s="1"/>
  <c r="Z37" i="5"/>
  <c r="AR37" i="5" s="1"/>
  <c r="Z21" i="5"/>
  <c r="AR21" i="5" s="1"/>
  <c r="Z52" i="5"/>
  <c r="AR52" i="5" s="1"/>
  <c r="Z9" i="5"/>
  <c r="AR9" i="5" s="1"/>
  <c r="Z40" i="5"/>
  <c r="AR40" i="5" s="1"/>
  <c r="Z20" i="5"/>
  <c r="AR20" i="5" s="1"/>
  <c r="Z39" i="5"/>
  <c r="AR39" i="5" s="1"/>
  <c r="Z23" i="5"/>
  <c r="AR23" i="5" s="1"/>
  <c r="Z50" i="5"/>
  <c r="AR50" i="5" s="1"/>
  <c r="Z34" i="5"/>
  <c r="AR34" i="5" s="1"/>
  <c r="Z18" i="5"/>
  <c r="AR18" i="5" s="1"/>
  <c r="Z49" i="5"/>
  <c r="AR49" i="5" s="1"/>
  <c r="Z33" i="5"/>
  <c r="AR33" i="5" s="1"/>
  <c r="Z17" i="5"/>
  <c r="AR17" i="5" s="1"/>
  <c r="Z44" i="5"/>
  <c r="AR44" i="5" s="1"/>
  <c r="Z12" i="5"/>
  <c r="AR12" i="5" s="1"/>
  <c r="Z28" i="5"/>
  <c r="AR28" i="5" s="1"/>
  <c r="Z51" i="5"/>
  <c r="AR51" i="5" s="1"/>
  <c r="Z35" i="5"/>
  <c r="AR35" i="5" s="1"/>
  <c r="Z19" i="5"/>
  <c r="AR19" i="5" s="1"/>
  <c r="Z46" i="5"/>
  <c r="AR46" i="5" s="1"/>
  <c r="Z30" i="5"/>
  <c r="AR30" i="5" s="1"/>
  <c r="Z14" i="5"/>
  <c r="AR14" i="5" s="1"/>
  <c r="Z45" i="5"/>
  <c r="AR45" i="5" s="1"/>
  <c r="Z29" i="5"/>
  <c r="AR29" i="5" s="1"/>
  <c r="Z13" i="5"/>
  <c r="AR13" i="5" s="1"/>
  <c r="Z32" i="5"/>
  <c r="AR32" i="5" s="1"/>
  <c r="Z15" i="5"/>
  <c r="AR15" i="5" s="1"/>
  <c r="Z41" i="5"/>
  <c r="AR41" i="5" s="1"/>
  <c r="Z42" i="5"/>
  <c r="AR42" i="5" s="1"/>
  <c r="Z10" i="5"/>
  <c r="AR10" i="5" s="1"/>
  <c r="Z25" i="5"/>
  <c r="AR25" i="5" s="1"/>
  <c r="Z31" i="5"/>
  <c r="AR31" i="5" s="1"/>
  <c r="Z47" i="5"/>
  <c r="AR47" i="5" s="1"/>
  <c r="Z26" i="5"/>
  <c r="AR26" i="5" s="1"/>
  <c r="BC9" i="5" l="1"/>
  <c r="BE28" i="5"/>
  <c r="BC35" i="5"/>
  <c r="BC42" i="5"/>
  <c r="BD25" i="5"/>
  <c r="BD33" i="5"/>
  <c r="BD42" i="5"/>
  <c r="BD9" i="5"/>
  <c r="BE33" i="5"/>
  <c r="BC18" i="5"/>
  <c r="BC25" i="5"/>
  <c r="BC28" i="5"/>
  <c r="BC36" i="5"/>
  <c r="BD35" i="5"/>
  <c r="BD36" i="5"/>
  <c r="BE44" i="5"/>
  <c r="BE35" i="5"/>
  <c r="BE9" i="5"/>
  <c r="BC33" i="5"/>
  <c r="BD18" i="5"/>
  <c r="BD28" i="5"/>
  <c r="BC44" i="5"/>
  <c r="BD44" i="5"/>
  <c r="BE18" i="5"/>
  <c r="BE25" i="5"/>
  <c r="BE42" i="5"/>
  <c r="BE36" i="5"/>
  <c r="BE8" i="5" l="1"/>
  <c r="BD8" i="5"/>
  <c r="BB8" i="5"/>
  <c r="BA8" i="5"/>
  <c r="AZ8" i="5"/>
  <c r="AY8" i="5"/>
  <c r="AX8" i="5"/>
  <c r="AW8" i="5"/>
  <c r="AV8" i="5"/>
  <c r="AU8" i="5"/>
  <c r="AT8" i="5"/>
  <c r="AS8" i="5"/>
  <c r="AR8" i="5"/>
  <c r="AQ8" i="5"/>
  <c r="BB7" i="5"/>
  <c r="BA7" i="5"/>
  <c r="AZ7" i="5"/>
  <c r="AY7" i="5"/>
  <c r="AX7" i="5"/>
  <c r="AW7" i="5"/>
  <c r="AV7" i="5"/>
  <c r="AU7" i="5"/>
  <c r="AT7" i="5"/>
  <c r="AS7" i="5"/>
  <c r="AR7" i="5"/>
  <c r="AQ7" i="5"/>
  <c r="M8" i="5" l="1"/>
  <c r="X8" i="5"/>
  <c r="W8" i="5"/>
  <c r="V8" i="5"/>
  <c r="U8" i="5"/>
  <c r="T8" i="5"/>
  <c r="S8" i="5"/>
  <c r="R8" i="5"/>
  <c r="Q8" i="5"/>
  <c r="P8" i="5"/>
  <c r="O8" i="5"/>
  <c r="N8" i="5"/>
  <c r="X7" i="5"/>
  <c r="W7" i="5"/>
  <c r="V7" i="5"/>
  <c r="U7" i="5"/>
  <c r="T7" i="5"/>
  <c r="S7" i="5"/>
  <c r="R7" i="5"/>
  <c r="Q7" i="5"/>
  <c r="P7" i="5"/>
  <c r="O7" i="5"/>
  <c r="N7" i="5"/>
  <c r="M7" i="5"/>
  <c r="BD40" i="5" l="1"/>
  <c r="BG40" i="5"/>
  <c r="BC40" i="5"/>
  <c r="BE40" i="5"/>
  <c r="BF40" i="5"/>
  <c r="BH40" i="5" l="1"/>
  <c r="BF35" i="5" l="1"/>
  <c r="BF33" i="5"/>
  <c r="BF25" i="5"/>
  <c r="BG35" i="5"/>
  <c r="BG33" i="5"/>
  <c r="BG28" i="5"/>
  <c r="BF28" i="5"/>
  <c r="BG44" i="5"/>
  <c r="BF44" i="5"/>
  <c r="BF18" i="5"/>
  <c r="BG18" i="5"/>
  <c r="BG25" i="5"/>
  <c r="BF42" i="5"/>
  <c r="BG42" i="5"/>
  <c r="BG36" i="5"/>
  <c r="BF36" i="5"/>
  <c r="BG9" i="5"/>
  <c r="BH9" i="5" s="1"/>
  <c r="BD51" i="5"/>
  <c r="BF41" i="5"/>
  <c r="BE21" i="5"/>
  <c r="BG12" i="5"/>
  <c r="BG10" i="5"/>
  <c r="BE46" i="5"/>
  <c r="BG11" i="5"/>
  <c r="BF15" i="5"/>
  <c r="BG41" i="5"/>
  <c r="BE51" i="5"/>
  <c r="BG52" i="5"/>
  <c r="BF23" i="5"/>
  <c r="BF37" i="5"/>
  <c r="BG37" i="5"/>
  <c r="BD17" i="5"/>
  <c r="BD34" i="5"/>
  <c r="BG34" i="5"/>
  <c r="BG48" i="5"/>
  <c r="BD23" i="5"/>
  <c r="BD14" i="5"/>
  <c r="BE49" i="5"/>
  <c r="BF14" i="5"/>
  <c r="BE32" i="5"/>
  <c r="BF32" i="5"/>
  <c r="BE29" i="5"/>
  <c r="BG51" i="5"/>
  <c r="BD53" i="5"/>
  <c r="BD46" i="5"/>
  <c r="BG32" i="5"/>
  <c r="BF34" i="5"/>
  <c r="BE24" i="5"/>
  <c r="BG21" i="5"/>
  <c r="BD27" i="5"/>
  <c r="BG47" i="5"/>
  <c r="BE45" i="5"/>
  <c r="BD50" i="5"/>
  <c r="BD48" i="5"/>
  <c r="BE48" i="5"/>
  <c r="BG39" i="5"/>
  <c r="BF29" i="5"/>
  <c r="BG26" i="5"/>
  <c r="BD32" i="5"/>
  <c r="BC32" i="5"/>
  <c r="BD37" i="5"/>
  <c r="BE14" i="5"/>
  <c r="BG19" i="5"/>
  <c r="BG31" i="5"/>
  <c r="BE31" i="5"/>
  <c r="BD21" i="5"/>
  <c r="BG27" i="5"/>
  <c r="BF17" i="5"/>
  <c r="BD30" i="5"/>
  <c r="BD31" i="5"/>
  <c r="BD41" i="5"/>
  <c r="BD19" i="5"/>
  <c r="BG49" i="5"/>
  <c r="BF46" i="5"/>
  <c r="BD52" i="5"/>
  <c r="BF53" i="5"/>
  <c r="BG46" i="5"/>
  <c r="BE52" i="5"/>
  <c r="BF47" i="5"/>
  <c r="BF48" i="5"/>
  <c r="BC48" i="5"/>
  <c r="BD47" i="5"/>
  <c r="BE23" i="5"/>
  <c r="BE12" i="5"/>
  <c r="BF13" i="5"/>
  <c r="BD15" i="5"/>
  <c r="BD38" i="5"/>
  <c r="BE20" i="5"/>
  <c r="BE27" i="5"/>
  <c r="BE19" i="5"/>
  <c r="BF26" i="5"/>
  <c r="BD26" i="5"/>
  <c r="BE30" i="5"/>
  <c r="BE10" i="5"/>
  <c r="BD29" i="5"/>
  <c r="BF38" i="5"/>
  <c r="BE13" i="5"/>
  <c r="BG20" i="5"/>
  <c r="BG29" i="5"/>
  <c r="BC29" i="5"/>
  <c r="BE17" i="5"/>
  <c r="BG24" i="5"/>
  <c r="BE11" i="5"/>
  <c r="BE43" i="5"/>
  <c r="BG22" i="5"/>
  <c r="BG17" i="5"/>
  <c r="BC17" i="5"/>
  <c r="BG15" i="5"/>
  <c r="BD24" i="5"/>
  <c r="BD22" i="5"/>
  <c r="BE50" i="5"/>
  <c r="BD45" i="5"/>
  <c r="BE47" i="5"/>
  <c r="BC47" i="5"/>
  <c r="BF51" i="5"/>
  <c r="BC51" i="5"/>
  <c r="BF22" i="5"/>
  <c r="BG38" i="5"/>
  <c r="BE37" i="5"/>
  <c r="BC37" i="5"/>
  <c r="BE41" i="5"/>
  <c r="BC41" i="5"/>
  <c r="BG13" i="5"/>
  <c r="BG43" i="5"/>
  <c r="BG23" i="5"/>
  <c r="BC23" i="5"/>
  <c r="BF31" i="5"/>
  <c r="BC31" i="5"/>
  <c r="BG16" i="5"/>
  <c r="BF21" i="5"/>
  <c r="BC21" i="5"/>
  <c r="BC46" i="5"/>
  <c r="BD49" i="5"/>
  <c r="BE53" i="5"/>
  <c r="BF52" i="5"/>
  <c r="BC52" i="5"/>
  <c r="BF50" i="5"/>
  <c r="BG53" i="5"/>
  <c r="BC53" i="5"/>
  <c r="BF49" i="5"/>
  <c r="BC49" i="5"/>
  <c r="BF45" i="5"/>
  <c r="BG50" i="5"/>
  <c r="BC50" i="5"/>
  <c r="BG45" i="5"/>
  <c r="BC45" i="5"/>
  <c r="BF24" i="5"/>
  <c r="BC24" i="5"/>
  <c r="BD20" i="5"/>
  <c r="BF39" i="5"/>
  <c r="BF43" i="5"/>
  <c r="BD12" i="5"/>
  <c r="BC12" i="5"/>
  <c r="BE22" i="5"/>
  <c r="BC22" i="5"/>
  <c r="BE26" i="5"/>
  <c r="BC26" i="5"/>
  <c r="BG14" i="5"/>
  <c r="BC14" i="5"/>
  <c r="BE39" i="5"/>
  <c r="BF19" i="5"/>
  <c r="BC19" i="5"/>
  <c r="BE15" i="5"/>
  <c r="BC15" i="5"/>
  <c r="BF27" i="5"/>
  <c r="BC27" i="5"/>
  <c r="BD39" i="5"/>
  <c r="BC39" i="5"/>
  <c r="BF20" i="5"/>
  <c r="BC20" i="5"/>
  <c r="BF11" i="5"/>
  <c r="BF16" i="5"/>
  <c r="BE34" i="5"/>
  <c r="BC34" i="5"/>
  <c r="BD13" i="5"/>
  <c r="BC13" i="5"/>
  <c r="BD10" i="5"/>
  <c r="BC10" i="5"/>
  <c r="BE16" i="5"/>
  <c r="BD11" i="5"/>
  <c r="BC11" i="5"/>
  <c r="BD43" i="5"/>
  <c r="BC43" i="5"/>
  <c r="BE38" i="5"/>
  <c r="BC38" i="5"/>
  <c r="BG30" i="5"/>
  <c r="BF30" i="5"/>
  <c r="BC30" i="5"/>
  <c r="BD16" i="5"/>
  <c r="BC16" i="5"/>
  <c r="BH46" i="5" l="1"/>
  <c r="BH45" i="5"/>
  <c r="BH25" i="5"/>
  <c r="BH44" i="5"/>
  <c r="BH18" i="5"/>
  <c r="BH36" i="5"/>
  <c r="BH33" i="5"/>
  <c r="BH42" i="5"/>
  <c r="BH35" i="5"/>
  <c r="BH28" i="5"/>
  <c r="BH38" i="5"/>
  <c r="BH26" i="5"/>
  <c r="BH43" i="5"/>
  <c r="BH14" i="5"/>
  <c r="BH21" i="5"/>
  <c r="BH12" i="5"/>
  <c r="BH11" i="5"/>
  <c r="BH30" i="5"/>
  <c r="BH13" i="5"/>
  <c r="BH39" i="5"/>
  <c r="BH15" i="5"/>
  <c r="BH24" i="5"/>
  <c r="BH31" i="5"/>
  <c r="BH37" i="5"/>
  <c r="BH29" i="5"/>
  <c r="BH32" i="5"/>
  <c r="BH17" i="5"/>
  <c r="BH22" i="5"/>
  <c r="BH16" i="5"/>
  <c r="BH10" i="5"/>
  <c r="BH34" i="5"/>
  <c r="BH20" i="5"/>
  <c r="BH27" i="5"/>
  <c r="BH19" i="5"/>
  <c r="BH23" i="5"/>
  <c r="BH41" i="5"/>
  <c r="BI9" i="5" l="1"/>
  <c r="BI18" i="5"/>
  <c r="BI35" i="5"/>
  <c r="BI42" i="5"/>
  <c r="BI33" i="5"/>
  <c r="BI25" i="5"/>
  <c r="BI36" i="5"/>
  <c r="BI28" i="5"/>
  <c r="BI44" i="5"/>
  <c r="BI40" i="5"/>
  <c r="BI11" i="5"/>
  <c r="BI30" i="5"/>
  <c r="BI39" i="5"/>
  <c r="BI32" i="5"/>
  <c r="BI46" i="5"/>
  <c r="BI48" i="5"/>
  <c r="BI43" i="5"/>
  <c r="BI23" i="5"/>
  <c r="BI17" i="5"/>
  <c r="BI20" i="5"/>
  <c r="BI38" i="5"/>
  <c r="BI26" i="5"/>
  <c r="BI50" i="5"/>
  <c r="BI53" i="5"/>
  <c r="BI47" i="5"/>
  <c r="BI29" i="5"/>
  <c r="BI24" i="5"/>
  <c r="BI27" i="5"/>
  <c r="BI52" i="5"/>
  <c r="BI31" i="5"/>
  <c r="BI22" i="5"/>
  <c r="BI13" i="5"/>
  <c r="BI41" i="5"/>
  <c r="BI34" i="5"/>
  <c r="BI19" i="5"/>
  <c r="BI14" i="5"/>
  <c r="BI10" i="5"/>
  <c r="BI15" i="5"/>
  <c r="BI21" i="5"/>
  <c r="BI51" i="5"/>
  <c r="BI37" i="5"/>
  <c r="BI16" i="5"/>
  <c r="BI45" i="5"/>
  <c r="BI49" i="5"/>
  <c r="BI12" i="5"/>
  <c r="DA45" i="16" l="1"/>
  <c r="DA46" i="16" l="1"/>
</calcChain>
</file>

<file path=xl/sharedStrings.xml><?xml version="1.0" encoding="utf-8"?>
<sst xmlns="http://schemas.openxmlformats.org/spreadsheetml/2006/main" count="1748" uniqueCount="751">
  <si>
    <t>ที่</t>
  </si>
  <si>
    <t>สาระการเรียนรู้พื้นฐาน</t>
  </si>
  <si>
    <t>สาระการเรียนรู้เพิ่มเติม</t>
  </si>
  <si>
    <t>ลำดับที่</t>
  </si>
  <si>
    <t>คะแนนรวม</t>
  </si>
  <si>
    <t>คะแนนต่ำสุด</t>
  </si>
  <si>
    <t>คะแนนสูงสุด</t>
  </si>
  <si>
    <t>คะแนนเฉลี่ย</t>
  </si>
  <si>
    <t>เฉลี่ยร้อยละ</t>
  </si>
  <si>
    <t>ลงชื่อ</t>
  </si>
  <si>
    <t>ครูประจำชั้น</t>
  </si>
  <si>
    <t>เกรดเฉลี่ย</t>
  </si>
  <si>
    <t>สรุปผลการประเมิน</t>
  </si>
  <si>
    <t>เทศบาลเมืองราชบุรี  จังหวัดราชบุรี</t>
  </si>
  <si>
    <t>ชั้น</t>
  </si>
  <si>
    <t>ปีการศึกษา</t>
  </si>
  <si>
    <t>ภาคเรียนที่</t>
  </si>
  <si>
    <t>รหัสวิชา</t>
  </si>
  <si>
    <t>รายวิชา</t>
  </si>
  <si>
    <t>หมายเหตุ</t>
  </si>
  <si>
    <t>รายวิชาพื้นฐาน</t>
  </si>
  <si>
    <t>หน่วยกิต</t>
  </si>
  <si>
    <t>ชม.</t>
  </si>
  <si>
    <t>รายวิชาเพิ่มเติม</t>
  </si>
  <si>
    <t>กิจกรรมพัฒนาผู้เรียน</t>
  </si>
  <si>
    <t>(สำหรับครูประจำชั้น)</t>
  </si>
  <si>
    <t>รองผู้อำนวยการ</t>
  </si>
  <si>
    <t>ผู้อำนวยการ</t>
  </si>
  <si>
    <t/>
  </si>
  <si>
    <t>มส</t>
  </si>
  <si>
    <t>ชื่อ - สกุล</t>
  </si>
  <si>
    <t>ผลคูณ</t>
  </si>
  <si>
    <t>วัดผล</t>
  </si>
  <si>
    <t>วันที่</t>
  </si>
  <si>
    <t>เดือน</t>
  </si>
  <si>
    <t>พ.ศ.</t>
  </si>
  <si>
    <t>วันอนุมัติผลการเรียน</t>
  </si>
  <si>
    <t>แบบบันทึกผลการพัฒนาคุณภาพผู้เรียนระดับชั้นเรียน (ปถ.07 บ)</t>
  </si>
  <si>
    <t>ü</t>
  </si>
  <si>
    <t>û</t>
  </si>
  <si>
    <r>
      <t>พัฒนาโดย</t>
    </r>
    <r>
      <rPr>
        <sz val="20"/>
        <rFont val="TH SarabunPSK"/>
        <family val="2"/>
      </rPr>
      <t xml:space="preserve">      นางกิติยา  มิดเดิลตัน</t>
    </r>
  </si>
  <si>
    <t>ท21102</t>
  </si>
  <si>
    <t>ภาษาไทย 2</t>
  </si>
  <si>
    <t>ค21102</t>
  </si>
  <si>
    <t>คณิตศาสตร์ 2</t>
  </si>
  <si>
    <t>ว21103</t>
  </si>
  <si>
    <t>วิทยาศาสตร์ 2</t>
  </si>
  <si>
    <t>ว21104</t>
  </si>
  <si>
    <t>วิทยาการคำนวณ 2</t>
  </si>
  <si>
    <t>ส21103</t>
  </si>
  <si>
    <t>สังคมศึกษา ศาสนา และวัฒนธรรม 2</t>
  </si>
  <si>
    <t>ส21104</t>
  </si>
  <si>
    <t>ประวัติศาสตร์ 2</t>
  </si>
  <si>
    <t>พ21103</t>
  </si>
  <si>
    <t>สุขศึกษา 2</t>
  </si>
  <si>
    <t>พ21104</t>
  </si>
  <si>
    <t>พลศึกษา 2</t>
  </si>
  <si>
    <t>ศ21102</t>
  </si>
  <si>
    <t>ศิลปะ 2</t>
  </si>
  <si>
    <t>ง21102</t>
  </si>
  <si>
    <t>อ21102</t>
  </si>
  <si>
    <t>ส21232</t>
  </si>
  <si>
    <t>ศ21206</t>
  </si>
  <si>
    <t>ศ21208</t>
  </si>
  <si>
    <t>หน้าที่พลเมือง 2</t>
  </si>
  <si>
    <t>ศิลปะสร้างสรรค์ 2</t>
  </si>
  <si>
    <t>ขลุ่ย 2</t>
  </si>
  <si>
    <t>มินิมาราธอน 2</t>
  </si>
  <si>
    <t>ฟุตบอล 2</t>
  </si>
  <si>
    <t>ดนตรีไทย 2 (ระนาดเอก)</t>
  </si>
  <si>
    <t>ดนตรีสากล 2 (กีตาร์)</t>
  </si>
  <si>
    <t>ประติมากรรม 2</t>
  </si>
  <si>
    <t>พ21204</t>
  </si>
  <si>
    <t>พ21206</t>
  </si>
  <si>
    <t>ศ21210</t>
  </si>
  <si>
    <t>ศ21212</t>
  </si>
  <si>
    <t>ศ21214</t>
  </si>
  <si>
    <t>ศ21216</t>
  </si>
  <si>
    <t>ย้าย</t>
  </si>
  <si>
    <t>-</t>
  </si>
  <si>
    <t xml:space="preserve">กรณีที่ไม่มีผู้ดำรงตำแหน่งรองผู้อำนวยการ ให้เว้นว่างที่ช่องนี้ </t>
  </si>
  <si>
    <t>รายวิชาทั้งหมด ระดับมัธยมศึกษาตอนต้น</t>
  </si>
  <si>
    <t>ชื่อวิชา</t>
  </si>
  <si>
    <t>SBMLD</t>
  </si>
  <si>
    <t>เพิ่มเติม</t>
  </si>
  <si>
    <t>ง20201</t>
  </si>
  <si>
    <t>ขนมไทย</t>
  </si>
  <si>
    <t>มัธยมศึกษาปีที่ 1-3</t>
  </si>
  <si>
    <t>ง20202</t>
  </si>
  <si>
    <t>มัดย้อม</t>
  </si>
  <si>
    <t>ท21201</t>
  </si>
  <si>
    <t>การใช้ห้องสมุด 1</t>
  </si>
  <si>
    <t>มัธยมศึกษาปีที่ 1</t>
  </si>
  <si>
    <t>ท21202</t>
  </si>
  <si>
    <t>การใช้ห้องสมุด 2</t>
  </si>
  <si>
    <t>ท21203</t>
  </si>
  <si>
    <t>สนุกคิดลิขิตภาษา 1</t>
  </si>
  <si>
    <t>ท21204</t>
  </si>
  <si>
    <t>สนุกคิดลิขิตภาษา 2</t>
  </si>
  <si>
    <t>ท21205</t>
  </si>
  <si>
    <t>ยุวบรรณารักษ์ 1</t>
  </si>
  <si>
    <t>ท21206</t>
  </si>
  <si>
    <t>ยุวบรรณารักษ์ 2</t>
  </si>
  <si>
    <t>อ21201</t>
  </si>
  <si>
    <t xml:space="preserve">ภาษาอังกฤษอ่าน-เขียน 1 </t>
  </si>
  <si>
    <t>อ21202</t>
  </si>
  <si>
    <t>ภาษาอังกฤษอ่าน-เขียน 2</t>
  </si>
  <si>
    <t>อ21203</t>
  </si>
  <si>
    <t xml:space="preserve">ภาษาอังกฤษเพื่อการสื่อสาร 1 </t>
  </si>
  <si>
    <t>อ21204</t>
  </si>
  <si>
    <t>ภาษาอังกฤษเพื่อการสื่อสาร 2</t>
  </si>
  <si>
    <t>ว21201</t>
  </si>
  <si>
    <t xml:space="preserve">สนุกกับอุปกรณ์วิทยาศาสตร์ </t>
  </si>
  <si>
    <t>ว21202</t>
  </si>
  <si>
    <t xml:space="preserve">ของเล่นเชิงวิทยาศาสตร์ </t>
  </si>
  <si>
    <t>ว21203</t>
  </si>
  <si>
    <t xml:space="preserve">ซอฟต์แวร์ประยุกต์ </t>
  </si>
  <si>
    <t>ว21204</t>
  </si>
  <si>
    <t>การสร้างงานนำเสนอ</t>
  </si>
  <si>
    <t>ว21205</t>
  </si>
  <si>
    <t>คอมพิวเตอร์ 1</t>
  </si>
  <si>
    <t>ว21206</t>
  </si>
  <si>
    <t>คอมพิวเตอร์ 2</t>
  </si>
  <si>
    <t>ว21207</t>
  </si>
  <si>
    <t>คอมพิวเตอร์เพื่องานอาชีพ</t>
  </si>
  <si>
    <t>ว21208</t>
  </si>
  <si>
    <t>การใช้โปรแกรม Microsoft Excel</t>
  </si>
  <si>
    <t>ส21201</t>
  </si>
  <si>
    <t>พระพุทธศาสนา 1</t>
  </si>
  <si>
    <t>ส21202</t>
  </si>
  <si>
    <t>พระพุทธศาสนา 2</t>
  </si>
  <si>
    <t>ส21231</t>
  </si>
  <si>
    <t>หน้าที่พลเมือง 1</t>
  </si>
  <si>
    <t>พ21201</t>
  </si>
  <si>
    <t>ฟุตซอล 1</t>
  </si>
  <si>
    <t>พ21202</t>
  </si>
  <si>
    <t>เทเบิลเทนนิส 1</t>
  </si>
  <si>
    <t>พ21203</t>
  </si>
  <si>
    <t>มินิมาราธอน 1</t>
  </si>
  <si>
    <t>พ21205</t>
  </si>
  <si>
    <t>ฟุตบอล 1</t>
  </si>
  <si>
    <t>ศ21201</t>
  </si>
  <si>
    <t>ลีลาเส้น 1</t>
  </si>
  <si>
    <t>ศ21202</t>
  </si>
  <si>
    <t>ลีลาเส้น 2</t>
  </si>
  <si>
    <t>ศ21203</t>
  </si>
  <si>
    <t>ปฏิบัติรวมวงปี่พาทย์ 1</t>
  </si>
  <si>
    <t>ศ21204</t>
  </si>
  <si>
    <t>ปฏิบัติรวมวงปี่พาทย์ 2</t>
  </si>
  <si>
    <t>ศ21205</t>
  </si>
  <si>
    <t>ศิลปะสร้างสรรค์ 1</t>
  </si>
  <si>
    <t>ศ21207</t>
  </si>
  <si>
    <t>ขลุ่ย 1</t>
  </si>
  <si>
    <t>ศ21209</t>
  </si>
  <si>
    <t>ดนตรีไทย 1 (ระนาดเอก)</t>
  </si>
  <si>
    <t>ศ21211</t>
  </si>
  <si>
    <t>ดนตรีสากล 1 (กีตาร์)</t>
  </si>
  <si>
    <t>ศ21213</t>
  </si>
  <si>
    <t>การแสดงประกอบเพลง 1</t>
  </si>
  <si>
    <t>การแสดงประกอบเพลง 2</t>
  </si>
  <si>
    <t>ศ21215</t>
  </si>
  <si>
    <t>ประติมากรรม 1</t>
  </si>
  <si>
    <t>ง21203</t>
  </si>
  <si>
    <t>งานไฟฟ้าและอิเล็กทรอนิกส์เบื้องต้น</t>
  </si>
  <si>
    <t>ง21204</t>
  </si>
  <si>
    <t>การประดิษฐ์ของชำร่วยฯ</t>
  </si>
  <si>
    <t>ง21207</t>
  </si>
  <si>
    <t>งานซ่อมจักรยานและจักรยานยนต์เบื้องต้น</t>
  </si>
  <si>
    <t>ง21208</t>
  </si>
  <si>
    <t>งานซ่อมเครื่องใช้ไฟฟ้า</t>
  </si>
  <si>
    <t>ง21209</t>
  </si>
  <si>
    <t>อุปกรณ์อิเล็กทรอนิกส์และวงจร</t>
  </si>
  <si>
    <t>ง21210</t>
  </si>
  <si>
    <t>ผลิตภัณฑ์จากผ้า</t>
  </si>
  <si>
    <t>ง21211</t>
  </si>
  <si>
    <t>อาชีวอนามัยและความปลอดภัย 1</t>
  </si>
  <si>
    <t>ง21212</t>
  </si>
  <si>
    <t>อาชีวอนามัยและความปลอดภัย 2</t>
  </si>
  <si>
    <t>ง21213</t>
  </si>
  <si>
    <t>การประดิษฐ์ผลิตภัณฑ์จากผ้า 1</t>
  </si>
  <si>
    <t>ง21214</t>
  </si>
  <si>
    <t>การประดิษฐ์ผลิตภัณฑ์จากผ้า 2</t>
  </si>
  <si>
    <t>ง21215</t>
  </si>
  <si>
    <t>ขนมไทย 1</t>
  </si>
  <si>
    <t>ง21216</t>
  </si>
  <si>
    <t>ขนมไทย 2</t>
  </si>
  <si>
    <t>ท21101</t>
  </si>
  <si>
    <t>ภาษาไทย 1</t>
  </si>
  <si>
    <t>พื้นฐาน</t>
  </si>
  <si>
    <t>ค21101</t>
  </si>
  <si>
    <t>คณิตศาสตร์ 1</t>
  </si>
  <si>
    <t>ว21101</t>
  </si>
  <si>
    <t>วิทยาศาสตร์ 1</t>
  </si>
  <si>
    <t>ว21102</t>
  </si>
  <si>
    <t>วิทยาการคำนวณ 1</t>
  </si>
  <si>
    <t>ส21101</t>
  </si>
  <si>
    <t>สังคมศึกษา ศาสนา และวัฒนธรรม 1</t>
  </si>
  <si>
    <t>ส21102</t>
  </si>
  <si>
    <t>ประวัติศาสตร์ 1</t>
  </si>
  <si>
    <t>พ21101</t>
  </si>
  <si>
    <t>สุขศึกษา 1</t>
  </si>
  <si>
    <t>พ21102</t>
  </si>
  <si>
    <t>พลศึกษา 1</t>
  </si>
  <si>
    <t>ศ21101</t>
  </si>
  <si>
    <t>ศิลปะ 1</t>
  </si>
  <si>
    <t>อ21101</t>
  </si>
  <si>
    <t>ภาษาต่างประเทศ (ภาษาอังกฤษ) 1</t>
  </si>
  <si>
    <t>ภาษาต่างประเทศ (ภาษาอังกฤษ) 2</t>
  </si>
  <si>
    <t>ง21101</t>
  </si>
  <si>
    <t>การงาน อาชีพ 1</t>
  </si>
  <si>
    <t>การงาน อาชีพ 2</t>
  </si>
  <si>
    <t>ท22201</t>
  </si>
  <si>
    <t>สนุกคิดลิขิตภาษา 3</t>
  </si>
  <si>
    <t>มัธยมศึกษาปีที่ 2</t>
  </si>
  <si>
    <t>ท22202</t>
  </si>
  <si>
    <t>สนุกคิดลิขิตภาษา 4</t>
  </si>
  <si>
    <t>ท22203</t>
  </si>
  <si>
    <t>ยุวบรรณารักษ์ 3</t>
  </si>
  <si>
    <t>ท22204</t>
  </si>
  <si>
    <t>ยุวบรรณารักษ์ 4</t>
  </si>
  <si>
    <t>ว22201</t>
  </si>
  <si>
    <t>โครงงานวิทยาศาสตร์ 1</t>
  </si>
  <si>
    <t>ว22202</t>
  </si>
  <si>
    <t>โครงงานวิทยาศาสตร์ 2</t>
  </si>
  <si>
    <t>ว22203</t>
  </si>
  <si>
    <t>กราฟิกและเทคโนโลยีสื่อประสม</t>
  </si>
  <si>
    <t>ว22204</t>
  </si>
  <si>
    <t>การจัดการข้อมูลเบื้องต้น</t>
  </si>
  <si>
    <t>ว22205</t>
  </si>
  <si>
    <t>คอมพิวเตอร์ 3</t>
  </si>
  <si>
    <t>ว22206</t>
  </si>
  <si>
    <t>คอมพิวเตอร์ 4</t>
  </si>
  <si>
    <t>ว22207</t>
  </si>
  <si>
    <t>การใช้โปรแกรม Adobe Photoshop</t>
  </si>
  <si>
    <t>ว22208</t>
  </si>
  <si>
    <t>การใช้โปรแกรม Adobe Flash</t>
  </si>
  <si>
    <t>ส22201</t>
  </si>
  <si>
    <t>พระพุทธศาสนา 3</t>
  </si>
  <si>
    <t>ส22202</t>
  </si>
  <si>
    <t>พระพุทธศาสนา 4</t>
  </si>
  <si>
    <t>ส22203</t>
  </si>
  <si>
    <t>อาเซียนศึกษา 1</t>
  </si>
  <si>
    <t>ส22204</t>
  </si>
  <si>
    <t>อาเซียนศึกษา 2</t>
  </si>
  <si>
    <t>ส22233</t>
  </si>
  <si>
    <t>หน้าที่พลเมือง 3</t>
  </si>
  <si>
    <t>ส22234</t>
  </si>
  <si>
    <t>หน้าที่พลเมือง 4</t>
  </si>
  <si>
    <t>พ22201</t>
  </si>
  <si>
    <t>การนวดเบื้องต้น</t>
  </si>
  <si>
    <t>พ22202</t>
  </si>
  <si>
    <t>มินิมาราธอน 3</t>
  </si>
  <si>
    <t>พ22203</t>
  </si>
  <si>
    <t>มินิมาราธอน 4</t>
  </si>
  <si>
    <t>พ22204</t>
  </si>
  <si>
    <t>ฟุตบอล 3</t>
  </si>
  <si>
    <t>พ22205</t>
  </si>
  <si>
    <t>ฟุตบอล 4</t>
  </si>
  <si>
    <t>ศ22201</t>
  </si>
  <si>
    <t>จิตรกรรม 1</t>
  </si>
  <si>
    <t>ศ22202</t>
  </si>
  <si>
    <t>จิตรกรรม 2</t>
  </si>
  <si>
    <t>ศ22203</t>
  </si>
  <si>
    <t>ปฏิบัติรวมวงเครื่องสาย 1</t>
  </si>
  <si>
    <t>ศ22204</t>
  </si>
  <si>
    <t>ปฏิบัติรวมวงเครื่องสาย 2</t>
  </si>
  <si>
    <t>ศ22205</t>
  </si>
  <si>
    <t xml:space="preserve">การแสดงพื้นเมือง </t>
  </si>
  <si>
    <t>ศ22206</t>
  </si>
  <si>
    <t>ดนตรีไทย 3 (ระนาดเอก)</t>
  </si>
  <si>
    <t>ศ22207</t>
  </si>
  <si>
    <t>ดนตรีไทย 4 (ระนาดเอก)</t>
  </si>
  <si>
    <t>ศ22208</t>
  </si>
  <si>
    <t>ดนตรีสากล 3 (กีตาร์)</t>
  </si>
  <si>
    <t>ศ22209</t>
  </si>
  <si>
    <t>ดนตรีสากล 4 (กีตาร์)</t>
  </si>
  <si>
    <t>ศ22210</t>
  </si>
  <si>
    <t>การแสดงประกอบเพลง 3</t>
  </si>
  <si>
    <t>ศ22211</t>
  </si>
  <si>
    <t>การแสดงประกอบเพลง 4</t>
  </si>
  <si>
    <t>ศ22212</t>
  </si>
  <si>
    <t>ประติมากรรม 3</t>
  </si>
  <si>
    <t>ศ22213</t>
  </si>
  <si>
    <t>ประติมากรรม 4</t>
  </si>
  <si>
    <t>ง22205</t>
  </si>
  <si>
    <t>การทำขนมไทย</t>
  </si>
  <si>
    <t>ง22206</t>
  </si>
  <si>
    <t>การทำอาหารไทย</t>
  </si>
  <si>
    <t>ง22207</t>
  </si>
  <si>
    <t>การทำขนมอบประเภทคุกกี้และเค้ก</t>
  </si>
  <si>
    <t>ง22208</t>
  </si>
  <si>
    <t>การขยายพันธุ์พืชและสวนถาด</t>
  </si>
  <si>
    <t>ง22209</t>
  </si>
  <si>
    <t>วงจรไฟฟ้ากระแสตรง</t>
  </si>
  <si>
    <t>ง22210</t>
  </si>
  <si>
    <t>การขับขี่จักรยานยนต์เบื้องต้น</t>
  </si>
  <si>
    <t>ง22211</t>
  </si>
  <si>
    <t>งานใบตองและแกะสลักเพื่องานโรงแรม</t>
  </si>
  <si>
    <t>ง22212</t>
  </si>
  <si>
    <t>อาหารว่าง</t>
  </si>
  <si>
    <t>ง22213</t>
  </si>
  <si>
    <t>การประดิษฐ์ผลิตภัณฑ์จากผ้า 3</t>
  </si>
  <si>
    <t>ง22214</t>
  </si>
  <si>
    <t>ขนมไทย 3</t>
  </si>
  <si>
    <t>ง22215</t>
  </si>
  <si>
    <t>ขนมไทย 4</t>
  </si>
  <si>
    <t>ท22101</t>
  </si>
  <si>
    <t>ภาษาไทย 3</t>
  </si>
  <si>
    <t>ท22102</t>
  </si>
  <si>
    <t>ภาษาไทย 4</t>
  </si>
  <si>
    <t>ค22101</t>
  </si>
  <si>
    <t>คณิตศาสตร์ 3</t>
  </si>
  <si>
    <t>ค22102</t>
  </si>
  <si>
    <t>คณิตศาสตร์ 4</t>
  </si>
  <si>
    <t>ว22101</t>
  </si>
  <si>
    <t>วิทยาศาสตร์ 3</t>
  </si>
  <si>
    <t>ว22102</t>
  </si>
  <si>
    <t>วิทยาการคำนวณ 3</t>
  </si>
  <si>
    <t>ว22103</t>
  </si>
  <si>
    <t>วิทยาศาสตร์ 4</t>
  </si>
  <si>
    <t>ว22104</t>
  </si>
  <si>
    <t>วิทยาการคำนวณ 4</t>
  </si>
  <si>
    <t>ส22101</t>
  </si>
  <si>
    <t>สังคมศึกษา ศาสนา และวัฒนธรรม 3</t>
  </si>
  <si>
    <t>ส22102</t>
  </si>
  <si>
    <t>ประวัติศาสตร์ 3</t>
  </si>
  <si>
    <t>ส22103</t>
  </si>
  <si>
    <t>สังคมศึกษา ศาสนา และวัฒนธรรม 4</t>
  </si>
  <si>
    <t>ส22104</t>
  </si>
  <si>
    <t>ประวัติศาสตร์ 4</t>
  </si>
  <si>
    <t>พ22101</t>
  </si>
  <si>
    <t>สุขศึกษา 3</t>
  </si>
  <si>
    <t>พ22102</t>
  </si>
  <si>
    <t>พลศึกษา 3</t>
  </si>
  <si>
    <t>พ22103</t>
  </si>
  <si>
    <t>สุขศึกษา 4</t>
  </si>
  <si>
    <t>พ22104</t>
  </si>
  <si>
    <t>พลศึกษา 4</t>
  </si>
  <si>
    <t>ศ22101</t>
  </si>
  <si>
    <t>ศิลปะ 3</t>
  </si>
  <si>
    <t>ศ22102</t>
  </si>
  <si>
    <t>ศิลปะ 4</t>
  </si>
  <si>
    <t>ง22101</t>
  </si>
  <si>
    <t>การงาน อาชีพ 3</t>
  </si>
  <si>
    <t>ง22102</t>
  </si>
  <si>
    <t>การงาน อาชีพ 4</t>
  </si>
  <si>
    <t>ท23101</t>
  </si>
  <si>
    <t>ภาษาไทย 5</t>
  </si>
  <si>
    <t>มัธยมศึกษาปีที่ 3</t>
  </si>
  <si>
    <t>ท23102</t>
  </si>
  <si>
    <t>ภาษาไทย 6</t>
  </si>
  <si>
    <t>ค23101</t>
  </si>
  <si>
    <t>คณิตศาสตร์ 5</t>
  </si>
  <si>
    <t>ค23102</t>
  </si>
  <si>
    <t>คณิตศาสตร์ 6</t>
  </si>
  <si>
    <t>ว23101</t>
  </si>
  <si>
    <t>วิทยาศาสตร์ 5</t>
  </si>
  <si>
    <t>ว23102</t>
  </si>
  <si>
    <t>วิทยาการคำนวณ 5</t>
  </si>
  <si>
    <t>ว23103</t>
  </si>
  <si>
    <t>วิทยาศาสตร์ 6</t>
  </si>
  <si>
    <t>ว23104</t>
  </si>
  <si>
    <t>วิทยาการคำนวณ 6</t>
  </si>
  <si>
    <t>ส23101</t>
  </si>
  <si>
    <t>สังคมศึกษา ศาสนา และวัฒนธรรม 5</t>
  </si>
  <si>
    <t>ส23102</t>
  </si>
  <si>
    <t>ประวัติศาสตร์ 5</t>
  </si>
  <si>
    <t>ส23103</t>
  </si>
  <si>
    <t>สังคมศึกษา ศาสนา และวัฒนธรรม 6</t>
  </si>
  <si>
    <t>ส23104</t>
  </si>
  <si>
    <t>ประวัติศาสตร์ 6</t>
  </si>
  <si>
    <t>พ23101</t>
  </si>
  <si>
    <t>สุขศึกษา 5</t>
  </si>
  <si>
    <t>พ23102</t>
  </si>
  <si>
    <t>พลศึกษา 5</t>
  </si>
  <si>
    <t>พ23103</t>
  </si>
  <si>
    <t>สุขศึกษา 6</t>
  </si>
  <si>
    <t>พ23104</t>
  </si>
  <si>
    <t>พลศึกษา 6</t>
  </si>
  <si>
    <t>ศ23101</t>
  </si>
  <si>
    <t>ศิลปะ 5</t>
  </si>
  <si>
    <t>ศ23102</t>
  </si>
  <si>
    <t>ศิลปะ 6</t>
  </si>
  <si>
    <t>ง23101</t>
  </si>
  <si>
    <t>การงาน อาชีพ 5</t>
  </si>
  <si>
    <t>ง23102</t>
  </si>
  <si>
    <t>การงาน อาชีพ 6</t>
  </si>
  <si>
    <t>อ22101</t>
  </si>
  <si>
    <t>ภาษาต่างประเทศ (ภาษาอังกฤษ) 3</t>
  </si>
  <si>
    <t>อ22102</t>
  </si>
  <si>
    <t>ภาษาต่างประเทศ (ภาษาอังกฤษ) 4</t>
  </si>
  <si>
    <t>อ23101</t>
  </si>
  <si>
    <t>ภาษาต่างประเทศ (ภาษาอังกฤษ) 5</t>
  </si>
  <si>
    <t>อ23102</t>
  </si>
  <si>
    <t>ภาษาต่างประเทศ (ภาษาอังกฤษ) 6</t>
  </si>
  <si>
    <t>ท23201</t>
  </si>
  <si>
    <t>สนุกคิดลิขิตภาษา 5</t>
  </si>
  <si>
    <t>ท23202</t>
  </si>
  <si>
    <t>สนุกคิดลิขิตภาษา 6</t>
  </si>
  <si>
    <t>ท23203</t>
  </si>
  <si>
    <t>ยุวบรรณารักษ์ 5</t>
  </si>
  <si>
    <t>ท23204</t>
  </si>
  <si>
    <t>ยุวบรรณารักษ์ 6</t>
  </si>
  <si>
    <t>ว23201</t>
  </si>
  <si>
    <t xml:space="preserve">พลังงานหมุนเวียน </t>
  </si>
  <si>
    <t>ว23202</t>
  </si>
  <si>
    <t xml:space="preserve">โลกทั้งระบบ </t>
  </si>
  <si>
    <t>ว23203</t>
  </si>
  <si>
    <t>การสร้างเว็บด้วย HTML</t>
  </si>
  <si>
    <t>ว23204</t>
  </si>
  <si>
    <t>การใช้โปรแกรม Adobe Dreamweaver</t>
  </si>
  <si>
    <t>ว23205</t>
  </si>
  <si>
    <t>คอมพิวเตอร์ 5</t>
  </si>
  <si>
    <t>ว23206</t>
  </si>
  <si>
    <t>คอมพิวเตอร์ 6</t>
  </si>
  <si>
    <t>ส23201</t>
  </si>
  <si>
    <t>พระพุทธศาสนา 5</t>
  </si>
  <si>
    <t>ส23202</t>
  </si>
  <si>
    <t>พระพุทธศาสนา 6</t>
  </si>
  <si>
    <t>ส23203</t>
  </si>
  <si>
    <t>รักษ์ท้องถิ่น 1</t>
  </si>
  <si>
    <t>ส23204</t>
  </si>
  <si>
    <t>รักษ์ท้องถิ่น 2</t>
  </si>
  <si>
    <t>ส23235</t>
  </si>
  <si>
    <t>หน้าที่พลเมือง 5</t>
  </si>
  <si>
    <t>ส23236</t>
  </si>
  <si>
    <t>หน้าที่พลเมือง 6</t>
  </si>
  <si>
    <t>พ23201</t>
  </si>
  <si>
    <t>การนวดฝ่าเท้า</t>
  </si>
  <si>
    <t>พ23202</t>
  </si>
  <si>
    <t>มินิมาราธอน 5</t>
  </si>
  <si>
    <t>พ23203</t>
  </si>
  <si>
    <t>มินิมาราธอน 6</t>
  </si>
  <si>
    <t>พ23204</t>
  </si>
  <si>
    <t>ฟุตบอล 5</t>
  </si>
  <si>
    <t>พ23205</t>
  </si>
  <si>
    <t>ฟุตบอล 6</t>
  </si>
  <si>
    <t>ศ23201</t>
  </si>
  <si>
    <t>ประติมากรรม 5</t>
  </si>
  <si>
    <t>ศ23202</t>
  </si>
  <si>
    <t>ประติมากรรม 6</t>
  </si>
  <si>
    <t>ศ23203</t>
  </si>
  <si>
    <t>ปฏิบัติรวมวงมโหรี 1</t>
  </si>
  <si>
    <t>ศ23204</t>
  </si>
  <si>
    <t>ปฏิบัติรวมวงมโหรี 2</t>
  </si>
  <si>
    <t>ศ23205</t>
  </si>
  <si>
    <t>ดนตรีไทย 5 (ระนาดเอก)</t>
  </si>
  <si>
    <t>ศ23206</t>
  </si>
  <si>
    <t>ดนตรีไทย 6 (ระนาดเอก)</t>
  </si>
  <si>
    <t>ศ23207</t>
  </si>
  <si>
    <t>ดนตรีสากล 5 (กีตาร์)</t>
  </si>
  <si>
    <t>ศ23208</t>
  </si>
  <si>
    <t>ดนตรีสากล 6 (กีตาร์)</t>
  </si>
  <si>
    <t>ศ23209</t>
  </si>
  <si>
    <t>การแสดงประกอบเพลง 5</t>
  </si>
  <si>
    <t>ศ23210</t>
  </si>
  <si>
    <t>การแสดงประกอบเพลง 6</t>
  </si>
  <si>
    <t>ง23203</t>
  </si>
  <si>
    <t>การเกษตรเพื่อการผลิตพืช</t>
  </si>
  <si>
    <t>ง23204</t>
  </si>
  <si>
    <t>การจัดการการผลิตพืช</t>
  </si>
  <si>
    <t>ง23205</t>
  </si>
  <si>
    <t>ขนมไทย 5</t>
  </si>
  <si>
    <t>ง23206</t>
  </si>
  <si>
    <t>ขนมไทย 6</t>
  </si>
  <si>
    <t>อ22201</t>
  </si>
  <si>
    <t>ภาษาอังกฤษอ่าน-เขียน 3</t>
  </si>
  <si>
    <t>อ22202</t>
  </si>
  <si>
    <t>ภาษาอังกฤษอ่าน-เขียน 4</t>
  </si>
  <si>
    <t>อ22203</t>
  </si>
  <si>
    <t>ภาษาอังกฤษเพื่อการสื่อสาร 3</t>
  </si>
  <si>
    <t>อ22204</t>
  </si>
  <si>
    <t>ภาษาอังกฤษเพื่อการสื่อสาร 4</t>
  </si>
  <si>
    <t>อ23201</t>
  </si>
  <si>
    <t xml:space="preserve">ภาษาอังกฤษอ่าน-เขียน 5 </t>
  </si>
  <si>
    <t>อ23202</t>
  </si>
  <si>
    <t>ภาษาอังกฤษอ่าน-เขียน 6</t>
  </si>
  <si>
    <t>อ23203</t>
  </si>
  <si>
    <t xml:space="preserve">ภาษาอังกฤษเพื่อการสื่อสาร 5 </t>
  </si>
  <si>
    <t>อ23204</t>
  </si>
  <si>
    <t>ภาษาอังกฤษเพื่อการสื่อสาร 6</t>
  </si>
  <si>
    <t>ปีการศึกษาที่เริ่มเรียน</t>
  </si>
  <si>
    <t>กรณีที่ไม่มีผู้ดำรงตำแหน่งผู้อำนวยการให้กรอกข้อมูลชื่อรองผู้อำนวยการในช่องนี้ด้วย</t>
  </si>
  <si>
    <t>บันทึกการเจริญเติบโต</t>
  </si>
  <si>
    <t>วันเดือนปี 
เกิด</t>
  </si>
  <si>
    <t>อายุ</t>
  </si>
  <si>
    <t>น้ำหนัก</t>
  </si>
  <si>
    <t>ส่วนสูง</t>
  </si>
  <si>
    <t xml:space="preserve">    ความคิดเห็นเกี่ยวกับนักเรียน</t>
  </si>
  <si>
    <t>ภาคเรียนที่ 1</t>
  </si>
  <si>
    <t>ภาคเรียนที่ 2</t>
  </si>
  <si>
    <t>หน้าที่รับผิดชอบ</t>
  </si>
  <si>
    <t>ความเอาใจใส่ต่อการเรียน</t>
  </si>
  <si>
    <t>ความมีระเบียบและมีวินัยในตนเอง</t>
  </si>
  <si>
    <t>ความขยันหมั่นเพียร</t>
  </si>
  <si>
    <t>ความมีคุณธรรม-จริยธรรม</t>
  </si>
  <si>
    <t>ความสัมพันธ์กับบุคคลรอบข้าง</t>
  </si>
  <si>
    <t>อุปนิสัยและบุคลิกภาพ</t>
  </si>
  <si>
    <t>ความคิดเห็นอื่นๆ</t>
  </si>
  <si>
    <t>มีความรับผิดชอบ มีน้ำใจ
มีมนุษยสัมพันธ์ดี ร่าเริงแจ่มใส
มีความเคารพต่อครู อาจารย์
ควรเอาใจใส่ต่อการเรียนมากขึ้น</t>
  </si>
  <si>
    <t>มีน้ำใจ  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</si>
  <si>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มีสุขภาพร่างกายแข็งแรง 
มีมนุษยสัมพันธ์ที่ดี
ผลการเรียนพอใช้
ควรเอาใจใส่ต่อการเรียนมากขึ้น</t>
  </si>
  <si>
    <t>มีมนุษยสัมพันธ์ที่ดี
มีความรับผิดชอบต่อหน้าที่
ผลการเรียนพอใช้
ควรเอาใจใส่ต่อการเรียนมากขึ้น</t>
  </si>
  <si>
    <t>มีความรับผิดชอบ มีน้ำใจ
มีมนุษยสัมพันธ์ดี ร่าเริงแจ่มใส
มีความเคารพต่อครู อาจารย์
ผลการเรียนดี</t>
  </si>
  <si>
    <t>มีน้ำใจ  มีมนุษยสัมพันธ์ที่ดี
มีความรับผิดชอบต่อหน้าที่
ผลการเรียนดี</t>
  </si>
  <si>
    <t xml:space="preserve">มีความรับผิดชอบ มีน้ำใจ
มีมนุษยสัมพันธ์ดี ร่าเริงแจ่มใส
มีความเคารพต่อครู อาจารย์
ผลการเรียนดี </t>
  </si>
  <si>
    <t>มีน้ำใจ  มีมนุษยสัมพันธ์ที่ดี
มีความรับผิดชอบต่อหน้าที่
ผลการเรียนดี
ควรเอาใจใส่ต่อการเรียนมากขึ้น</t>
  </si>
  <si>
    <t>ควรเอาใจใส่ต่อการเรียนมากขึ้น</t>
  </si>
  <si>
    <t>หน้านี้ไม่ต้องปริ้น</t>
  </si>
  <si>
    <t>กรุณาพิมพ์เลขที่ที่ต้องการพิมพ์ข้อมูล =&gt;</t>
  </si>
  <si>
    <t>หน่วยกิต
/ชม.</t>
  </si>
  <si>
    <t>การประเมินผลสัมฤทธิ์</t>
  </si>
  <si>
    <t>คะแนน</t>
  </si>
  <si>
    <t>ผู้ปกครอง</t>
  </si>
  <si>
    <t>เกรด</t>
  </si>
  <si>
    <t>นับหน่วย</t>
  </si>
  <si>
    <t>ผลการเรียน</t>
  </si>
  <si>
    <t>ที่เรียน</t>
  </si>
  <si>
    <t>ที่ได้</t>
  </si>
  <si>
    <t>จำนวนหน่วยกิต/น้ำหนักวิชาพื้นฐาน</t>
  </si>
  <si>
    <t>จำนวนหน่วยกิต/น้ำหนักวิชาเพิ่มเติม</t>
  </si>
  <si>
    <t>รวมจำนวนหน่วยกิต/น้ำหนัก</t>
  </si>
  <si>
    <t>ระดับผลการเรียนเฉลี่ย (GPA)</t>
  </si>
  <si>
    <t>ลำดับที่ในห้องเรียน</t>
  </si>
  <si>
    <t>ผลการประเมินคุณลักษณะอันพึงประสงค์</t>
  </si>
  <si>
    <t>ผลการประเมินการอ่าน คิดวิเคราะห์ และเขียน</t>
  </si>
  <si>
    <t>ผลการประเมินกิจกรรมพัฒนาผู้เรียน</t>
  </si>
  <si>
    <t>ประเภท</t>
  </si>
  <si>
    <t>กรุณาใส่รหัสวิชา</t>
  </si>
  <si>
    <t>พิมพ์ 1 ชุด</t>
  </si>
  <si>
    <t xml:space="preserve"> ปีการศึกษา 2562  ภาคเรียนที่ 2  ชั้นมัธยมศึกษาปีที่ 1/2</t>
  </si>
  <si>
    <t xml:space="preserve"> ปีการศึกษา 2562  ชั้นมัธยมศึกษาปีที่ 1/2</t>
  </si>
  <si>
    <t>ว23207</t>
  </si>
  <si>
    <t>การพัฒนาแอปพลิเคชั่น 1</t>
  </si>
  <si>
    <t>ว23208</t>
  </si>
  <si>
    <t>การพัฒนาแอปพลิเคชั่น 2</t>
  </si>
  <si>
    <t>ง21217</t>
  </si>
  <si>
    <t>ตัดผมชายหญิง 1</t>
  </si>
  <si>
    <t>ง21218</t>
  </si>
  <si>
    <t>ตัดผมชายหญิง 2</t>
  </si>
  <si>
    <t>ง22216</t>
  </si>
  <si>
    <t>ตัดผมชายหญิง 3</t>
  </si>
  <si>
    <t>ง22217</t>
  </si>
  <si>
    <t>ตัดผมชายหญิง 4</t>
  </si>
  <si>
    <t>ง23207</t>
  </si>
  <si>
    <t>ตัดผมชายหญิง 5</t>
  </si>
  <si>
    <t>ง23208</t>
  </si>
  <si>
    <t>ตัดผมชายหญิง 6</t>
  </si>
  <si>
    <t>จ21201</t>
  </si>
  <si>
    <t>ภาษาจีน 1</t>
  </si>
  <si>
    <t>จ21202</t>
  </si>
  <si>
    <t>ภาษาจีน 2</t>
  </si>
  <si>
    <t>จ22201</t>
  </si>
  <si>
    <t>ภาษาจีน 3</t>
  </si>
  <si>
    <t>จ22202</t>
  </si>
  <si>
    <t>ภาษาจีน 4</t>
  </si>
  <si>
    <t>จ23201</t>
  </si>
  <si>
    <t>ภาษาจีน 5</t>
  </si>
  <si>
    <t>จ23202</t>
  </si>
  <si>
    <t>ภาษาจีน 6</t>
  </si>
  <si>
    <t>ศ21217</t>
  </si>
  <si>
    <t>การออกแบบพาณิชย์ศิลป์ (ขั้นนำ) 1</t>
  </si>
  <si>
    <t>ศ21218</t>
  </si>
  <si>
    <t>การออกแบบพาณิชย์ศิลป์ (ขั้นนำ) 2</t>
  </si>
  <si>
    <t>ศ22214</t>
  </si>
  <si>
    <t>การออกแบบพาณิชย์ศิลป์ (ขั้นพื้นฐาน) 1</t>
  </si>
  <si>
    <t>ศ22215</t>
  </si>
  <si>
    <t>การออกแบบพาณิชย์ศิลป์ (ขั้นพื้นฐาน) 2</t>
  </si>
  <si>
    <t>ศ23214</t>
  </si>
  <si>
    <t>การออกแบบพาณิชย์ศิลป์ (ขั้นสูง) 1</t>
  </si>
  <si>
    <t>ศ23215</t>
  </si>
  <si>
    <t>การออกแบบพาณิชย์ศิลป์ (ขั้นสูง) 2</t>
  </si>
  <si>
    <t>(………………………………….)</t>
  </si>
  <si>
    <t>โรงเรียนสาธิตเทศบาลเมืองราชบุรี</t>
  </si>
  <si>
    <t>ค21201</t>
  </si>
  <si>
    <t>คณิตศาสตร์เพิ่มเติม 1</t>
  </si>
  <si>
    <t>ค21202</t>
  </si>
  <si>
    <t>คณิตศาสตร์เพิ่มเติม 2</t>
  </si>
  <si>
    <t>ค22201</t>
  </si>
  <si>
    <t>คณิตศาสตร์เพิ่มเติม 3</t>
  </si>
  <si>
    <t>ค22202</t>
  </si>
  <si>
    <t>คณิตศาสตร์เพิ่มเติม 4</t>
  </si>
  <si>
    <t>ค23201</t>
  </si>
  <si>
    <t>คณิตศาสตร์เพิ่มเติม 5</t>
  </si>
  <si>
    <t>ค23202</t>
  </si>
  <si>
    <t>คณิตศาสตร์เพิ่มเติม 6</t>
  </si>
  <si>
    <t>พ21207</t>
  </si>
  <si>
    <t>กีฬา 1</t>
  </si>
  <si>
    <t>พ21208</t>
  </si>
  <si>
    <t>กีฬา 2</t>
  </si>
  <si>
    <t>พ22206</t>
  </si>
  <si>
    <t>กีฬา 3</t>
  </si>
  <si>
    <t>พ22207</t>
  </si>
  <si>
    <t>กีฬา 4</t>
  </si>
  <si>
    <t>พ23206</t>
  </si>
  <si>
    <t>กีฬา 5</t>
  </si>
  <si>
    <t>พ23207</t>
  </si>
  <si>
    <t>กีฬา 6</t>
  </si>
  <si>
    <t>ว21209</t>
  </si>
  <si>
    <t>สนุกกับวิทยาศาสตร์</t>
  </si>
  <si>
    <t>ว21210</t>
  </si>
  <si>
    <t>ทักษะวิทยาศาสตร์</t>
  </si>
  <si>
    <t>ว21211</t>
  </si>
  <si>
    <t>เทคโนโลยีสารสนเทศเพื่อการสื่อสาร 1</t>
  </si>
  <si>
    <t>ว21212</t>
  </si>
  <si>
    <t>เทคโนโลยีสารสนเทศเพื่อการสื่อสาร 2</t>
  </si>
  <si>
    <t>ว22209</t>
  </si>
  <si>
    <t>โครงงานวิทยาศาสตร์เบื้องต้น</t>
  </si>
  <si>
    <t>ว22210</t>
  </si>
  <si>
    <t>โครงงานวิทยาศาสตร์และนวัตกรรม</t>
  </si>
  <si>
    <t>ว22211</t>
  </si>
  <si>
    <t>กราฟิกและการประมวลภาพ 1</t>
  </si>
  <si>
    <t>ว22212</t>
  </si>
  <si>
    <t>กราฟิกและการประมวลภาพ 2</t>
  </si>
  <si>
    <t>ว23209</t>
  </si>
  <si>
    <t>วิทยาศาสตร์กับความงาม</t>
  </si>
  <si>
    <t>ว23210</t>
  </si>
  <si>
    <t>พลังงานทดแทนกับการใช้ประโยชน์</t>
  </si>
  <si>
    <t>ว23211</t>
  </si>
  <si>
    <t>การผลิตและการนำเสนอมัลติมีเดีย 1</t>
  </si>
  <si>
    <t>ว23212</t>
  </si>
  <si>
    <t>การผลิตและการนำเสนอมัลติมีเดีย 2</t>
  </si>
  <si>
    <t>M21301</t>
  </si>
  <si>
    <t>Mathematics 1</t>
  </si>
  <si>
    <t>Additional Subject</t>
  </si>
  <si>
    <t>Grade 7</t>
  </si>
  <si>
    <t>M21302</t>
  </si>
  <si>
    <t>Mathematics 2</t>
  </si>
  <si>
    <t>M22301</t>
  </si>
  <si>
    <t>Mathematics 3</t>
  </si>
  <si>
    <t>Grade 8</t>
  </si>
  <si>
    <t>M22302</t>
  </si>
  <si>
    <t>Mathematics 4</t>
  </si>
  <si>
    <t>M23301</t>
  </si>
  <si>
    <t>Mathematics 5</t>
  </si>
  <si>
    <t>Grade 9</t>
  </si>
  <si>
    <t>M23302</t>
  </si>
  <si>
    <t>Mathematics 6</t>
  </si>
  <si>
    <t>Sc21301</t>
  </si>
  <si>
    <t>Science and Technology 1</t>
  </si>
  <si>
    <t>Sc21302</t>
  </si>
  <si>
    <t>Science and Technology 2</t>
  </si>
  <si>
    <t>Sc22301</t>
  </si>
  <si>
    <t>Science and Technology 3</t>
  </si>
  <si>
    <t>Sc22302</t>
  </si>
  <si>
    <t>Science and Technology 4</t>
  </si>
  <si>
    <t>Sc23301</t>
  </si>
  <si>
    <t>Science and Technology 5</t>
  </si>
  <si>
    <t>Sc23302</t>
  </si>
  <si>
    <t>Science and Technology 6</t>
  </si>
  <si>
    <t>H21301</t>
  </si>
  <si>
    <t>Health and Physical Education 1</t>
  </si>
  <si>
    <t>H21302</t>
  </si>
  <si>
    <t>Health and Physical Education 2</t>
  </si>
  <si>
    <t>H22301</t>
  </si>
  <si>
    <t>Health and Physical Education 3</t>
  </si>
  <si>
    <t>H22302</t>
  </si>
  <si>
    <t>Health and Physical Education 4</t>
  </si>
  <si>
    <t>H23301</t>
  </si>
  <si>
    <t>Health and Physical Education 5</t>
  </si>
  <si>
    <t>H23302</t>
  </si>
  <si>
    <t>Health and Physical Education 6</t>
  </si>
  <si>
    <t>En21301</t>
  </si>
  <si>
    <t>English for Communication 1</t>
  </si>
  <si>
    <t>En21302</t>
  </si>
  <si>
    <t>English for Communication 2</t>
  </si>
  <si>
    <t>En22301</t>
  </si>
  <si>
    <t>English for Communication 3</t>
  </si>
  <si>
    <t>En22302</t>
  </si>
  <si>
    <t>English for Communication 4</t>
  </si>
  <si>
    <t>En23301</t>
  </si>
  <si>
    <t>English for Communication 5</t>
  </si>
  <si>
    <t>En23302</t>
  </si>
  <si>
    <t>English for Communication 6</t>
  </si>
  <si>
    <t>Ch21301</t>
  </si>
  <si>
    <t>Chinese Language 1</t>
  </si>
  <si>
    <t>Ch21302</t>
  </si>
  <si>
    <t>Chinese Language 2</t>
  </si>
  <si>
    <t>Ch22301</t>
  </si>
  <si>
    <t>Chinese Language 3</t>
  </si>
  <si>
    <t>Ch22302</t>
  </si>
  <si>
    <t>Chinese Language 4</t>
  </si>
  <si>
    <t>Ch23301</t>
  </si>
  <si>
    <t>Chinese Language 5</t>
  </si>
  <si>
    <t>Ch23302</t>
  </si>
  <si>
    <t>Chinese Language 6</t>
  </si>
  <si>
    <t>Grade</t>
  </si>
  <si>
    <t>Academic Year</t>
  </si>
  <si>
    <t>Semester</t>
  </si>
  <si>
    <t>Class Teacher</t>
  </si>
  <si>
    <t>Measurement and Evaluation Teacher</t>
  </si>
  <si>
    <t>Assistant Director</t>
  </si>
  <si>
    <t>Director</t>
  </si>
  <si>
    <t>Approval Date</t>
  </si>
  <si>
    <t>Day</t>
  </si>
  <si>
    <t>Month</t>
  </si>
  <si>
    <t>Year</t>
  </si>
  <si>
    <t>Mrs. Kitiya  Middleton</t>
  </si>
  <si>
    <t>รายวิชาเสริม</t>
  </si>
  <si>
    <t>Students' Data</t>
  </si>
  <si>
    <t>Ratchaburi Demonstration School</t>
  </si>
  <si>
    <t>No.</t>
  </si>
  <si>
    <t>Students ID</t>
  </si>
  <si>
    <t>Name</t>
  </si>
  <si>
    <t>Identification Number</t>
  </si>
  <si>
    <t>Status</t>
  </si>
  <si>
    <t>NQ (Not Qualified) = มส</t>
  </si>
  <si>
    <t>T (Transferred) = ย้าย</t>
  </si>
  <si>
    <t>No</t>
  </si>
  <si>
    <t>Class</t>
  </si>
  <si>
    <t>Subject Code</t>
  </si>
  <si>
    <t>Subject</t>
  </si>
  <si>
    <t>Credit(s)</t>
  </si>
  <si>
    <t>Score</t>
  </si>
  <si>
    <t>Additional Course</t>
  </si>
  <si>
    <t>.......................................</t>
  </si>
  <si>
    <t>Rewiewer</t>
  </si>
  <si>
    <t>Mr. Asawin  Khongphetsak</t>
  </si>
  <si>
    <t>Ratchaburi Demonstration School, Ratchaburi Municipality office, Ratchaburi</t>
  </si>
  <si>
    <t>Retest</t>
  </si>
  <si>
    <t>Note</t>
  </si>
  <si>
    <t>Results</t>
  </si>
  <si>
    <t>Mini English Program</t>
  </si>
  <si>
    <t>Teacher"s Comment:</t>
  </si>
  <si>
    <t>Parent</t>
  </si>
  <si>
    <t>Mini English Program Report Card</t>
  </si>
  <si>
    <t>Identification ID</t>
  </si>
  <si>
    <t>7/3</t>
  </si>
  <si>
    <t>March</t>
  </si>
  <si>
    <t>Instructions</t>
  </si>
  <si>
    <t>Color Tab</t>
  </si>
  <si>
    <t>Yellow</t>
  </si>
  <si>
    <t>Red</t>
  </si>
  <si>
    <t>Green</t>
  </si>
  <si>
    <t>Black</t>
  </si>
  <si>
    <t>Filling out</t>
  </si>
  <si>
    <t>Print</t>
  </si>
  <si>
    <t>Please complete the information</t>
  </si>
  <si>
    <t>January</t>
  </si>
  <si>
    <t>February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</si>
  <si>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</si>
  <si>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</si>
  <si>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</si>
  <si>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</si>
  <si>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</si>
  <si>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</si>
  <si>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</si>
  <si>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</si>
  <si>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</si>
  <si>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8/3</t>
  </si>
  <si>
    <t>9/3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</si>
</sst>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$-187041E]d\ mmmm\ yyyy;@"/>
    <numFmt numFmtId="166" formatCode="[$-107041E]d\ mmm\ yy;@"/>
    <numFmt numFmtId="167" formatCode="[$-187041E]d\ mmm\ yy;@"/>
  </numFmts>
  <fonts count="43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Angsana New"/>
      <family val="1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TH SarabunPSK"/>
      <family val="2"/>
    </font>
    <font>
      <sz val="20"/>
      <name val="TH SarabunPSK"/>
      <family val="2"/>
    </font>
    <font>
      <b/>
      <sz val="20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b/>
      <sz val="12"/>
      <color indexed="14"/>
      <name val="TH SarabunPSK"/>
      <family val="2"/>
    </font>
    <font>
      <sz val="10"/>
      <name val="Arial"/>
      <family val="2"/>
    </font>
    <font>
      <b/>
      <sz val="14"/>
      <color theme="0"/>
      <name val="TH SarabunPSK"/>
      <family val="2"/>
    </font>
    <font>
      <sz val="16"/>
      <color theme="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2"/>
      <color theme="0"/>
      <name val="TH SarabunPSK"/>
      <family val="2"/>
    </font>
    <font>
      <b/>
      <sz val="20"/>
      <color theme="0"/>
      <name val="TH SarabunPSK"/>
      <family val="2"/>
    </font>
    <font>
      <b/>
      <sz val="20"/>
      <color theme="2" tint="-0.89999084444715716"/>
      <name val="TH SarabunPSK"/>
      <family val="2"/>
    </font>
    <font>
      <b/>
      <sz val="28"/>
      <name val="TH SarabunPSK"/>
      <family val="2"/>
    </font>
    <font>
      <b/>
      <sz val="26"/>
      <name val="TH SarabunPSK"/>
      <family val="2"/>
    </font>
    <font>
      <b/>
      <sz val="48"/>
      <name val="TH SarabunPSK"/>
      <family val="2"/>
    </font>
    <font>
      <b/>
      <sz val="24"/>
      <name val="TH SarabunPSK"/>
      <family val="2"/>
    </font>
    <font>
      <b/>
      <sz val="22"/>
      <name val="TH SarabunPSK"/>
      <family val="2"/>
    </font>
    <font>
      <sz val="20"/>
      <name val="Wingdings"/>
      <charset val="2"/>
    </font>
    <font>
      <sz val="11.5"/>
      <name val="TH SarabunPSK"/>
      <family val="2"/>
    </font>
    <font>
      <b/>
      <sz val="18"/>
      <name val="TH SarabunPSK"/>
      <family val="2"/>
    </font>
    <font>
      <b/>
      <sz val="36"/>
      <name val="TH SarabunPSK"/>
      <family val="2"/>
    </font>
    <font>
      <sz val="14"/>
      <name val="Arial"/>
      <family val="2"/>
    </font>
    <font>
      <sz val="14"/>
      <name val="Angsana New"/>
      <family val="1"/>
    </font>
    <font>
      <sz val="14"/>
      <name val="Angsana New"/>
      <family val="1"/>
    </font>
    <font>
      <sz val="14"/>
      <name val="Angsana New"/>
      <family val="1"/>
    </font>
    <font>
      <sz val="11"/>
      <color theme="1"/>
      <name val="Calibri"/>
      <family val="2"/>
      <scheme val="minor"/>
    </font>
    <font>
      <sz val="16"/>
      <color rgb="FFFF0000"/>
      <name val="TH SarabunPSK"/>
      <family val="2"/>
    </font>
    <font>
      <sz val="20"/>
      <color theme="0"/>
      <name val="TH SarabunPSK"/>
      <family val="2"/>
    </font>
    <font>
      <sz val="14"/>
      <name val="Angsana New"/>
      <family val="1"/>
    </font>
    <font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7" fillId="0" borderId="0"/>
    <xf numFmtId="0" fontId="2" fillId="0" borderId="0"/>
    <xf numFmtId="0" fontId="17" fillId="0" borderId="0" applyProtection="0"/>
    <xf numFmtId="0" fontId="17" fillId="0" borderId="0"/>
    <xf numFmtId="0" fontId="35" fillId="0" borderId="0"/>
    <xf numFmtId="0" fontId="2" fillId="0" borderId="0"/>
    <xf numFmtId="0" fontId="17" fillId="0" borderId="0"/>
    <xf numFmtId="0" fontId="36" fillId="0" borderId="0"/>
    <xf numFmtId="0" fontId="1" fillId="0" borderId="0"/>
    <xf numFmtId="0" fontId="3" fillId="0" borderId="0"/>
    <xf numFmtId="0" fontId="17" fillId="0" borderId="0"/>
    <xf numFmtId="0" fontId="37" fillId="0" borderId="0"/>
    <xf numFmtId="0" fontId="38" fillId="0" borderId="0"/>
    <xf numFmtId="0" fontId="17" fillId="0" borderId="0"/>
    <xf numFmtId="0" fontId="41" fillId="0" borderId="0"/>
  </cellStyleXfs>
  <cellXfs count="459">
    <xf numFmtId="0" fontId="0" fillId="0" borderId="0" xfId="0"/>
    <xf numFmtId="0" fontId="7" fillId="0" borderId="12" xfId="0" applyFont="1" applyBorder="1" applyAlignment="1" applyProtection="1">
      <alignment horizontal="center"/>
      <protection locked="0"/>
    </xf>
    <xf numFmtId="0" fontId="4" fillId="0" borderId="0" xfId="0" applyFont="1"/>
    <xf numFmtId="0" fontId="9" fillId="0" borderId="0" xfId="0" applyFont="1"/>
    <xf numFmtId="0" fontId="10" fillId="0" borderId="0" xfId="1" applyFont="1"/>
    <xf numFmtId="0" fontId="10" fillId="3" borderId="38" xfId="1" applyFont="1" applyFill="1" applyBorder="1" applyProtection="1">
      <protection locked="0"/>
    </xf>
    <xf numFmtId="0" fontId="10" fillId="3" borderId="39" xfId="1" applyFont="1" applyFill="1" applyBorder="1"/>
    <xf numFmtId="0" fontId="10" fillId="3" borderId="40" xfId="1" applyFont="1" applyFill="1" applyBorder="1" applyAlignment="1" applyProtection="1">
      <alignment horizontal="center"/>
      <protection locked="0"/>
    </xf>
    <xf numFmtId="0" fontId="10" fillId="3" borderId="41" xfId="1" applyFont="1" applyFill="1" applyBorder="1"/>
    <xf numFmtId="0" fontId="11" fillId="0" borderId="0" xfId="1" applyFont="1"/>
    <xf numFmtId="0" fontId="8" fillId="0" borderId="0" xfId="0" applyFont="1"/>
    <xf numFmtId="0" fontId="12" fillId="0" borderId="0" xfId="0" applyFont="1"/>
    <xf numFmtId="0" fontId="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textRotation="90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0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1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2" fontId="15" fillId="0" borderId="0" xfId="0" applyNumberFormat="1" applyFont="1" applyAlignment="1">
      <alignment horizontal="center" vertical="center" wrapText="1"/>
    </xf>
    <xf numFmtId="0" fontId="14" fillId="0" borderId="15" xfId="0" applyFont="1" applyBorder="1" applyAlignment="1">
      <alignment textRotation="90" shrinkToFit="1"/>
    </xf>
    <xf numFmtId="0" fontId="14" fillId="0" borderId="13" xfId="0" applyFont="1" applyBorder="1" applyAlignment="1">
      <alignment textRotation="90" shrinkToFit="1"/>
    </xf>
    <xf numFmtId="0" fontId="8" fillId="0" borderId="0" xfId="1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12" xfId="2" applyFont="1" applyBorder="1" applyAlignment="1" applyProtection="1">
      <alignment horizontal="center" vertical="center"/>
      <protection locked="0"/>
    </xf>
    <xf numFmtId="0" fontId="8" fillId="0" borderId="34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vertical="center"/>
      <protection locked="0"/>
    </xf>
    <xf numFmtId="0" fontId="8" fillId="0" borderId="14" xfId="2" applyFont="1" applyBorder="1" applyAlignment="1" applyProtection="1">
      <alignment horizontal="center" vertical="center"/>
      <protection locked="0"/>
    </xf>
    <xf numFmtId="0" fontId="8" fillId="0" borderId="12" xfId="2" applyFont="1" applyBorder="1" applyAlignment="1">
      <alignment horizontal="center" vertical="center"/>
    </xf>
    <xf numFmtId="0" fontId="8" fillId="0" borderId="42" xfId="2" applyFont="1" applyBorder="1" applyAlignment="1" applyProtection="1">
      <alignment vertical="center"/>
      <protection locked="0"/>
    </xf>
    <xf numFmtId="0" fontId="8" fillId="0" borderId="9" xfId="2" applyFont="1" applyBorder="1" applyAlignment="1" applyProtection="1">
      <alignment vertical="center"/>
      <protection locked="0"/>
    </xf>
    <xf numFmtId="0" fontId="8" fillId="0" borderId="37" xfId="2" applyFont="1" applyBorder="1" applyAlignment="1" applyProtection="1">
      <alignment vertical="center"/>
      <protection locked="0"/>
    </xf>
    <xf numFmtId="0" fontId="8" fillId="0" borderId="34" xfId="2" applyFont="1" applyBorder="1" applyAlignment="1" applyProtection="1">
      <alignment horizontal="center" vertical="center"/>
      <protection locked="0"/>
    </xf>
    <xf numFmtId="0" fontId="13" fillId="0" borderId="44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8" fillId="0" borderId="0" xfId="3" applyFont="1"/>
    <xf numFmtId="0" fontId="12" fillId="0" borderId="0" xfId="3" applyFont="1"/>
    <xf numFmtId="0" fontId="12" fillId="0" borderId="0" xfId="3" applyFont="1" applyAlignment="1">
      <alignment horizontal="center"/>
    </xf>
    <xf numFmtId="0" fontId="15" fillId="0" borderId="28" xfId="3" applyFont="1" applyBorder="1" applyAlignment="1">
      <alignment horizontal="center" vertical="center" wrapText="1"/>
    </xf>
    <xf numFmtId="0" fontId="15" fillId="0" borderId="29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/>
    </xf>
    <xf numFmtId="0" fontId="15" fillId="0" borderId="11" xfId="3" applyFont="1" applyBorder="1" applyAlignment="1">
      <alignment horizontal="center" vertical="center" wrapText="1"/>
    </xf>
    <xf numFmtId="0" fontId="15" fillId="0" borderId="14" xfId="3" applyFont="1" applyBorder="1" applyAlignment="1">
      <alignment horizontal="left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8" fillId="0" borderId="0" xfId="3" applyFont="1" applyAlignment="1">
      <alignment vertical="center"/>
    </xf>
    <xf numFmtId="0" fontId="15" fillId="0" borderId="0" xfId="3" applyFont="1" applyAlignment="1">
      <alignment vertical="center" wrapText="1"/>
    </xf>
    <xf numFmtId="0" fontId="12" fillId="0" borderId="0" xfId="3" applyFont="1" applyAlignment="1">
      <alignment vertical="center"/>
    </xf>
    <xf numFmtId="2" fontId="15" fillId="0" borderId="0" xfId="3" applyNumberFormat="1" applyFont="1" applyAlignment="1">
      <alignment horizontal="center" vertical="center" wrapText="1"/>
    </xf>
    <xf numFmtId="0" fontId="13" fillId="0" borderId="0" xfId="3" applyFont="1"/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1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2" fontId="22" fillId="0" borderId="0" xfId="0" applyNumberFormat="1" applyFont="1" applyAlignment="1">
      <alignment horizontal="center" vertical="center" wrapText="1"/>
    </xf>
    <xf numFmtId="0" fontId="10" fillId="3" borderId="39" xfId="1" applyFont="1" applyFill="1" applyBorder="1" applyAlignment="1" applyProtection="1">
      <alignment horizontal="left"/>
      <protection locked="0"/>
    </xf>
    <xf numFmtId="0" fontId="10" fillId="3" borderId="40" xfId="1" applyFont="1" applyFill="1" applyBorder="1" applyAlignment="1" applyProtection="1">
      <alignment horizontal="left"/>
      <protection locked="0"/>
    </xf>
    <xf numFmtId="0" fontId="15" fillId="0" borderId="1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2" fontId="15" fillId="0" borderId="11" xfId="0" applyNumberFormat="1" applyFont="1" applyBorder="1" applyAlignment="1">
      <alignment horizontal="center" vertical="center"/>
    </xf>
    <xf numFmtId="2" fontId="15" fillId="0" borderId="19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textRotation="90" shrinkToFit="1"/>
    </xf>
    <xf numFmtId="0" fontId="22" fillId="0" borderId="14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4" fillId="7" borderId="12" xfId="0" applyFont="1" applyFill="1" applyBorder="1" applyAlignment="1">
      <alignment horizontal="center"/>
    </xf>
    <xf numFmtId="0" fontId="15" fillId="0" borderId="11" xfId="3" applyFont="1" applyBorder="1" applyAlignment="1" applyProtection="1">
      <alignment horizontal="center" vertical="center"/>
      <protection locked="0"/>
    </xf>
    <xf numFmtId="0" fontId="15" fillId="0" borderId="12" xfId="3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4" fillId="5" borderId="0" xfId="0" applyFont="1" applyFill="1"/>
    <xf numFmtId="0" fontId="10" fillId="8" borderId="0" xfId="1" applyFont="1" applyFill="1" applyProtection="1">
      <protection hidden="1"/>
    </xf>
    <xf numFmtId="0" fontId="10" fillId="8" borderId="0" xfId="1" applyFont="1" applyFill="1"/>
    <xf numFmtId="0" fontId="23" fillId="8" borderId="0" xfId="1" applyFont="1" applyFill="1"/>
    <xf numFmtId="0" fontId="23" fillId="8" borderId="0" xfId="1" applyFont="1" applyFill="1" applyProtection="1">
      <protection hidden="1"/>
    </xf>
    <xf numFmtId="0" fontId="23" fillId="8" borderId="0" xfId="1" applyFont="1" applyFill="1" applyAlignment="1">
      <alignment horizontal="center"/>
    </xf>
    <xf numFmtId="0" fontId="23" fillId="8" borderId="0" xfId="1" applyFont="1" applyFill="1" applyAlignment="1" applyProtection="1">
      <alignment horizontal="center"/>
      <protection hidden="1"/>
    </xf>
    <xf numFmtId="0" fontId="10" fillId="8" borderId="0" xfId="1" applyFont="1" applyFill="1" applyAlignment="1" applyProtection="1">
      <alignment horizontal="center"/>
      <protection hidden="1"/>
    </xf>
    <xf numFmtId="0" fontId="11" fillId="10" borderId="12" xfId="1" applyFont="1" applyFill="1" applyBorder="1" applyAlignment="1">
      <alignment horizontal="center" vertical="center"/>
    </xf>
    <xf numFmtId="0" fontId="30" fillId="0" borderId="12" xfId="1" applyFont="1" applyBorder="1" applyAlignment="1">
      <alignment horizontal="center" vertical="center"/>
    </xf>
    <xf numFmtId="0" fontId="15" fillId="0" borderId="44" xfId="3" applyFont="1" applyBorder="1" applyAlignment="1">
      <alignment horizontal="left" vertical="center" wrapText="1"/>
    </xf>
    <xf numFmtId="0" fontId="15" fillId="0" borderId="28" xfId="3" applyFont="1" applyBorder="1" applyAlignment="1" applyProtection="1">
      <alignment horizontal="center" vertical="center"/>
      <protection locked="0"/>
    </xf>
    <xf numFmtId="0" fontId="15" fillId="0" borderId="30" xfId="3" applyFont="1" applyBorder="1" applyAlignment="1" applyProtection="1">
      <alignment horizontal="center" vertical="center"/>
      <protection locked="0"/>
    </xf>
    <xf numFmtId="0" fontId="15" fillId="0" borderId="26" xfId="3" applyFont="1" applyBorder="1" applyAlignment="1">
      <alignment horizontal="left" vertical="center" wrapText="1"/>
    </xf>
    <xf numFmtId="0" fontId="15" fillId="0" borderId="26" xfId="3" applyFont="1" applyBorder="1" applyAlignment="1">
      <alignment horizontal="left" vertical="center" shrinkToFit="1"/>
    </xf>
    <xf numFmtId="0" fontId="15" fillId="0" borderId="19" xfId="3" applyFont="1" applyBorder="1" applyAlignment="1">
      <alignment horizontal="center" vertical="center" wrapText="1"/>
    </xf>
    <xf numFmtId="0" fontId="15" fillId="0" borderId="22" xfId="3" applyFont="1" applyBorder="1" applyAlignment="1">
      <alignment horizontal="left" vertical="center" wrapText="1"/>
    </xf>
    <xf numFmtId="0" fontId="15" fillId="0" borderId="36" xfId="3" applyFont="1" applyBorder="1" applyAlignment="1">
      <alignment horizontal="left" vertical="center" wrapText="1"/>
    </xf>
    <xf numFmtId="0" fontId="15" fillId="0" borderId="19" xfId="3" applyFont="1" applyBorder="1" applyAlignment="1" applyProtection="1">
      <alignment horizontal="center" vertical="center"/>
      <protection locked="0"/>
    </xf>
    <xf numFmtId="0" fontId="15" fillId="0" borderId="20" xfId="3" applyFont="1" applyBorder="1" applyAlignment="1" applyProtection="1">
      <alignment horizontal="center" vertical="center"/>
      <protection locked="0"/>
    </xf>
    <xf numFmtId="49" fontId="10" fillId="3" borderId="40" xfId="1" applyNumberFormat="1" applyFont="1" applyFill="1" applyBorder="1" applyAlignment="1" applyProtection="1">
      <alignment horizontal="center"/>
      <protection locked="0"/>
    </xf>
    <xf numFmtId="0" fontId="10" fillId="0" borderId="0" xfId="0" applyFont="1"/>
    <xf numFmtId="0" fontId="12" fillId="0" borderId="0" xfId="6" applyFont="1"/>
    <xf numFmtId="0" fontId="12" fillId="0" borderId="0" xfId="6" applyFont="1" applyAlignment="1">
      <alignment vertical="center"/>
    </xf>
    <xf numFmtId="0" fontId="12" fillId="0" borderId="0" xfId="6" applyFont="1" applyAlignment="1">
      <alignment horizontal="center"/>
    </xf>
    <xf numFmtId="0" fontId="14" fillId="0" borderId="58" xfId="3" applyFont="1" applyBorder="1" applyAlignment="1">
      <alignment horizontal="center" vertical="center" wrapText="1"/>
    </xf>
    <xf numFmtId="0" fontId="14" fillId="0" borderId="59" xfId="3" applyFont="1" applyBorder="1" applyAlignment="1">
      <alignment horizontal="center" vertical="center" wrapText="1"/>
    </xf>
    <xf numFmtId="2" fontId="15" fillId="0" borderId="30" xfId="3" applyNumberFormat="1" applyFont="1" applyBorder="1" applyAlignment="1" applyProtection="1">
      <alignment horizontal="center" vertical="center"/>
      <protection locked="0"/>
    </xf>
    <xf numFmtId="2" fontId="15" fillId="0" borderId="31" xfId="3" applyNumberFormat="1" applyFont="1" applyBorder="1" applyAlignment="1" applyProtection="1">
      <alignment horizontal="center" vertical="center"/>
      <protection locked="0"/>
    </xf>
    <xf numFmtId="2" fontId="15" fillId="0" borderId="12" xfId="3" applyNumberFormat="1" applyFont="1" applyBorder="1" applyAlignment="1" applyProtection="1">
      <alignment horizontal="center" vertical="center"/>
      <protection locked="0"/>
    </xf>
    <xf numFmtId="2" fontId="15" fillId="0" borderId="13" xfId="3" applyNumberFormat="1" applyFont="1" applyBorder="1" applyAlignment="1" applyProtection="1">
      <alignment horizontal="center" vertical="center"/>
      <protection locked="0"/>
    </xf>
    <xf numFmtId="2" fontId="15" fillId="0" borderId="20" xfId="3" applyNumberFormat="1" applyFont="1" applyBorder="1" applyAlignment="1" applyProtection="1">
      <alignment horizontal="center" vertical="center"/>
      <protection locked="0"/>
    </xf>
    <xf numFmtId="2" fontId="15" fillId="0" borderId="21" xfId="3" applyNumberFormat="1" applyFont="1" applyBorder="1" applyAlignment="1" applyProtection="1">
      <alignment horizontal="center" vertical="center"/>
      <protection locked="0"/>
    </xf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 wrapText="1"/>
    </xf>
    <xf numFmtId="0" fontId="14" fillId="0" borderId="9" xfId="3" applyFont="1" applyBorder="1" applyAlignment="1">
      <alignment horizontal="center" vertical="center" wrapText="1"/>
    </xf>
    <xf numFmtId="0" fontId="8" fillId="0" borderId="0" xfId="3" applyFont="1" applyAlignment="1">
      <alignment vertical="center" wrapText="1"/>
    </xf>
    <xf numFmtId="0" fontId="12" fillId="0" borderId="0" xfId="3" applyFont="1" applyAlignment="1">
      <alignment vertical="center" wrapText="1"/>
    </xf>
    <xf numFmtId="0" fontId="12" fillId="0" borderId="0" xfId="3" applyFont="1" applyAlignment="1">
      <alignment wrapText="1"/>
    </xf>
    <xf numFmtId="0" fontId="25" fillId="0" borderId="0" xfId="3" applyFont="1"/>
    <xf numFmtId="2" fontId="15" fillId="0" borderId="30" xfId="3" applyNumberFormat="1" applyFont="1" applyBorder="1" applyAlignment="1">
      <alignment horizontal="center" vertical="center"/>
    </xf>
    <xf numFmtId="2" fontId="15" fillId="0" borderId="12" xfId="3" applyNumberFormat="1" applyFont="1" applyBorder="1" applyAlignment="1">
      <alignment horizontal="center" vertical="center"/>
    </xf>
    <xf numFmtId="2" fontId="15" fillId="0" borderId="20" xfId="3" applyNumberFormat="1" applyFont="1" applyBorder="1" applyAlignment="1">
      <alignment horizontal="center" vertical="center"/>
    </xf>
    <xf numFmtId="166" fontId="15" fillId="0" borderId="32" xfId="3" applyNumberFormat="1" applyFont="1" applyBorder="1" applyAlignment="1">
      <alignment horizontal="center" vertical="center" wrapText="1"/>
    </xf>
    <xf numFmtId="166" fontId="15" fillId="0" borderId="15" xfId="3" applyNumberFormat="1" applyFont="1" applyBorder="1" applyAlignment="1">
      <alignment horizontal="center" vertical="center" wrapText="1"/>
    </xf>
    <xf numFmtId="166" fontId="15" fillId="0" borderId="15" xfId="3" applyNumberFormat="1" applyFont="1" applyBorder="1" applyAlignment="1">
      <alignment horizontal="center" vertical="center" shrinkToFit="1"/>
    </xf>
    <xf numFmtId="166" fontId="15" fillId="0" borderId="33" xfId="3" applyNumberFormat="1" applyFont="1" applyBorder="1" applyAlignment="1">
      <alignment horizontal="center" vertical="center" wrapText="1"/>
    </xf>
    <xf numFmtId="167" fontId="15" fillId="0" borderId="11" xfId="3" applyNumberFormat="1" applyFont="1" applyBorder="1" applyAlignment="1">
      <alignment horizontal="center" vertical="center" wrapText="1"/>
    </xf>
    <xf numFmtId="167" fontId="15" fillId="0" borderId="19" xfId="3" applyNumberFormat="1" applyFont="1" applyBorder="1" applyAlignment="1">
      <alignment horizontal="center" vertical="center" wrapText="1"/>
    </xf>
    <xf numFmtId="167" fontId="15" fillId="0" borderId="28" xfId="3" applyNumberFormat="1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0" fontId="9" fillId="0" borderId="12" xfId="6" applyFont="1" applyBorder="1"/>
    <xf numFmtId="0" fontId="9" fillId="0" borderId="12" xfId="6" applyFont="1" applyBorder="1" applyAlignment="1">
      <alignment wrapText="1"/>
    </xf>
    <xf numFmtId="0" fontId="28" fillId="0" borderId="0" xfId="5" applyFont="1" applyAlignment="1">
      <alignment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8" fillId="0" borderId="0" xfId="5" applyFont="1" applyAlignment="1">
      <alignment vertical="center"/>
    </xf>
    <xf numFmtId="0" fontId="12" fillId="0" borderId="0" xfId="5" applyFont="1"/>
    <xf numFmtId="0" fontId="12" fillId="0" borderId="0" xfId="5" applyFont="1" applyAlignment="1">
      <alignment horizontal="center"/>
    </xf>
    <xf numFmtId="0" fontId="12" fillId="0" borderId="0" xfId="5" applyFont="1" applyAlignment="1">
      <alignment horizontal="left"/>
    </xf>
    <xf numFmtId="49" fontId="12" fillId="0" borderId="0" xfId="5" applyNumberFormat="1" applyFont="1"/>
    <xf numFmtId="0" fontId="13" fillId="0" borderId="0" xfId="5" applyFont="1" applyAlignment="1">
      <alignment vertical="center"/>
    </xf>
    <xf numFmtId="0" fontId="8" fillId="0" borderId="50" xfId="5" applyFont="1" applyBorder="1" applyAlignment="1">
      <alignment vertical="center"/>
    </xf>
    <xf numFmtId="0" fontId="5" fillId="0" borderId="0" xfId="5" applyFont="1" applyAlignment="1">
      <alignment vertical="center"/>
    </xf>
    <xf numFmtId="164" fontId="8" fillId="0" borderId="0" xfId="5" applyNumberFormat="1" applyFont="1" applyAlignment="1">
      <alignment vertical="center"/>
    </xf>
    <xf numFmtId="0" fontId="5" fillId="0" borderId="0" xfId="5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14" fillId="0" borderId="0" xfId="0" applyFont="1" applyAlignment="1">
      <alignment textRotation="90" shrinkToFit="1"/>
    </xf>
    <xf numFmtId="0" fontId="14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5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2" xfId="0" applyFont="1" applyBorder="1"/>
    <xf numFmtId="0" fontId="12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12" fillId="16" borderId="12" xfId="0" applyFont="1" applyFill="1" applyBorder="1" applyAlignment="1" applyProtection="1">
      <alignment horizontal="center"/>
      <protection locked="0"/>
    </xf>
    <xf numFmtId="2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2" fontId="15" fillId="0" borderId="28" xfId="3" applyNumberFormat="1" applyFont="1" applyBorder="1" applyAlignment="1" applyProtection="1">
      <alignment horizontal="center" vertical="center"/>
      <protection locked="0"/>
    </xf>
    <xf numFmtId="2" fontId="15" fillId="0" borderId="11" xfId="3" applyNumberFormat="1" applyFont="1" applyBorder="1" applyAlignment="1" applyProtection="1">
      <alignment horizontal="center" vertical="center"/>
      <protection locked="0"/>
    </xf>
    <xf numFmtId="2" fontId="15" fillId="0" borderId="19" xfId="3" applyNumberFormat="1" applyFont="1" applyBorder="1" applyAlignment="1" applyProtection="1">
      <alignment horizontal="center" vertical="center"/>
      <protection locked="0"/>
    </xf>
    <xf numFmtId="0" fontId="13" fillId="0" borderId="0" xfId="3" applyFont="1" applyAlignment="1">
      <alignment vertical="center"/>
    </xf>
    <xf numFmtId="0" fontId="7" fillId="2" borderId="12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left"/>
    </xf>
    <xf numFmtId="0" fontId="38" fillId="0" borderId="0" xfId="15"/>
    <xf numFmtId="0" fontId="5" fillId="0" borderId="12" xfId="6" applyFont="1" applyBorder="1" applyAlignment="1">
      <alignment horizontal="center"/>
    </xf>
    <xf numFmtId="0" fontId="5" fillId="0" borderId="12" xfId="6" applyFont="1" applyBorder="1"/>
    <xf numFmtId="0" fontId="5" fillId="0" borderId="14" xfId="6" applyFont="1" applyBorder="1" applyAlignment="1">
      <alignment horizontal="center"/>
    </xf>
    <xf numFmtId="0" fontId="12" fillId="0" borderId="12" xfId="6" applyFont="1" applyBorder="1" applyAlignment="1">
      <alignment horizontal="center"/>
    </xf>
    <xf numFmtId="0" fontId="12" fillId="0" borderId="12" xfId="6" applyFont="1" applyBorder="1" applyAlignment="1">
      <alignment horizontal="left"/>
    </xf>
    <xf numFmtId="0" fontId="12" fillId="0" borderId="14" xfId="6" applyFont="1" applyBorder="1" applyAlignment="1">
      <alignment horizontal="center"/>
    </xf>
    <xf numFmtId="0" fontId="12" fillId="0" borderId="12" xfId="6" applyFont="1" applyBorder="1"/>
    <xf numFmtId="0" fontId="12" fillId="0" borderId="12" xfId="6" applyFont="1" applyBorder="1" applyAlignment="1">
      <alignment vertical="center"/>
    </xf>
    <xf numFmtId="0" fontId="7" fillId="0" borderId="12" xfId="0" applyFont="1" applyBorder="1" applyAlignment="1">
      <alignment horizontal="center"/>
    </xf>
    <xf numFmtId="0" fontId="12" fillId="2" borderId="12" xfId="0" applyFont="1" applyFill="1" applyBorder="1"/>
    <xf numFmtId="0" fontId="39" fillId="0" borderId="12" xfId="6" applyFont="1" applyBorder="1" applyAlignment="1">
      <alignment horizontal="center"/>
    </xf>
    <xf numFmtId="0" fontId="39" fillId="0" borderId="12" xfId="6" applyFont="1" applyBorder="1"/>
    <xf numFmtId="0" fontId="12" fillId="0" borderId="0" xfId="9" applyFont="1"/>
    <xf numFmtId="0" fontId="12" fillId="0" borderId="12" xfId="9" applyFont="1" applyBorder="1" applyAlignment="1">
      <alignment horizontal="center"/>
    </xf>
    <xf numFmtId="0" fontId="12" fillId="0" borderId="12" xfId="9" applyFont="1" applyBorder="1"/>
    <xf numFmtId="0" fontId="40" fillId="8" borderId="0" xfId="1" applyFont="1" applyFill="1" applyProtection="1">
      <protection hidden="1"/>
    </xf>
    <xf numFmtId="164" fontId="8" fillId="16" borderId="34" xfId="13" applyNumberFormat="1" applyFont="1" applyFill="1" applyBorder="1" applyAlignment="1" applyProtection="1">
      <alignment horizontal="center"/>
      <protection locked="0" hidden="1"/>
    </xf>
    <xf numFmtId="2" fontId="12" fillId="0" borderId="0" xfId="16" applyNumberFormat="1" applyFont="1" applyAlignment="1">
      <alignment vertical="center"/>
    </xf>
    <xf numFmtId="0" fontId="8" fillId="0" borderId="0" xfId="5" applyFont="1" applyAlignment="1">
      <alignment vertical="center" shrinkToFit="1"/>
    </xf>
    <xf numFmtId="49" fontId="17" fillId="0" borderId="0" xfId="0" applyNumberFormat="1" applyFont="1"/>
    <xf numFmtId="0" fontId="24" fillId="5" borderId="0" xfId="2" applyFont="1" applyFill="1" applyAlignment="1">
      <alignment horizontal="center"/>
    </xf>
    <xf numFmtId="0" fontId="11" fillId="5" borderId="0" xfId="1" applyFont="1" applyFill="1" applyAlignment="1">
      <alignment horizontal="center"/>
    </xf>
    <xf numFmtId="0" fontId="30" fillId="0" borderId="12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23" fillId="13" borderId="12" xfId="1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23" fillId="8" borderId="0" xfId="1" applyFont="1" applyFill="1" applyAlignment="1">
      <alignment horizontal="left"/>
    </xf>
    <xf numFmtId="0" fontId="23" fillId="8" borderId="10" xfId="1" applyFont="1" applyFill="1" applyBorder="1" applyAlignment="1">
      <alignment horizontal="left"/>
    </xf>
    <xf numFmtId="0" fontId="29" fillId="9" borderId="0" xfId="1" applyFont="1" applyFill="1" applyAlignment="1">
      <alignment horizontal="center"/>
    </xf>
    <xf numFmtId="0" fontId="11" fillId="10" borderId="12" xfId="1" applyFont="1" applyFill="1" applyBorder="1" applyAlignment="1">
      <alignment horizontal="center" vertical="center"/>
    </xf>
    <xf numFmtId="0" fontId="11" fillId="11" borderId="12" xfId="1" applyFont="1" applyFill="1" applyBorder="1" applyAlignment="1">
      <alignment horizontal="center" vertical="center"/>
    </xf>
    <xf numFmtId="0" fontId="11" fillId="12" borderId="12" xfId="1" applyFont="1" applyFill="1" applyBorder="1" applyAlignment="1">
      <alignment horizontal="center" vertical="center"/>
    </xf>
    <xf numFmtId="0" fontId="11" fillId="4" borderId="12" xfId="1" applyFont="1" applyFill="1" applyBorder="1" applyAlignment="1">
      <alignment horizontal="center"/>
    </xf>
    <xf numFmtId="0" fontId="2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3" fillId="0" borderId="30" xfId="2" applyFont="1" applyBorder="1" applyAlignment="1">
      <alignment horizontal="center" vertical="center"/>
    </xf>
    <xf numFmtId="0" fontId="13" fillId="0" borderId="43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13" fillId="15" borderId="47" xfId="2" applyFont="1" applyFill="1" applyBorder="1" applyAlignment="1">
      <alignment horizontal="center" vertical="center" wrapText="1"/>
    </xf>
    <xf numFmtId="0" fontId="13" fillId="15" borderId="57" xfId="2" applyFont="1" applyFill="1" applyBorder="1" applyAlignment="1">
      <alignment horizontal="center" vertical="center" wrapText="1"/>
    </xf>
    <xf numFmtId="0" fontId="13" fillId="15" borderId="30" xfId="2" applyFont="1" applyFill="1" applyBorder="1" applyAlignment="1">
      <alignment horizontal="center" vertical="center" wrapText="1"/>
    </xf>
    <xf numFmtId="0" fontId="5" fillId="17" borderId="47" xfId="0" applyFont="1" applyFill="1" applyBorder="1" applyAlignment="1">
      <alignment horizontal="center" vertical="center"/>
    </xf>
    <xf numFmtId="0" fontId="5" fillId="17" borderId="57" xfId="0" applyFont="1" applyFill="1" applyBorder="1" applyAlignment="1">
      <alignment horizontal="center" vertical="center"/>
    </xf>
    <xf numFmtId="0" fontId="5" fillId="17" borderId="30" xfId="0" applyFont="1" applyFill="1" applyBorder="1" applyAlignment="1">
      <alignment horizontal="center" vertical="center"/>
    </xf>
    <xf numFmtId="0" fontId="5" fillId="17" borderId="47" xfId="0" applyFont="1" applyFill="1" applyBorder="1" applyAlignment="1">
      <alignment horizontal="center" vertical="center" wrapText="1"/>
    </xf>
    <xf numFmtId="0" fontId="5" fillId="17" borderId="30" xfId="0" applyFont="1" applyFill="1" applyBorder="1" applyAlignment="1">
      <alignment horizontal="center" vertical="center" wrapText="1"/>
    </xf>
    <xf numFmtId="0" fontId="5" fillId="17" borderId="12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5" fillId="0" borderId="36" xfId="0" applyFont="1" applyBorder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26" xfId="0" applyFont="1" applyBorder="1" applyAlignment="1">
      <alignment horizontal="left" vertical="center" wrapText="1"/>
    </xf>
    <xf numFmtId="0" fontId="15" fillId="0" borderId="25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5" fillId="0" borderId="48" xfId="0" applyFont="1" applyBorder="1" applyAlignment="1">
      <alignment horizontal="left" vertical="center" wrapText="1"/>
    </xf>
    <xf numFmtId="0" fontId="15" fillId="0" borderId="56" xfId="0" applyFont="1" applyBorder="1" applyAlignment="1">
      <alignment horizontal="left" vertical="center" wrapText="1"/>
    </xf>
    <xf numFmtId="0" fontId="15" fillId="0" borderId="14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27" fillId="0" borderId="55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5" fillId="0" borderId="26" xfId="0" applyFont="1" applyBorder="1" applyAlignment="1">
      <alignment horizontal="left" vertical="center" shrinkToFit="1"/>
    </xf>
    <xf numFmtId="0" fontId="15" fillId="0" borderId="25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0" fillId="0" borderId="52" xfId="0" applyBorder="1"/>
    <xf numFmtId="0" fontId="0" fillId="0" borderId="23" xfId="0" applyBorder="1"/>
    <xf numFmtId="0" fontId="13" fillId="0" borderId="0" xfId="0" applyFont="1" applyAlignment="1">
      <alignment horizontal="center" vertical="center"/>
    </xf>
    <xf numFmtId="0" fontId="25" fillId="0" borderId="5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textRotation="90"/>
    </xf>
    <xf numFmtId="0" fontId="15" fillId="0" borderId="11" xfId="0" applyFont="1" applyBorder="1" applyAlignment="1">
      <alignment horizontal="center" textRotation="90"/>
    </xf>
    <xf numFmtId="0" fontId="15" fillId="0" borderId="19" xfId="0" applyFont="1" applyBorder="1" applyAlignment="1">
      <alignment horizontal="center" textRotation="90"/>
    </xf>
    <xf numFmtId="0" fontId="15" fillId="0" borderId="6" xfId="0" applyFont="1" applyBorder="1" applyAlignment="1">
      <alignment horizontal="center" textRotation="90"/>
    </xf>
    <xf numFmtId="0" fontId="15" fillId="0" borderId="13" xfId="0" applyFont="1" applyBorder="1" applyAlignment="1">
      <alignment horizontal="center" textRotation="90"/>
    </xf>
    <xf numFmtId="0" fontId="15" fillId="0" borderId="21" xfId="0" applyFont="1" applyBorder="1" applyAlignment="1">
      <alignment horizontal="center" textRotation="90"/>
    </xf>
    <xf numFmtId="0" fontId="21" fillId="0" borderId="53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6" fillId="0" borderId="5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52" xfId="0" applyFont="1" applyBorder="1" applyAlignment="1">
      <alignment vertical="center" wrapText="1"/>
    </xf>
    <xf numFmtId="0" fontId="15" fillId="0" borderId="52" xfId="0" applyFont="1" applyBorder="1" applyAlignment="1">
      <alignment horizontal="left" vertical="center" wrapText="1"/>
    </xf>
    <xf numFmtId="0" fontId="15" fillId="0" borderId="23" xfId="0" applyFont="1" applyBorder="1" applyAlignment="1">
      <alignment horizontal="left" vertical="center" wrapText="1"/>
    </xf>
    <xf numFmtId="0" fontId="25" fillId="0" borderId="0" xfId="3" applyFont="1" applyAlignment="1">
      <alignment horizontal="center"/>
    </xf>
    <xf numFmtId="0" fontId="13" fillId="0" borderId="0" xfId="3" applyFont="1" applyAlignment="1">
      <alignment horizontal="center" vertical="center"/>
    </xf>
    <xf numFmtId="0" fontId="13" fillId="0" borderId="4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0" fontId="13" fillId="0" borderId="5" xfId="3" applyFont="1" applyBorder="1" applyAlignment="1">
      <alignment horizontal="center" vertical="center"/>
    </xf>
    <xf numFmtId="0" fontId="13" fillId="0" borderId="7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 vertical="center"/>
    </xf>
    <xf numFmtId="0" fontId="13" fillId="0" borderId="22" xfId="3" applyFont="1" applyBorder="1" applyAlignment="1">
      <alignment horizontal="center" vertical="center"/>
    </xf>
    <xf numFmtId="0" fontId="13" fillId="0" borderId="53" xfId="3" applyFont="1" applyBorder="1" applyAlignment="1">
      <alignment horizontal="center" vertical="center" wrapText="1"/>
    </xf>
    <xf numFmtId="0" fontId="13" fillId="0" borderId="33" xfId="3" applyFont="1" applyBorder="1" applyAlignment="1">
      <alignment horizontal="center" vertical="center"/>
    </xf>
    <xf numFmtId="165" fontId="12" fillId="0" borderId="4" xfId="3" applyNumberFormat="1" applyFont="1" applyBorder="1" applyAlignment="1">
      <alignment horizontal="center"/>
    </xf>
    <xf numFmtId="165" fontId="12" fillId="0" borderId="5" xfId="3" applyNumberFormat="1" applyFont="1" applyBorder="1" applyAlignment="1">
      <alignment horizontal="center"/>
    </xf>
    <xf numFmtId="165" fontId="12" fillId="0" borderId="6" xfId="3" applyNumberFormat="1" applyFont="1" applyBorder="1" applyAlignment="1">
      <alignment horizontal="center"/>
    </xf>
    <xf numFmtId="0" fontId="13" fillId="0" borderId="12" xfId="3" applyFont="1" applyBorder="1" applyAlignment="1">
      <alignment horizontal="center" vertical="center"/>
    </xf>
    <xf numFmtId="0" fontId="12" fillId="0" borderId="34" xfId="3" applyFont="1" applyBorder="1" applyAlignment="1">
      <alignment horizontal="center"/>
    </xf>
    <xf numFmtId="0" fontId="12" fillId="0" borderId="12" xfId="3" applyFont="1" applyBorder="1" applyAlignment="1">
      <alignment horizontal="center"/>
    </xf>
    <xf numFmtId="165" fontId="12" fillId="0" borderId="54" xfId="3" applyNumberFormat="1" applyFont="1" applyBorder="1" applyAlignment="1" applyProtection="1">
      <alignment horizontal="center"/>
      <protection locked="0"/>
    </xf>
    <xf numFmtId="165" fontId="12" fillId="0" borderId="51" xfId="3" applyNumberFormat="1" applyFont="1" applyBorder="1" applyAlignment="1" applyProtection="1">
      <alignment horizontal="center"/>
      <protection locked="0"/>
    </xf>
    <xf numFmtId="165" fontId="12" fillId="0" borderId="3" xfId="3" applyNumberFormat="1" applyFont="1" applyBorder="1" applyAlignment="1" applyProtection="1">
      <alignment horizontal="center"/>
      <protection locked="0"/>
    </xf>
    <xf numFmtId="0" fontId="13" fillId="0" borderId="50" xfId="5" applyFont="1" applyBorder="1" applyAlignment="1">
      <alignment horizontal="left" vertical="center"/>
    </xf>
    <xf numFmtId="0" fontId="33" fillId="0" borderId="14" xfId="5" applyFont="1" applyBorder="1" applyAlignment="1" applyProtection="1">
      <alignment horizontal="center" vertical="center"/>
      <protection locked="0"/>
    </xf>
    <xf numFmtId="0" fontId="33" fillId="0" borderId="26" xfId="5" applyFont="1" applyBorder="1" applyAlignment="1" applyProtection="1">
      <alignment horizontal="center" vertical="center"/>
      <protection locked="0"/>
    </xf>
    <xf numFmtId="0" fontId="33" fillId="0" borderId="34" xfId="5" applyFont="1" applyBorder="1" applyAlignment="1" applyProtection="1">
      <alignment horizontal="center" vertical="center"/>
      <protection locked="0"/>
    </xf>
    <xf numFmtId="0" fontId="29" fillId="0" borderId="43" xfId="5" applyFont="1" applyBorder="1" applyAlignment="1">
      <alignment horizontal="center" vertical="center"/>
    </xf>
    <xf numFmtId="0" fontId="29" fillId="0" borderId="48" xfId="5" applyFont="1" applyBorder="1" applyAlignment="1">
      <alignment horizontal="center" vertical="center"/>
    </xf>
    <xf numFmtId="0" fontId="29" fillId="0" borderId="49" xfId="5" applyFont="1" applyBorder="1" applyAlignment="1">
      <alignment horizontal="center" vertical="center"/>
    </xf>
    <xf numFmtId="0" fontId="11" fillId="0" borderId="0" xfId="5" applyFont="1" applyAlignment="1">
      <alignment horizontal="center"/>
    </xf>
    <xf numFmtId="0" fontId="12" fillId="0" borderId="0" xfId="5" applyFont="1" applyAlignment="1">
      <alignment horizontal="center"/>
    </xf>
    <xf numFmtId="0" fontId="33" fillId="0" borderId="9" xfId="5" applyFont="1" applyBorder="1" applyAlignment="1">
      <alignment horizontal="center" vertical="center"/>
    </xf>
    <xf numFmtId="0" fontId="33" fillId="0" borderId="0" xfId="5" applyFont="1" applyAlignment="1">
      <alignment horizontal="center" vertical="center"/>
    </xf>
    <xf numFmtId="0" fontId="33" fillId="0" borderId="42" xfId="5" applyFont="1" applyBorder="1" applyAlignment="1">
      <alignment horizontal="center" vertical="center"/>
    </xf>
    <xf numFmtId="0" fontId="33" fillId="0" borderId="29" xfId="5" applyFont="1" applyBorder="1" applyAlignment="1">
      <alignment horizontal="center" vertical="center"/>
    </xf>
    <xf numFmtId="0" fontId="33" fillId="0" borderId="44" xfId="5" applyFont="1" applyBorder="1" applyAlignment="1">
      <alignment horizontal="center" vertical="center"/>
    </xf>
    <xf numFmtId="0" fontId="33" fillId="0" borderId="37" xfId="5" applyFont="1" applyBorder="1" applyAlignment="1">
      <alignment horizontal="center" vertical="center"/>
    </xf>
    <xf numFmtId="0" fontId="5" fillId="0" borderId="5" xfId="5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0" fontId="5" fillId="0" borderId="12" xfId="5" applyFont="1" applyBorder="1" applyAlignment="1">
      <alignment horizontal="center" vertical="center"/>
    </xf>
    <xf numFmtId="0" fontId="5" fillId="0" borderId="13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11" xfId="5" applyFont="1" applyBorder="1" applyAlignment="1">
      <alignment horizontal="center" vertical="center" wrapText="1"/>
    </xf>
    <xf numFmtId="0" fontId="13" fillId="0" borderId="12" xfId="5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 wrapText="1"/>
    </xf>
    <xf numFmtId="0" fontId="13" fillId="0" borderId="51" xfId="5" applyFont="1" applyBorder="1" applyAlignment="1">
      <alignment horizontal="center" vertical="center"/>
    </xf>
    <xf numFmtId="0" fontId="13" fillId="0" borderId="46" xfId="5" applyFont="1" applyBorder="1" applyAlignment="1">
      <alignment horizontal="center" vertical="center"/>
    </xf>
    <xf numFmtId="0" fontId="13" fillId="0" borderId="29" xfId="5" applyFont="1" applyBorder="1" applyAlignment="1">
      <alignment horizontal="center" vertical="center"/>
    </xf>
    <xf numFmtId="0" fontId="13" fillId="0" borderId="44" xfId="5" applyFont="1" applyBorder="1" applyAlignment="1">
      <alignment horizontal="center" vertical="center"/>
    </xf>
    <xf numFmtId="0" fontId="13" fillId="0" borderId="37" xfId="5" applyFont="1" applyBorder="1" applyAlignment="1">
      <alignment horizontal="center" vertical="center"/>
    </xf>
    <xf numFmtId="0" fontId="13" fillId="0" borderId="4" xfId="5" applyFont="1" applyBorder="1" applyAlignment="1">
      <alignment horizontal="center" vertical="center"/>
    </xf>
    <xf numFmtId="0" fontId="13" fillId="0" borderId="11" xfId="5" applyFont="1" applyBorder="1" applyAlignment="1">
      <alignment horizontal="center" vertical="center"/>
    </xf>
    <xf numFmtId="0" fontId="8" fillId="0" borderId="12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13" fillId="0" borderId="15" xfId="5" applyFont="1" applyBorder="1" applyAlignment="1">
      <alignment horizontal="left"/>
    </xf>
    <xf numFmtId="0" fontId="13" fillId="0" borderId="26" xfId="5" applyFont="1" applyBorder="1" applyAlignment="1">
      <alignment horizontal="left"/>
    </xf>
    <xf numFmtId="0" fontId="13" fillId="0" borderId="25" xfId="5" applyFont="1" applyBorder="1" applyAlignment="1">
      <alignment horizontal="left"/>
    </xf>
    <xf numFmtId="0" fontId="8" fillId="0" borderId="11" xfId="5" applyFont="1" applyBorder="1" applyAlignment="1">
      <alignment horizontal="center"/>
    </xf>
    <xf numFmtId="0" fontId="8" fillId="0" borderId="12" xfId="5" applyFont="1" applyBorder="1" applyAlignment="1">
      <alignment horizontal="center"/>
    </xf>
    <xf numFmtId="0" fontId="8" fillId="0" borderId="14" xfId="5" applyFont="1" applyBorder="1" applyAlignment="1">
      <alignment horizontal="left"/>
    </xf>
    <xf numFmtId="0" fontId="8" fillId="0" borderId="26" xfId="5" applyFont="1" applyBorder="1" applyAlignment="1">
      <alignment horizontal="left"/>
    </xf>
    <xf numFmtId="0" fontId="8" fillId="0" borderId="34" xfId="5" applyFont="1" applyBorder="1" applyAlignment="1">
      <alignment horizontal="left"/>
    </xf>
    <xf numFmtId="164" fontId="8" fillId="0" borderId="14" xfId="5" applyNumberFormat="1" applyFont="1" applyBorder="1" applyAlignment="1">
      <alignment horizontal="center"/>
    </xf>
    <xf numFmtId="164" fontId="8" fillId="0" borderId="26" xfId="5" applyNumberFormat="1" applyFont="1" applyBorder="1" applyAlignment="1">
      <alignment horizontal="center"/>
    </xf>
    <xf numFmtId="164" fontId="8" fillId="0" borderId="34" xfId="5" applyNumberFormat="1" applyFont="1" applyBorder="1" applyAlignment="1">
      <alignment horizontal="center"/>
    </xf>
    <xf numFmtId="0" fontId="8" fillId="0" borderId="12" xfId="5" applyFont="1" applyBorder="1" applyAlignment="1">
      <alignment horizontal="center" vertical="center"/>
    </xf>
    <xf numFmtId="0" fontId="8" fillId="0" borderId="19" xfId="5" applyFont="1" applyBorder="1" applyAlignment="1">
      <alignment horizontal="center"/>
    </xf>
    <xf numFmtId="0" fontId="8" fillId="0" borderId="20" xfId="5" applyFont="1" applyBorder="1" applyAlignment="1">
      <alignment horizontal="center"/>
    </xf>
    <xf numFmtId="0" fontId="8" fillId="0" borderId="22" xfId="5" applyFont="1" applyBorder="1" applyAlignment="1">
      <alignment horizontal="left"/>
    </xf>
    <xf numFmtId="0" fontId="8" fillId="0" borderId="36" xfId="5" applyFont="1" applyBorder="1" applyAlignment="1">
      <alignment horizontal="left"/>
    </xf>
    <xf numFmtId="0" fontId="8" fillId="0" borderId="35" xfId="5" applyFont="1" applyBorder="1" applyAlignment="1">
      <alignment horizontal="left"/>
    </xf>
    <xf numFmtId="164" fontId="8" fillId="0" borderId="22" xfId="5" applyNumberFormat="1" applyFont="1" applyBorder="1" applyAlignment="1">
      <alignment horizontal="center"/>
    </xf>
    <xf numFmtId="164" fontId="8" fillId="0" borderId="36" xfId="5" applyNumberFormat="1" applyFont="1" applyBorder="1" applyAlignment="1">
      <alignment horizontal="center"/>
    </xf>
    <xf numFmtId="164" fontId="8" fillId="0" borderId="35" xfId="5" applyNumberFormat="1" applyFont="1" applyBorder="1" applyAlignment="1">
      <alignment horizontal="center"/>
    </xf>
    <xf numFmtId="0" fontId="8" fillId="0" borderId="20" xfId="5" applyFont="1" applyBorder="1" applyAlignment="1">
      <alignment horizontal="center" vertical="center"/>
    </xf>
    <xf numFmtId="0" fontId="8" fillId="0" borderId="20" xfId="5" applyFont="1" applyBorder="1" applyAlignment="1" applyProtection="1">
      <alignment horizontal="center" vertical="center"/>
      <protection locked="0"/>
    </xf>
    <xf numFmtId="0" fontId="34" fillId="0" borderId="26" xfId="6" applyFont="1" applyBorder="1"/>
    <xf numFmtId="0" fontId="34" fillId="0" borderId="25" xfId="6" applyFont="1" applyBorder="1"/>
    <xf numFmtId="0" fontId="8" fillId="0" borderId="21" xfId="5" applyFont="1" applyBorder="1" applyAlignment="1" applyProtection="1">
      <alignment horizontal="center" vertical="center"/>
      <protection locked="0"/>
    </xf>
    <xf numFmtId="0" fontId="8" fillId="0" borderId="12" xfId="5" applyFont="1" applyBorder="1" applyAlignment="1">
      <alignment horizontal="left"/>
    </xf>
    <xf numFmtId="2" fontId="8" fillId="0" borderId="12" xfId="5" applyNumberFormat="1" applyFont="1" applyBorder="1" applyAlignment="1">
      <alignment horizontal="center" vertical="center"/>
    </xf>
    <xf numFmtId="0" fontId="8" fillId="0" borderId="13" xfId="5" applyFont="1" applyBorder="1" applyAlignment="1">
      <alignment horizontal="center" vertical="center"/>
    </xf>
    <xf numFmtId="0" fontId="8" fillId="14" borderId="12" xfId="5" applyFont="1" applyFill="1" applyBorder="1" applyAlignment="1">
      <alignment horizontal="center" vertical="center"/>
    </xf>
    <xf numFmtId="0" fontId="8" fillId="0" borderId="21" xfId="5" applyFont="1" applyBorder="1" applyAlignment="1">
      <alignment horizontal="center" vertical="center"/>
    </xf>
    <xf numFmtId="0" fontId="13" fillId="0" borderId="19" xfId="5" applyFont="1" applyBorder="1" applyAlignment="1">
      <alignment horizontal="center" vertical="center"/>
    </xf>
    <xf numFmtId="0" fontId="13" fillId="0" borderId="20" xfId="5" applyFont="1" applyBorder="1" applyAlignment="1">
      <alignment horizontal="center" vertical="center"/>
    </xf>
    <xf numFmtId="0" fontId="5" fillId="0" borderId="7" xfId="5" applyFont="1" applyBorder="1" applyAlignment="1">
      <alignment horizontal="center" vertical="center"/>
    </xf>
    <xf numFmtId="0" fontId="5" fillId="0" borderId="52" xfId="5" applyFont="1" applyBorder="1" applyAlignment="1">
      <alignment horizontal="center" vertical="center"/>
    </xf>
    <xf numFmtId="0" fontId="5" fillId="0" borderId="23" xfId="5" applyFont="1" applyBorder="1" applyAlignment="1">
      <alignment horizontal="center" vertical="center"/>
    </xf>
    <xf numFmtId="0" fontId="13" fillId="0" borderId="22" xfId="5" applyFont="1" applyBorder="1" applyAlignment="1">
      <alignment horizontal="center" vertical="center"/>
    </xf>
    <xf numFmtId="0" fontId="13" fillId="0" borderId="36" xfId="5" applyFont="1" applyBorder="1" applyAlignment="1">
      <alignment horizontal="center" vertical="center"/>
    </xf>
    <xf numFmtId="0" fontId="13" fillId="0" borderId="35" xfId="5" applyFont="1" applyBorder="1" applyAlignment="1">
      <alignment horizontal="center" vertical="center"/>
    </xf>
    <xf numFmtId="0" fontId="5" fillId="0" borderId="20" xfId="5" applyFont="1" applyBorder="1" applyAlignment="1">
      <alignment horizontal="center" vertical="center"/>
    </xf>
    <xf numFmtId="0" fontId="5" fillId="0" borderId="21" xfId="5" applyFont="1" applyBorder="1" applyAlignment="1">
      <alignment horizontal="center" vertical="center"/>
    </xf>
    <xf numFmtId="0" fontId="8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0" fontId="8" fillId="0" borderId="33" xfId="5" applyFont="1" applyBorder="1" applyAlignment="1">
      <alignment horizontal="left"/>
    </xf>
    <xf numFmtId="0" fontId="8" fillId="0" borderId="22" xfId="5" applyFont="1" applyBorder="1" applyAlignment="1">
      <alignment horizontal="center"/>
    </xf>
    <xf numFmtId="0" fontId="8" fillId="0" borderId="36" xfId="5" applyFont="1" applyBorder="1" applyAlignment="1">
      <alignment horizontal="center"/>
    </xf>
    <xf numFmtId="0" fontId="8" fillId="0" borderId="35" xfId="5" applyFont="1" applyBorder="1" applyAlignment="1">
      <alignment horizontal="center"/>
    </xf>
    <xf numFmtId="0" fontId="8" fillId="0" borderId="15" xfId="5" applyFont="1" applyBorder="1" applyAlignment="1">
      <alignment horizontal="left"/>
    </xf>
    <xf numFmtId="0" fontId="8" fillId="0" borderId="14" xfId="5" applyFont="1" applyBorder="1" applyAlignment="1">
      <alignment horizontal="center"/>
    </xf>
    <xf numFmtId="0" fontId="8" fillId="0" borderId="26" xfId="5" applyFont="1" applyBorder="1" applyAlignment="1">
      <alignment horizontal="center"/>
    </xf>
    <xf numFmtId="0" fontId="8" fillId="0" borderId="34" xfId="5" applyFont="1" applyBorder="1" applyAlignment="1">
      <alignment horizontal="center"/>
    </xf>
    <xf numFmtId="0" fontId="8" fillId="14" borderId="20" xfId="5" applyFont="1" applyFill="1" applyBorder="1" applyAlignment="1">
      <alignment horizontal="center" vertical="center"/>
    </xf>
    <xf numFmtId="164" fontId="8" fillId="0" borderId="14" xfId="5" applyNumberFormat="1" applyFont="1" applyBorder="1" applyAlignment="1">
      <alignment horizontal="center" vertical="center"/>
    </xf>
    <xf numFmtId="164" fontId="8" fillId="0" borderId="26" xfId="5" applyNumberFormat="1" applyFont="1" applyBorder="1" applyAlignment="1">
      <alignment horizontal="center" vertical="center"/>
    </xf>
    <xf numFmtId="164" fontId="8" fillId="0" borderId="25" xfId="5" applyNumberFormat="1" applyFont="1" applyBorder="1" applyAlignment="1">
      <alignment horizontal="center" vertical="center"/>
    </xf>
    <xf numFmtId="0" fontId="8" fillId="0" borderId="11" xfId="5" applyFont="1" applyBorder="1" applyAlignment="1">
      <alignment horizontal="left" vertical="center"/>
    </xf>
    <xf numFmtId="0" fontId="8" fillId="0" borderId="12" xfId="5" applyFont="1" applyBorder="1" applyAlignment="1">
      <alignment horizontal="left" vertical="center"/>
    </xf>
    <xf numFmtId="2" fontId="8" fillId="0" borderId="14" xfId="5" applyNumberFormat="1" applyFont="1" applyBorder="1" applyAlignment="1">
      <alignment horizontal="center" vertical="center"/>
    </xf>
    <xf numFmtId="2" fontId="8" fillId="0" borderId="26" xfId="5" applyNumberFormat="1" applyFont="1" applyBorder="1" applyAlignment="1">
      <alignment horizontal="center" vertical="center"/>
    </xf>
    <xf numFmtId="2" fontId="8" fillId="0" borderId="25" xfId="5" applyNumberFormat="1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164" fontId="8" fillId="0" borderId="34" xfId="5" applyNumberFormat="1" applyFont="1" applyBorder="1" applyAlignment="1">
      <alignment horizontal="center" vertical="center"/>
    </xf>
    <xf numFmtId="0" fontId="8" fillId="0" borderId="0" xfId="5" applyFont="1" applyAlignment="1">
      <alignment horizontal="center" vertical="center" shrinkToFit="1"/>
    </xf>
    <xf numFmtId="0" fontId="8" fillId="0" borderId="28" xfId="5" applyFont="1" applyBorder="1" applyAlignment="1">
      <alignment horizontal="left" vertical="center"/>
    </xf>
    <xf numFmtId="0" fontId="8" fillId="0" borderId="30" xfId="5" applyFont="1" applyBorder="1" applyAlignment="1">
      <alignment horizontal="left" vertical="center"/>
    </xf>
    <xf numFmtId="164" fontId="8" fillId="0" borderId="2" xfId="5" applyNumberFormat="1" applyFont="1" applyBorder="1" applyAlignment="1">
      <alignment horizontal="center" vertical="center"/>
    </xf>
    <xf numFmtId="164" fontId="8" fillId="0" borderId="51" xfId="5" applyNumberFormat="1" applyFont="1" applyBorder="1" applyAlignment="1">
      <alignment horizontal="center" vertical="center"/>
    </xf>
    <xf numFmtId="164" fontId="8" fillId="0" borderId="46" xfId="5" applyNumberFormat="1" applyFont="1" applyBorder="1" applyAlignment="1">
      <alignment horizontal="center" vertical="center"/>
    </xf>
    <xf numFmtId="164" fontId="8" fillId="0" borderId="3" xfId="5" applyNumberFormat="1" applyFont="1" applyBorder="1" applyAlignment="1">
      <alignment horizontal="center" vertical="center"/>
    </xf>
    <xf numFmtId="164" fontId="8" fillId="0" borderId="12" xfId="5" applyNumberFormat="1" applyFont="1" applyBorder="1" applyAlignment="1">
      <alignment horizontal="center" vertical="center"/>
    </xf>
    <xf numFmtId="164" fontId="8" fillId="0" borderId="13" xfId="5" applyNumberFormat="1" applyFont="1" applyBorder="1" applyAlignment="1">
      <alignment horizontal="center" vertical="center"/>
    </xf>
    <xf numFmtId="0" fontId="8" fillId="0" borderId="19" xfId="5" applyFont="1" applyBorder="1" applyAlignment="1">
      <alignment horizontal="left" vertical="center"/>
    </xf>
    <xf numFmtId="0" fontId="8" fillId="0" borderId="20" xfId="5" applyFont="1" applyBorder="1" applyAlignment="1">
      <alignment horizontal="left" vertical="center"/>
    </xf>
    <xf numFmtId="0" fontId="8" fillId="0" borderId="22" xfId="5" applyFont="1" applyBorder="1" applyAlignment="1">
      <alignment horizontal="center" vertical="center"/>
    </xf>
    <xf numFmtId="0" fontId="8" fillId="0" borderId="36" xfId="5" applyFont="1" applyBorder="1" applyAlignment="1">
      <alignment horizontal="center" vertical="center"/>
    </xf>
    <xf numFmtId="0" fontId="8" fillId="0" borderId="27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26" xfId="5" applyFont="1" applyBorder="1" applyAlignment="1">
      <alignment horizontal="center" vertical="center"/>
    </xf>
    <xf numFmtId="0" fontId="8" fillId="0" borderId="25" xfId="5" applyFont="1" applyBorder="1" applyAlignment="1">
      <alignment horizontal="center" vertical="center"/>
    </xf>
    <xf numFmtId="0" fontId="5" fillId="0" borderId="0" xfId="6" applyFont="1" applyAlignment="1">
      <alignment horizontal="center"/>
    </xf>
  </cellXfs>
  <cellStyles count="18">
    <cellStyle name="Normal" xfId="0" builtinId="0"/>
    <cellStyle name="Normal 2" xfId="2" xr:uid="{00000000-0005-0000-0000-000001000000}"/>
    <cellStyle name="Normal 2 2" xfId="8" xr:uid="{00000000-0005-0000-0000-000002000000}"/>
    <cellStyle name="Normal 2 3" xfId="11" xr:uid="{00000000-0005-0000-0000-000003000000}"/>
    <cellStyle name="Normal 3" xfId="4" xr:uid="{00000000-0005-0000-0000-000004000000}"/>
    <cellStyle name="Normal 3 2" xfId="9" xr:uid="{00000000-0005-0000-0000-000005000000}"/>
    <cellStyle name="Normal 4" xfId="5" xr:uid="{00000000-0005-0000-0000-000006000000}"/>
    <cellStyle name="Normal 4 2" xfId="12" xr:uid="{00000000-0005-0000-0000-000007000000}"/>
    <cellStyle name="Normal 5" xfId="6" xr:uid="{00000000-0005-0000-0000-000008000000}"/>
    <cellStyle name="Normal 6" xfId="7" xr:uid="{00000000-0005-0000-0000-000009000000}"/>
    <cellStyle name="Normal 7" xfId="10" xr:uid="{00000000-0005-0000-0000-00000A000000}"/>
    <cellStyle name="Normal 8" xfId="15" xr:uid="{00000000-0005-0000-0000-00000B000000}"/>
    <cellStyle name="Normal 9" xfId="17" xr:uid="{383005BA-D2B7-43AF-A505-349E5EB0B9CB}"/>
    <cellStyle name="ปกติ 2" xfId="1" xr:uid="{00000000-0005-0000-0000-00000C000000}"/>
    <cellStyle name="ปกติ 3" xfId="3" xr:uid="{00000000-0005-0000-0000-00000D000000}"/>
    <cellStyle name="ปกติ 4" xfId="14" xr:uid="{00000000-0005-0000-0000-00000E000000}"/>
    <cellStyle name="ปกติ_ประกาศผลครูรายวิชา" xfId="13" xr:uid="{00000000-0005-0000-0000-00000F000000}"/>
    <cellStyle name="ปกติ_รายชื่อม1-3_54" xfId="16" xr:uid="{00000000-0005-0000-0000-000010000000}"/>
  </cellStyles>
  <dxfs count="9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212480</xdr:colOff>
      <xdr:row>57</xdr:row>
      <xdr:rowOff>139212</xdr:rowOff>
    </xdr:from>
    <xdr:to>
      <xdr:col>6</xdr:col>
      <xdr:colOff>173623</xdr:colOff>
      <xdr:row>59</xdr:row>
      <xdr:rowOff>5748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48458BBD-7EEB-4219-9F68-3049EE1A4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8845" y="12221308"/>
          <a:ext cx="642547" cy="291498"/>
        </a:xfrm>
        <a:prstGeom prst="rect">
          <a:avLst/>
        </a:prstGeom>
      </xdr:spPr>
    </xdr:pic>
    <xdr:clientData/>
  </xdr:twoCellAnchor>
  <xdr:twoCellAnchor editAs="oneCell">
    <xdr:from>
      <xdr:col>18</xdr:col>
      <xdr:colOff>73270</xdr:colOff>
      <xdr:row>57</xdr:row>
      <xdr:rowOff>73270</xdr:rowOff>
    </xdr:from>
    <xdr:to>
      <xdr:col>22</xdr:col>
      <xdr:colOff>115284</xdr:colOff>
      <xdr:row>58</xdr:row>
      <xdr:rowOff>131885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id="{53553C8C-0DE7-4A27-92A7-0ABCE3EE0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655" y="12155366"/>
          <a:ext cx="950552" cy="2710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61454</xdr:colOff>
      <xdr:row>2</xdr:row>
      <xdr:rowOff>122902</xdr:rowOff>
    </xdr:from>
    <xdr:to>
      <xdr:col>40</xdr:col>
      <xdr:colOff>51209</xdr:colOff>
      <xdr:row>6</xdr:row>
      <xdr:rowOff>168278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245E3E0-3087-FC32-5C06-7E953793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1131" y="972983"/>
          <a:ext cx="727175" cy="1028601"/>
        </a:xfrm>
        <a:prstGeom prst="rect">
          <a:avLst/>
        </a:prstGeom>
      </xdr:spPr>
    </xdr:pic>
    <xdr:clientData/>
  </xdr:twoCellAnchor>
  <xdr:twoCellAnchor editAs="oneCell">
    <xdr:from>
      <xdr:col>52</xdr:col>
      <xdr:colOff>14290</xdr:colOff>
      <xdr:row>32</xdr:row>
      <xdr:rowOff>184356</xdr:rowOff>
    </xdr:from>
    <xdr:to>
      <xdr:col>64</xdr:col>
      <xdr:colOff>71213</xdr:colOff>
      <xdr:row>33</xdr:row>
      <xdr:rowOff>239828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D9B4BC-F808-4BC0-A99C-DAC3616DE3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7516" y="8756856"/>
          <a:ext cx="1163052" cy="3012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Com1\Google%20Drive%20(evalt3sec@gmail.com)\&#3591;&#3634;&#3609;&#3623;&#3633;&#3604;&#3612;&#3621;%20&#3617;&#3633;&#3608;&#3618;&#3617;&#3624;&#3638;&#3585;&#3625;&#3634;&#3605;&#3629;&#3609;&#3605;&#3657;&#3609;\&#3591;&#3634;&#3609;&#3623;&#3633;&#3604;&#3612;&#3621;%20&#3588;&#3619;&#3641;&#3585;&#3636;&#3605;&#3636;&#3618;&#3634;\&#3588;&#3632;&#3649;&#3609;&#3609;&#3611;&#3637;&#3585;&#3634;&#3619;&#3624;&#3638;&#3585;&#3625;&#3634;2-2562\&#3611;&#3606;06%20(&#3585;&#3619;&#3640;&#3603;&#3634;&#3649;&#3618;&#3585;&#3652;&#3615;&#3621;&#3660;&#3605;&#3634;&#3617;&#3649;&#3612;&#3609;&#3585;&#3634;&#3619;&#3648;&#3619;&#3637;&#3618;&#3609;)\&#3611;&#3606;.06%20&#3610;_1-2562%20-%2012%20new-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&#3591;&#3634;&#3609;&#3623;&#3633;&#3604;&#3612;&#3621;/&#3615;&#3629;&#3619;&#3660;&#3617;&#3588;&#3632;&#3649;&#3609;&#3609;/2563/&#3648;&#3594;&#3655;&#3588;&#3648;&#3623;&#3621;&#3634;&#3648;&#3619;&#3637;&#3618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ชื่อนักเรียน"/>
      <sheetName val="3.กลางภาค"/>
      <sheetName val="4.คีย์ปลายภาค"/>
      <sheetName val="5.อ่านคิดวิเคราะห์"/>
      <sheetName val="6.คุณลักษณะ"/>
      <sheetName val="7.บันทึกการเจริญเติบโต"/>
      <sheetName val="8.ความคิดเห็น"/>
      <sheetName val="รายงาน"/>
      <sheetName val="Subject"/>
      <sheetName val="final"/>
    </sheetNames>
    <sheetDataSet>
      <sheetData sheetId="0">
        <row r="2">
          <cell r="J2" t="str">
            <v>1/2</v>
          </cell>
          <cell r="L2">
            <v>2562</v>
          </cell>
        </row>
        <row r="4">
          <cell r="L4">
            <v>2</v>
          </cell>
        </row>
        <row r="6">
          <cell r="J6" t="str">
            <v>นางกิติยา  มิดเดิลตัน</v>
          </cell>
        </row>
        <row r="7">
          <cell r="B7" t="str">
            <v>ท21102</v>
          </cell>
          <cell r="C7" t="str">
            <v>ภาษาไทย 2</v>
          </cell>
          <cell r="D7">
            <v>1.5</v>
          </cell>
        </row>
        <row r="8">
          <cell r="B8" t="str">
            <v>ค21102</v>
          </cell>
          <cell r="C8" t="str">
            <v>คณิตศาสตร์ 2</v>
          </cell>
          <cell r="D8">
            <v>1.5</v>
          </cell>
          <cell r="J8" t="str">
            <v>นางกิติยา  มิดเดิลตัน</v>
          </cell>
        </row>
        <row r="9">
          <cell r="B9" t="str">
            <v>ว21103</v>
          </cell>
          <cell r="C9" t="str">
            <v>วิทยาศาสตร์ 2</v>
          </cell>
          <cell r="D9">
            <v>1.5</v>
          </cell>
        </row>
        <row r="10">
          <cell r="B10" t="str">
            <v>ว21104</v>
          </cell>
          <cell r="C10" t="str">
            <v>วิทยาการคำนวณ 2</v>
          </cell>
          <cell r="D10">
            <v>0.5</v>
          </cell>
          <cell r="J10">
            <v>0</v>
          </cell>
        </row>
        <row r="11">
          <cell r="B11" t="str">
            <v>ส21103</v>
          </cell>
          <cell r="C11" t="str">
            <v>สังคมศึกษา ศาสนา และวัฒนธรรม 2</v>
          </cell>
          <cell r="D11">
            <v>1.5</v>
          </cell>
        </row>
        <row r="12">
          <cell r="B12" t="str">
            <v>ส21104</v>
          </cell>
          <cell r="C12" t="str">
            <v>ประวัติศาสตร์ 2</v>
          </cell>
          <cell r="D12">
            <v>0.5</v>
          </cell>
          <cell r="J12" t="str">
            <v>นายอัศวิน   คงเพ็ชรศักดิ์</v>
          </cell>
        </row>
        <row r="13">
          <cell r="B13" t="str">
            <v>พ21103</v>
          </cell>
          <cell r="C13" t="str">
            <v>สุขศึกษา 2</v>
          </cell>
          <cell r="D13">
            <v>0.5</v>
          </cell>
        </row>
        <row r="14">
          <cell r="B14" t="str">
            <v>พ21104</v>
          </cell>
          <cell r="C14" t="str">
            <v>พลศึกษา 2</v>
          </cell>
          <cell r="D14">
            <v>0.5</v>
          </cell>
        </row>
        <row r="15">
          <cell r="B15" t="str">
            <v>ศ21102</v>
          </cell>
          <cell r="C15" t="str">
            <v>ศิลปะ 2</v>
          </cell>
          <cell r="D15">
            <v>1</v>
          </cell>
        </row>
        <row r="16">
          <cell r="B16" t="str">
            <v>ง21102</v>
          </cell>
          <cell r="C16" t="str">
            <v>การงาน อาชีพ 2</v>
          </cell>
          <cell r="D16">
            <v>1</v>
          </cell>
        </row>
        <row r="17">
          <cell r="B17" t="str">
            <v>อ21102</v>
          </cell>
          <cell r="C17" t="str">
            <v>ภาษาต่างประเทศ (ภาษาอังกฤษ) 2</v>
          </cell>
          <cell r="D17">
            <v>1.5</v>
          </cell>
        </row>
        <row r="18">
          <cell r="B18">
            <v>0</v>
          </cell>
          <cell r="C18" t="str">
            <v/>
          </cell>
          <cell r="D18" t="str">
            <v/>
          </cell>
        </row>
        <row r="20">
          <cell r="B20" t="str">
            <v>ส21232</v>
          </cell>
          <cell r="C20" t="str">
            <v>หน้าที่พลเมือง 2</v>
          </cell>
          <cell r="D20">
            <v>0.5</v>
          </cell>
        </row>
        <row r="21">
          <cell r="B21" t="str">
            <v>ศ21206</v>
          </cell>
          <cell r="C21" t="str">
            <v>ศิลปะสร้างสรรค์ 2</v>
          </cell>
          <cell r="D21">
            <v>0.5</v>
          </cell>
        </row>
        <row r="22">
          <cell r="B22" t="str">
            <v>ศ21208</v>
          </cell>
          <cell r="C22" t="str">
            <v>ขลุ่ย 2</v>
          </cell>
          <cell r="D22">
            <v>0.5</v>
          </cell>
        </row>
        <row r="23">
          <cell r="B23" t="str">
            <v>SBMLD</v>
          </cell>
          <cell r="C23" t="str">
            <v>กรุณากรอกชื่อวิชาในหน้าถัดไป</v>
          </cell>
          <cell r="D23">
            <v>1</v>
          </cell>
        </row>
        <row r="24">
          <cell r="B24">
            <v>0</v>
          </cell>
          <cell r="C24" t="str">
            <v/>
          </cell>
          <cell r="D24" t="str">
            <v/>
          </cell>
        </row>
        <row r="26">
          <cell r="C26" t="str">
            <v>กิจกรรมแนะแนว</v>
          </cell>
          <cell r="E26">
            <v>20</v>
          </cell>
        </row>
        <row r="27">
          <cell r="C27" t="str">
            <v>ลูกเสือ - เนตรนารี</v>
          </cell>
          <cell r="E27">
            <v>15</v>
          </cell>
        </row>
        <row r="28">
          <cell r="C28" t="str">
            <v>ชมรม</v>
          </cell>
          <cell r="E28">
            <v>20</v>
          </cell>
        </row>
        <row r="29">
          <cell r="C29" t="str">
            <v>กิจกรรมเพื่อสังคมและสาธารณประโยชน์</v>
          </cell>
          <cell r="E29">
            <v>5</v>
          </cell>
        </row>
      </sheetData>
      <sheetData sheetId="1">
        <row r="11">
          <cell r="A11">
            <v>1</v>
          </cell>
          <cell r="B11" t="str">
            <v>07453</v>
          </cell>
          <cell r="C11" t="str">
            <v>เด็กชายณัฐพล</v>
          </cell>
          <cell r="D11" t="str">
            <v xml:space="preserve">อยู่เย็น   </v>
          </cell>
        </row>
        <row r="12">
          <cell r="C12" t="str">
            <v xml:space="preserve">เด็กชายโชคพิพัฒน์  </v>
          </cell>
          <cell r="D12" t="str">
            <v xml:space="preserve">ลำพูน </v>
          </cell>
        </row>
        <row r="13">
          <cell r="C13" t="str">
            <v>เด็กชายพัชรพล</v>
          </cell>
          <cell r="D13" t="str">
            <v>ภู่ระหงษ์</v>
          </cell>
        </row>
        <row r="14">
          <cell r="C14" t="str">
            <v>เด็กชายธนันชัย</v>
          </cell>
          <cell r="D14" t="str">
            <v>เลิศเรืองฤทธิ์</v>
          </cell>
        </row>
        <row r="15">
          <cell r="C15" t="str">
            <v>เด็กชายธนเดช</v>
          </cell>
          <cell r="D15" t="str">
            <v>มะหิงสา</v>
          </cell>
        </row>
        <row r="16">
          <cell r="C16" t="str">
            <v>เด็กชายธีรภัทร</v>
          </cell>
          <cell r="D16" t="str">
            <v>ปักเขมะยัง</v>
          </cell>
        </row>
        <row r="17">
          <cell r="C17" t="str">
            <v>เด็กชายชนาธิป</v>
          </cell>
          <cell r="D17" t="str">
            <v>นวมศิริ</v>
          </cell>
        </row>
        <row r="18">
          <cell r="C18" t="str">
            <v>เด็กชายชนาธิป</v>
          </cell>
          <cell r="D18" t="str">
            <v>มะปัญญา</v>
          </cell>
        </row>
        <row r="19">
          <cell r="C19" t="str">
            <v>เด็กชายคุณกฤต</v>
          </cell>
          <cell r="D19" t="str">
            <v>แสงวิเชียร</v>
          </cell>
        </row>
        <row r="20">
          <cell r="C20" t="str">
            <v>เด็กชายฉัตรพล</v>
          </cell>
          <cell r="D20" t="str">
            <v xml:space="preserve">จันทร์เพชร  </v>
          </cell>
        </row>
        <row r="21">
          <cell r="C21" t="str">
            <v>เด็กชายวชิร</v>
          </cell>
          <cell r="D21" t="str">
            <v>แย้มพราย</v>
          </cell>
        </row>
        <row r="22">
          <cell r="C22" t="str">
            <v>เด็กชายสิทธินนท์</v>
          </cell>
          <cell r="D22" t="str">
            <v>เพ็งรอด</v>
          </cell>
        </row>
        <row r="23">
          <cell r="C23" t="str">
            <v>เด็กชายคณาธิป</v>
          </cell>
          <cell r="D23" t="str">
            <v>โห้โสภา</v>
          </cell>
        </row>
        <row r="24">
          <cell r="C24" t="str">
            <v>เด็กชายสรอรรถ</v>
          </cell>
          <cell r="D24" t="str">
            <v>แสนสำราญสุข</v>
          </cell>
        </row>
        <row r="25">
          <cell r="C25" t="str">
            <v>เด็กชายวันชนะ</v>
          </cell>
          <cell r="D25" t="str">
            <v>สุรณาภรณ์ชัย</v>
          </cell>
        </row>
        <row r="26">
          <cell r="C26" t="str">
            <v>เด็กชายสมภพ</v>
          </cell>
          <cell r="D26" t="str">
            <v>ก้านสุวรรณ์</v>
          </cell>
        </row>
        <row r="27">
          <cell r="C27" t="str">
            <v>เด็กชายวีรภาพ</v>
          </cell>
          <cell r="D27" t="str">
            <v>ยิ่งทวีศักดิ์</v>
          </cell>
        </row>
        <row r="28">
          <cell r="C28" t="str">
            <v>เด็กชายณัฐชนน</v>
          </cell>
          <cell r="D28" t="str">
            <v>พรชัยเจริญ</v>
          </cell>
        </row>
        <row r="29">
          <cell r="C29" t="str">
            <v>เด็กชายรชต</v>
          </cell>
          <cell r="D29" t="str">
            <v>สกุลดี</v>
          </cell>
        </row>
        <row r="30">
          <cell r="C30" t="str">
            <v>เด็กหญิงณิชกานต์</v>
          </cell>
          <cell r="D30" t="str">
            <v xml:space="preserve">ประเสริฐศักดิ์  </v>
          </cell>
        </row>
        <row r="31">
          <cell r="C31" t="str">
            <v>เด็กหญิงวนัสนันท์</v>
          </cell>
          <cell r="D31" t="str">
            <v>ขำสำราญ</v>
          </cell>
        </row>
        <row r="32">
          <cell r="C32" t="str">
            <v>เด็กหญิงธัญญาพร</v>
          </cell>
          <cell r="D32" t="str">
            <v>ประเสริฐศักดิ์</v>
          </cell>
        </row>
        <row r="33">
          <cell r="C33" t="str">
            <v>เด็กหญิงสุจีรา</v>
          </cell>
          <cell r="D33" t="str">
            <v>หัสดี</v>
          </cell>
        </row>
        <row r="34">
          <cell r="C34" t="str">
            <v>เด็กหญิงสุภัฑรา</v>
          </cell>
          <cell r="D34" t="str">
            <v>เกตุแก้ว</v>
          </cell>
        </row>
        <row r="35">
          <cell r="C35" t="str">
            <v>เด็กหญิงนภัสนันท์</v>
          </cell>
          <cell r="D35" t="str">
            <v xml:space="preserve">ทรัพย์ประเสริฐ </v>
          </cell>
        </row>
        <row r="36">
          <cell r="C36" t="str">
            <v>เด็กหญิงปัญญาพร</v>
          </cell>
          <cell r="D36" t="str">
            <v>มณเฑียรทอง</v>
          </cell>
        </row>
        <row r="37">
          <cell r="C37" t="str">
            <v>เด็กหญิงปวิตา</v>
          </cell>
          <cell r="D37" t="str">
            <v>จงรักแสง</v>
          </cell>
        </row>
        <row r="38">
          <cell r="C38" t="str">
            <v>เด็กหญิงกมลชนก</v>
          </cell>
          <cell r="D38" t="str">
            <v xml:space="preserve">แสงฉาย </v>
          </cell>
        </row>
        <row r="39">
          <cell r="C39" t="str">
            <v>เด็กหญิงวลัยพรรณ</v>
          </cell>
          <cell r="D39" t="str">
            <v>เพ็ชรเที่ยง</v>
          </cell>
        </row>
        <row r="40">
          <cell r="C40" t="str">
            <v>เด็กหญิงแพรวดาว</v>
          </cell>
          <cell r="D40" t="str">
            <v>ศุขเสมอ</v>
          </cell>
        </row>
        <row r="41">
          <cell r="C41" t="str">
            <v>เด็กหญิงสิดาพร</v>
          </cell>
          <cell r="D41" t="str">
            <v>แช่มมี</v>
          </cell>
        </row>
        <row r="42">
          <cell r="C42" t="str">
            <v>เด็กหญิงนภัสวรรณ</v>
          </cell>
          <cell r="D42" t="str">
            <v>กลองยา</v>
          </cell>
        </row>
        <row r="43">
          <cell r="C43" t="str">
            <v>เด็กหญิงปุญชรัสมิ์</v>
          </cell>
          <cell r="D43" t="str">
            <v>เพชรคง</v>
          </cell>
        </row>
        <row r="44">
          <cell r="C44" t="str">
            <v>เด็กหญิงวาสนา</v>
          </cell>
          <cell r="D44" t="str">
            <v>พัดเพ็ชร</v>
          </cell>
        </row>
        <row r="45">
          <cell r="C45" t="str">
            <v>เด็กหญิงชลลดา</v>
          </cell>
          <cell r="D45" t="str">
            <v>แซ่อั้ง</v>
          </cell>
        </row>
        <row r="46">
          <cell r="C46" t="str">
            <v>เด็กหญิงกุลจิรา</v>
          </cell>
          <cell r="D46" t="str">
            <v>รัตนไพบูลย์วัฒนา</v>
          </cell>
        </row>
        <row r="47">
          <cell r="C47">
            <v>0</v>
          </cell>
          <cell r="D47">
            <v>0</v>
          </cell>
        </row>
        <row r="48">
          <cell r="C48">
            <v>0</v>
          </cell>
          <cell r="D48">
            <v>0</v>
          </cell>
        </row>
        <row r="49">
          <cell r="C49">
            <v>0</v>
          </cell>
          <cell r="D49">
            <v>0</v>
          </cell>
        </row>
        <row r="50">
          <cell r="C50">
            <v>0</v>
          </cell>
          <cell r="D50">
            <v>0</v>
          </cell>
        </row>
        <row r="51">
          <cell r="C51">
            <v>0</v>
          </cell>
          <cell r="D51">
            <v>0</v>
          </cell>
        </row>
        <row r="52">
          <cell r="C52">
            <v>0</v>
          </cell>
          <cell r="D52">
            <v>0</v>
          </cell>
        </row>
        <row r="53">
          <cell r="C53">
            <v>0</v>
          </cell>
          <cell r="D53">
            <v>0</v>
          </cell>
        </row>
        <row r="54">
          <cell r="C54">
            <v>0</v>
          </cell>
          <cell r="D54">
            <v>0</v>
          </cell>
        </row>
        <row r="55">
          <cell r="C55">
            <v>0</v>
          </cell>
          <cell r="D55">
            <v>0</v>
          </cell>
        </row>
      </sheetData>
      <sheetData sheetId="2">
        <row r="8">
          <cell r="D8" t="str">
            <v>ขส</v>
          </cell>
        </row>
      </sheetData>
      <sheetData sheetId="3">
        <row r="11">
          <cell r="D11" t="str">
            <v>มส</v>
          </cell>
          <cell r="E11" t="str">
            <v>มส</v>
          </cell>
          <cell r="G11" t="str">
            <v>มส</v>
          </cell>
          <cell r="I11" t="str">
            <v>มส</v>
          </cell>
          <cell r="K11" t="str">
            <v>มส</v>
          </cell>
          <cell r="M11" t="str">
            <v>มส</v>
          </cell>
          <cell r="O11" t="str">
            <v>มส</v>
          </cell>
          <cell r="Q11" t="str">
            <v>มส</v>
          </cell>
          <cell r="S11" t="str">
            <v>มส</v>
          </cell>
          <cell r="U11" t="str">
            <v>มส</v>
          </cell>
          <cell r="W11" t="str">
            <v>มส</v>
          </cell>
          <cell r="Y11" t="str">
            <v>มส</v>
          </cell>
          <cell r="AA11" t="str">
            <v/>
          </cell>
          <cell r="AC11" t="str">
            <v>มส</v>
          </cell>
          <cell r="AE11" t="str">
            <v>มส</v>
          </cell>
          <cell r="AG11" t="str">
            <v>มส</v>
          </cell>
          <cell r="AI11" t="str">
            <v>มส</v>
          </cell>
          <cell r="AK11" t="str">
            <v/>
          </cell>
          <cell r="BG11" t="str">
            <v>ไม่ผ่าน</v>
          </cell>
        </row>
        <row r="12">
          <cell r="E12">
            <v>1</v>
          </cell>
          <cell r="G12">
            <v>1.5</v>
          </cell>
          <cell r="I12">
            <v>1</v>
          </cell>
          <cell r="K12">
            <v>3</v>
          </cell>
          <cell r="M12">
            <v>1</v>
          </cell>
          <cell r="O12">
            <v>1.5</v>
          </cell>
          <cell r="Q12">
            <v>2</v>
          </cell>
          <cell r="S12">
            <v>4</v>
          </cell>
          <cell r="U12">
            <v>2.5</v>
          </cell>
          <cell r="W12">
            <v>1.5</v>
          </cell>
          <cell r="Y12">
            <v>1</v>
          </cell>
          <cell r="AA12" t="str">
            <v/>
          </cell>
          <cell r="AC12">
            <v>2</v>
          </cell>
          <cell r="AE12">
            <v>1.5</v>
          </cell>
          <cell r="AG12">
            <v>4</v>
          </cell>
          <cell r="AI12">
            <v>4</v>
          </cell>
          <cell r="AK12" t="str">
            <v/>
          </cell>
        </row>
        <row r="13">
          <cell r="E13">
            <v>1.5</v>
          </cell>
          <cell r="G13">
            <v>2</v>
          </cell>
          <cell r="I13">
            <v>1</v>
          </cell>
          <cell r="K13">
            <v>2.5</v>
          </cell>
          <cell r="M13">
            <v>1.5</v>
          </cell>
          <cell r="O13">
            <v>2</v>
          </cell>
          <cell r="Q13">
            <v>2</v>
          </cell>
          <cell r="S13">
            <v>4</v>
          </cell>
          <cell r="U13">
            <v>3.5</v>
          </cell>
          <cell r="W13">
            <v>1.5</v>
          </cell>
          <cell r="Y13">
            <v>1</v>
          </cell>
          <cell r="AA13" t="str">
            <v/>
          </cell>
          <cell r="AC13">
            <v>1</v>
          </cell>
          <cell r="AE13">
            <v>3</v>
          </cell>
          <cell r="AG13">
            <v>4</v>
          </cell>
          <cell r="AI13">
            <v>3.5</v>
          </cell>
          <cell r="AK13" t="str">
            <v/>
          </cell>
        </row>
        <row r="14">
          <cell r="E14">
            <v>2</v>
          </cell>
          <cell r="G14">
            <v>2</v>
          </cell>
          <cell r="I14">
            <v>1</v>
          </cell>
          <cell r="K14">
            <v>4</v>
          </cell>
          <cell r="M14">
            <v>1.5</v>
          </cell>
          <cell r="O14">
            <v>3.5</v>
          </cell>
          <cell r="Q14">
            <v>4</v>
          </cell>
          <cell r="S14">
            <v>4</v>
          </cell>
          <cell r="U14">
            <v>3</v>
          </cell>
          <cell r="W14">
            <v>2.5</v>
          </cell>
          <cell r="Y14">
            <v>1.5</v>
          </cell>
          <cell r="AA14" t="str">
            <v/>
          </cell>
          <cell r="AC14">
            <v>1.5</v>
          </cell>
          <cell r="AE14">
            <v>2.5</v>
          </cell>
          <cell r="AG14">
            <v>4</v>
          </cell>
          <cell r="AI14">
            <v>4</v>
          </cell>
          <cell r="AK14" t="str">
            <v/>
          </cell>
        </row>
        <row r="15">
          <cell r="E15">
            <v>2</v>
          </cell>
          <cell r="G15">
            <v>2</v>
          </cell>
          <cell r="I15">
            <v>1</v>
          </cell>
          <cell r="K15">
            <v>2</v>
          </cell>
          <cell r="M15">
            <v>1</v>
          </cell>
          <cell r="O15">
            <v>1.5</v>
          </cell>
          <cell r="Q15">
            <v>4</v>
          </cell>
          <cell r="S15">
            <v>3</v>
          </cell>
          <cell r="U15">
            <v>2</v>
          </cell>
          <cell r="W15">
            <v>1.5</v>
          </cell>
          <cell r="Y15">
            <v>1</v>
          </cell>
          <cell r="AA15" t="str">
            <v/>
          </cell>
          <cell r="AC15">
            <v>2</v>
          </cell>
          <cell r="AE15">
            <v>1.5</v>
          </cell>
          <cell r="AG15">
            <v>4</v>
          </cell>
          <cell r="AI15">
            <v>4</v>
          </cell>
          <cell r="AK15" t="str">
            <v/>
          </cell>
        </row>
        <row r="16">
          <cell r="E16">
            <v>2.5</v>
          </cell>
          <cell r="G16">
            <v>2</v>
          </cell>
          <cell r="I16">
            <v>1</v>
          </cell>
          <cell r="K16">
            <v>3</v>
          </cell>
          <cell r="M16">
            <v>1.5</v>
          </cell>
          <cell r="O16">
            <v>3.5</v>
          </cell>
          <cell r="Q16">
            <v>4</v>
          </cell>
          <cell r="S16">
            <v>4</v>
          </cell>
          <cell r="U16">
            <v>3.5</v>
          </cell>
          <cell r="W16">
            <v>3.5</v>
          </cell>
          <cell r="Y16">
            <v>2</v>
          </cell>
          <cell r="AA16" t="str">
            <v/>
          </cell>
          <cell r="AC16">
            <v>2.5</v>
          </cell>
          <cell r="AE16">
            <v>3</v>
          </cell>
          <cell r="AG16">
            <v>4</v>
          </cell>
          <cell r="AI16">
            <v>3.5</v>
          </cell>
          <cell r="AK16" t="str">
            <v/>
          </cell>
        </row>
        <row r="17">
          <cell r="E17">
            <v>2</v>
          </cell>
          <cell r="G17">
            <v>3.5</v>
          </cell>
          <cell r="I17">
            <v>2.5</v>
          </cell>
          <cell r="K17">
            <v>3.5</v>
          </cell>
          <cell r="M17">
            <v>3.5</v>
          </cell>
          <cell r="O17">
            <v>4</v>
          </cell>
          <cell r="Q17">
            <v>4</v>
          </cell>
          <cell r="S17">
            <v>4</v>
          </cell>
          <cell r="U17">
            <v>3</v>
          </cell>
          <cell r="W17">
            <v>2</v>
          </cell>
          <cell r="Y17">
            <v>1</v>
          </cell>
          <cell r="AA17" t="str">
            <v/>
          </cell>
          <cell r="AC17">
            <v>3.5</v>
          </cell>
          <cell r="AE17">
            <v>2.5</v>
          </cell>
          <cell r="AG17">
            <v>3.5</v>
          </cell>
          <cell r="AI17">
            <v>4</v>
          </cell>
          <cell r="AK17" t="str">
            <v/>
          </cell>
        </row>
        <row r="18">
          <cell r="E18">
            <v>2</v>
          </cell>
          <cell r="G18">
            <v>2</v>
          </cell>
          <cell r="I18">
            <v>2</v>
          </cell>
          <cell r="K18">
            <v>3.5</v>
          </cell>
          <cell r="M18">
            <v>2</v>
          </cell>
          <cell r="O18">
            <v>1.5</v>
          </cell>
          <cell r="Q18">
            <v>3</v>
          </cell>
          <cell r="S18">
            <v>4</v>
          </cell>
          <cell r="U18">
            <v>3</v>
          </cell>
          <cell r="W18">
            <v>2.5</v>
          </cell>
          <cell r="Y18">
            <v>2</v>
          </cell>
          <cell r="AA18" t="str">
            <v/>
          </cell>
          <cell r="AC18">
            <v>2</v>
          </cell>
          <cell r="AE18">
            <v>2.5</v>
          </cell>
          <cell r="AG18">
            <v>3</v>
          </cell>
          <cell r="AI18">
            <v>4</v>
          </cell>
          <cell r="AK18" t="str">
            <v/>
          </cell>
        </row>
        <row r="19">
          <cell r="E19">
            <v>1.5</v>
          </cell>
          <cell r="G19">
            <v>1.5</v>
          </cell>
          <cell r="I19">
            <v>1</v>
          </cell>
          <cell r="K19">
            <v>2.5</v>
          </cell>
          <cell r="M19">
            <v>2</v>
          </cell>
          <cell r="O19">
            <v>3.5</v>
          </cell>
          <cell r="Q19">
            <v>4</v>
          </cell>
          <cell r="S19">
            <v>4</v>
          </cell>
          <cell r="U19">
            <v>3</v>
          </cell>
          <cell r="W19">
            <v>3</v>
          </cell>
          <cell r="Y19">
            <v>1.5</v>
          </cell>
          <cell r="AA19" t="str">
            <v/>
          </cell>
          <cell r="AC19">
            <v>3.5</v>
          </cell>
          <cell r="AE19">
            <v>2.5</v>
          </cell>
          <cell r="AG19">
            <v>2.5</v>
          </cell>
          <cell r="AI19">
            <v>3</v>
          </cell>
          <cell r="AK19" t="str">
            <v/>
          </cell>
        </row>
        <row r="20">
          <cell r="E20" t="str">
            <v>มส</v>
          </cell>
          <cell r="G20" t="str">
            <v>มส</v>
          </cell>
          <cell r="I20" t="str">
            <v>มส</v>
          </cell>
          <cell r="K20" t="str">
            <v>มส</v>
          </cell>
          <cell r="M20" t="str">
            <v>มส</v>
          </cell>
          <cell r="O20" t="str">
            <v>มส</v>
          </cell>
          <cell r="Q20" t="str">
            <v>มส</v>
          </cell>
          <cell r="S20" t="str">
            <v>มส</v>
          </cell>
          <cell r="U20" t="str">
            <v>มส</v>
          </cell>
          <cell r="W20" t="str">
            <v>มส</v>
          </cell>
          <cell r="Y20" t="str">
            <v>มส</v>
          </cell>
          <cell r="AA20" t="str">
            <v/>
          </cell>
          <cell r="AC20" t="str">
            <v>มส</v>
          </cell>
          <cell r="AE20" t="str">
            <v>มส</v>
          </cell>
          <cell r="AG20" t="str">
            <v>มส</v>
          </cell>
          <cell r="AI20" t="str">
            <v>มส</v>
          </cell>
          <cell r="AK20" t="str">
            <v/>
          </cell>
        </row>
        <row r="21">
          <cell r="E21">
            <v>1.5</v>
          </cell>
          <cell r="G21">
            <v>2</v>
          </cell>
          <cell r="I21">
            <v>1.5</v>
          </cell>
          <cell r="K21">
            <v>3.5</v>
          </cell>
          <cell r="M21">
            <v>3</v>
          </cell>
          <cell r="O21">
            <v>3.5</v>
          </cell>
          <cell r="Q21">
            <v>4</v>
          </cell>
          <cell r="S21">
            <v>3.5</v>
          </cell>
          <cell r="U21">
            <v>3</v>
          </cell>
          <cell r="W21">
            <v>3</v>
          </cell>
          <cell r="Y21">
            <v>1</v>
          </cell>
          <cell r="AA21" t="str">
            <v/>
          </cell>
          <cell r="AC21">
            <v>2.5</v>
          </cell>
          <cell r="AE21">
            <v>3</v>
          </cell>
          <cell r="AG21">
            <v>3.5</v>
          </cell>
          <cell r="AI21">
            <v>4</v>
          </cell>
          <cell r="AK21" t="str">
            <v/>
          </cell>
        </row>
        <row r="22">
          <cell r="E22">
            <v>1.5</v>
          </cell>
          <cell r="G22">
            <v>1.5</v>
          </cell>
          <cell r="I22">
            <v>1</v>
          </cell>
          <cell r="K22">
            <v>2.5</v>
          </cell>
          <cell r="M22">
            <v>2</v>
          </cell>
          <cell r="O22">
            <v>3.5</v>
          </cell>
          <cell r="Q22">
            <v>3.5</v>
          </cell>
          <cell r="S22">
            <v>3.5</v>
          </cell>
          <cell r="U22">
            <v>2.5</v>
          </cell>
          <cell r="W22">
            <v>2</v>
          </cell>
          <cell r="Y22">
            <v>1</v>
          </cell>
          <cell r="AA22" t="str">
            <v/>
          </cell>
          <cell r="AC22">
            <v>2.5</v>
          </cell>
          <cell r="AE22">
            <v>2.5</v>
          </cell>
          <cell r="AG22">
            <v>4</v>
          </cell>
          <cell r="AI22">
            <v>4</v>
          </cell>
          <cell r="AK22" t="str">
            <v/>
          </cell>
        </row>
        <row r="23">
          <cell r="E23">
            <v>2</v>
          </cell>
          <cell r="G23">
            <v>2.5</v>
          </cell>
          <cell r="I23">
            <v>1.5</v>
          </cell>
          <cell r="K23">
            <v>3</v>
          </cell>
          <cell r="M23">
            <v>2.5</v>
          </cell>
          <cell r="O23">
            <v>3.5</v>
          </cell>
          <cell r="Q23">
            <v>4</v>
          </cell>
          <cell r="S23">
            <v>4</v>
          </cell>
          <cell r="U23">
            <v>2</v>
          </cell>
          <cell r="W23">
            <v>3</v>
          </cell>
          <cell r="Y23">
            <v>2.5</v>
          </cell>
          <cell r="AA23" t="str">
            <v/>
          </cell>
          <cell r="AC23">
            <v>2.5</v>
          </cell>
          <cell r="AE23">
            <v>2</v>
          </cell>
          <cell r="AG23">
            <v>3.5</v>
          </cell>
          <cell r="AI23">
            <v>3.5</v>
          </cell>
          <cell r="AK23" t="str">
            <v/>
          </cell>
        </row>
        <row r="24">
          <cell r="E24">
            <v>2</v>
          </cell>
          <cell r="G24">
            <v>2.5</v>
          </cell>
          <cell r="I24">
            <v>1.5</v>
          </cell>
          <cell r="K24">
            <v>2</v>
          </cell>
          <cell r="M24">
            <v>1.5</v>
          </cell>
          <cell r="O24">
            <v>3.5</v>
          </cell>
          <cell r="Q24">
            <v>4</v>
          </cell>
          <cell r="S24">
            <v>3</v>
          </cell>
          <cell r="U24">
            <v>2.5</v>
          </cell>
          <cell r="W24">
            <v>3</v>
          </cell>
          <cell r="Y24">
            <v>2.5</v>
          </cell>
          <cell r="AA24" t="str">
            <v/>
          </cell>
          <cell r="AC24">
            <v>3</v>
          </cell>
          <cell r="AE24">
            <v>3</v>
          </cell>
          <cell r="AG24">
            <v>4</v>
          </cell>
          <cell r="AI24">
            <v>4</v>
          </cell>
          <cell r="AK24" t="str">
            <v/>
          </cell>
        </row>
        <row r="25">
          <cell r="E25">
            <v>3</v>
          </cell>
          <cell r="G25">
            <v>2</v>
          </cell>
          <cell r="I25">
            <v>2.5</v>
          </cell>
          <cell r="K25">
            <v>3</v>
          </cell>
          <cell r="M25">
            <v>2</v>
          </cell>
          <cell r="O25">
            <v>3.5</v>
          </cell>
          <cell r="Q25">
            <v>3.5</v>
          </cell>
          <cell r="S25">
            <v>4</v>
          </cell>
          <cell r="U25">
            <v>3.5</v>
          </cell>
          <cell r="W25">
            <v>3.5</v>
          </cell>
          <cell r="Y25">
            <v>3.5</v>
          </cell>
          <cell r="AA25" t="str">
            <v/>
          </cell>
          <cell r="AC25">
            <v>2.5</v>
          </cell>
          <cell r="AE25">
            <v>3</v>
          </cell>
          <cell r="AG25">
            <v>4</v>
          </cell>
          <cell r="AI25">
            <v>4</v>
          </cell>
          <cell r="AK25" t="str">
            <v/>
          </cell>
        </row>
        <row r="26">
          <cell r="E26">
            <v>2.5</v>
          </cell>
          <cell r="G26">
            <v>1</v>
          </cell>
          <cell r="I26">
            <v>1</v>
          </cell>
          <cell r="K26">
            <v>2.5</v>
          </cell>
          <cell r="M26">
            <v>1</v>
          </cell>
          <cell r="O26">
            <v>3</v>
          </cell>
          <cell r="Q26">
            <v>3.5</v>
          </cell>
          <cell r="S26">
            <v>2.5</v>
          </cell>
          <cell r="U26">
            <v>3</v>
          </cell>
          <cell r="W26">
            <v>1.5</v>
          </cell>
          <cell r="Y26">
            <v>1</v>
          </cell>
          <cell r="AA26" t="str">
            <v/>
          </cell>
          <cell r="AC26">
            <v>2.5</v>
          </cell>
          <cell r="AE26">
            <v>2.5</v>
          </cell>
          <cell r="AG26">
            <v>2</v>
          </cell>
          <cell r="AI26">
            <v>2.5</v>
          </cell>
          <cell r="AK26" t="str">
            <v/>
          </cell>
        </row>
        <row r="27">
          <cell r="E27" t="str">
            <v>มส</v>
          </cell>
          <cell r="G27" t="str">
            <v>มส</v>
          </cell>
          <cell r="I27" t="str">
            <v>มส</v>
          </cell>
          <cell r="K27" t="str">
            <v>มส</v>
          </cell>
          <cell r="M27" t="str">
            <v>มส</v>
          </cell>
          <cell r="O27" t="str">
            <v>มส</v>
          </cell>
          <cell r="Q27" t="str">
            <v>มส</v>
          </cell>
          <cell r="S27" t="str">
            <v>มส</v>
          </cell>
          <cell r="U27" t="str">
            <v>มส</v>
          </cell>
          <cell r="W27" t="str">
            <v>มส</v>
          </cell>
          <cell r="Y27" t="str">
            <v>มส</v>
          </cell>
          <cell r="AA27" t="str">
            <v/>
          </cell>
          <cell r="AC27" t="str">
            <v>มส</v>
          </cell>
          <cell r="AE27" t="str">
            <v>มส</v>
          </cell>
          <cell r="AG27" t="str">
            <v>มส</v>
          </cell>
          <cell r="AI27" t="str">
            <v>มส</v>
          </cell>
          <cell r="AK27" t="str">
            <v/>
          </cell>
        </row>
        <row r="28">
          <cell r="E28">
            <v>2.5</v>
          </cell>
          <cell r="G28">
            <v>1.5</v>
          </cell>
          <cell r="I28">
            <v>1</v>
          </cell>
          <cell r="K28">
            <v>3.5</v>
          </cell>
          <cell r="M28">
            <v>1.5</v>
          </cell>
          <cell r="O28">
            <v>3.5</v>
          </cell>
          <cell r="Q28">
            <v>4</v>
          </cell>
          <cell r="S28">
            <v>3.5</v>
          </cell>
          <cell r="U28">
            <v>3</v>
          </cell>
          <cell r="W28">
            <v>2</v>
          </cell>
          <cell r="Y28">
            <v>1.5</v>
          </cell>
          <cell r="AA28" t="str">
            <v/>
          </cell>
          <cell r="AC28">
            <v>1.5</v>
          </cell>
          <cell r="AE28">
            <v>3</v>
          </cell>
          <cell r="AG28">
            <v>4</v>
          </cell>
          <cell r="AI28">
            <v>4</v>
          </cell>
          <cell r="AK28" t="str">
            <v/>
          </cell>
        </row>
        <row r="29">
          <cell r="E29">
            <v>2.5</v>
          </cell>
          <cell r="G29">
            <v>2.5</v>
          </cell>
          <cell r="I29">
            <v>1.5</v>
          </cell>
          <cell r="K29">
            <v>3</v>
          </cell>
          <cell r="M29">
            <v>2</v>
          </cell>
          <cell r="O29">
            <v>3.5</v>
          </cell>
          <cell r="Q29">
            <v>3.5</v>
          </cell>
          <cell r="S29">
            <v>4</v>
          </cell>
          <cell r="U29">
            <v>3</v>
          </cell>
          <cell r="W29">
            <v>3</v>
          </cell>
          <cell r="Y29">
            <v>1.5</v>
          </cell>
          <cell r="AA29" t="str">
            <v/>
          </cell>
          <cell r="AC29">
            <v>2</v>
          </cell>
          <cell r="AE29">
            <v>3</v>
          </cell>
          <cell r="AG29">
            <v>4</v>
          </cell>
          <cell r="AI29">
            <v>3.5</v>
          </cell>
          <cell r="AK29" t="str">
            <v/>
          </cell>
        </row>
        <row r="30">
          <cell r="E30" t="str">
            <v>มส</v>
          </cell>
          <cell r="G30" t="str">
            <v>มส</v>
          </cell>
          <cell r="I30" t="str">
            <v>มส</v>
          </cell>
          <cell r="K30" t="str">
            <v>มส</v>
          </cell>
          <cell r="M30" t="str">
            <v>มส</v>
          </cell>
          <cell r="O30" t="str">
            <v>มส</v>
          </cell>
          <cell r="Q30" t="str">
            <v>มส</v>
          </cell>
          <cell r="S30" t="str">
            <v>มส</v>
          </cell>
          <cell r="U30" t="str">
            <v>มส</v>
          </cell>
          <cell r="W30" t="str">
            <v>มส</v>
          </cell>
          <cell r="Y30" t="str">
            <v>มส</v>
          </cell>
          <cell r="AA30" t="str">
            <v/>
          </cell>
          <cell r="AC30" t="str">
            <v>มส</v>
          </cell>
          <cell r="AE30" t="str">
            <v>มส</v>
          </cell>
          <cell r="AG30" t="str">
            <v>มส</v>
          </cell>
          <cell r="AI30" t="str">
            <v>มส</v>
          </cell>
          <cell r="AK30" t="str">
            <v/>
          </cell>
        </row>
        <row r="31">
          <cell r="E31">
            <v>2.5</v>
          </cell>
          <cell r="G31">
            <v>1.5</v>
          </cell>
          <cell r="I31">
            <v>1</v>
          </cell>
          <cell r="K31">
            <v>3</v>
          </cell>
          <cell r="M31">
            <v>2</v>
          </cell>
          <cell r="O31">
            <v>3</v>
          </cell>
          <cell r="Q31">
            <v>2</v>
          </cell>
          <cell r="S31">
            <v>4</v>
          </cell>
          <cell r="U31">
            <v>3.5</v>
          </cell>
          <cell r="W31">
            <v>1.5</v>
          </cell>
          <cell r="Y31">
            <v>1</v>
          </cell>
          <cell r="AA31" t="str">
            <v/>
          </cell>
          <cell r="AC31">
            <v>3</v>
          </cell>
          <cell r="AE31">
            <v>3</v>
          </cell>
          <cell r="AG31">
            <v>3</v>
          </cell>
          <cell r="AI31">
            <v>4</v>
          </cell>
          <cell r="AK31" t="str">
            <v/>
          </cell>
        </row>
        <row r="32">
          <cell r="E32">
            <v>3</v>
          </cell>
          <cell r="G32">
            <v>3</v>
          </cell>
          <cell r="I32">
            <v>2</v>
          </cell>
          <cell r="K32">
            <v>3</v>
          </cell>
          <cell r="M32">
            <v>3.5</v>
          </cell>
          <cell r="O32">
            <v>4</v>
          </cell>
          <cell r="Q32">
            <v>2</v>
          </cell>
          <cell r="S32">
            <v>3.5</v>
          </cell>
          <cell r="U32">
            <v>3.5</v>
          </cell>
          <cell r="W32">
            <v>2.5</v>
          </cell>
          <cell r="Y32">
            <v>1</v>
          </cell>
          <cell r="AA32" t="str">
            <v/>
          </cell>
          <cell r="AC32">
            <v>3.5</v>
          </cell>
          <cell r="AE32">
            <v>3.5</v>
          </cell>
          <cell r="AG32">
            <v>4</v>
          </cell>
          <cell r="AI32">
            <v>4</v>
          </cell>
          <cell r="AK32" t="str">
            <v/>
          </cell>
        </row>
        <row r="33">
          <cell r="E33">
            <v>1.5</v>
          </cell>
          <cell r="G33">
            <v>1</v>
          </cell>
          <cell r="I33">
            <v>1</v>
          </cell>
          <cell r="K33">
            <v>1</v>
          </cell>
          <cell r="M33">
            <v>1.5</v>
          </cell>
          <cell r="O33">
            <v>3.5</v>
          </cell>
          <cell r="Q33">
            <v>2.5</v>
          </cell>
          <cell r="S33">
            <v>3.5</v>
          </cell>
          <cell r="U33">
            <v>2</v>
          </cell>
          <cell r="W33">
            <v>1.5</v>
          </cell>
          <cell r="Y33">
            <v>1</v>
          </cell>
          <cell r="AA33" t="str">
            <v/>
          </cell>
          <cell r="AC33">
            <v>2</v>
          </cell>
          <cell r="AE33">
            <v>2</v>
          </cell>
          <cell r="AG33">
            <v>2</v>
          </cell>
          <cell r="AI33">
            <v>3.5</v>
          </cell>
          <cell r="AK33" t="str">
            <v/>
          </cell>
        </row>
        <row r="34">
          <cell r="E34">
            <v>3</v>
          </cell>
          <cell r="G34">
            <v>2.5</v>
          </cell>
          <cell r="I34">
            <v>2</v>
          </cell>
          <cell r="K34">
            <v>4</v>
          </cell>
          <cell r="M34">
            <v>3</v>
          </cell>
          <cell r="O34">
            <v>4</v>
          </cell>
          <cell r="Q34">
            <v>4</v>
          </cell>
          <cell r="S34">
            <v>3.5</v>
          </cell>
          <cell r="U34">
            <v>3.5</v>
          </cell>
          <cell r="W34">
            <v>3.5</v>
          </cell>
          <cell r="Y34">
            <v>2.5</v>
          </cell>
          <cell r="AA34" t="str">
            <v/>
          </cell>
          <cell r="AC34">
            <v>4</v>
          </cell>
          <cell r="AE34">
            <v>3</v>
          </cell>
          <cell r="AG34">
            <v>4</v>
          </cell>
          <cell r="AI34">
            <v>3.5</v>
          </cell>
          <cell r="AK34" t="str">
            <v/>
          </cell>
        </row>
        <row r="35">
          <cell r="E35" t="str">
            <v>มส</v>
          </cell>
          <cell r="G35" t="str">
            <v>มส</v>
          </cell>
          <cell r="I35" t="str">
            <v>มส</v>
          </cell>
          <cell r="K35" t="str">
            <v>มส</v>
          </cell>
          <cell r="M35" t="str">
            <v>มส</v>
          </cell>
          <cell r="O35" t="str">
            <v>มส</v>
          </cell>
          <cell r="Q35" t="str">
            <v>มส</v>
          </cell>
          <cell r="S35" t="str">
            <v>มส</v>
          </cell>
          <cell r="U35" t="str">
            <v>มส</v>
          </cell>
          <cell r="W35" t="str">
            <v>มส</v>
          </cell>
          <cell r="Y35" t="str">
            <v>มส</v>
          </cell>
          <cell r="AA35" t="str">
            <v/>
          </cell>
          <cell r="AC35" t="str">
            <v>มส</v>
          </cell>
          <cell r="AE35" t="str">
            <v>มส</v>
          </cell>
          <cell r="AG35" t="str">
            <v>มส</v>
          </cell>
          <cell r="AI35" t="str">
            <v>มส</v>
          </cell>
          <cell r="AK35" t="str">
            <v/>
          </cell>
        </row>
        <row r="36">
          <cell r="E36">
            <v>3</v>
          </cell>
          <cell r="G36">
            <v>1.5</v>
          </cell>
          <cell r="I36">
            <v>1.5</v>
          </cell>
          <cell r="K36">
            <v>4</v>
          </cell>
          <cell r="M36">
            <v>3</v>
          </cell>
          <cell r="O36">
            <v>3.5</v>
          </cell>
          <cell r="Q36">
            <v>4</v>
          </cell>
          <cell r="S36">
            <v>3</v>
          </cell>
          <cell r="U36">
            <v>3.5</v>
          </cell>
          <cell r="W36">
            <v>3.5</v>
          </cell>
          <cell r="Y36">
            <v>1</v>
          </cell>
          <cell r="AA36" t="str">
            <v/>
          </cell>
          <cell r="AC36">
            <v>4</v>
          </cell>
          <cell r="AE36">
            <v>3</v>
          </cell>
          <cell r="AG36">
            <v>4</v>
          </cell>
          <cell r="AI36">
            <v>4</v>
          </cell>
          <cell r="AK36" t="str">
            <v/>
          </cell>
        </row>
        <row r="37">
          <cell r="E37" t="str">
            <v>มส</v>
          </cell>
          <cell r="G37" t="str">
            <v>มส</v>
          </cell>
          <cell r="I37" t="str">
            <v>มส</v>
          </cell>
          <cell r="K37" t="str">
            <v>มส</v>
          </cell>
          <cell r="M37" t="str">
            <v>มส</v>
          </cell>
          <cell r="O37" t="str">
            <v>มส</v>
          </cell>
          <cell r="Q37" t="str">
            <v>มส</v>
          </cell>
          <cell r="S37" t="str">
            <v>มส</v>
          </cell>
          <cell r="U37" t="str">
            <v>มส</v>
          </cell>
          <cell r="W37" t="str">
            <v>มส</v>
          </cell>
          <cell r="Y37" t="str">
            <v>มส</v>
          </cell>
          <cell r="AA37" t="str">
            <v/>
          </cell>
          <cell r="AC37" t="str">
            <v>มส</v>
          </cell>
          <cell r="AE37" t="str">
            <v>มส</v>
          </cell>
          <cell r="AG37" t="str">
            <v>มส</v>
          </cell>
          <cell r="AI37" t="str">
            <v>มส</v>
          </cell>
          <cell r="AK37" t="str">
            <v/>
          </cell>
        </row>
        <row r="38">
          <cell r="E38" t="str">
            <v>มส</v>
          </cell>
          <cell r="G38" t="str">
            <v>มส</v>
          </cell>
          <cell r="I38" t="str">
            <v>มส</v>
          </cell>
          <cell r="K38" t="str">
            <v>มส</v>
          </cell>
          <cell r="M38" t="str">
            <v>มส</v>
          </cell>
          <cell r="O38" t="str">
            <v>มส</v>
          </cell>
          <cell r="Q38" t="str">
            <v>มส</v>
          </cell>
          <cell r="S38" t="str">
            <v>มส</v>
          </cell>
          <cell r="U38" t="str">
            <v>มส</v>
          </cell>
          <cell r="W38" t="str">
            <v>มส</v>
          </cell>
          <cell r="Y38" t="str">
            <v>มส</v>
          </cell>
          <cell r="AA38" t="str">
            <v/>
          </cell>
          <cell r="AC38" t="str">
            <v>มส</v>
          </cell>
          <cell r="AE38" t="str">
            <v>มส</v>
          </cell>
          <cell r="AG38" t="str">
            <v>มส</v>
          </cell>
          <cell r="AI38" t="str">
            <v>มส</v>
          </cell>
          <cell r="AK38" t="str">
            <v/>
          </cell>
        </row>
        <row r="39">
          <cell r="E39">
            <v>4</v>
          </cell>
          <cell r="G39">
            <v>3.5</v>
          </cell>
          <cell r="I39">
            <v>3</v>
          </cell>
          <cell r="K39">
            <v>3.5</v>
          </cell>
          <cell r="M39">
            <v>2</v>
          </cell>
          <cell r="O39">
            <v>4</v>
          </cell>
          <cell r="Q39">
            <v>4</v>
          </cell>
          <cell r="S39">
            <v>4</v>
          </cell>
          <cell r="U39">
            <v>3.5</v>
          </cell>
          <cell r="W39">
            <v>4</v>
          </cell>
          <cell r="Y39">
            <v>4</v>
          </cell>
          <cell r="AA39" t="str">
            <v/>
          </cell>
          <cell r="AC39">
            <v>4</v>
          </cell>
          <cell r="AE39">
            <v>4</v>
          </cell>
          <cell r="AG39">
            <v>4</v>
          </cell>
          <cell r="AI39">
            <v>4</v>
          </cell>
          <cell r="AK39" t="str">
            <v/>
          </cell>
        </row>
        <row r="40">
          <cell r="E40">
            <v>2</v>
          </cell>
          <cell r="G40">
            <v>2</v>
          </cell>
          <cell r="I40">
            <v>1.5</v>
          </cell>
          <cell r="K40">
            <v>2.5</v>
          </cell>
          <cell r="M40">
            <v>2.5</v>
          </cell>
          <cell r="O40">
            <v>3</v>
          </cell>
          <cell r="Q40">
            <v>4</v>
          </cell>
          <cell r="S40">
            <v>3.5</v>
          </cell>
          <cell r="U40">
            <v>3.5</v>
          </cell>
          <cell r="W40">
            <v>2.5</v>
          </cell>
          <cell r="Y40">
            <v>1</v>
          </cell>
          <cell r="AA40" t="str">
            <v/>
          </cell>
          <cell r="AC40">
            <v>4</v>
          </cell>
          <cell r="AE40">
            <v>3.5</v>
          </cell>
          <cell r="AG40">
            <v>4</v>
          </cell>
          <cell r="AI40">
            <v>3.5</v>
          </cell>
          <cell r="AK40" t="str">
            <v/>
          </cell>
        </row>
        <row r="41">
          <cell r="E41">
            <v>1</v>
          </cell>
          <cell r="G41">
            <v>1</v>
          </cell>
          <cell r="I41">
            <v>0</v>
          </cell>
          <cell r="K41">
            <v>1</v>
          </cell>
          <cell r="M41">
            <v>1</v>
          </cell>
          <cell r="O41">
            <v>1.5</v>
          </cell>
          <cell r="Q41">
            <v>4</v>
          </cell>
          <cell r="S41">
            <v>3</v>
          </cell>
          <cell r="U41">
            <v>2</v>
          </cell>
          <cell r="W41">
            <v>1</v>
          </cell>
          <cell r="Y41">
            <v>0</v>
          </cell>
          <cell r="AA41" t="str">
            <v/>
          </cell>
          <cell r="AC41">
            <v>1.5</v>
          </cell>
          <cell r="AE41">
            <v>1.5</v>
          </cell>
          <cell r="AG41">
            <v>4</v>
          </cell>
          <cell r="AI41">
            <v>4</v>
          </cell>
          <cell r="AK41" t="str">
            <v/>
          </cell>
        </row>
        <row r="42">
          <cell r="E42" t="str">
            <v/>
          </cell>
          <cell r="G42" t="str">
            <v/>
          </cell>
          <cell r="I42" t="str">
            <v/>
          </cell>
          <cell r="K42" t="str">
            <v/>
          </cell>
          <cell r="M42" t="str">
            <v/>
          </cell>
          <cell r="O42" t="str">
            <v/>
          </cell>
          <cell r="Q42" t="str">
            <v/>
          </cell>
          <cell r="S42" t="str">
            <v/>
          </cell>
          <cell r="U42" t="str">
            <v/>
          </cell>
          <cell r="W42" t="str">
            <v/>
          </cell>
          <cell r="Y42" t="str">
            <v/>
          </cell>
          <cell r="AA42" t="str">
            <v/>
          </cell>
          <cell r="AC42" t="str">
            <v/>
          </cell>
          <cell r="AE42" t="str">
            <v/>
          </cell>
          <cell r="AG42" t="str">
            <v/>
          </cell>
          <cell r="AI42" t="str">
            <v/>
          </cell>
          <cell r="AK42" t="str">
            <v/>
          </cell>
        </row>
        <row r="43">
          <cell r="E43">
            <v>2.5</v>
          </cell>
          <cell r="G43">
            <v>2</v>
          </cell>
          <cell r="I43">
            <v>1</v>
          </cell>
          <cell r="K43">
            <v>2.5</v>
          </cell>
          <cell r="M43">
            <v>1</v>
          </cell>
          <cell r="O43">
            <v>1.5</v>
          </cell>
          <cell r="Q43">
            <v>2.5</v>
          </cell>
          <cell r="S43">
            <v>3</v>
          </cell>
          <cell r="U43">
            <v>2</v>
          </cell>
          <cell r="W43">
            <v>2</v>
          </cell>
          <cell r="Y43">
            <v>1</v>
          </cell>
          <cell r="AA43" t="str">
            <v/>
          </cell>
          <cell r="AC43">
            <v>2</v>
          </cell>
          <cell r="AE43">
            <v>2</v>
          </cell>
          <cell r="AG43">
            <v>4</v>
          </cell>
          <cell r="AI43">
            <v>4</v>
          </cell>
          <cell r="AK43" t="str">
            <v/>
          </cell>
        </row>
        <row r="44">
          <cell r="E44" t="str">
            <v>มส</v>
          </cell>
          <cell r="G44" t="str">
            <v>มส</v>
          </cell>
          <cell r="I44" t="str">
            <v>มส</v>
          </cell>
          <cell r="K44" t="str">
            <v>มส</v>
          </cell>
          <cell r="M44" t="str">
            <v>มส</v>
          </cell>
          <cell r="O44" t="str">
            <v>มส</v>
          </cell>
          <cell r="Q44" t="str">
            <v>มส</v>
          </cell>
          <cell r="S44" t="str">
            <v>มส</v>
          </cell>
          <cell r="U44" t="str">
            <v>มส</v>
          </cell>
          <cell r="W44" t="str">
            <v>มส</v>
          </cell>
          <cell r="Y44" t="str">
            <v>มส</v>
          </cell>
          <cell r="AA44" t="str">
            <v/>
          </cell>
          <cell r="AC44" t="str">
            <v>มส</v>
          </cell>
          <cell r="AE44" t="str">
            <v>มส</v>
          </cell>
          <cell r="AG44" t="str">
            <v>มส</v>
          </cell>
          <cell r="AI44" t="str">
            <v>มส</v>
          </cell>
          <cell r="AK44" t="str">
            <v/>
          </cell>
        </row>
        <row r="45">
          <cell r="E45">
            <v>3</v>
          </cell>
          <cell r="G45">
            <v>2.5</v>
          </cell>
          <cell r="I45">
            <v>2</v>
          </cell>
          <cell r="K45">
            <v>4</v>
          </cell>
          <cell r="M45">
            <v>2.5</v>
          </cell>
          <cell r="O45">
            <v>3.5</v>
          </cell>
          <cell r="Q45">
            <v>3</v>
          </cell>
          <cell r="S45">
            <v>3</v>
          </cell>
          <cell r="U45">
            <v>2.5</v>
          </cell>
          <cell r="W45">
            <v>3</v>
          </cell>
          <cell r="Y45">
            <v>3.5</v>
          </cell>
          <cell r="AA45" t="str">
            <v/>
          </cell>
          <cell r="AC45">
            <v>3.5</v>
          </cell>
          <cell r="AE45">
            <v>2.5</v>
          </cell>
          <cell r="AG45">
            <v>4</v>
          </cell>
          <cell r="AI45">
            <v>3.5</v>
          </cell>
          <cell r="AK45" t="str">
            <v/>
          </cell>
        </row>
        <row r="46">
          <cell r="E46" t="str">
            <v>มส</v>
          </cell>
          <cell r="G46" t="str">
            <v>มส</v>
          </cell>
          <cell r="I46" t="str">
            <v>มส</v>
          </cell>
          <cell r="K46" t="str">
            <v>มส</v>
          </cell>
          <cell r="M46" t="str">
            <v>มส</v>
          </cell>
          <cell r="O46" t="str">
            <v>มส</v>
          </cell>
          <cell r="Q46" t="str">
            <v>มส</v>
          </cell>
          <cell r="S46" t="str">
            <v>มส</v>
          </cell>
          <cell r="U46" t="str">
            <v>มส</v>
          </cell>
          <cell r="W46" t="str">
            <v>มส</v>
          </cell>
          <cell r="Y46" t="str">
            <v>มส</v>
          </cell>
          <cell r="AA46" t="str">
            <v/>
          </cell>
          <cell r="AC46" t="str">
            <v>มส</v>
          </cell>
          <cell r="AE46" t="str">
            <v>มส</v>
          </cell>
          <cell r="AG46" t="str">
            <v>มส</v>
          </cell>
          <cell r="AI46" t="str">
            <v>มส</v>
          </cell>
          <cell r="AK46" t="str">
            <v/>
          </cell>
        </row>
        <row r="47">
          <cell r="E47" t="str">
            <v/>
          </cell>
          <cell r="G47" t="str">
            <v/>
          </cell>
          <cell r="I47" t="str">
            <v/>
          </cell>
          <cell r="K47" t="str">
            <v/>
          </cell>
          <cell r="M47" t="str">
            <v/>
          </cell>
          <cell r="O47" t="str">
            <v/>
          </cell>
          <cell r="Q47" t="str">
            <v/>
          </cell>
          <cell r="S47" t="str">
            <v/>
          </cell>
          <cell r="U47" t="str">
            <v/>
          </cell>
          <cell r="W47" t="str">
            <v/>
          </cell>
          <cell r="Y47" t="str">
            <v/>
          </cell>
          <cell r="AA47" t="str">
            <v/>
          </cell>
          <cell r="AC47" t="str">
            <v/>
          </cell>
          <cell r="AE47" t="str">
            <v/>
          </cell>
          <cell r="AG47" t="str">
            <v/>
          </cell>
          <cell r="AI47" t="str">
            <v/>
          </cell>
          <cell r="AK47" t="str">
            <v/>
          </cell>
        </row>
        <row r="48">
          <cell r="E48" t="str">
            <v/>
          </cell>
          <cell r="G48" t="str">
            <v/>
          </cell>
          <cell r="I48" t="str">
            <v/>
          </cell>
          <cell r="K48" t="str">
            <v/>
          </cell>
          <cell r="M48" t="str">
            <v/>
          </cell>
          <cell r="O48" t="str">
            <v/>
          </cell>
          <cell r="Q48" t="str">
            <v/>
          </cell>
          <cell r="S48" t="str">
            <v/>
          </cell>
          <cell r="U48" t="str">
            <v/>
          </cell>
          <cell r="W48" t="str">
            <v/>
          </cell>
          <cell r="Y48" t="str">
            <v/>
          </cell>
          <cell r="AA48" t="str">
            <v/>
          </cell>
          <cell r="AC48" t="str">
            <v/>
          </cell>
          <cell r="AE48" t="str">
            <v/>
          </cell>
          <cell r="AG48" t="str">
            <v/>
          </cell>
          <cell r="AI48" t="str">
            <v/>
          </cell>
          <cell r="AK48" t="str">
            <v/>
          </cell>
        </row>
        <row r="49">
          <cell r="E49" t="str">
            <v/>
          </cell>
          <cell r="G49" t="str">
            <v/>
          </cell>
          <cell r="I49" t="str">
            <v/>
          </cell>
          <cell r="K49" t="str">
            <v/>
          </cell>
          <cell r="M49" t="str">
            <v/>
          </cell>
          <cell r="O49" t="str">
            <v/>
          </cell>
          <cell r="Q49" t="str">
            <v/>
          </cell>
          <cell r="S49" t="str">
            <v/>
          </cell>
          <cell r="U49" t="str">
            <v/>
          </cell>
          <cell r="W49" t="str">
            <v/>
          </cell>
          <cell r="Y49" t="str">
            <v/>
          </cell>
          <cell r="AA49" t="str">
            <v/>
          </cell>
          <cell r="AC49" t="str">
            <v/>
          </cell>
          <cell r="AE49" t="str">
            <v/>
          </cell>
          <cell r="AG49" t="str">
            <v/>
          </cell>
          <cell r="AI49" t="str">
            <v/>
          </cell>
          <cell r="AK49" t="str">
            <v/>
          </cell>
        </row>
        <row r="50">
          <cell r="E50" t="str">
            <v/>
          </cell>
          <cell r="G50" t="str">
            <v/>
          </cell>
          <cell r="I50" t="str">
            <v/>
          </cell>
          <cell r="K50" t="str">
            <v/>
          </cell>
          <cell r="M50" t="str">
            <v/>
          </cell>
          <cell r="O50" t="str">
            <v/>
          </cell>
          <cell r="Q50" t="str">
            <v/>
          </cell>
          <cell r="S50" t="str">
            <v/>
          </cell>
          <cell r="U50" t="str">
            <v/>
          </cell>
          <cell r="W50" t="str">
            <v/>
          </cell>
          <cell r="Y50" t="str">
            <v/>
          </cell>
          <cell r="AA50" t="str">
            <v/>
          </cell>
          <cell r="AC50" t="str">
            <v/>
          </cell>
          <cell r="AE50" t="str">
            <v/>
          </cell>
          <cell r="AG50" t="str">
            <v/>
          </cell>
          <cell r="AI50" t="str">
            <v/>
          </cell>
          <cell r="AK50" t="str">
            <v/>
          </cell>
        </row>
        <row r="51">
          <cell r="E51" t="str">
            <v/>
          </cell>
          <cell r="G51" t="str">
            <v/>
          </cell>
          <cell r="I51" t="str">
            <v/>
          </cell>
          <cell r="K51" t="str">
            <v/>
          </cell>
          <cell r="M51" t="str">
            <v/>
          </cell>
          <cell r="O51" t="str">
            <v/>
          </cell>
          <cell r="Q51" t="str">
            <v/>
          </cell>
          <cell r="S51" t="str">
            <v/>
          </cell>
          <cell r="U51" t="str">
            <v/>
          </cell>
          <cell r="W51" t="str">
            <v/>
          </cell>
          <cell r="Y51" t="str">
            <v/>
          </cell>
          <cell r="AA51" t="str">
            <v/>
          </cell>
          <cell r="AC51" t="str">
            <v/>
          </cell>
          <cell r="AE51" t="str">
            <v/>
          </cell>
          <cell r="AG51" t="str">
            <v/>
          </cell>
          <cell r="AI51" t="str">
            <v/>
          </cell>
          <cell r="AK51" t="str">
            <v/>
          </cell>
        </row>
        <row r="52">
          <cell r="E52" t="str">
            <v/>
          </cell>
          <cell r="G52" t="str">
            <v/>
          </cell>
          <cell r="I52" t="str">
            <v/>
          </cell>
          <cell r="K52" t="str">
            <v/>
          </cell>
          <cell r="M52" t="str">
            <v/>
          </cell>
          <cell r="O52" t="str">
            <v/>
          </cell>
          <cell r="Q52" t="str">
            <v/>
          </cell>
          <cell r="S52" t="str">
            <v/>
          </cell>
          <cell r="U52" t="str">
            <v/>
          </cell>
          <cell r="W52" t="str">
            <v/>
          </cell>
          <cell r="Y52" t="str">
            <v/>
          </cell>
          <cell r="AA52" t="str">
            <v/>
          </cell>
          <cell r="AC52" t="str">
            <v/>
          </cell>
          <cell r="AE52" t="str">
            <v/>
          </cell>
          <cell r="AG52" t="str">
            <v/>
          </cell>
          <cell r="AI52" t="str">
            <v/>
          </cell>
          <cell r="AK52" t="str">
            <v/>
          </cell>
        </row>
        <row r="53">
          <cell r="E53" t="str">
            <v/>
          </cell>
          <cell r="G53" t="str">
            <v/>
          </cell>
          <cell r="I53" t="str">
            <v/>
          </cell>
          <cell r="K53" t="str">
            <v/>
          </cell>
          <cell r="M53" t="str">
            <v/>
          </cell>
          <cell r="O53" t="str">
            <v/>
          </cell>
          <cell r="Q53" t="str">
            <v/>
          </cell>
          <cell r="S53" t="str">
            <v/>
          </cell>
          <cell r="U53" t="str">
            <v/>
          </cell>
          <cell r="W53" t="str">
            <v/>
          </cell>
          <cell r="Y53" t="str">
            <v/>
          </cell>
          <cell r="AA53" t="str">
            <v/>
          </cell>
          <cell r="AC53" t="str">
            <v/>
          </cell>
          <cell r="AE53" t="str">
            <v/>
          </cell>
          <cell r="AG53" t="str">
            <v/>
          </cell>
          <cell r="AI53" t="str">
            <v/>
          </cell>
          <cell r="AK53" t="str">
            <v/>
          </cell>
        </row>
        <row r="54">
          <cell r="E54" t="str">
            <v/>
          </cell>
          <cell r="G54" t="str">
            <v/>
          </cell>
          <cell r="I54" t="str">
            <v/>
          </cell>
          <cell r="K54" t="str">
            <v/>
          </cell>
          <cell r="M54" t="str">
            <v/>
          </cell>
          <cell r="O54" t="str">
            <v/>
          </cell>
          <cell r="Q54" t="str">
            <v/>
          </cell>
          <cell r="S54" t="str">
            <v/>
          </cell>
          <cell r="U54" t="str">
            <v/>
          </cell>
          <cell r="W54" t="str">
            <v/>
          </cell>
          <cell r="Y54" t="str">
            <v/>
          </cell>
          <cell r="AA54" t="str">
            <v/>
          </cell>
          <cell r="AC54" t="str">
            <v/>
          </cell>
          <cell r="AE54" t="str">
            <v/>
          </cell>
          <cell r="AG54" t="str">
            <v/>
          </cell>
          <cell r="AI54" t="str">
            <v/>
          </cell>
          <cell r="AK54" t="str">
            <v/>
          </cell>
        </row>
        <row r="55">
          <cell r="E55" t="str">
            <v/>
          </cell>
          <cell r="G55" t="str">
            <v/>
          </cell>
          <cell r="I55" t="str">
            <v/>
          </cell>
          <cell r="K55" t="str">
            <v/>
          </cell>
          <cell r="M55" t="str">
            <v/>
          </cell>
          <cell r="O55" t="str">
            <v/>
          </cell>
          <cell r="Q55" t="str">
            <v/>
          </cell>
          <cell r="S55" t="str">
            <v/>
          </cell>
          <cell r="U55" t="str">
            <v/>
          </cell>
          <cell r="W55" t="str">
            <v/>
          </cell>
          <cell r="Y55" t="str">
            <v/>
          </cell>
          <cell r="AA55" t="str">
            <v/>
          </cell>
          <cell r="AC55" t="str">
            <v/>
          </cell>
          <cell r="AE55" t="str">
            <v/>
          </cell>
          <cell r="AG55" t="str">
            <v/>
          </cell>
          <cell r="AI55" t="str">
            <v/>
          </cell>
          <cell r="AK55" t="str">
            <v/>
          </cell>
        </row>
      </sheetData>
      <sheetData sheetId="4">
        <row r="11">
          <cell r="I11" t="str">
            <v>ไม่ผ่าน</v>
          </cell>
        </row>
      </sheetData>
      <sheetData sheetId="5">
        <row r="11">
          <cell r="L11" t="str">
            <v>ไม่ผ่าน</v>
          </cell>
        </row>
      </sheetData>
      <sheetData sheetId="6"/>
      <sheetData sheetId="7"/>
      <sheetData sheetId="8"/>
      <sheetData sheetId="9"/>
      <sheetData sheetId="10">
        <row r="8">
          <cell r="W8">
            <v>1.5</v>
          </cell>
          <cell r="X8">
            <v>1.5</v>
          </cell>
          <cell r="Y8">
            <v>1.5</v>
          </cell>
          <cell r="Z8">
            <v>0.5</v>
          </cell>
          <cell r="AA8">
            <v>1.5</v>
          </cell>
          <cell r="AB8">
            <v>0.5</v>
          </cell>
          <cell r="AC8">
            <v>0.5</v>
          </cell>
          <cell r="AD8">
            <v>0.5</v>
          </cell>
          <cell r="AE8">
            <v>1</v>
          </cell>
          <cell r="AF8">
            <v>1</v>
          </cell>
          <cell r="AG8">
            <v>1.5</v>
          </cell>
          <cell r="AH8" t="str">
            <v/>
          </cell>
          <cell r="AI8">
            <v>0.5</v>
          </cell>
          <cell r="AJ8">
            <v>0.5</v>
          </cell>
          <cell r="AK8">
            <v>0.5</v>
          </cell>
          <cell r="AL8">
            <v>1</v>
          </cell>
          <cell r="AM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ข้อมูลเบื้องต้น"/>
      <sheetName val="2.ข้อมูลเกี่ยวกับนักเรียน"/>
      <sheetName val="3.เวลาเรียน"/>
      <sheetName val="ปถ.03"/>
      <sheetName val="4.กรอกคะแนน"/>
      <sheetName val="5.ประกาศผลเทอม 1"/>
      <sheetName val="6.ประกาศผลเทอม 2"/>
      <sheetName val="7.ประกาศผลทั้งปี"/>
      <sheetName val="8.ปก อ.02"/>
      <sheetName val="9. รายชื่อ"/>
      <sheetName val="3.เวลาเรียน (2)"/>
    </sheetNames>
    <sheetDataSet>
      <sheetData sheetId="0">
        <row r="7">
          <cell r="C7" t="str">
            <v>มัธยมศึกษาปีที่ 1/2</v>
          </cell>
          <cell r="F7">
            <v>2562</v>
          </cell>
        </row>
        <row r="9">
          <cell r="D9">
            <v>0</v>
          </cell>
        </row>
        <row r="13">
          <cell r="D13" t="str">
            <v>นายอัศวิน  คงเพ็ชรศักดิ์</v>
          </cell>
        </row>
        <row r="15">
          <cell r="D15">
            <v>31</v>
          </cell>
          <cell r="E15" t="str">
            <v>มีนาคม</v>
          </cell>
          <cell r="F15">
            <v>2563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FF00"/>
  </sheetPr>
  <dimension ref="A1:O42"/>
  <sheetViews>
    <sheetView tabSelected="1" zoomScale="90" zoomScaleNormal="90" workbookViewId="0">
      <selection activeCell="O15" sqref="O15"/>
    </sheetView>
  </sheetViews>
  <sheetFormatPr defaultColWidth="9.42578125" defaultRowHeight="26.25"/>
  <cols>
    <col min="1" max="1" width="7.42578125" style="2" customWidth="1"/>
    <col min="2" max="2" width="8.5703125" style="2" customWidth="1"/>
    <col min="3" max="3" width="29.42578125" style="2" customWidth="1"/>
    <col min="4" max="6" width="8.5703125" style="2" customWidth="1"/>
    <col min="7" max="7" width="7.42578125" style="2" customWidth="1"/>
    <col min="8" max="8" width="4.42578125" style="2" customWidth="1"/>
    <col min="9" max="9" width="11.5703125" style="4" customWidth="1"/>
    <col min="10" max="10" width="38.5703125" style="4" customWidth="1"/>
    <col min="11" max="11" width="13.42578125" style="4" customWidth="1"/>
    <col min="12" max="12" width="24.5703125" style="4" customWidth="1"/>
    <col min="13" max="13" width="40.42578125" style="4" customWidth="1"/>
    <col min="14" max="14" width="4.42578125" style="3" customWidth="1"/>
    <col min="15" max="16384" width="9.42578125" style="3"/>
  </cols>
  <sheetData>
    <row r="1" spans="1:15" ht="27" thickBot="1">
      <c r="A1" s="235" t="s">
        <v>37</v>
      </c>
      <c r="B1" s="235"/>
      <c r="C1" s="235"/>
      <c r="D1" s="235"/>
      <c r="E1" s="235"/>
      <c r="F1" s="235"/>
      <c r="G1" s="235"/>
      <c r="H1" s="117"/>
      <c r="I1" s="118"/>
      <c r="J1" s="118"/>
      <c r="K1" s="118"/>
      <c r="L1" s="118"/>
      <c r="M1" s="118"/>
      <c r="N1" s="117"/>
    </row>
    <row r="2" spans="1:15" ht="30" customHeight="1" thickBot="1">
      <c r="A2" s="236" t="s">
        <v>573</v>
      </c>
      <c r="B2" s="236"/>
      <c r="C2" s="236"/>
      <c r="D2" s="236"/>
      <c r="E2" s="236"/>
      <c r="F2" s="236"/>
      <c r="G2" s="236"/>
      <c r="H2" s="117"/>
      <c r="I2" s="242" t="s">
        <v>686</v>
      </c>
      <c r="J2" s="243"/>
      <c r="K2" s="136" t="s">
        <v>750</v>
      </c>
      <c r="L2" s="121" t="s">
        <v>687</v>
      </c>
      <c r="M2" s="7"/>
      <c r="N2" s="117"/>
    </row>
    <row r="3" spans="1:15" s="4" customFormat="1" ht="30" customHeight="1" thickBot="1">
      <c r="A3" s="236" t="s">
        <v>13</v>
      </c>
      <c r="B3" s="236"/>
      <c r="C3" s="236"/>
      <c r="D3" s="236"/>
      <c r="E3" s="236"/>
      <c r="F3" s="236"/>
      <c r="G3" s="236"/>
      <c r="H3" s="117"/>
      <c r="I3" s="230" t="s">
        <v>14</v>
      </c>
      <c r="J3" s="117"/>
      <c r="K3" s="117"/>
      <c r="L3" s="122" t="s">
        <v>15</v>
      </c>
      <c r="M3" s="123"/>
      <c r="N3" s="117"/>
    </row>
    <row r="4" spans="1:15" s="4" customFormat="1" ht="30" customHeight="1" thickBot="1">
      <c r="A4" s="236" t="s">
        <v>25</v>
      </c>
      <c r="B4" s="236"/>
      <c r="C4" s="236"/>
      <c r="D4" s="236"/>
      <c r="E4" s="236"/>
      <c r="F4" s="236"/>
      <c r="G4" s="236"/>
      <c r="H4" s="117"/>
      <c r="I4" s="117"/>
      <c r="J4" s="117"/>
      <c r="K4" s="117"/>
      <c r="L4" s="122" t="s">
        <v>688</v>
      </c>
      <c r="M4" s="7"/>
      <c r="N4" s="117"/>
    </row>
    <row r="5" spans="1:15" s="4" customFormat="1" ht="30" customHeight="1" thickBot="1">
      <c r="A5" s="116"/>
      <c r="B5" s="240" t="s">
        <v>698</v>
      </c>
      <c r="C5" s="241"/>
      <c r="D5" s="241"/>
      <c r="E5" s="241"/>
      <c r="F5" s="241"/>
      <c r="G5" s="116"/>
      <c r="H5" s="117"/>
      <c r="I5" s="117"/>
      <c r="J5" s="123"/>
      <c r="K5" s="123"/>
      <c r="L5" s="122" t="s">
        <v>16</v>
      </c>
      <c r="M5" s="117"/>
      <c r="N5" s="117"/>
    </row>
    <row r="6" spans="1:15" ht="27" thickBot="1">
      <c r="A6" s="116"/>
      <c r="B6" s="112" t="s">
        <v>17</v>
      </c>
      <c r="C6" s="112" t="s">
        <v>18</v>
      </c>
      <c r="D6" s="112" t="s">
        <v>21</v>
      </c>
      <c r="E6" s="112" t="s">
        <v>22</v>
      </c>
      <c r="F6" s="112" t="s">
        <v>527</v>
      </c>
      <c r="G6" s="116"/>
      <c r="H6" s="117"/>
      <c r="I6" s="119" t="s">
        <v>689</v>
      </c>
      <c r="J6" s="119"/>
      <c r="K6" s="5"/>
      <c r="L6" s="8"/>
      <c r="M6" s="6"/>
      <c r="N6" s="117"/>
    </row>
    <row r="7" spans="1:15" ht="27" thickBot="1">
      <c r="A7" s="116"/>
      <c r="B7" s="1" t="s">
        <v>633</v>
      </c>
      <c r="C7" s="213" t="str">
        <f>IF(codegen1="","",VLOOKUP(codegen1,Subject!$A$3:$C$300,2,FALSE))</f>
        <v>Mathematics 5</v>
      </c>
      <c r="D7" s="212">
        <f>IF(codegen1="","",VLOOKUP(codegen1,Subject!$A$3:$C$300,3,FALSE))</f>
        <v>1.5</v>
      </c>
      <c r="E7" s="212"/>
      <c r="F7" s="223"/>
      <c r="G7" s="116"/>
      <c r="H7" s="117"/>
      <c r="I7" s="119" t="s">
        <v>10</v>
      </c>
      <c r="J7" s="119"/>
      <c r="K7" s="118"/>
      <c r="L7" s="118"/>
      <c r="M7" s="118"/>
      <c r="N7" s="117"/>
    </row>
    <row r="8" spans="1:15" ht="27" thickBot="1">
      <c r="A8" s="116"/>
      <c r="B8" s="1" t="s">
        <v>646</v>
      </c>
      <c r="C8" s="213" t="str">
        <f>IF(codegen2="","",VLOOKUP(codegen2,Subject!$A$3:$C$300,2,FALSE))</f>
        <v>Science and Technology 5</v>
      </c>
      <c r="D8" s="212">
        <f>IF(codegen2="","",VLOOKUP(codegen2,Subject!$A$3:$C$300,3,FALSE))</f>
        <v>1.5</v>
      </c>
      <c r="E8" s="212"/>
      <c r="F8" s="223"/>
      <c r="G8" s="116"/>
      <c r="H8" s="117"/>
      <c r="I8" s="119" t="s">
        <v>690</v>
      </c>
      <c r="J8" s="119"/>
      <c r="K8" s="5" t="s">
        <v>697</v>
      </c>
      <c r="L8" s="8"/>
      <c r="M8" s="6"/>
      <c r="N8" s="117"/>
    </row>
    <row r="9" spans="1:15" ht="27" thickBot="1">
      <c r="A9" s="116"/>
      <c r="B9" s="1" t="s">
        <v>658</v>
      </c>
      <c r="C9" s="213" t="str">
        <f>IF(codegen3="","",VLOOKUP(codegen3,Subject!$A$3:$C$300,2,FALSE))</f>
        <v>Health and Physical Education 5</v>
      </c>
      <c r="D9" s="212">
        <f>IF(codegen3="","",VLOOKUP(codegen3,Subject!$A$3:$C$300,3,FALSE))</f>
        <v>1</v>
      </c>
      <c r="E9" s="212"/>
      <c r="F9" s="223"/>
      <c r="G9" s="116"/>
      <c r="H9" s="117"/>
      <c r="I9" s="119" t="s">
        <v>32</v>
      </c>
      <c r="J9" s="119"/>
      <c r="K9" s="118"/>
      <c r="L9" s="118"/>
      <c r="M9" s="118"/>
      <c r="N9" s="117"/>
    </row>
    <row r="10" spans="1:15" ht="27" thickBot="1">
      <c r="A10" s="116"/>
      <c r="B10" s="1" t="s">
        <v>670</v>
      </c>
      <c r="C10" s="213" t="str">
        <f>IF(codegen4="","",VLOOKUP(codegen4,Subject!$A$3:$C$300,2,FALSE))</f>
        <v>English for Communication 5</v>
      </c>
      <c r="D10" s="212">
        <f>IF(codegen4="","",VLOOKUP(codegen4,Subject!$A$3:$C$300,3,FALSE))</f>
        <v>1</v>
      </c>
      <c r="E10" s="212"/>
      <c r="F10" s="223"/>
      <c r="G10" s="116"/>
      <c r="H10" s="117"/>
      <c r="I10" s="119" t="s">
        <v>691</v>
      </c>
      <c r="J10" s="119"/>
      <c r="K10" s="5"/>
      <c r="L10" s="8"/>
      <c r="M10" s="6"/>
      <c r="N10" s="117"/>
      <c r="O10" s="137" t="s">
        <v>80</v>
      </c>
    </row>
    <row r="11" spans="1:15" ht="27" thickBot="1">
      <c r="A11" s="116"/>
      <c r="B11" s="1" t="s">
        <v>682</v>
      </c>
      <c r="C11" s="213" t="str">
        <f>IF(codegen5="","",VLOOKUP(codegen5,Subject!$A$3:$C$300,2,FALSE))</f>
        <v>Chinese Language 5</v>
      </c>
      <c r="D11" s="212">
        <f>IF(codegen5="","",VLOOKUP(codegen5,Subject!$A$3:$C$300,3,FALSE))</f>
        <v>1</v>
      </c>
      <c r="E11" s="212"/>
      <c r="F11" s="223"/>
      <c r="G11" s="116"/>
      <c r="H11" s="117"/>
      <c r="I11" s="119" t="s">
        <v>26</v>
      </c>
      <c r="J11" s="119"/>
      <c r="K11" s="118"/>
      <c r="L11" s="118"/>
      <c r="M11" s="118"/>
      <c r="N11" s="117"/>
      <c r="O11" s="137"/>
    </row>
    <row r="12" spans="1:15" ht="27" thickBot="1">
      <c r="A12" s="116"/>
      <c r="B12" s="1"/>
      <c r="C12" s="213"/>
      <c r="D12" s="212"/>
      <c r="E12" s="212"/>
      <c r="F12" s="223"/>
      <c r="G12" s="116"/>
      <c r="H12" s="117"/>
      <c r="I12" s="119" t="s">
        <v>692</v>
      </c>
      <c r="J12" s="119"/>
      <c r="K12" s="5" t="s">
        <v>717</v>
      </c>
      <c r="L12" s="8"/>
      <c r="M12" s="6"/>
      <c r="N12" s="117"/>
      <c r="O12" s="137" t="s">
        <v>482</v>
      </c>
    </row>
    <row r="13" spans="1:15" ht="27" thickBot="1">
      <c r="A13" s="116"/>
      <c r="B13" s="1"/>
      <c r="C13" s="213"/>
      <c r="D13" s="212"/>
      <c r="E13" s="212"/>
      <c r="F13" s="223"/>
      <c r="G13" s="116"/>
      <c r="H13" s="117"/>
      <c r="I13" s="119" t="s">
        <v>27</v>
      </c>
      <c r="J13" s="119"/>
      <c r="K13" s="118"/>
      <c r="L13" s="118"/>
      <c r="M13" s="118"/>
      <c r="N13" s="117"/>
    </row>
    <row r="14" spans="1:15" ht="27" thickBot="1">
      <c r="A14" s="116"/>
      <c r="B14" s="1"/>
      <c r="C14" s="213"/>
      <c r="D14" s="212"/>
      <c r="E14" s="212"/>
      <c r="F14" s="223"/>
      <c r="G14" s="116"/>
      <c r="H14" s="117"/>
      <c r="I14" s="119" t="s">
        <v>693</v>
      </c>
      <c r="J14" s="119"/>
      <c r="K14" s="88"/>
      <c r="L14" s="88"/>
      <c r="M14" s="87"/>
      <c r="N14" s="117"/>
    </row>
    <row r="15" spans="1:15">
      <c r="A15" s="116"/>
      <c r="B15" s="1"/>
      <c r="C15" s="213"/>
      <c r="D15" s="212"/>
      <c r="E15" s="212"/>
      <c r="F15" s="223"/>
      <c r="G15" s="116"/>
      <c r="H15" s="117"/>
      <c r="I15" s="119" t="s">
        <v>36</v>
      </c>
      <c r="J15" s="120"/>
      <c r="K15" s="120" t="s">
        <v>694</v>
      </c>
      <c r="L15" s="120" t="s">
        <v>695</v>
      </c>
      <c r="M15" s="120" t="s">
        <v>696</v>
      </c>
      <c r="N15" s="117"/>
    </row>
    <row r="16" spans="1:15">
      <c r="A16" s="116"/>
      <c r="B16" s="1"/>
      <c r="C16" s="213"/>
      <c r="D16" s="212"/>
      <c r="E16" s="212"/>
      <c r="F16" s="223"/>
      <c r="G16" s="116"/>
      <c r="H16" s="117"/>
      <c r="I16" s="119"/>
      <c r="J16" s="120"/>
      <c r="K16" s="120" t="s">
        <v>33</v>
      </c>
      <c r="L16" s="120" t="s">
        <v>34</v>
      </c>
      <c r="M16" s="120" t="s">
        <v>35</v>
      </c>
      <c r="N16" s="117"/>
    </row>
    <row r="17" spans="1:13">
      <c r="A17" s="116"/>
      <c r="B17" s="1"/>
      <c r="C17" s="213"/>
      <c r="D17" s="212"/>
      <c r="E17" s="212"/>
      <c r="F17" s="223"/>
      <c r="G17" s="116"/>
      <c r="H17" s="4"/>
      <c r="I17" s="9" t="s">
        <v>720</v>
      </c>
      <c r="J17" s="4" t="s">
        <v>737</v>
      </c>
    </row>
    <row r="18" spans="1:13">
      <c r="A18" s="116"/>
      <c r="B18" s="1"/>
      <c r="C18" s="213"/>
      <c r="D18" s="212"/>
      <c r="E18" s="212"/>
      <c r="F18" s="223"/>
      <c r="G18" s="116"/>
      <c r="H18" s="4"/>
      <c r="M18" s="9" t="s">
        <v>40</v>
      </c>
    </row>
    <row r="19" spans="1:13">
      <c r="A19" s="116"/>
      <c r="B19" s="116"/>
      <c r="C19" s="116"/>
      <c r="D19" s="116"/>
      <c r="E19" s="116"/>
      <c r="F19" s="116"/>
      <c r="G19" s="116"/>
      <c r="H19" s="4"/>
    </row>
    <row r="20" spans="1:13" ht="28.5">
      <c r="H20" s="4"/>
      <c r="I20" s="244" t="s">
        <v>729</v>
      </c>
      <c r="J20" s="244"/>
      <c r="K20" s="244"/>
      <c r="L20" s="244"/>
      <c r="M20" s="244"/>
    </row>
    <row r="21" spans="1:13">
      <c r="H21" s="4"/>
      <c r="I21" s="245" t="s">
        <v>730</v>
      </c>
      <c r="J21" s="245"/>
      <c r="K21" s="245" t="s">
        <v>735</v>
      </c>
      <c r="L21" s="245"/>
      <c r="M21" s="124" t="s">
        <v>736</v>
      </c>
    </row>
    <row r="22" spans="1:13">
      <c r="H22" s="4"/>
      <c r="I22" s="246" t="s">
        <v>731</v>
      </c>
      <c r="J22" s="246"/>
      <c r="K22" s="237" t="s">
        <v>38</v>
      </c>
      <c r="L22" s="238"/>
      <c r="M22" s="125" t="s">
        <v>39</v>
      </c>
    </row>
    <row r="23" spans="1:13">
      <c r="H23" s="4"/>
      <c r="I23" s="247" t="s">
        <v>732</v>
      </c>
      <c r="J23" s="247"/>
      <c r="K23" s="237" t="s">
        <v>38</v>
      </c>
      <c r="L23" s="238"/>
      <c r="M23" s="125" t="s">
        <v>38</v>
      </c>
    </row>
    <row r="24" spans="1:13">
      <c r="H24" s="4"/>
      <c r="I24" s="248" t="s">
        <v>733</v>
      </c>
      <c r="J24" s="248"/>
      <c r="K24" s="237" t="s">
        <v>39</v>
      </c>
      <c r="L24" s="238"/>
      <c r="M24" s="125" t="s">
        <v>38</v>
      </c>
    </row>
    <row r="25" spans="1:13">
      <c r="H25" s="4"/>
      <c r="I25" s="239" t="s">
        <v>734</v>
      </c>
      <c r="J25" s="239"/>
      <c r="K25" s="237" t="s">
        <v>39</v>
      </c>
      <c r="L25" s="238"/>
      <c r="M25" s="125" t="s">
        <v>39</v>
      </c>
    </row>
    <row r="26" spans="1:13">
      <c r="H26" s="4"/>
    </row>
    <row r="27" spans="1:13">
      <c r="H27" s="4"/>
    </row>
    <row r="28" spans="1:13">
      <c r="H28" s="4"/>
    </row>
    <row r="29" spans="1:13">
      <c r="H29" s="4"/>
    </row>
    <row r="30" spans="1:13">
      <c r="H30" s="4"/>
    </row>
    <row r="31" spans="1:13">
      <c r="H31" s="4"/>
    </row>
    <row r="32" spans="1:13">
      <c r="H32" s="4"/>
    </row>
    <row r="33" spans="8:8">
      <c r="H33" s="4"/>
    </row>
    <row r="34" spans="8:8">
      <c r="H34" s="4"/>
    </row>
    <row r="35" spans="8:8">
      <c r="H35" s="4"/>
    </row>
    <row r="36" spans="8:8">
      <c r="H36" s="4"/>
    </row>
    <row r="37" spans="8:8">
      <c r="H37" s="4"/>
    </row>
    <row r="38" spans="8:8">
      <c r="H38" s="4"/>
    </row>
    <row r="39" spans="8:8">
      <c r="H39" s="4"/>
    </row>
    <row r="40" spans="8:8">
      <c r="H40" s="4"/>
    </row>
    <row r="41" spans="8:8">
      <c r="H41" s="4"/>
    </row>
    <row r="42" spans="8:8">
      <c r="H42" s="4"/>
    </row>
  </sheetData>
  <sheetProtection algorithmName="SHA-512" hashValue="t3WuFmoMPP07zTvUVJhV/5Uft63WLlhiVdohwT/ZqYKsizqFlga+k2hUs7WdyX0GIXdEXHQFWJc3jJBTBFVnCg==" saltValue="HvW01AOpzlweNJ5hzztpRQ==" spinCount="100000" sheet="1" formatCells="0"/>
  <dataConsolidate/>
  <customSheetViews>
    <customSheetView guid="{D1BB6683-1C02-4800-8A34-4095A10BD8CF}">
      <selection activeCell="J12" sqref="J12"/>
      <pageMargins left="0.7" right="0.7" top="0.75" bottom="0.75" header="0.3" footer="0.3"/>
    </customSheetView>
  </customSheetViews>
  <mergeCells count="17">
    <mergeCell ref="I25:J25"/>
    <mergeCell ref="K25:L25"/>
    <mergeCell ref="B5:F5"/>
    <mergeCell ref="I2:J2"/>
    <mergeCell ref="I20:M20"/>
    <mergeCell ref="I21:J21"/>
    <mergeCell ref="K21:L21"/>
    <mergeCell ref="I22:J22"/>
    <mergeCell ref="K22:L22"/>
    <mergeCell ref="I23:J23"/>
    <mergeCell ref="K23:L23"/>
    <mergeCell ref="I24:J24"/>
    <mergeCell ref="A1:G1"/>
    <mergeCell ref="A2:G2"/>
    <mergeCell ref="A3:G3"/>
    <mergeCell ref="A4:G4"/>
    <mergeCell ref="K24:L24"/>
  </mergeCells>
  <dataValidations count="2">
    <dataValidation type="list" allowBlank="1" showInputMessage="1" showErrorMessage="1" sqref="M2" xr:uid="{C489CCBE-F440-457C-8784-B47EE09A1D81}">
      <formula1>"2024,2025,2026,2027,2028,2029,2030,2031,2032,2033,2034,2035,2036,2037,2038,2039,2040"</formula1>
    </dataValidation>
    <dataValidation type="list" allowBlank="1" showInputMessage="1" showErrorMessage="1" sqref="M4" xr:uid="{0DE3AD88-A779-483F-8BCB-256AE4695BEF}">
      <formula1>"1,2"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437A465-D4CA-4713-B6F8-3316C928F2A1}">
          <x14:formula1>
            <xm:f>list!$E$1:$E$3</xm:f>
          </x14:formula1>
          <xm:sqref>K2</xm:sqref>
        </x14:dataValidation>
        <x14:dataValidation type="list" allowBlank="1" showInputMessage="1" showErrorMessage="1" xr:uid="{00000000-0002-0000-0000-000000000000}">
          <x14:formula1>
            <xm:f>Subject!$A$3:$A$300</xm:f>
          </x14:formula1>
          <xm:sqref>B7:B18</xm:sqref>
        </x14:dataValidation>
        <x14:dataValidation type="list" allowBlank="1" showInputMessage="1" showErrorMessage="1" xr:uid="{38C075C2-B003-4EA1-B5F2-15567E687EC3}">
          <x14:formula1>
            <xm:f>list!$A$1:$A$31</xm:f>
          </x14:formula1>
          <xm:sqref>K14</xm:sqref>
        </x14:dataValidation>
        <x14:dataValidation type="list" allowBlank="1" showInputMessage="1" showErrorMessage="1" xr:uid="{D23560DF-FFCE-4977-AF34-C62F1BA43817}">
          <x14:formula1>
            <xm:f>list!$B$1:$B$12</xm:f>
          </x14:formula1>
          <xm:sqref>L14</xm:sqref>
        </x14:dataValidation>
        <x14:dataValidation type="list" allowBlank="1" showInputMessage="1" showErrorMessage="1" xr:uid="{3ADF0616-AF17-47CA-8B72-47DD54B76BAC}">
          <x14:formula1>
            <xm:f>list!$C$1:$C$17</xm:f>
          </x14:formula1>
          <xm:sqref>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FF0000"/>
  </sheetPr>
  <dimension ref="A1:U55"/>
  <sheetViews>
    <sheetView view="pageBreakPreview" zoomScale="120" zoomScaleSheetLayoutView="120" workbookViewId="0">
      <selection activeCell="B11" sqref="B11:R44"/>
    </sheetView>
  </sheetViews>
  <sheetFormatPr defaultColWidth="9.42578125" defaultRowHeight="18.75"/>
  <cols>
    <col min="1" max="1" width="9.42578125" style="37"/>
    <col min="2" max="2" width="12" style="38" customWidth="1"/>
    <col min="3" max="3" width="16.42578125" style="37" customWidth="1"/>
    <col min="4" max="4" width="16.5703125" style="37" customWidth="1"/>
    <col min="5" max="17" width="1.5703125" style="38" customWidth="1"/>
    <col min="18" max="18" width="8.42578125" style="38" customWidth="1"/>
    <col min="19" max="19" width="9.5703125" style="38" hidden="1" customWidth="1"/>
    <col min="20" max="16384" width="9.42578125" style="37"/>
  </cols>
  <sheetData>
    <row r="1" spans="1:21" s="36" customFormat="1" ht="26.25">
      <c r="A1" s="250" t="s">
        <v>699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49" t="s">
        <v>528</v>
      </c>
    </row>
    <row r="2" spans="1:21" s="36" customFormat="1" ht="26.25">
      <c r="A2" s="250" t="s">
        <v>700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49"/>
    </row>
    <row r="3" spans="1:21" s="49" customFormat="1" ht="21">
      <c r="A3" s="251" t="str">
        <f>IF(B11="","Semester: ................................. Academic Year: ...................................Class: ........................................................",CONCATENATE("Academic Year: ",Year,"  Semester: ",Semester,"  Grade: ",Class))</f>
        <v>Semester: ................................. Academic Year: ...................................Class: ........................................................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50"/>
    </row>
    <row r="4" spans="1:21" s="49" customFormat="1" ht="21" hidden="1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21" s="49" customFormat="1" ht="21" hidden="1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</row>
    <row r="6" spans="1:21" s="49" customFormat="1" ht="21" hidden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</row>
    <row r="7" spans="1:21" s="49" customFormat="1" ht="21" hidden="1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</row>
    <row r="8" spans="1:21" s="36" customForma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260" t="s">
        <v>481</v>
      </c>
    </row>
    <row r="9" spans="1:21" ht="17.25" customHeight="1">
      <c r="A9" s="252" t="s">
        <v>701</v>
      </c>
      <c r="B9" s="252" t="s">
        <v>702</v>
      </c>
      <c r="C9" s="254" t="s">
        <v>703</v>
      </c>
      <c r="D9" s="256"/>
      <c r="E9" s="254" t="s">
        <v>704</v>
      </c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255"/>
      <c r="Q9" s="256"/>
      <c r="R9" s="252" t="s">
        <v>705</v>
      </c>
      <c r="S9" s="261"/>
    </row>
    <row r="10" spans="1:21" ht="17.25" customHeight="1">
      <c r="A10" s="253"/>
      <c r="B10" s="253"/>
      <c r="C10" s="257"/>
      <c r="D10" s="259"/>
      <c r="E10" s="257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9"/>
      <c r="R10" s="253"/>
      <c r="S10" s="262"/>
    </row>
    <row r="11" spans="1:21" ht="17.25" customHeight="1">
      <c r="A11" s="43">
        <v>1</v>
      </c>
      <c r="B11" s="42"/>
      <c r="C11" s="41"/>
      <c r="D11" s="4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U11" s="232" t="s">
        <v>706</v>
      </c>
    </row>
    <row r="12" spans="1:21" ht="17.25" customHeight="1">
      <c r="A12" s="43">
        <v>2</v>
      </c>
      <c r="B12" s="42"/>
      <c r="C12" s="41"/>
      <c r="D12" s="4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>
        <v>2562</v>
      </c>
      <c r="U12" s="232" t="s">
        <v>707</v>
      </c>
    </row>
    <row r="13" spans="1:21" ht="17.25" customHeight="1">
      <c r="A13" s="43">
        <v>3</v>
      </c>
      <c r="B13" s="42"/>
      <c r="C13" s="41"/>
      <c r="D13" s="4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>
        <v>2562</v>
      </c>
    </row>
    <row r="14" spans="1:21" ht="17.25" customHeight="1">
      <c r="A14" s="43">
        <v>4</v>
      </c>
      <c r="B14" s="42"/>
      <c r="C14" s="41"/>
      <c r="D14" s="4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>
        <v>2562</v>
      </c>
    </row>
    <row r="15" spans="1:21" ht="17.25" customHeight="1">
      <c r="A15" s="43">
        <v>5</v>
      </c>
      <c r="B15" s="42"/>
      <c r="C15" s="41"/>
      <c r="D15" s="46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>
        <v>2562</v>
      </c>
    </row>
    <row r="16" spans="1:21" ht="17.25" customHeight="1">
      <c r="A16" s="43">
        <v>6</v>
      </c>
      <c r="B16" s="42"/>
      <c r="C16" s="45"/>
      <c r="D16" s="4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>
        <v>2562</v>
      </c>
    </row>
    <row r="17" spans="1:19" ht="17.25" customHeight="1">
      <c r="A17" s="43">
        <v>7</v>
      </c>
      <c r="B17" s="42"/>
      <c r="C17" s="41"/>
      <c r="D17" s="46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>
        <v>2562</v>
      </c>
    </row>
    <row r="18" spans="1:19" ht="17.25" customHeight="1">
      <c r="A18" s="43">
        <v>8</v>
      </c>
      <c r="B18" s="42"/>
      <c r="C18" s="41"/>
      <c r="D18" s="4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>
        <v>2562</v>
      </c>
    </row>
    <row r="19" spans="1:19" ht="18" customHeight="1">
      <c r="A19" s="43">
        <v>9</v>
      </c>
      <c r="B19" s="42"/>
      <c r="C19" s="41"/>
      <c r="D19" s="4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>
        <v>2562</v>
      </c>
    </row>
    <row r="20" spans="1:19" ht="17.25" customHeight="1">
      <c r="A20" s="43">
        <v>10</v>
      </c>
      <c r="B20" s="42"/>
      <c r="C20" s="41"/>
      <c r="D20" s="40"/>
      <c r="E20" s="47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ht="17.25" customHeight="1">
      <c r="A21" s="43">
        <v>11</v>
      </c>
      <c r="B21" s="42"/>
      <c r="C21" s="41"/>
      <c r="D21" s="4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>
        <v>2562</v>
      </c>
    </row>
    <row r="22" spans="1:19" ht="17.25" customHeight="1">
      <c r="A22" s="43">
        <v>12</v>
      </c>
      <c r="B22" s="42"/>
      <c r="C22" s="41"/>
      <c r="D22" s="4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>
        <v>2562</v>
      </c>
    </row>
    <row r="23" spans="1:19" ht="17.25" customHeight="1">
      <c r="A23" s="43">
        <v>13</v>
      </c>
      <c r="B23" s="42"/>
      <c r="C23" s="45"/>
      <c r="D23" s="44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>
        <v>2562</v>
      </c>
    </row>
    <row r="24" spans="1:19" ht="17.25" customHeight="1">
      <c r="A24" s="43">
        <v>14</v>
      </c>
      <c r="B24" s="42"/>
      <c r="C24" s="41"/>
      <c r="D24" s="4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>
        <v>2562</v>
      </c>
    </row>
    <row r="25" spans="1:19" ht="17.25" customHeight="1">
      <c r="A25" s="43">
        <v>15</v>
      </c>
      <c r="B25" s="42"/>
      <c r="C25" s="41"/>
      <c r="D25" s="4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>
        <v>2562</v>
      </c>
    </row>
    <row r="26" spans="1:19" ht="17.25" customHeight="1">
      <c r="A26" s="43">
        <v>16</v>
      </c>
      <c r="B26" s="42"/>
      <c r="C26" s="45"/>
      <c r="D26" s="44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>
        <v>2562</v>
      </c>
    </row>
    <row r="27" spans="1:19" ht="17.25" customHeight="1">
      <c r="A27" s="43">
        <v>17</v>
      </c>
      <c r="B27" s="42"/>
      <c r="C27" s="41"/>
      <c r="D27" s="4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>
        <v>2562</v>
      </c>
    </row>
    <row r="28" spans="1:19" ht="17.25" customHeight="1">
      <c r="A28" s="43">
        <v>18</v>
      </c>
      <c r="B28" s="42"/>
      <c r="C28" s="41"/>
      <c r="D28" s="4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>
        <v>2562</v>
      </c>
    </row>
    <row r="29" spans="1:19" ht="17.25" customHeight="1">
      <c r="A29" s="43">
        <v>19</v>
      </c>
      <c r="B29" s="42"/>
      <c r="C29" s="41"/>
      <c r="D29" s="4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>
        <v>2562</v>
      </c>
    </row>
    <row r="30" spans="1:19" ht="18" customHeight="1">
      <c r="A30" s="43">
        <v>20</v>
      </c>
      <c r="B30" s="42"/>
      <c r="C30" s="45"/>
      <c r="D30" s="44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 ht="17.25" customHeight="1">
      <c r="A31" s="43">
        <v>21</v>
      </c>
      <c r="B31" s="42"/>
      <c r="C31" s="41"/>
      <c r="D31" s="4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>
        <v>2562</v>
      </c>
    </row>
    <row r="32" spans="1:19" ht="17.25" customHeight="1">
      <c r="A32" s="43">
        <v>22</v>
      </c>
      <c r="B32" s="42"/>
      <c r="C32" s="41"/>
      <c r="D32" s="4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>
        <v>2562</v>
      </c>
    </row>
    <row r="33" spans="1:19" ht="17.25" customHeight="1">
      <c r="A33" s="43">
        <v>23</v>
      </c>
      <c r="B33" s="42"/>
      <c r="C33" s="41"/>
      <c r="D33" s="4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>
        <v>2562</v>
      </c>
    </row>
    <row r="34" spans="1:19" ht="17.25" customHeight="1">
      <c r="A34" s="43">
        <v>24</v>
      </c>
      <c r="B34" s="42"/>
      <c r="C34" s="41"/>
      <c r="D34" s="4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>
        <v>2562</v>
      </c>
    </row>
    <row r="35" spans="1:19" ht="18" customHeight="1">
      <c r="A35" s="43">
        <v>25</v>
      </c>
      <c r="B35" s="42"/>
      <c r="C35" s="41"/>
      <c r="D35" s="4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1:19" ht="17.25" customHeight="1">
      <c r="A36" s="43">
        <v>26</v>
      </c>
      <c r="B36" s="42"/>
      <c r="C36" s="41"/>
      <c r="D36" s="4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>
        <v>2562</v>
      </c>
    </row>
    <row r="37" spans="1:19" ht="17.25" customHeight="1">
      <c r="A37" s="43">
        <v>27</v>
      </c>
      <c r="B37" s="42"/>
      <c r="C37" s="41"/>
      <c r="D37" s="4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>
        <v>2562</v>
      </c>
    </row>
    <row r="38" spans="1:19" ht="17.25" customHeight="1">
      <c r="A38" s="43">
        <v>28</v>
      </c>
      <c r="B38" s="42"/>
      <c r="C38" s="41"/>
      <c r="D38" s="4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1:19" ht="17.25" customHeight="1">
      <c r="A39" s="43">
        <v>29</v>
      </c>
      <c r="B39" s="42"/>
      <c r="C39" s="41"/>
      <c r="D39" s="4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>
        <v>2562</v>
      </c>
    </row>
    <row r="40" spans="1:19" ht="18" customHeight="1">
      <c r="A40" s="43">
        <v>30</v>
      </c>
      <c r="B40" s="42"/>
      <c r="C40" s="45"/>
      <c r="D40" s="46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>
        <v>2562</v>
      </c>
    </row>
    <row r="41" spans="1:19" ht="17.25" customHeight="1">
      <c r="A41" s="43">
        <v>31</v>
      </c>
      <c r="B41" s="42"/>
      <c r="C41" s="41"/>
      <c r="D41" s="4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>
        <v>2562</v>
      </c>
    </row>
    <row r="42" spans="1:19" ht="17.25" customHeight="1">
      <c r="A42" s="43">
        <v>32</v>
      </c>
      <c r="B42" s="42"/>
      <c r="C42" s="41"/>
      <c r="D42" s="4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>
        <v>2562</v>
      </c>
    </row>
    <row r="43" spans="1:19" ht="17.25" customHeight="1">
      <c r="A43" s="43">
        <v>33</v>
      </c>
      <c r="B43" s="42"/>
      <c r="C43" s="45"/>
      <c r="D43" s="44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>
        <v>2562</v>
      </c>
    </row>
    <row r="44" spans="1:19" ht="17.25" customHeight="1">
      <c r="A44" s="43">
        <v>34</v>
      </c>
      <c r="B44" s="42"/>
      <c r="C44" s="41"/>
      <c r="D44" s="4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>
        <v>2562</v>
      </c>
    </row>
    <row r="45" spans="1:19" ht="17.25" customHeight="1">
      <c r="A45" s="43">
        <v>35</v>
      </c>
      <c r="B45" s="42"/>
      <c r="C45" s="41"/>
      <c r="D45" s="4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>
        <v>2562</v>
      </c>
    </row>
    <row r="46" spans="1:19" ht="17.25" customHeight="1">
      <c r="A46" s="43">
        <v>36</v>
      </c>
      <c r="B46" s="42"/>
      <c r="C46" s="45"/>
      <c r="D46" s="44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>
        <v>2562</v>
      </c>
    </row>
    <row r="47" spans="1:19" ht="17.25" customHeight="1">
      <c r="A47" s="43">
        <v>37</v>
      </c>
      <c r="B47" s="42"/>
      <c r="C47" s="41"/>
      <c r="D47" s="4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1:19" ht="17.25" customHeight="1">
      <c r="A48" s="43">
        <v>38</v>
      </c>
      <c r="B48" s="42"/>
      <c r="C48" s="41"/>
      <c r="D48" s="4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19" ht="18" customHeight="1">
      <c r="A49" s="43">
        <v>39</v>
      </c>
      <c r="B49" s="42"/>
      <c r="C49" s="41"/>
      <c r="D49" s="4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1:19" ht="17.25" customHeight="1">
      <c r="A50" s="43">
        <v>40</v>
      </c>
      <c r="B50" s="42"/>
      <c r="C50" s="41"/>
      <c r="D50" s="4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1:19" ht="17.25" customHeight="1">
      <c r="A51" s="43">
        <v>41</v>
      </c>
      <c r="B51" s="42"/>
      <c r="C51" s="41"/>
      <c r="D51" s="4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1:19" ht="17.25" customHeight="1">
      <c r="A52" s="43">
        <v>42</v>
      </c>
      <c r="B52" s="42"/>
      <c r="C52" s="41"/>
      <c r="D52" s="4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1:19" ht="17.25" customHeight="1">
      <c r="A53" s="43">
        <v>43</v>
      </c>
      <c r="B53" s="42"/>
      <c r="C53" s="41"/>
      <c r="D53" s="4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1:19" ht="17.25" customHeight="1">
      <c r="A54" s="43">
        <v>44</v>
      </c>
      <c r="B54" s="42"/>
      <c r="C54" s="41"/>
      <c r="D54" s="4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1:19" ht="17.25" customHeight="1">
      <c r="A55" s="43">
        <v>45</v>
      </c>
      <c r="B55" s="42"/>
      <c r="C55" s="41"/>
      <c r="D55" s="4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</sheetData>
  <sheetProtection algorithmName="SHA-512" hashValue="HQwkR+J6Pjd+SgqWB7MYZC5NzyFsShYEDnIY71aVjeifZeWsdmAAKhhEimSqczm+Xd23jPSn5H0qKRd+frY0kg==" saltValue="ijRm9/qnKLp8x5nbbgL/GQ==" spinCount="100000" sheet="1" formatCells="0"/>
  <customSheetViews>
    <customSheetView guid="{D1BB6683-1C02-4800-8A34-4095A10BD8CF}" scale="114" showPageBreaks="1" printArea="1" hiddenRows="1" hiddenColumns="1" view="pageBreakPreview">
      <selection activeCell="T11" sqref="T11:T41"/>
      <pageMargins left="0.19685039370078741" right="0.19685039370078741" top="0.78740157480314965" bottom="0.19685039370078741" header="0.51181102362204722" footer="0.51181102362204722"/>
      <printOptions horizontalCentered="1"/>
      <pageSetup paperSize="5" orientation="portrait" blackAndWhite="1" horizontalDpi="4294967293" r:id="rId1"/>
      <headerFooter alignWithMargins="0"/>
    </customSheetView>
  </customSheetViews>
  <mergeCells count="10">
    <mergeCell ref="S1:S2"/>
    <mergeCell ref="A1:R1"/>
    <mergeCell ref="A3:R3"/>
    <mergeCell ref="A2:R2"/>
    <mergeCell ref="R9:R10"/>
    <mergeCell ref="E9:Q10"/>
    <mergeCell ref="C9:D10"/>
    <mergeCell ref="B9:B10"/>
    <mergeCell ref="A9:A10"/>
    <mergeCell ref="S8:S10"/>
  </mergeCells>
  <conditionalFormatting sqref="A11:S11">
    <cfRule type="expression" dxfId="89" priority="202" stopIfTrue="1">
      <formula>$R$11="มส"</formula>
    </cfRule>
    <cfRule type="expression" dxfId="88" priority="201" stopIfTrue="1">
      <formula>$R$11="ย้าย"</formula>
    </cfRule>
  </conditionalFormatting>
  <conditionalFormatting sqref="A12:S12">
    <cfRule type="expression" dxfId="87" priority="200" stopIfTrue="1">
      <formula>$R$12="มส"</formula>
    </cfRule>
    <cfRule type="expression" dxfId="86" priority="199" stopIfTrue="1">
      <formula>$R$12="ย้าย"</formula>
    </cfRule>
  </conditionalFormatting>
  <conditionalFormatting sqref="A13:S13">
    <cfRule type="expression" dxfId="85" priority="198" stopIfTrue="1">
      <formula>$R$13="มส"</formula>
    </cfRule>
    <cfRule type="expression" dxfId="84" priority="197" stopIfTrue="1">
      <formula>$R$13="ย้าย"</formula>
    </cfRule>
  </conditionalFormatting>
  <conditionalFormatting sqref="A14:S14">
    <cfRule type="expression" dxfId="83" priority="196" stopIfTrue="1">
      <formula>$R$14="มส"</formula>
    </cfRule>
    <cfRule type="expression" dxfId="82" priority="195" stopIfTrue="1">
      <formula>$R$14="ย้าย"</formula>
    </cfRule>
  </conditionalFormatting>
  <conditionalFormatting sqref="A15:S15">
    <cfRule type="expression" dxfId="81" priority="194" stopIfTrue="1">
      <formula>$R$15="มส"</formula>
    </cfRule>
    <cfRule type="expression" dxfId="80" priority="193" stopIfTrue="1">
      <formula>$R$15="ย้าย"</formula>
    </cfRule>
  </conditionalFormatting>
  <conditionalFormatting sqref="A16:S16">
    <cfRule type="expression" dxfId="79" priority="191" stopIfTrue="1">
      <formula>$R$16="ย้าย"</formula>
    </cfRule>
    <cfRule type="expression" dxfId="78" priority="192" stopIfTrue="1">
      <formula>$R$16="มส"</formula>
    </cfRule>
  </conditionalFormatting>
  <conditionalFormatting sqref="A17:S17">
    <cfRule type="expression" dxfId="77" priority="189" stopIfTrue="1">
      <formula>$R$17="ย้าย"</formula>
    </cfRule>
    <cfRule type="expression" dxfId="76" priority="190" stopIfTrue="1">
      <formula>$R$17="มส"</formula>
    </cfRule>
  </conditionalFormatting>
  <conditionalFormatting sqref="A18:S18">
    <cfRule type="expression" dxfId="75" priority="188" stopIfTrue="1">
      <formula>$R$18="มส"</formula>
    </cfRule>
    <cfRule type="expression" dxfId="74" priority="187" stopIfTrue="1">
      <formula>$R$18="ย้าย"</formula>
    </cfRule>
  </conditionalFormatting>
  <conditionalFormatting sqref="A19:S19">
    <cfRule type="expression" dxfId="73" priority="185" stopIfTrue="1">
      <formula>$R$19="ย้าย"</formula>
    </cfRule>
    <cfRule type="expression" dxfId="72" priority="186" stopIfTrue="1">
      <formula>$R$19="มส"</formula>
    </cfRule>
  </conditionalFormatting>
  <conditionalFormatting sqref="A20:S20">
    <cfRule type="expression" dxfId="71" priority="183" stopIfTrue="1">
      <formula>$R$20="ย้าย"</formula>
    </cfRule>
    <cfRule type="expression" dxfId="70" priority="184" stopIfTrue="1">
      <formula>$R$20="มส"</formula>
    </cfRule>
  </conditionalFormatting>
  <conditionalFormatting sqref="A21:S21">
    <cfRule type="expression" dxfId="69" priority="181" stopIfTrue="1">
      <formula>$R$21="ย้าย"</formula>
    </cfRule>
    <cfRule type="expression" dxfId="68" priority="182" stopIfTrue="1">
      <formula>$R$21="มส"</formula>
    </cfRule>
  </conditionalFormatting>
  <conditionalFormatting sqref="A22:S22">
    <cfRule type="expression" dxfId="67" priority="179" stopIfTrue="1">
      <formula>$R$22="ย้าย"</formula>
    </cfRule>
    <cfRule type="expression" dxfId="66" priority="180" stopIfTrue="1">
      <formula>$R$22="มส"</formula>
    </cfRule>
  </conditionalFormatting>
  <conditionalFormatting sqref="A23:S23">
    <cfRule type="expression" dxfId="65" priority="177" stopIfTrue="1">
      <formula>$R$23="ย้าย"</formula>
    </cfRule>
    <cfRule type="expression" dxfId="64" priority="178" stopIfTrue="1">
      <formula>$R$23="มส"</formula>
    </cfRule>
  </conditionalFormatting>
  <conditionalFormatting sqref="A24:S24">
    <cfRule type="expression" dxfId="63" priority="175" stopIfTrue="1">
      <formula>$R$24="ย้าย"</formula>
    </cfRule>
    <cfRule type="expression" dxfId="62" priority="176" stopIfTrue="1">
      <formula>$R$24="มส"</formula>
    </cfRule>
  </conditionalFormatting>
  <conditionalFormatting sqref="A25:S25">
    <cfRule type="expression" dxfId="61" priority="173" stopIfTrue="1">
      <formula>$R$25="ย้าย"</formula>
    </cfRule>
    <cfRule type="expression" dxfId="60" priority="174" stopIfTrue="1">
      <formula>$R$25="มส"</formula>
    </cfRule>
  </conditionalFormatting>
  <conditionalFormatting sqref="A26:S26">
    <cfRule type="expression" dxfId="59" priority="171" stopIfTrue="1">
      <formula>$R$26="ย้าย"</formula>
    </cfRule>
    <cfRule type="expression" dxfId="58" priority="172" stopIfTrue="1">
      <formula>$R$26="มส"</formula>
    </cfRule>
  </conditionalFormatting>
  <conditionalFormatting sqref="A27:S27">
    <cfRule type="expression" dxfId="57" priority="169" stopIfTrue="1">
      <formula>$R$27="ย้าย"</formula>
    </cfRule>
    <cfRule type="expression" dxfId="56" priority="170" stopIfTrue="1">
      <formula>$R$27="มส"</formula>
    </cfRule>
  </conditionalFormatting>
  <conditionalFormatting sqref="A28:S28">
    <cfRule type="expression" dxfId="55" priority="168" stopIfTrue="1">
      <formula>$R$28="มส"</formula>
    </cfRule>
    <cfRule type="expression" dxfId="54" priority="167" stopIfTrue="1">
      <formula>$R$28="ย้าย"</formula>
    </cfRule>
  </conditionalFormatting>
  <conditionalFormatting sqref="A29:S29">
    <cfRule type="expression" dxfId="53" priority="166" stopIfTrue="1">
      <formula>$R$29="มส"</formula>
    </cfRule>
    <cfRule type="expression" dxfId="52" priority="165" stopIfTrue="1">
      <formula>$R$29="ย้าย"</formula>
    </cfRule>
  </conditionalFormatting>
  <conditionalFormatting sqref="A30:S30">
    <cfRule type="expression" dxfId="51" priority="164" stopIfTrue="1">
      <formula>$R$30="มส"</formula>
    </cfRule>
    <cfRule type="expression" dxfId="50" priority="163" stopIfTrue="1">
      <formula>$R$30="ย้าย"</formula>
    </cfRule>
  </conditionalFormatting>
  <conditionalFormatting sqref="A31:S31">
    <cfRule type="expression" dxfId="49" priority="161" stopIfTrue="1">
      <formula>$R$31="ย้าย"</formula>
    </cfRule>
    <cfRule type="expression" dxfId="48" priority="162" stopIfTrue="1">
      <formula>$R$31="มส"</formula>
    </cfRule>
  </conditionalFormatting>
  <conditionalFormatting sqref="A32:S32">
    <cfRule type="expression" dxfId="47" priority="159" stopIfTrue="1">
      <formula>$R$32="ย้าย"</formula>
    </cfRule>
    <cfRule type="expression" dxfId="46" priority="160" stopIfTrue="1">
      <formula>$R$32="มส"</formula>
    </cfRule>
  </conditionalFormatting>
  <conditionalFormatting sqref="A33:S33">
    <cfRule type="expression" dxfId="45" priority="157" stopIfTrue="1">
      <formula>$R$33="ย้าย"</formula>
    </cfRule>
    <cfRule type="expression" dxfId="44" priority="158" stopIfTrue="1">
      <formula>$R$33="มส"</formula>
    </cfRule>
  </conditionalFormatting>
  <conditionalFormatting sqref="A34:S34">
    <cfRule type="expression" dxfId="43" priority="156" stopIfTrue="1">
      <formula>$R$34="มส"</formula>
    </cfRule>
    <cfRule type="expression" dxfId="42" priority="155" stopIfTrue="1">
      <formula>$R$34="ย้าย"</formula>
    </cfRule>
  </conditionalFormatting>
  <conditionalFormatting sqref="A35:S35">
    <cfRule type="expression" dxfId="41" priority="154" stopIfTrue="1">
      <formula>$R$35="มส"</formula>
    </cfRule>
    <cfRule type="expression" dxfId="40" priority="153" stopIfTrue="1">
      <formula>$R$35="ย้าย"</formula>
    </cfRule>
  </conditionalFormatting>
  <conditionalFormatting sqref="A36:S36">
    <cfRule type="expression" dxfId="39" priority="152" stopIfTrue="1">
      <formula>$R$36="มส"</formula>
    </cfRule>
    <cfRule type="expression" dxfId="38" priority="151" stopIfTrue="1">
      <formula>$R$36="ย้าย"</formula>
    </cfRule>
  </conditionalFormatting>
  <conditionalFormatting sqref="A37:S37">
    <cfRule type="expression" dxfId="37" priority="150" stopIfTrue="1">
      <formula>$R$37="มส"</formula>
    </cfRule>
    <cfRule type="expression" dxfId="36" priority="149" stopIfTrue="1">
      <formula>$R$37="ย้าย"</formula>
    </cfRule>
  </conditionalFormatting>
  <conditionalFormatting sqref="A38:S38">
    <cfRule type="expression" dxfId="35" priority="147" stopIfTrue="1">
      <formula>$R$38="ย้าย"</formula>
    </cfRule>
    <cfRule type="expression" dxfId="34" priority="148" stopIfTrue="1">
      <formula>$R$38="มส"</formula>
    </cfRule>
  </conditionalFormatting>
  <conditionalFormatting sqref="A39:S39">
    <cfRule type="expression" dxfId="33" priority="236" stopIfTrue="1">
      <formula>$R$39="มส"</formula>
    </cfRule>
    <cfRule type="expression" dxfId="32" priority="235" stopIfTrue="1">
      <formula>$R$39="ย้าย"</formula>
    </cfRule>
  </conditionalFormatting>
  <conditionalFormatting sqref="A40:S40">
    <cfRule type="expression" dxfId="31" priority="234" stopIfTrue="1">
      <formula>$R$40="มส"</formula>
    </cfRule>
    <cfRule type="expression" dxfId="30" priority="233" stopIfTrue="1">
      <formula>$R$40="ย้าย"</formula>
    </cfRule>
  </conditionalFormatting>
  <conditionalFormatting sqref="A41:S41">
    <cfRule type="expression" dxfId="29" priority="231" stopIfTrue="1">
      <formula>$R$41="ย้าย"</formula>
    </cfRule>
    <cfRule type="expression" dxfId="28" priority="232" stopIfTrue="1">
      <formula>$R$41="มส"</formula>
    </cfRule>
  </conditionalFormatting>
  <conditionalFormatting sqref="A42:S42">
    <cfRule type="expression" dxfId="27" priority="230" stopIfTrue="1">
      <formula>$R$42="มส"</formula>
    </cfRule>
    <cfRule type="expression" dxfId="26" priority="229" stopIfTrue="1">
      <formula>$R$42="ย้าย"</formula>
    </cfRule>
  </conditionalFormatting>
  <conditionalFormatting sqref="A43:S43">
    <cfRule type="expression" dxfId="25" priority="228" stopIfTrue="1">
      <formula>$R$43="มส"</formula>
    </cfRule>
    <cfRule type="expression" dxfId="24" priority="227" stopIfTrue="1">
      <formula>$R$43="ย้าย"</formula>
    </cfRule>
  </conditionalFormatting>
  <conditionalFormatting sqref="A44:S44">
    <cfRule type="expression" dxfId="23" priority="226" stopIfTrue="1">
      <formula>$R$44="มส"</formula>
    </cfRule>
    <cfRule type="expression" dxfId="22" priority="225" stopIfTrue="1">
      <formula>$R$44="ย้าย"</formula>
    </cfRule>
  </conditionalFormatting>
  <conditionalFormatting sqref="A45:S45">
    <cfRule type="expression" dxfId="21" priority="223" stopIfTrue="1">
      <formula>$R$45="ย้าย"</formula>
    </cfRule>
    <cfRule type="expression" dxfId="20" priority="224" stopIfTrue="1">
      <formula>$R$45="มส"</formula>
    </cfRule>
  </conditionalFormatting>
  <conditionalFormatting sqref="A46:S46">
    <cfRule type="expression" dxfId="19" priority="221" stopIfTrue="1">
      <formula>$R$46="ย้าย"</formula>
    </cfRule>
    <cfRule type="expression" dxfId="18" priority="222" stopIfTrue="1">
      <formula>$R$46="มส"</formula>
    </cfRule>
  </conditionalFormatting>
  <conditionalFormatting sqref="A47:S47">
    <cfRule type="expression" dxfId="17" priority="219" stopIfTrue="1">
      <formula>$R$47="ย้าย"</formula>
    </cfRule>
    <cfRule type="expression" dxfId="16" priority="220" stopIfTrue="1">
      <formula>$R$47="มส"</formula>
    </cfRule>
  </conditionalFormatting>
  <conditionalFormatting sqref="A48:S48">
    <cfRule type="expression" dxfId="15" priority="217" stopIfTrue="1">
      <formula>$R$48="ย้าย"</formula>
    </cfRule>
    <cfRule type="expression" dxfId="14" priority="218" stopIfTrue="1">
      <formula>$R$48="มส"</formula>
    </cfRule>
  </conditionalFormatting>
  <conditionalFormatting sqref="A49:S49">
    <cfRule type="expression" dxfId="13" priority="216" stopIfTrue="1">
      <formula>$R$49="มส"</formula>
    </cfRule>
    <cfRule type="expression" dxfId="12" priority="215" stopIfTrue="1">
      <formula>$R$49="ย้าย"</formula>
    </cfRule>
  </conditionalFormatting>
  <conditionalFormatting sqref="A50:S50">
    <cfRule type="expression" dxfId="11" priority="213" stopIfTrue="1">
      <formula>$R$50="ย้าย"</formula>
    </cfRule>
    <cfRule type="expression" dxfId="10" priority="214" stopIfTrue="1">
      <formula>$R$50="มส"</formula>
    </cfRule>
  </conditionalFormatting>
  <conditionalFormatting sqref="A51:S51">
    <cfRule type="expression" dxfId="9" priority="212" stopIfTrue="1">
      <formula>$R$51="มส"</formula>
    </cfRule>
    <cfRule type="expression" dxfId="8" priority="211" stopIfTrue="1">
      <formula>$R$51="ย้าย"</formula>
    </cfRule>
  </conditionalFormatting>
  <conditionalFormatting sqref="A52:S52">
    <cfRule type="expression" dxfId="7" priority="210" stopIfTrue="1">
      <formula>$R$52="มส"</formula>
    </cfRule>
    <cfRule type="expression" dxfId="6" priority="209" stopIfTrue="1">
      <formula>$R$52="ย้าย"</formula>
    </cfRule>
  </conditionalFormatting>
  <conditionalFormatting sqref="A53:S53">
    <cfRule type="expression" dxfId="5" priority="208" stopIfTrue="1">
      <formula>$R$53="มส"</formula>
    </cfRule>
    <cfRule type="expression" dxfId="4" priority="207" stopIfTrue="1">
      <formula>$R$53="ย้าย"</formula>
    </cfRule>
  </conditionalFormatting>
  <conditionalFormatting sqref="A54:S54">
    <cfRule type="expression" dxfId="3" priority="206" stopIfTrue="1">
      <formula>$R$54="มส"</formula>
    </cfRule>
    <cfRule type="expression" dxfId="2" priority="205" stopIfTrue="1">
      <formula>$R$54="ย้าย"</formula>
    </cfRule>
  </conditionalFormatting>
  <conditionalFormatting sqref="A55:S55">
    <cfRule type="expression" dxfId="1" priority="203" stopIfTrue="1">
      <formula>$R$55="ย้าย"</formula>
    </cfRule>
    <cfRule type="expression" dxfId="0" priority="204" stopIfTrue="1">
      <formula>$R$55="มส"</formula>
    </cfRule>
  </conditionalFormatting>
  <dataValidations count="1">
    <dataValidation type="list" allowBlank="1" showInputMessage="1" showErrorMessage="1" sqref="R11:R55" xr:uid="{00000000-0002-0000-0100-000000000000}">
      <formula1>"NQ, T"</formula1>
    </dataValidation>
  </dataValidations>
  <printOptions horizontalCentered="1"/>
  <pageMargins left="0.196850393700787" right="0.196850393700787" top="0.78740157480314998" bottom="0.196850393700787" header="0.511811023622047" footer="0.511811023622047"/>
  <pageSetup paperSize="5" orientation="portrait" blackAndWhite="1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2:BN484"/>
  <sheetViews>
    <sheetView zoomScale="85" zoomScaleNormal="85" workbookViewId="0">
      <pane xSplit="4" ySplit="5" topLeftCell="E8" activePane="bottomRight" state="frozen"/>
      <selection pane="topRight" activeCell="D1" sqref="D1"/>
      <selection pane="bottomLeft" activeCell="A4" sqref="A4"/>
      <selection pane="bottomRight" activeCell="T8" sqref="T8"/>
    </sheetView>
  </sheetViews>
  <sheetFormatPr defaultColWidth="9.42578125" defaultRowHeight="13.5"/>
  <cols>
    <col min="1" max="1" width="5.42578125" style="194" customWidth="1"/>
    <col min="2" max="2" width="24.5703125" style="194" customWidth="1"/>
    <col min="3" max="3" width="12.5703125" style="194" customWidth="1"/>
    <col min="4" max="4" width="31.5703125" style="3" customWidth="1"/>
    <col min="5" max="5" width="23.5703125" style="198" customWidth="1"/>
    <col min="6" max="6" width="28.5703125" style="194" customWidth="1"/>
    <col min="7" max="7" width="12.5703125" style="194" customWidth="1"/>
    <col min="8" max="8" width="22.5703125" style="3" customWidth="1"/>
    <col min="9" max="9" width="9.42578125" style="194"/>
    <col min="10" max="10" width="10.5703125" style="198" bestFit="1" customWidth="1"/>
    <col min="11" max="11" width="10.5703125" style="198" customWidth="1"/>
    <col min="12" max="12" width="12.5703125" style="194" customWidth="1"/>
    <col min="13" max="13" width="27.42578125" style="3" customWidth="1"/>
    <col min="14" max="14" width="9.42578125" style="194"/>
    <col min="15" max="15" width="9.42578125" style="198"/>
    <col min="16" max="16" width="10.5703125" style="198" customWidth="1"/>
    <col min="17" max="17" width="12.5703125" style="194" customWidth="1"/>
    <col min="18" max="18" width="27.42578125" style="3" customWidth="1"/>
    <col min="19" max="19" width="9.42578125" style="194"/>
    <col min="20" max="20" width="9.42578125" style="198"/>
    <col min="21" max="21" width="10.5703125" style="198" customWidth="1"/>
    <col min="22" max="22" width="12.5703125" style="194" customWidth="1"/>
    <col min="23" max="23" width="27.42578125" style="3" customWidth="1"/>
    <col min="24" max="24" width="9.42578125" style="194"/>
    <col min="25" max="25" width="9.42578125" style="198"/>
    <col min="26" max="26" width="10.5703125" style="198" customWidth="1"/>
    <col min="27" max="27" width="12.5703125" style="194" customWidth="1"/>
    <col min="28" max="28" width="27.42578125" style="3" customWidth="1"/>
    <col min="29" max="29" width="9.42578125" style="194"/>
    <col min="30" max="30" width="9.42578125" style="198"/>
    <col min="31" max="31" width="10.5703125" style="198" customWidth="1"/>
    <col min="32" max="32" width="12.5703125" style="194" customWidth="1"/>
    <col min="33" max="33" width="27.42578125" style="3" customWidth="1"/>
    <col min="34" max="34" width="9.42578125" style="194"/>
    <col min="35" max="35" width="10.5703125" style="198" bestFit="1" customWidth="1"/>
    <col min="36" max="36" width="10.5703125" style="198" customWidth="1"/>
    <col min="37" max="37" width="12.5703125" style="194" customWidth="1"/>
    <col min="38" max="38" width="27.42578125" style="3" customWidth="1"/>
    <col min="39" max="39" width="9.42578125" style="194"/>
    <col min="40" max="40" width="9.42578125" style="198" bestFit="1" customWidth="1"/>
    <col min="41" max="41" width="10.5703125" style="198" customWidth="1"/>
    <col min="42" max="42" width="12.5703125" style="194" customWidth="1"/>
    <col min="43" max="43" width="27.5703125" style="3" customWidth="1"/>
    <col min="44" max="44" width="9.42578125" style="194"/>
    <col min="45" max="45" width="9.42578125" style="198"/>
    <col min="46" max="46" width="10.5703125" style="198" customWidth="1"/>
    <col min="47" max="47" width="12.5703125" style="194" customWidth="1"/>
    <col min="48" max="48" width="27.5703125" style="3" customWidth="1"/>
    <col min="49" max="49" width="9.42578125" style="194"/>
    <col min="50" max="50" width="10.5703125" style="198" bestFit="1" customWidth="1"/>
    <col min="51" max="51" width="10.5703125" style="198" customWidth="1"/>
    <col min="52" max="52" width="12.5703125" style="194" customWidth="1"/>
    <col min="53" max="53" width="27.5703125" style="3" customWidth="1"/>
    <col min="54" max="54" width="9.42578125" style="194"/>
    <col min="55" max="55" width="9.42578125" style="198"/>
    <col min="56" max="56" width="10.5703125" style="198" customWidth="1"/>
    <col min="57" max="57" width="12.5703125" style="194" customWidth="1"/>
    <col min="58" max="58" width="27.5703125" style="3" customWidth="1"/>
    <col min="59" max="59" width="9.42578125" style="194"/>
    <col min="60" max="60" width="9.42578125" style="198"/>
    <col min="61" max="61" width="10.5703125" style="198" customWidth="1"/>
    <col min="62" max="62" width="12.5703125" style="194" customWidth="1"/>
    <col min="63" max="63" width="27.5703125" style="3" customWidth="1"/>
    <col min="64" max="64" width="9.42578125" style="194"/>
    <col min="65" max="65" width="9.42578125" style="198"/>
    <col min="66" max="66" width="10.5703125" style="198" customWidth="1"/>
    <col min="67" max="16384" width="9.42578125" style="3"/>
  </cols>
  <sheetData>
    <row r="2" spans="1:66" ht="23.1" customHeight="1">
      <c r="B2" s="199" t="str">
        <f>CONCATENATE("Form ",Semester,"/",Year,"  Grade ",Class)</f>
        <v>Form /  Grade 9/3</v>
      </c>
      <c r="C2" s="199"/>
      <c r="D2" s="199"/>
      <c r="E2" s="199"/>
      <c r="F2" s="199"/>
      <c r="G2" s="199"/>
      <c r="H2" s="199"/>
      <c r="I2" s="199"/>
      <c r="J2" s="184"/>
      <c r="K2" s="184"/>
      <c r="L2" s="199"/>
      <c r="M2" s="199"/>
      <c r="N2" s="199"/>
      <c r="O2" s="184"/>
      <c r="P2" s="184"/>
      <c r="Q2" s="199"/>
      <c r="R2" s="199"/>
      <c r="S2" s="199"/>
      <c r="T2" s="184"/>
      <c r="U2" s="184"/>
      <c r="V2" s="199"/>
      <c r="W2" s="199"/>
      <c r="X2" s="199"/>
      <c r="Y2" s="184"/>
      <c r="Z2" s="184"/>
      <c r="AA2" s="199"/>
      <c r="AB2" s="199"/>
      <c r="AC2" s="199"/>
      <c r="AD2" s="184"/>
      <c r="AE2" s="184"/>
      <c r="AF2" s="199"/>
      <c r="AG2" s="199"/>
      <c r="AH2" s="199"/>
      <c r="AI2" s="184"/>
      <c r="AJ2" s="184"/>
      <c r="AK2" s="199"/>
      <c r="AL2" s="199"/>
      <c r="AM2" s="199"/>
      <c r="AN2" s="184"/>
      <c r="AO2" s="184"/>
      <c r="AP2" s="199"/>
      <c r="AQ2" s="199"/>
      <c r="AR2" s="199"/>
      <c r="AS2" s="184"/>
      <c r="AT2" s="184"/>
      <c r="AU2" s="199"/>
      <c r="AV2" s="199"/>
      <c r="AW2" s="199"/>
      <c r="AX2" s="184"/>
      <c r="AY2" s="184"/>
      <c r="AZ2" s="199"/>
      <c r="BA2" s="199"/>
      <c r="BB2" s="199"/>
      <c r="BC2" s="184"/>
      <c r="BD2" s="184"/>
      <c r="BE2" s="199"/>
      <c r="BF2" s="199"/>
      <c r="BG2" s="199"/>
      <c r="BH2" s="184"/>
      <c r="BI2" s="184"/>
      <c r="BJ2" s="199"/>
      <c r="BK2" s="199"/>
      <c r="BL2" s="199"/>
      <c r="BM2" s="184"/>
      <c r="BN2" s="184"/>
    </row>
    <row r="3" spans="1:66" s="198" customFormat="1" ht="27.6" customHeight="1">
      <c r="A3" s="19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184"/>
      <c r="AX3" s="184"/>
      <c r="AY3" s="184"/>
      <c r="AZ3" s="184"/>
      <c r="BA3" s="184"/>
      <c r="BB3" s="184"/>
      <c r="BC3" s="184"/>
      <c r="BD3" s="184"/>
      <c r="BE3" s="184"/>
      <c r="BF3" s="184"/>
      <c r="BG3" s="184"/>
      <c r="BH3" s="184"/>
      <c r="BI3" s="184"/>
      <c r="BJ3" s="184"/>
      <c r="BK3" s="184"/>
      <c r="BL3" s="184"/>
      <c r="BM3" s="184"/>
      <c r="BN3" s="184"/>
    </row>
    <row r="4" spans="1:66" s="190" customFormat="1" ht="26.85" customHeight="1">
      <c r="A4" s="268" t="s">
        <v>708</v>
      </c>
      <c r="B4" s="263" t="s">
        <v>726</v>
      </c>
      <c r="C4" s="263" t="s">
        <v>702</v>
      </c>
      <c r="D4" s="263" t="s">
        <v>703</v>
      </c>
      <c r="E4" s="263" t="s">
        <v>709</v>
      </c>
      <c r="F4" s="263" t="s">
        <v>689</v>
      </c>
      <c r="G4" s="266" t="s">
        <v>710</v>
      </c>
      <c r="H4" s="263" t="s">
        <v>711</v>
      </c>
      <c r="I4" s="263" t="s">
        <v>712</v>
      </c>
      <c r="J4" s="206" t="s">
        <v>713</v>
      </c>
      <c r="K4" s="263" t="s">
        <v>686</v>
      </c>
      <c r="L4" s="266" t="s">
        <v>710</v>
      </c>
      <c r="M4" s="263" t="s">
        <v>711</v>
      </c>
      <c r="N4" s="263" t="s">
        <v>712</v>
      </c>
      <c r="O4" s="206" t="s">
        <v>713</v>
      </c>
      <c r="P4" s="263" t="s">
        <v>686</v>
      </c>
      <c r="Q4" s="266" t="s">
        <v>710</v>
      </c>
      <c r="R4" s="263" t="s">
        <v>711</v>
      </c>
      <c r="S4" s="263" t="s">
        <v>712</v>
      </c>
      <c r="T4" s="206" t="s">
        <v>713</v>
      </c>
      <c r="U4" s="263" t="s">
        <v>686</v>
      </c>
      <c r="V4" s="266" t="s">
        <v>710</v>
      </c>
      <c r="W4" s="263" t="s">
        <v>711</v>
      </c>
      <c r="X4" s="263" t="s">
        <v>712</v>
      </c>
      <c r="Y4" s="206" t="s">
        <v>713</v>
      </c>
      <c r="Z4" s="263" t="s">
        <v>686</v>
      </c>
      <c r="AA4" s="266" t="s">
        <v>710</v>
      </c>
      <c r="AB4" s="263" t="s">
        <v>711</v>
      </c>
      <c r="AC4" s="263" t="s">
        <v>712</v>
      </c>
      <c r="AD4" s="206" t="s">
        <v>713</v>
      </c>
      <c r="AE4" s="263" t="s">
        <v>686</v>
      </c>
      <c r="AF4" s="266" t="s">
        <v>710</v>
      </c>
      <c r="AG4" s="263" t="s">
        <v>711</v>
      </c>
      <c r="AH4" s="263" t="s">
        <v>712</v>
      </c>
      <c r="AI4" s="206" t="s">
        <v>713</v>
      </c>
      <c r="AJ4" s="263" t="s">
        <v>686</v>
      </c>
      <c r="AK4" s="266" t="s">
        <v>710</v>
      </c>
      <c r="AL4" s="263" t="s">
        <v>711</v>
      </c>
      <c r="AM4" s="263" t="s">
        <v>712</v>
      </c>
      <c r="AN4" s="206" t="s">
        <v>713</v>
      </c>
      <c r="AO4" s="263" t="s">
        <v>686</v>
      </c>
      <c r="AP4" s="266" t="s">
        <v>710</v>
      </c>
      <c r="AQ4" s="263" t="s">
        <v>711</v>
      </c>
      <c r="AR4" s="263" t="s">
        <v>712</v>
      </c>
      <c r="AS4" s="206" t="s">
        <v>713</v>
      </c>
      <c r="AT4" s="263" t="s">
        <v>686</v>
      </c>
      <c r="AU4" s="266" t="s">
        <v>710</v>
      </c>
      <c r="AV4" s="263" t="s">
        <v>711</v>
      </c>
      <c r="AW4" s="263" t="s">
        <v>712</v>
      </c>
      <c r="AX4" s="206" t="s">
        <v>713</v>
      </c>
      <c r="AY4" s="263" t="s">
        <v>686</v>
      </c>
      <c r="AZ4" s="266" t="s">
        <v>710</v>
      </c>
      <c r="BA4" s="263" t="s">
        <v>711</v>
      </c>
      <c r="BB4" s="263" t="s">
        <v>712</v>
      </c>
      <c r="BC4" s="206" t="s">
        <v>713</v>
      </c>
      <c r="BD4" s="263" t="s">
        <v>686</v>
      </c>
      <c r="BE4" s="266" t="s">
        <v>710</v>
      </c>
      <c r="BF4" s="263" t="s">
        <v>711</v>
      </c>
      <c r="BG4" s="263" t="s">
        <v>712</v>
      </c>
      <c r="BH4" s="206" t="s">
        <v>713</v>
      </c>
      <c r="BI4" s="263" t="s">
        <v>686</v>
      </c>
      <c r="BJ4" s="266" t="s">
        <v>710</v>
      </c>
      <c r="BK4" s="263" t="s">
        <v>711</v>
      </c>
      <c r="BL4" s="263" t="s">
        <v>712</v>
      </c>
      <c r="BM4" s="206" t="s">
        <v>713</v>
      </c>
      <c r="BN4" s="263" t="s">
        <v>686</v>
      </c>
    </row>
    <row r="5" spans="1:66" s="190" customFormat="1" ht="26.85" customHeight="1">
      <c r="A5" s="268"/>
      <c r="B5" s="265"/>
      <c r="C5" s="265"/>
      <c r="D5" s="265"/>
      <c r="E5" s="265"/>
      <c r="F5" s="265"/>
      <c r="G5" s="267"/>
      <c r="H5" s="265"/>
      <c r="I5" s="265"/>
      <c r="J5" s="207" t="str">
        <f>IF(G6="","",100)</f>
        <v/>
      </c>
      <c r="K5" s="264"/>
      <c r="L5" s="267"/>
      <c r="M5" s="265"/>
      <c r="N5" s="265"/>
      <c r="O5" s="207" t="str">
        <f>IF(L6="","",100)</f>
        <v/>
      </c>
      <c r="P5" s="264"/>
      <c r="Q5" s="267"/>
      <c r="R5" s="265"/>
      <c r="S5" s="265"/>
      <c r="T5" s="207" t="str">
        <f>IF(Q6="","",100)</f>
        <v/>
      </c>
      <c r="U5" s="264"/>
      <c r="V5" s="267"/>
      <c r="W5" s="265"/>
      <c r="X5" s="265"/>
      <c r="Y5" s="207" t="str">
        <f>IF(V6="","",100)</f>
        <v/>
      </c>
      <c r="Z5" s="264"/>
      <c r="AA5" s="267"/>
      <c r="AB5" s="265"/>
      <c r="AC5" s="265"/>
      <c r="AD5" s="207" t="str">
        <f>IF(AA6="","",100)</f>
        <v/>
      </c>
      <c r="AE5" s="264"/>
      <c r="AF5" s="267"/>
      <c r="AG5" s="265"/>
      <c r="AH5" s="265"/>
      <c r="AI5" s="207" t="str">
        <f>IF(AF6="","",100)</f>
        <v/>
      </c>
      <c r="AJ5" s="264"/>
      <c r="AK5" s="267"/>
      <c r="AL5" s="265"/>
      <c r="AM5" s="265"/>
      <c r="AN5" s="207" t="str">
        <f>IF(AK6="","",100)</f>
        <v/>
      </c>
      <c r="AO5" s="264"/>
      <c r="AP5" s="267"/>
      <c r="AQ5" s="265"/>
      <c r="AR5" s="265"/>
      <c r="AS5" s="207" t="str">
        <f>IF(AP6="","",100)</f>
        <v/>
      </c>
      <c r="AT5" s="264"/>
      <c r="AU5" s="267"/>
      <c r="AV5" s="265"/>
      <c r="AW5" s="265"/>
      <c r="AX5" s="207" t="str">
        <f>IF(AU6="","",100)</f>
        <v/>
      </c>
      <c r="AY5" s="264"/>
      <c r="AZ5" s="267"/>
      <c r="BA5" s="265"/>
      <c r="BB5" s="265"/>
      <c r="BC5" s="207" t="str">
        <f>IF(AZ6="","",100)</f>
        <v/>
      </c>
      <c r="BD5" s="264"/>
      <c r="BE5" s="267"/>
      <c r="BF5" s="265"/>
      <c r="BG5" s="265"/>
      <c r="BH5" s="207" t="str">
        <f>IF(BE6="","",100)</f>
        <v/>
      </c>
      <c r="BI5" s="264"/>
      <c r="BJ5" s="267"/>
      <c r="BK5" s="265"/>
      <c r="BL5" s="265"/>
      <c r="BM5" s="207" t="str">
        <f>IF(BJ6="","",100)</f>
        <v/>
      </c>
      <c r="BN5" s="264"/>
    </row>
    <row r="6" spans="1:66" s="11" customFormat="1" ht="20.85" customHeight="1">
      <c r="A6" s="195">
        <v>1</v>
      </c>
      <c r="B6" s="195" t="str">
        <f>IF('2.Students'' data'!E11="","",CONCATENATE('2.Students'' data'!E11,'2.Students'' data'!F11,'2.Students'' data'!G11,'2.Students'' data'!H11,'2.Students'' data'!I11,'2.Students'' data'!J11,'2.Students'' data'!K11,'2.Students'' data'!L11,'2.Students'' data'!M11,'2.Students'' data'!N11,'2.Students'' data'!O11,'2.Students'' data'!P11,'2.Students'' data'!Q11,))</f>
        <v/>
      </c>
      <c r="C6" s="195" t="str">
        <f>IF(IDstu1="","",IDstu1)</f>
        <v/>
      </c>
      <c r="D6" s="224" t="str">
        <f>CONCATENATE(TRIM(Name1),"  ",Surname1)</f>
        <v xml:space="preserve">  </v>
      </c>
      <c r="E6" s="197" t="str">
        <f t="shared" ref="E6:E50" si="0">IF(B6="","",CONCATENATE("Grade ",Class))</f>
        <v/>
      </c>
      <c r="F6" s="195" t="str">
        <f t="shared" ref="F6:F50" si="1">IF(B6="","",Advisor)</f>
        <v/>
      </c>
      <c r="G6" s="195" t="str">
        <f t="shared" ref="G6:G50" si="2">IF(codegen1="","",IF($B6="","",codegen1))</f>
        <v/>
      </c>
      <c r="H6" s="196" t="str">
        <f t="shared" ref="H6:H50" si="3">IF(SubGen1="","",IF($B6="","",SubGen1))</f>
        <v/>
      </c>
      <c r="I6" s="195" t="str">
        <f t="shared" ref="I6:I50" si="4">IF(CreditGen1="","",IF($B6="","",CreditGen1))</f>
        <v/>
      </c>
      <c r="J6" s="200"/>
      <c r="K6" s="197" t="str">
        <f>IF(J6="","",IF(J6="I","I",IF(J6="NQ","NQ",IF(J6&gt;=80,4,IF(J6&gt;=75,3.5,IF(J6&gt;=70,3,IF(J6&gt;=65,2.5,IF(J6&gt;=60,2,IF(J6&gt;=55,1.5,IF(J6&gt;=50,1,0))))))))))</f>
        <v/>
      </c>
      <c r="L6" s="195" t="str">
        <f t="shared" ref="L6:L50" si="5">IF(codegen2="","",IF($B6="","",codegen2))</f>
        <v/>
      </c>
      <c r="M6" s="196" t="str">
        <f t="shared" ref="M6:M50" si="6">IF(SubGen2="","",IF($B6="","",SubGen2))</f>
        <v/>
      </c>
      <c r="N6" s="195" t="str">
        <f t="shared" ref="N6:N50" si="7">IF(CreditGen2="","",IF($B6="","",CreditGen2))</f>
        <v/>
      </c>
      <c r="O6" s="231"/>
      <c r="P6" s="197" t="str">
        <f t="shared" ref="P6:P50" si="8">IF(O6="","",IF(O6="I","I",IF(O6="NQ","NQ",IF(O6&gt;=80,4,IF(O6&gt;=75,3.5,IF(O6&gt;=70,3,IF(O6&gt;=65,2.5,IF(O6&gt;=60,2,IF(O6&gt;=55,1.5,IF(O6&gt;=50,1,0))))))))))</f>
        <v/>
      </c>
      <c r="Q6" s="195" t="str">
        <f t="shared" ref="Q6:Q50" si="9">IF(codegen3="","",IF($B6="","",codegen3))</f>
        <v/>
      </c>
      <c r="R6" s="196" t="str">
        <f t="shared" ref="R6:R50" si="10">IF(SubGen3="","",IF($B6="","",SubGen3))</f>
        <v/>
      </c>
      <c r="S6" s="195" t="str">
        <f t="shared" ref="S6:S50" si="11">IF(CreditGen3="","",IF($B6="","",CreditGen3))</f>
        <v/>
      </c>
      <c r="T6" s="200"/>
      <c r="U6" s="197" t="str">
        <f t="shared" ref="U6:U50" si="12">IF(T6="","",IF(T6="I","I",IF(T6="NQ","NQ",IF(T6&gt;=80,4,IF(T6&gt;=75,3.5,IF(T6&gt;=70,3,IF(T6&gt;=65,2.5,IF(T6&gt;=60,2,IF(T6&gt;=55,1.5,IF(T6&gt;=50,1,0))))))))))</f>
        <v/>
      </c>
      <c r="V6" s="195" t="str">
        <f t="shared" ref="V6:V50" si="13">IF(codegen4="","",IF($B6="","",codegen4))</f>
        <v/>
      </c>
      <c r="W6" s="196" t="str">
        <f t="shared" ref="W6:W50" si="14">IF(SubGen4="","",IF($B6="","",SubGen4))</f>
        <v/>
      </c>
      <c r="X6" s="195" t="str">
        <f t="shared" ref="X6:X50" si="15">IF(CreditGen4="","",IF($B6="","",CreditGen4))</f>
        <v/>
      </c>
      <c r="Y6" s="200"/>
      <c r="Z6" s="197" t="str">
        <f t="shared" ref="Z6:Z50" si="16">IF(Y6="","",IF(Y6="I","I",IF(Y6="NQ","NQ",IF(Y6&gt;=80,4,IF(Y6&gt;=75,3.5,IF(Y6&gt;=70,3,IF(Y6&gt;=65,2.5,IF(Y6&gt;=60,2,IF(Y6&gt;=55,1.5,IF(Y6&gt;=50,1,0))))))))))</f>
        <v/>
      </c>
      <c r="AA6" s="195" t="str">
        <f t="shared" ref="AA6:AA50" si="17">IF(codegen5="","",IF($B6="","",codegen5))</f>
        <v/>
      </c>
      <c r="AB6" s="196" t="str">
        <f t="shared" ref="AB6:AB50" si="18">IF(SubGen5="","",IF($B6="","",SubGen5))</f>
        <v/>
      </c>
      <c r="AC6" s="195" t="str">
        <f t="shared" ref="AC6:AC50" si="19">IF(CreditGen5="","",IF($B6="","",CreditGen5))</f>
        <v/>
      </c>
      <c r="AD6" s="200"/>
      <c r="AE6" s="197" t="str">
        <f t="shared" ref="AE6:AE50" si="20">IF(AD6="","",IF(AD6="I","I",IF(AD6="NQ","NQ",IF(AD6&gt;=80,4,IF(AD6&gt;=75,3.5,IF(AD6&gt;=70,3,IF(AD6&gt;=65,2.5,IF(AD6&gt;=60,2,IF(AD6&gt;=55,1.5,IF(AD6&gt;=50,1,0))))))))))</f>
        <v/>
      </c>
      <c r="AF6" s="195" t="str">
        <f t="shared" ref="AF6:AF50" si="21">IF(codegen6="","",IF($B6="","",codegen6))</f>
        <v/>
      </c>
      <c r="AG6" s="196" t="str">
        <f t="shared" ref="AG6:AG50" si="22">IF(SubGen6="","",IF($B6="","",SubGen6))</f>
        <v/>
      </c>
      <c r="AH6" s="195" t="str">
        <f t="shared" ref="AH6:AH50" si="23">IF(CreditGen6="","",IF($B6="","",CreditGen6))</f>
        <v/>
      </c>
      <c r="AI6" s="200"/>
      <c r="AJ6" s="197" t="str">
        <f t="shared" ref="AJ6:AJ50" si="24">IF(AI6="","",IF(AI6="I","I",IF(AI6="NQ","NQ",IF(AI6&gt;=80,4,IF(AI6&gt;=75,3.5,IF(AI6&gt;=70,3,IF(AI6&gt;=65,2.5,IF(AI6&gt;=60,2,IF(AI6&gt;=55,1.5,IF(AI6&gt;=50,1,0))))))))))</f>
        <v/>
      </c>
      <c r="AK6" s="195" t="str">
        <f t="shared" ref="AK6:AK50" si="25">IF(codegen7="","",IF($B6="","",codegen7))</f>
        <v/>
      </c>
      <c r="AL6" s="196" t="str">
        <f t="shared" ref="AL6:AL50" si="26">IF(SubGen7="","",IF($B6="","",SubGen7))</f>
        <v/>
      </c>
      <c r="AM6" s="195" t="str">
        <f t="shared" ref="AM6:AM50" si="27">IF(CreditGen7="","",IF($B6="","",CreditGen7))</f>
        <v/>
      </c>
      <c r="AN6" s="231"/>
      <c r="AO6" s="197" t="str">
        <f t="shared" ref="AO6:AO50" si="28">IF(AN6="","",IF(AN6="I","I",IF(AN6="NQ","NQ",IF(AN6&gt;=80,4,IF(AN6&gt;=75,3.5,IF(AN6&gt;=70,3,IF(AN6&gt;=65,2.5,IF(AN6&gt;=60,2,IF(AN6&gt;=55,1.5,IF(AN6&gt;=50,1,0))))))))))</f>
        <v/>
      </c>
      <c r="AP6" s="195" t="str">
        <f t="shared" ref="AP6:AP50" si="29">IF(codegen8="","",IF($B6="","",codegen8))</f>
        <v/>
      </c>
      <c r="AQ6" s="196" t="str">
        <f t="shared" ref="AQ6:AQ50" si="30">IF(SubGen8="","",IF($B6="","",SubGen8))</f>
        <v/>
      </c>
      <c r="AR6" s="195" t="str">
        <f t="shared" ref="AR6:AR50" si="31">IF(CreditGen8="","",IF($B6="","",CreditGen8))</f>
        <v/>
      </c>
      <c r="AS6" s="231"/>
      <c r="AT6" s="197" t="str">
        <f t="shared" ref="AT6:AT50" si="32">IF(AS6="","",IF(AS6="I","I",IF(AS6="NQ","NQ",IF(AS6&gt;=80,4,IF(AS6&gt;=75,3.5,IF(AS6&gt;=70,3,IF(AS6&gt;=65,2.5,IF(AS6&gt;=60,2,IF(AS6&gt;=55,1.5,IF(AS6&gt;=50,1,0))))))))))</f>
        <v/>
      </c>
      <c r="AU6" s="195" t="str">
        <f t="shared" ref="AU6:AU50" si="33">IF(codegen9="","",IF($B6="","",codegen9))</f>
        <v/>
      </c>
      <c r="AV6" s="196" t="str">
        <f t="shared" ref="AV6:AV50" si="34">IF(SubGen9="","",IF($B6="","",SubGen9))</f>
        <v/>
      </c>
      <c r="AW6" s="195" t="str">
        <f t="shared" ref="AW6:AW50" si="35">IF(CreditGen9="","",IF($B6="","",CreditGen9))</f>
        <v/>
      </c>
      <c r="AX6" s="200"/>
      <c r="AY6" s="197" t="str">
        <f t="shared" ref="AY6:AY50" si="36">IF(AX6="","",IF(AX6="I","I",IF(AX6="NQ","NQ",IF(AX6&gt;=80,4,IF(AX6&gt;=75,3.5,IF(AX6&gt;=70,3,IF(AX6&gt;=65,2.5,IF(AX6&gt;=60,2,IF(AX6&gt;=55,1.5,IF(AX6&gt;=50,1,0))))))))))</f>
        <v/>
      </c>
      <c r="AZ6" s="195" t="str">
        <f t="shared" ref="AZ6:AZ50" si="37">IF(codegen10="","",IF($B6="","",codegen10))</f>
        <v/>
      </c>
      <c r="BA6" s="196" t="str">
        <f t="shared" ref="BA6:BA50" si="38">IF(SubGen10="","",IF($B6="","",SubGen10))</f>
        <v/>
      </c>
      <c r="BB6" s="195" t="str">
        <f t="shared" ref="BB6:BB50" si="39">IF(CreditGen10="","",IF($B6="","",CreditGen10))</f>
        <v/>
      </c>
      <c r="BC6" s="200"/>
      <c r="BD6" s="197" t="str">
        <f t="shared" ref="BD6:BD50" si="40">IF(BC6="","",IF(BC6="I","I",IF(BC6="NQ","NQ",IF(BC6&gt;=80,4,IF(BC6&gt;=75,3.5,IF(BC6&gt;=70,3,IF(BC6&gt;=65,2.5,IF(BC6&gt;=60,2,IF(BC6&gt;=55,1.5,IF(BC6&gt;=50,1,0))))))))))</f>
        <v/>
      </c>
      <c r="BE6" s="195" t="str">
        <f t="shared" ref="BE6:BE50" si="41">IF(codegen11="","",IF($B6="","",codegen11))</f>
        <v/>
      </c>
      <c r="BF6" s="196" t="str">
        <f t="shared" ref="BF6:BF50" si="42">IF(SubGen11="","",IF($B6="","",SubGen11))</f>
        <v/>
      </c>
      <c r="BG6" s="195" t="str">
        <f t="shared" ref="BG6:BG50" si="43">IF(CreditGen11="","",IF($B6="","",CreditGen11))</f>
        <v/>
      </c>
      <c r="BH6" s="200"/>
      <c r="BI6" s="197" t="str">
        <f t="shared" ref="BI6:BI50" si="44">IF(BH6="","",IF(BH6="I","I",IF(BH6="NQ","NQ",IF(BH6&gt;=80,4,IF(BH6&gt;=75,3.5,IF(BH6&gt;=70,3,IF(BH6&gt;=65,2.5,IF(BH6&gt;=60,2,IF(BH6&gt;=55,1.5,IF(BH6&gt;=50,1,0))))))))))</f>
        <v/>
      </c>
      <c r="BJ6" s="195" t="str">
        <f t="shared" ref="BJ6:BJ50" si="45">IF(codegen12="","",IF($B6="","",codegen12))</f>
        <v/>
      </c>
      <c r="BK6" s="196" t="str">
        <f t="shared" ref="BK6:BK50" si="46">IF(SubGen12="","",IF($B6="","",SubGen12))</f>
        <v/>
      </c>
      <c r="BL6" s="195" t="str">
        <f t="shared" ref="BL6:BL50" si="47">IF(CreditGen12="","",IF($B6="","",CreditGen12))</f>
        <v/>
      </c>
      <c r="BM6" s="200"/>
      <c r="BN6" s="197" t="str">
        <f t="shared" ref="BN6:BN50" si="48">IF(BM6="","",IF(BM6="I","I",IF(BM6="NQ","NQ",IF(BM6&gt;=80,4,IF(BM6&gt;=75,3.5,IF(BM6&gt;=70,3,IF(BM6&gt;=65,2.5,IF(BM6&gt;=60,2,IF(BM6&gt;=55,1.5,IF(BM6&gt;=50,1,0))))))))))</f>
        <v/>
      </c>
    </row>
    <row r="7" spans="1:66" s="11" customFormat="1" ht="21">
      <c r="A7" s="195">
        <v>2</v>
      </c>
      <c r="B7" s="195" t="str">
        <f>IF('2.Students'' data'!E12="","",CONCATENATE('2.Students'' data'!E12,'2.Students'' data'!F12,'2.Students'' data'!G12,'2.Students'' data'!H12,'2.Students'' data'!I12,'2.Students'' data'!J12,'2.Students'' data'!K12,'2.Students'' data'!L12,'2.Students'' data'!M12,'2.Students'' data'!N12,'2.Students'' data'!O12,'2.Students'' data'!P12,'2.Students'' data'!Q12,))</f>
        <v/>
      </c>
      <c r="C7" s="195" t="str">
        <f>IF(IDstu2="","",IDstu2)</f>
        <v/>
      </c>
      <c r="D7" s="224" t="str">
        <f>CONCATENATE(TRIM(Name2),"  ",Surname2)</f>
        <v xml:space="preserve">  </v>
      </c>
      <c r="E7" s="197" t="str">
        <f t="shared" si="0"/>
        <v/>
      </c>
      <c r="F7" s="195" t="str">
        <f t="shared" si="1"/>
        <v/>
      </c>
      <c r="G7" s="195" t="str">
        <f t="shared" si="2"/>
        <v/>
      </c>
      <c r="H7" s="196" t="str">
        <f t="shared" si="3"/>
        <v/>
      </c>
      <c r="I7" s="195" t="str">
        <f t="shared" si="4"/>
        <v/>
      </c>
      <c r="J7" s="200"/>
      <c r="K7" s="197" t="str">
        <f t="shared" ref="K7:K50" si="49">IF(J7="","",IF(J7="I","I",IF(J7="NQ","NQ",IF(J7&gt;=80,4,IF(J7&gt;=75,3.5,IF(J7&gt;=70,3,IF(J7&gt;=65,2.5,IF(J7&gt;=60,2,IF(J7&gt;=55,1.5,IF(J7&gt;=50,1,0))))))))))</f>
        <v/>
      </c>
      <c r="L7" s="195" t="str">
        <f t="shared" si="5"/>
        <v/>
      </c>
      <c r="M7" s="196" t="str">
        <f t="shared" si="6"/>
        <v/>
      </c>
      <c r="N7" s="195" t="str">
        <f t="shared" si="7"/>
        <v/>
      </c>
      <c r="O7" s="231"/>
      <c r="P7" s="197" t="str">
        <f t="shared" si="8"/>
        <v/>
      </c>
      <c r="Q7" s="195" t="str">
        <f t="shared" si="9"/>
        <v/>
      </c>
      <c r="R7" s="196" t="str">
        <f t="shared" si="10"/>
        <v/>
      </c>
      <c r="S7" s="195" t="str">
        <f t="shared" si="11"/>
        <v/>
      </c>
      <c r="T7" s="200"/>
      <c r="U7" s="197" t="str">
        <f t="shared" si="12"/>
        <v/>
      </c>
      <c r="V7" s="195" t="str">
        <f t="shared" si="13"/>
        <v/>
      </c>
      <c r="W7" s="196" t="str">
        <f t="shared" si="14"/>
        <v/>
      </c>
      <c r="X7" s="195" t="str">
        <f t="shared" si="15"/>
        <v/>
      </c>
      <c r="Y7" s="200"/>
      <c r="Z7" s="197" t="str">
        <f t="shared" si="16"/>
        <v/>
      </c>
      <c r="AA7" s="195" t="str">
        <f t="shared" si="17"/>
        <v/>
      </c>
      <c r="AB7" s="196" t="str">
        <f t="shared" si="18"/>
        <v/>
      </c>
      <c r="AC7" s="195" t="str">
        <f t="shared" si="19"/>
        <v/>
      </c>
      <c r="AD7" s="200"/>
      <c r="AE7" s="197" t="str">
        <f t="shared" si="20"/>
        <v/>
      </c>
      <c r="AF7" s="195" t="str">
        <f t="shared" si="21"/>
        <v/>
      </c>
      <c r="AG7" s="196" t="str">
        <f t="shared" si="22"/>
        <v/>
      </c>
      <c r="AH7" s="195" t="str">
        <f t="shared" si="23"/>
        <v/>
      </c>
      <c r="AI7" s="200"/>
      <c r="AJ7" s="197" t="str">
        <f t="shared" si="24"/>
        <v/>
      </c>
      <c r="AK7" s="195" t="str">
        <f t="shared" si="25"/>
        <v/>
      </c>
      <c r="AL7" s="196" t="str">
        <f t="shared" si="26"/>
        <v/>
      </c>
      <c r="AM7" s="195" t="str">
        <f t="shared" si="27"/>
        <v/>
      </c>
      <c r="AN7" s="231"/>
      <c r="AO7" s="197" t="str">
        <f t="shared" si="28"/>
        <v/>
      </c>
      <c r="AP7" s="195" t="str">
        <f t="shared" si="29"/>
        <v/>
      </c>
      <c r="AQ7" s="196" t="str">
        <f t="shared" si="30"/>
        <v/>
      </c>
      <c r="AR7" s="195" t="str">
        <f t="shared" si="31"/>
        <v/>
      </c>
      <c r="AS7" s="231"/>
      <c r="AT7" s="197" t="str">
        <f t="shared" si="32"/>
        <v/>
      </c>
      <c r="AU7" s="195" t="str">
        <f t="shared" si="33"/>
        <v/>
      </c>
      <c r="AV7" s="196" t="str">
        <f t="shared" si="34"/>
        <v/>
      </c>
      <c r="AW7" s="195" t="str">
        <f t="shared" si="35"/>
        <v/>
      </c>
      <c r="AX7" s="200"/>
      <c r="AY7" s="197" t="str">
        <f t="shared" si="36"/>
        <v/>
      </c>
      <c r="AZ7" s="195" t="str">
        <f t="shared" si="37"/>
        <v/>
      </c>
      <c r="BA7" s="196" t="str">
        <f t="shared" si="38"/>
        <v/>
      </c>
      <c r="BB7" s="195" t="str">
        <f t="shared" si="39"/>
        <v/>
      </c>
      <c r="BC7" s="200"/>
      <c r="BD7" s="197" t="str">
        <f t="shared" si="40"/>
        <v/>
      </c>
      <c r="BE7" s="195" t="str">
        <f t="shared" si="41"/>
        <v/>
      </c>
      <c r="BF7" s="196" t="str">
        <f t="shared" si="42"/>
        <v/>
      </c>
      <c r="BG7" s="195" t="str">
        <f t="shared" si="43"/>
        <v/>
      </c>
      <c r="BH7" s="200"/>
      <c r="BI7" s="197" t="str">
        <f t="shared" si="44"/>
        <v/>
      </c>
      <c r="BJ7" s="195" t="str">
        <f t="shared" si="45"/>
        <v/>
      </c>
      <c r="BK7" s="196" t="str">
        <f t="shared" si="46"/>
        <v/>
      </c>
      <c r="BL7" s="195" t="str">
        <f t="shared" si="47"/>
        <v/>
      </c>
      <c r="BM7" s="200"/>
      <c r="BN7" s="197" t="str">
        <f t="shared" si="48"/>
        <v/>
      </c>
    </row>
    <row r="8" spans="1:66" s="11" customFormat="1" ht="21">
      <c r="A8" s="195">
        <v>3</v>
      </c>
      <c r="B8" s="195" t="str">
        <f>IF('2.Students'' data'!E13="","",CONCATENATE('2.Students'' data'!E13,'2.Students'' data'!F13,'2.Students'' data'!G13,'2.Students'' data'!H13,'2.Students'' data'!I13,'2.Students'' data'!J13,'2.Students'' data'!K13,'2.Students'' data'!L13,'2.Students'' data'!M13,'2.Students'' data'!N13,'2.Students'' data'!O13,'2.Students'' data'!P13,'2.Students'' data'!Q13,))</f>
        <v/>
      </c>
      <c r="C8" s="195" t="str">
        <f>IF(IDstu3="","",IDstu3)</f>
        <v/>
      </c>
      <c r="D8" s="224" t="str">
        <f>CONCATENATE(TRIM(Name3),"  ",Surname3)</f>
        <v xml:space="preserve">  </v>
      </c>
      <c r="E8" s="197" t="str">
        <f t="shared" si="0"/>
        <v/>
      </c>
      <c r="F8" s="195" t="str">
        <f t="shared" si="1"/>
        <v/>
      </c>
      <c r="G8" s="195" t="str">
        <f t="shared" si="2"/>
        <v/>
      </c>
      <c r="H8" s="196" t="str">
        <f t="shared" si="3"/>
        <v/>
      </c>
      <c r="I8" s="195" t="str">
        <f t="shared" si="4"/>
        <v/>
      </c>
      <c r="J8" s="200"/>
      <c r="K8" s="197" t="str">
        <f t="shared" si="49"/>
        <v/>
      </c>
      <c r="L8" s="195" t="str">
        <f t="shared" si="5"/>
        <v/>
      </c>
      <c r="M8" s="196" t="str">
        <f t="shared" si="6"/>
        <v/>
      </c>
      <c r="N8" s="195" t="str">
        <f t="shared" si="7"/>
        <v/>
      </c>
      <c r="O8" s="231"/>
      <c r="P8" s="197" t="str">
        <f t="shared" si="8"/>
        <v/>
      </c>
      <c r="Q8" s="195" t="str">
        <f t="shared" si="9"/>
        <v/>
      </c>
      <c r="R8" s="196" t="str">
        <f t="shared" si="10"/>
        <v/>
      </c>
      <c r="S8" s="195" t="str">
        <f t="shared" si="11"/>
        <v/>
      </c>
      <c r="T8" s="200"/>
      <c r="U8" s="197" t="str">
        <f t="shared" si="12"/>
        <v/>
      </c>
      <c r="V8" s="195" t="str">
        <f t="shared" si="13"/>
        <v/>
      </c>
      <c r="W8" s="196" t="str">
        <f t="shared" si="14"/>
        <v/>
      </c>
      <c r="X8" s="195" t="str">
        <f t="shared" si="15"/>
        <v/>
      </c>
      <c r="Y8" s="200"/>
      <c r="Z8" s="197" t="str">
        <f t="shared" si="16"/>
        <v/>
      </c>
      <c r="AA8" s="195" t="str">
        <f t="shared" si="17"/>
        <v/>
      </c>
      <c r="AB8" s="196" t="str">
        <f t="shared" si="18"/>
        <v/>
      </c>
      <c r="AC8" s="195" t="str">
        <f t="shared" si="19"/>
        <v/>
      </c>
      <c r="AD8" s="200"/>
      <c r="AE8" s="197" t="str">
        <f t="shared" si="20"/>
        <v/>
      </c>
      <c r="AF8" s="195" t="str">
        <f t="shared" si="21"/>
        <v/>
      </c>
      <c r="AG8" s="196" t="str">
        <f t="shared" si="22"/>
        <v/>
      </c>
      <c r="AH8" s="195" t="str">
        <f t="shared" si="23"/>
        <v/>
      </c>
      <c r="AI8" s="200"/>
      <c r="AJ8" s="197" t="str">
        <f t="shared" si="24"/>
        <v/>
      </c>
      <c r="AK8" s="195" t="str">
        <f t="shared" si="25"/>
        <v/>
      </c>
      <c r="AL8" s="196" t="str">
        <f t="shared" si="26"/>
        <v/>
      </c>
      <c r="AM8" s="195" t="str">
        <f t="shared" si="27"/>
        <v/>
      </c>
      <c r="AN8" s="231"/>
      <c r="AO8" s="197" t="str">
        <f t="shared" si="28"/>
        <v/>
      </c>
      <c r="AP8" s="195" t="str">
        <f t="shared" si="29"/>
        <v/>
      </c>
      <c r="AQ8" s="196" t="str">
        <f t="shared" si="30"/>
        <v/>
      </c>
      <c r="AR8" s="195" t="str">
        <f t="shared" si="31"/>
        <v/>
      </c>
      <c r="AS8" s="231"/>
      <c r="AT8" s="197" t="str">
        <f t="shared" si="32"/>
        <v/>
      </c>
      <c r="AU8" s="195" t="str">
        <f t="shared" si="33"/>
        <v/>
      </c>
      <c r="AV8" s="196" t="str">
        <f t="shared" si="34"/>
        <v/>
      </c>
      <c r="AW8" s="195" t="str">
        <f t="shared" si="35"/>
        <v/>
      </c>
      <c r="AX8" s="200"/>
      <c r="AY8" s="197" t="str">
        <f t="shared" si="36"/>
        <v/>
      </c>
      <c r="AZ8" s="195" t="str">
        <f t="shared" si="37"/>
        <v/>
      </c>
      <c r="BA8" s="196" t="str">
        <f t="shared" si="38"/>
        <v/>
      </c>
      <c r="BB8" s="195" t="str">
        <f t="shared" si="39"/>
        <v/>
      </c>
      <c r="BC8" s="200"/>
      <c r="BD8" s="197" t="str">
        <f t="shared" si="40"/>
        <v/>
      </c>
      <c r="BE8" s="195" t="str">
        <f t="shared" si="41"/>
        <v/>
      </c>
      <c r="BF8" s="196" t="str">
        <f t="shared" si="42"/>
        <v/>
      </c>
      <c r="BG8" s="195" t="str">
        <f t="shared" si="43"/>
        <v/>
      </c>
      <c r="BH8" s="200"/>
      <c r="BI8" s="197" t="str">
        <f t="shared" si="44"/>
        <v/>
      </c>
      <c r="BJ8" s="195" t="str">
        <f t="shared" si="45"/>
        <v/>
      </c>
      <c r="BK8" s="196" t="str">
        <f t="shared" si="46"/>
        <v/>
      </c>
      <c r="BL8" s="195" t="str">
        <f t="shared" si="47"/>
        <v/>
      </c>
      <c r="BM8" s="200"/>
      <c r="BN8" s="197" t="str">
        <f t="shared" si="48"/>
        <v/>
      </c>
    </row>
    <row r="9" spans="1:66" s="11" customFormat="1" ht="21">
      <c r="A9" s="195">
        <v>4</v>
      </c>
      <c r="B9" s="195" t="str">
        <f>IF('2.Students'' data'!E14="","",CONCATENATE('2.Students'' data'!E14,'2.Students'' data'!F14,'2.Students'' data'!G14,'2.Students'' data'!H14,'2.Students'' data'!I14,'2.Students'' data'!J14,'2.Students'' data'!K14,'2.Students'' data'!L14,'2.Students'' data'!M14,'2.Students'' data'!N14,'2.Students'' data'!O14,'2.Students'' data'!P14,'2.Students'' data'!Q14,))</f>
        <v/>
      </c>
      <c r="C9" s="195" t="str">
        <f>IF(IDstu4="","",IDstu4)</f>
        <v/>
      </c>
      <c r="D9" s="224" t="str">
        <f>CONCATENATE(TRIM(Name4),"  ",Surname4)</f>
        <v xml:space="preserve">  </v>
      </c>
      <c r="E9" s="197" t="str">
        <f t="shared" si="0"/>
        <v/>
      </c>
      <c r="F9" s="195" t="str">
        <f t="shared" si="1"/>
        <v/>
      </c>
      <c r="G9" s="195" t="str">
        <f t="shared" si="2"/>
        <v/>
      </c>
      <c r="H9" s="196" t="str">
        <f t="shared" si="3"/>
        <v/>
      </c>
      <c r="I9" s="195" t="str">
        <f t="shared" si="4"/>
        <v/>
      </c>
      <c r="J9" s="200"/>
      <c r="K9" s="197" t="str">
        <f t="shared" si="49"/>
        <v/>
      </c>
      <c r="L9" s="195" t="str">
        <f t="shared" si="5"/>
        <v/>
      </c>
      <c r="M9" s="196" t="str">
        <f t="shared" si="6"/>
        <v/>
      </c>
      <c r="N9" s="195" t="str">
        <f t="shared" si="7"/>
        <v/>
      </c>
      <c r="O9" s="231"/>
      <c r="P9" s="197" t="str">
        <f t="shared" si="8"/>
        <v/>
      </c>
      <c r="Q9" s="195" t="str">
        <f t="shared" si="9"/>
        <v/>
      </c>
      <c r="R9" s="196" t="str">
        <f t="shared" si="10"/>
        <v/>
      </c>
      <c r="S9" s="195" t="str">
        <f t="shared" si="11"/>
        <v/>
      </c>
      <c r="T9" s="200"/>
      <c r="U9" s="197" t="str">
        <f t="shared" si="12"/>
        <v/>
      </c>
      <c r="V9" s="195" t="str">
        <f t="shared" si="13"/>
        <v/>
      </c>
      <c r="W9" s="196" t="str">
        <f t="shared" si="14"/>
        <v/>
      </c>
      <c r="X9" s="195" t="str">
        <f t="shared" si="15"/>
        <v/>
      </c>
      <c r="Y9" s="200"/>
      <c r="Z9" s="197" t="str">
        <f t="shared" si="16"/>
        <v/>
      </c>
      <c r="AA9" s="195" t="str">
        <f t="shared" si="17"/>
        <v/>
      </c>
      <c r="AB9" s="196" t="str">
        <f t="shared" si="18"/>
        <v/>
      </c>
      <c r="AC9" s="195" t="str">
        <f t="shared" si="19"/>
        <v/>
      </c>
      <c r="AD9" s="200"/>
      <c r="AE9" s="197" t="str">
        <f t="shared" si="20"/>
        <v/>
      </c>
      <c r="AF9" s="195" t="str">
        <f t="shared" si="21"/>
        <v/>
      </c>
      <c r="AG9" s="196" t="str">
        <f t="shared" si="22"/>
        <v/>
      </c>
      <c r="AH9" s="195" t="str">
        <f t="shared" si="23"/>
        <v/>
      </c>
      <c r="AI9" s="200"/>
      <c r="AJ9" s="197" t="str">
        <f t="shared" si="24"/>
        <v/>
      </c>
      <c r="AK9" s="195" t="str">
        <f t="shared" si="25"/>
        <v/>
      </c>
      <c r="AL9" s="196" t="str">
        <f t="shared" si="26"/>
        <v/>
      </c>
      <c r="AM9" s="195" t="str">
        <f t="shared" si="27"/>
        <v/>
      </c>
      <c r="AN9" s="231"/>
      <c r="AO9" s="197" t="str">
        <f t="shared" si="28"/>
        <v/>
      </c>
      <c r="AP9" s="195" t="str">
        <f t="shared" si="29"/>
        <v/>
      </c>
      <c r="AQ9" s="196" t="str">
        <f t="shared" si="30"/>
        <v/>
      </c>
      <c r="AR9" s="195" t="str">
        <f t="shared" si="31"/>
        <v/>
      </c>
      <c r="AS9" s="231"/>
      <c r="AT9" s="197" t="str">
        <f t="shared" si="32"/>
        <v/>
      </c>
      <c r="AU9" s="195" t="str">
        <f t="shared" si="33"/>
        <v/>
      </c>
      <c r="AV9" s="196" t="str">
        <f t="shared" si="34"/>
        <v/>
      </c>
      <c r="AW9" s="195" t="str">
        <f t="shared" si="35"/>
        <v/>
      </c>
      <c r="AX9" s="200"/>
      <c r="AY9" s="197" t="str">
        <f t="shared" si="36"/>
        <v/>
      </c>
      <c r="AZ9" s="195" t="str">
        <f t="shared" si="37"/>
        <v/>
      </c>
      <c r="BA9" s="196" t="str">
        <f t="shared" si="38"/>
        <v/>
      </c>
      <c r="BB9" s="195" t="str">
        <f t="shared" si="39"/>
        <v/>
      </c>
      <c r="BC9" s="200"/>
      <c r="BD9" s="197" t="str">
        <f t="shared" si="40"/>
        <v/>
      </c>
      <c r="BE9" s="195" t="str">
        <f t="shared" si="41"/>
        <v/>
      </c>
      <c r="BF9" s="196" t="str">
        <f t="shared" si="42"/>
        <v/>
      </c>
      <c r="BG9" s="195" t="str">
        <f t="shared" si="43"/>
        <v/>
      </c>
      <c r="BH9" s="200"/>
      <c r="BI9" s="197" t="str">
        <f t="shared" si="44"/>
        <v/>
      </c>
      <c r="BJ9" s="195" t="str">
        <f t="shared" si="45"/>
        <v/>
      </c>
      <c r="BK9" s="196" t="str">
        <f t="shared" si="46"/>
        <v/>
      </c>
      <c r="BL9" s="195" t="str">
        <f t="shared" si="47"/>
        <v/>
      </c>
      <c r="BM9" s="200"/>
      <c r="BN9" s="197" t="str">
        <f t="shared" si="48"/>
        <v/>
      </c>
    </row>
    <row r="10" spans="1:66" s="11" customFormat="1" ht="21">
      <c r="A10" s="195">
        <v>5</v>
      </c>
      <c r="B10" s="195" t="str">
        <f>IF('2.Students'' data'!E15="","",CONCATENATE('2.Students'' data'!E15,'2.Students'' data'!F15,'2.Students'' data'!G15,'2.Students'' data'!H15,'2.Students'' data'!I15,'2.Students'' data'!J15,'2.Students'' data'!K15,'2.Students'' data'!L15,'2.Students'' data'!M15,'2.Students'' data'!N15,'2.Students'' data'!O15,'2.Students'' data'!P15,'2.Students'' data'!Q15,))</f>
        <v/>
      </c>
      <c r="C10" s="195" t="str">
        <f>IF(IDstu5="","",IDstu5)</f>
        <v/>
      </c>
      <c r="D10" s="224" t="str">
        <f>CONCATENATE(TRIM(Name5),"  ",Surname5)</f>
        <v xml:space="preserve">  </v>
      </c>
      <c r="E10" s="197" t="str">
        <f t="shared" si="0"/>
        <v/>
      </c>
      <c r="F10" s="195" t="str">
        <f t="shared" si="1"/>
        <v/>
      </c>
      <c r="G10" s="195" t="str">
        <f t="shared" si="2"/>
        <v/>
      </c>
      <c r="H10" s="196" t="str">
        <f t="shared" si="3"/>
        <v/>
      </c>
      <c r="I10" s="195" t="str">
        <f t="shared" si="4"/>
        <v/>
      </c>
      <c r="J10" s="200"/>
      <c r="K10" s="197" t="str">
        <f t="shared" si="49"/>
        <v/>
      </c>
      <c r="L10" s="195" t="str">
        <f t="shared" si="5"/>
        <v/>
      </c>
      <c r="M10" s="196" t="str">
        <f t="shared" si="6"/>
        <v/>
      </c>
      <c r="N10" s="195" t="str">
        <f t="shared" si="7"/>
        <v/>
      </c>
      <c r="O10" s="231"/>
      <c r="P10" s="197" t="str">
        <f t="shared" si="8"/>
        <v/>
      </c>
      <c r="Q10" s="195" t="str">
        <f t="shared" si="9"/>
        <v/>
      </c>
      <c r="R10" s="196" t="str">
        <f t="shared" si="10"/>
        <v/>
      </c>
      <c r="S10" s="195" t="str">
        <f t="shared" si="11"/>
        <v/>
      </c>
      <c r="T10" s="200"/>
      <c r="U10" s="197" t="str">
        <f t="shared" si="12"/>
        <v/>
      </c>
      <c r="V10" s="195" t="str">
        <f t="shared" si="13"/>
        <v/>
      </c>
      <c r="W10" s="196" t="str">
        <f t="shared" si="14"/>
        <v/>
      </c>
      <c r="X10" s="195" t="str">
        <f t="shared" si="15"/>
        <v/>
      </c>
      <c r="Y10" s="200"/>
      <c r="Z10" s="197" t="str">
        <f t="shared" si="16"/>
        <v/>
      </c>
      <c r="AA10" s="195" t="str">
        <f t="shared" si="17"/>
        <v/>
      </c>
      <c r="AB10" s="196" t="str">
        <f t="shared" si="18"/>
        <v/>
      </c>
      <c r="AC10" s="195" t="str">
        <f t="shared" si="19"/>
        <v/>
      </c>
      <c r="AD10" s="200"/>
      <c r="AE10" s="197" t="str">
        <f t="shared" si="20"/>
        <v/>
      </c>
      <c r="AF10" s="195" t="str">
        <f t="shared" si="21"/>
        <v/>
      </c>
      <c r="AG10" s="196" t="str">
        <f t="shared" si="22"/>
        <v/>
      </c>
      <c r="AH10" s="195" t="str">
        <f t="shared" si="23"/>
        <v/>
      </c>
      <c r="AI10" s="200"/>
      <c r="AJ10" s="197" t="str">
        <f t="shared" si="24"/>
        <v/>
      </c>
      <c r="AK10" s="195" t="str">
        <f t="shared" si="25"/>
        <v/>
      </c>
      <c r="AL10" s="196" t="str">
        <f t="shared" si="26"/>
        <v/>
      </c>
      <c r="AM10" s="195" t="str">
        <f t="shared" si="27"/>
        <v/>
      </c>
      <c r="AN10" s="231"/>
      <c r="AO10" s="197" t="str">
        <f t="shared" si="28"/>
        <v/>
      </c>
      <c r="AP10" s="195" t="str">
        <f t="shared" si="29"/>
        <v/>
      </c>
      <c r="AQ10" s="196" t="str">
        <f t="shared" si="30"/>
        <v/>
      </c>
      <c r="AR10" s="195" t="str">
        <f t="shared" si="31"/>
        <v/>
      </c>
      <c r="AS10" s="231"/>
      <c r="AT10" s="197" t="str">
        <f t="shared" si="32"/>
        <v/>
      </c>
      <c r="AU10" s="195" t="str">
        <f t="shared" si="33"/>
        <v/>
      </c>
      <c r="AV10" s="196" t="str">
        <f t="shared" si="34"/>
        <v/>
      </c>
      <c r="AW10" s="195" t="str">
        <f t="shared" si="35"/>
        <v/>
      </c>
      <c r="AX10" s="200"/>
      <c r="AY10" s="197" t="str">
        <f t="shared" si="36"/>
        <v/>
      </c>
      <c r="AZ10" s="195" t="str">
        <f t="shared" si="37"/>
        <v/>
      </c>
      <c r="BA10" s="196" t="str">
        <f t="shared" si="38"/>
        <v/>
      </c>
      <c r="BB10" s="195" t="str">
        <f t="shared" si="39"/>
        <v/>
      </c>
      <c r="BC10" s="200"/>
      <c r="BD10" s="197" t="str">
        <f t="shared" si="40"/>
        <v/>
      </c>
      <c r="BE10" s="195" t="str">
        <f t="shared" si="41"/>
        <v/>
      </c>
      <c r="BF10" s="196" t="str">
        <f t="shared" si="42"/>
        <v/>
      </c>
      <c r="BG10" s="195" t="str">
        <f t="shared" si="43"/>
        <v/>
      </c>
      <c r="BH10" s="200"/>
      <c r="BI10" s="197" t="str">
        <f t="shared" si="44"/>
        <v/>
      </c>
      <c r="BJ10" s="195" t="str">
        <f t="shared" si="45"/>
        <v/>
      </c>
      <c r="BK10" s="196" t="str">
        <f t="shared" si="46"/>
        <v/>
      </c>
      <c r="BL10" s="195" t="str">
        <f t="shared" si="47"/>
        <v/>
      </c>
      <c r="BM10" s="200"/>
      <c r="BN10" s="197" t="str">
        <f t="shared" si="48"/>
        <v/>
      </c>
    </row>
    <row r="11" spans="1:66" s="11" customFormat="1" ht="21">
      <c r="A11" s="195">
        <v>6</v>
      </c>
      <c r="B11" s="195" t="str">
        <f>IF('2.Students'' data'!E16="","",CONCATENATE('2.Students'' data'!E16,'2.Students'' data'!F16,'2.Students'' data'!G16,'2.Students'' data'!H16,'2.Students'' data'!I16,'2.Students'' data'!J16,'2.Students'' data'!K16,'2.Students'' data'!L16,'2.Students'' data'!M16,'2.Students'' data'!N16,'2.Students'' data'!O16,'2.Students'' data'!P16,'2.Students'' data'!Q16,))</f>
        <v/>
      </c>
      <c r="C11" s="195" t="str">
        <f>IF(IDstu6="","",IDstu6)</f>
        <v/>
      </c>
      <c r="D11" s="224" t="str">
        <f>CONCATENATE(TRIM(Name6),"  ",Surname6)</f>
        <v xml:space="preserve">  </v>
      </c>
      <c r="E11" s="197" t="str">
        <f t="shared" si="0"/>
        <v/>
      </c>
      <c r="F11" s="195" t="str">
        <f t="shared" si="1"/>
        <v/>
      </c>
      <c r="G11" s="195" t="str">
        <f t="shared" si="2"/>
        <v/>
      </c>
      <c r="H11" s="196" t="str">
        <f t="shared" si="3"/>
        <v/>
      </c>
      <c r="I11" s="195" t="str">
        <f t="shared" si="4"/>
        <v/>
      </c>
      <c r="J11" s="200"/>
      <c r="K11" s="197" t="str">
        <f t="shared" si="49"/>
        <v/>
      </c>
      <c r="L11" s="195" t="str">
        <f t="shared" si="5"/>
        <v/>
      </c>
      <c r="M11" s="196" t="str">
        <f t="shared" si="6"/>
        <v/>
      </c>
      <c r="N11" s="195" t="str">
        <f t="shared" si="7"/>
        <v/>
      </c>
      <c r="O11" s="231"/>
      <c r="P11" s="197" t="str">
        <f t="shared" si="8"/>
        <v/>
      </c>
      <c r="Q11" s="195" t="str">
        <f t="shared" si="9"/>
        <v/>
      </c>
      <c r="R11" s="196" t="str">
        <f t="shared" si="10"/>
        <v/>
      </c>
      <c r="S11" s="195" t="str">
        <f t="shared" si="11"/>
        <v/>
      </c>
      <c r="T11" s="200"/>
      <c r="U11" s="197" t="str">
        <f t="shared" si="12"/>
        <v/>
      </c>
      <c r="V11" s="195" t="str">
        <f t="shared" si="13"/>
        <v/>
      </c>
      <c r="W11" s="196" t="str">
        <f t="shared" si="14"/>
        <v/>
      </c>
      <c r="X11" s="195" t="str">
        <f t="shared" si="15"/>
        <v/>
      </c>
      <c r="Y11" s="200"/>
      <c r="Z11" s="197" t="str">
        <f t="shared" si="16"/>
        <v/>
      </c>
      <c r="AA11" s="195" t="str">
        <f t="shared" si="17"/>
        <v/>
      </c>
      <c r="AB11" s="196" t="str">
        <f t="shared" si="18"/>
        <v/>
      </c>
      <c r="AC11" s="195" t="str">
        <f t="shared" si="19"/>
        <v/>
      </c>
      <c r="AD11" s="200"/>
      <c r="AE11" s="197" t="str">
        <f t="shared" si="20"/>
        <v/>
      </c>
      <c r="AF11" s="195" t="str">
        <f t="shared" si="21"/>
        <v/>
      </c>
      <c r="AG11" s="196" t="str">
        <f t="shared" si="22"/>
        <v/>
      </c>
      <c r="AH11" s="195" t="str">
        <f t="shared" si="23"/>
        <v/>
      </c>
      <c r="AI11" s="200"/>
      <c r="AJ11" s="197" t="str">
        <f t="shared" si="24"/>
        <v/>
      </c>
      <c r="AK11" s="195" t="str">
        <f t="shared" si="25"/>
        <v/>
      </c>
      <c r="AL11" s="196" t="str">
        <f t="shared" si="26"/>
        <v/>
      </c>
      <c r="AM11" s="195" t="str">
        <f t="shared" si="27"/>
        <v/>
      </c>
      <c r="AN11" s="231"/>
      <c r="AO11" s="197" t="str">
        <f t="shared" si="28"/>
        <v/>
      </c>
      <c r="AP11" s="195" t="str">
        <f t="shared" si="29"/>
        <v/>
      </c>
      <c r="AQ11" s="196" t="str">
        <f t="shared" si="30"/>
        <v/>
      </c>
      <c r="AR11" s="195" t="str">
        <f t="shared" si="31"/>
        <v/>
      </c>
      <c r="AS11" s="231"/>
      <c r="AT11" s="197" t="str">
        <f t="shared" si="32"/>
        <v/>
      </c>
      <c r="AU11" s="195" t="str">
        <f t="shared" si="33"/>
        <v/>
      </c>
      <c r="AV11" s="196" t="str">
        <f t="shared" si="34"/>
        <v/>
      </c>
      <c r="AW11" s="195" t="str">
        <f t="shared" si="35"/>
        <v/>
      </c>
      <c r="AX11" s="200"/>
      <c r="AY11" s="197" t="str">
        <f t="shared" si="36"/>
        <v/>
      </c>
      <c r="AZ11" s="195" t="str">
        <f t="shared" si="37"/>
        <v/>
      </c>
      <c r="BA11" s="196" t="str">
        <f t="shared" si="38"/>
        <v/>
      </c>
      <c r="BB11" s="195" t="str">
        <f t="shared" si="39"/>
        <v/>
      </c>
      <c r="BC11" s="200"/>
      <c r="BD11" s="197" t="str">
        <f t="shared" si="40"/>
        <v/>
      </c>
      <c r="BE11" s="195" t="str">
        <f t="shared" si="41"/>
        <v/>
      </c>
      <c r="BF11" s="196" t="str">
        <f t="shared" si="42"/>
        <v/>
      </c>
      <c r="BG11" s="195" t="str">
        <f t="shared" si="43"/>
        <v/>
      </c>
      <c r="BH11" s="200"/>
      <c r="BI11" s="197" t="str">
        <f t="shared" si="44"/>
        <v/>
      </c>
      <c r="BJ11" s="195" t="str">
        <f t="shared" si="45"/>
        <v/>
      </c>
      <c r="BK11" s="196" t="str">
        <f t="shared" si="46"/>
        <v/>
      </c>
      <c r="BL11" s="195" t="str">
        <f t="shared" si="47"/>
        <v/>
      </c>
      <c r="BM11" s="200"/>
      <c r="BN11" s="197" t="str">
        <f t="shared" si="48"/>
        <v/>
      </c>
    </row>
    <row r="12" spans="1:66" s="11" customFormat="1" ht="21">
      <c r="A12" s="195">
        <v>7</v>
      </c>
      <c r="B12" s="195" t="str">
        <f>IF('2.Students'' data'!E17="","",CONCATENATE('2.Students'' data'!E17,'2.Students'' data'!F17,'2.Students'' data'!G17,'2.Students'' data'!H17,'2.Students'' data'!I17,'2.Students'' data'!J17,'2.Students'' data'!K17,'2.Students'' data'!L17,'2.Students'' data'!M17,'2.Students'' data'!N17,'2.Students'' data'!O17,'2.Students'' data'!P17,'2.Students'' data'!Q17,))</f>
        <v/>
      </c>
      <c r="C12" s="195" t="str">
        <f>IF(IDstu7="","",IDstu7)</f>
        <v/>
      </c>
      <c r="D12" s="224" t="str">
        <f>CONCATENATE(TRIM(Name7),"  ",Surname7)</f>
        <v xml:space="preserve">  </v>
      </c>
      <c r="E12" s="197" t="str">
        <f t="shared" si="0"/>
        <v/>
      </c>
      <c r="F12" s="195" t="str">
        <f t="shared" si="1"/>
        <v/>
      </c>
      <c r="G12" s="195" t="str">
        <f t="shared" si="2"/>
        <v/>
      </c>
      <c r="H12" s="196" t="str">
        <f t="shared" si="3"/>
        <v/>
      </c>
      <c r="I12" s="195" t="str">
        <f t="shared" si="4"/>
        <v/>
      </c>
      <c r="J12" s="200"/>
      <c r="K12" s="197" t="str">
        <f t="shared" si="49"/>
        <v/>
      </c>
      <c r="L12" s="195" t="str">
        <f t="shared" si="5"/>
        <v/>
      </c>
      <c r="M12" s="196" t="str">
        <f t="shared" si="6"/>
        <v/>
      </c>
      <c r="N12" s="195" t="str">
        <f t="shared" si="7"/>
        <v/>
      </c>
      <c r="O12" s="231"/>
      <c r="P12" s="197" t="str">
        <f t="shared" si="8"/>
        <v/>
      </c>
      <c r="Q12" s="195" t="str">
        <f t="shared" si="9"/>
        <v/>
      </c>
      <c r="R12" s="196" t="str">
        <f t="shared" si="10"/>
        <v/>
      </c>
      <c r="S12" s="195" t="str">
        <f t="shared" si="11"/>
        <v/>
      </c>
      <c r="T12" s="200"/>
      <c r="U12" s="197" t="str">
        <f t="shared" si="12"/>
        <v/>
      </c>
      <c r="V12" s="195" t="str">
        <f t="shared" si="13"/>
        <v/>
      </c>
      <c r="W12" s="196" t="str">
        <f t="shared" si="14"/>
        <v/>
      </c>
      <c r="X12" s="195" t="str">
        <f t="shared" si="15"/>
        <v/>
      </c>
      <c r="Y12" s="200"/>
      <c r="Z12" s="197" t="str">
        <f t="shared" si="16"/>
        <v/>
      </c>
      <c r="AA12" s="195" t="str">
        <f t="shared" si="17"/>
        <v/>
      </c>
      <c r="AB12" s="196" t="str">
        <f t="shared" si="18"/>
        <v/>
      </c>
      <c r="AC12" s="195" t="str">
        <f t="shared" si="19"/>
        <v/>
      </c>
      <c r="AD12" s="200"/>
      <c r="AE12" s="197" t="str">
        <f t="shared" si="20"/>
        <v/>
      </c>
      <c r="AF12" s="195" t="str">
        <f t="shared" si="21"/>
        <v/>
      </c>
      <c r="AG12" s="196" t="str">
        <f t="shared" si="22"/>
        <v/>
      </c>
      <c r="AH12" s="195" t="str">
        <f t="shared" si="23"/>
        <v/>
      </c>
      <c r="AI12" s="200"/>
      <c r="AJ12" s="197" t="str">
        <f t="shared" si="24"/>
        <v/>
      </c>
      <c r="AK12" s="195" t="str">
        <f t="shared" si="25"/>
        <v/>
      </c>
      <c r="AL12" s="196" t="str">
        <f t="shared" si="26"/>
        <v/>
      </c>
      <c r="AM12" s="195" t="str">
        <f t="shared" si="27"/>
        <v/>
      </c>
      <c r="AN12" s="231"/>
      <c r="AO12" s="197" t="str">
        <f t="shared" si="28"/>
        <v/>
      </c>
      <c r="AP12" s="195" t="str">
        <f t="shared" si="29"/>
        <v/>
      </c>
      <c r="AQ12" s="196" t="str">
        <f t="shared" si="30"/>
        <v/>
      </c>
      <c r="AR12" s="195" t="str">
        <f t="shared" si="31"/>
        <v/>
      </c>
      <c r="AS12" s="231"/>
      <c r="AT12" s="197" t="str">
        <f t="shared" si="32"/>
        <v/>
      </c>
      <c r="AU12" s="195" t="str">
        <f t="shared" si="33"/>
        <v/>
      </c>
      <c r="AV12" s="196" t="str">
        <f t="shared" si="34"/>
        <v/>
      </c>
      <c r="AW12" s="195" t="str">
        <f t="shared" si="35"/>
        <v/>
      </c>
      <c r="AX12" s="200"/>
      <c r="AY12" s="197" t="str">
        <f t="shared" si="36"/>
        <v/>
      </c>
      <c r="AZ12" s="195" t="str">
        <f t="shared" si="37"/>
        <v/>
      </c>
      <c r="BA12" s="196" t="str">
        <f t="shared" si="38"/>
        <v/>
      </c>
      <c r="BB12" s="195" t="str">
        <f t="shared" si="39"/>
        <v/>
      </c>
      <c r="BC12" s="200"/>
      <c r="BD12" s="197" t="str">
        <f t="shared" si="40"/>
        <v/>
      </c>
      <c r="BE12" s="195" t="str">
        <f t="shared" si="41"/>
        <v/>
      </c>
      <c r="BF12" s="196" t="str">
        <f t="shared" si="42"/>
        <v/>
      </c>
      <c r="BG12" s="195" t="str">
        <f t="shared" si="43"/>
        <v/>
      </c>
      <c r="BH12" s="200"/>
      <c r="BI12" s="197" t="str">
        <f t="shared" si="44"/>
        <v/>
      </c>
      <c r="BJ12" s="195" t="str">
        <f t="shared" si="45"/>
        <v/>
      </c>
      <c r="BK12" s="196" t="str">
        <f t="shared" si="46"/>
        <v/>
      </c>
      <c r="BL12" s="195" t="str">
        <f t="shared" si="47"/>
        <v/>
      </c>
      <c r="BM12" s="200"/>
      <c r="BN12" s="197" t="str">
        <f>IF(BM12="","",IF(BM12="I","I",IF(BM12="NQ","NQ",IF(BM12&gt;=80,4,IF(BM12&gt;=75,3.5,IF(BM12&gt;=70,3,IF(BM12&gt;=65,2.5,IF(BM12&gt;=60,2,IF(BM12&gt;=55,1.5,IF(BM12&gt;=50,1,0))))))))))</f>
        <v/>
      </c>
    </row>
    <row r="13" spans="1:66" s="11" customFormat="1" ht="21">
      <c r="A13" s="195">
        <v>8</v>
      </c>
      <c r="B13" s="195" t="str">
        <f>IF('2.Students'' data'!E18="","",CONCATENATE('2.Students'' data'!E18,'2.Students'' data'!F18,'2.Students'' data'!G18,'2.Students'' data'!H18,'2.Students'' data'!I18,'2.Students'' data'!J18,'2.Students'' data'!K18,'2.Students'' data'!L18,'2.Students'' data'!M18,'2.Students'' data'!N18,'2.Students'' data'!O18,'2.Students'' data'!P18,'2.Students'' data'!Q18,))</f>
        <v/>
      </c>
      <c r="C13" s="195" t="str">
        <f>IF(IDstu8="","",IDstu8)</f>
        <v/>
      </c>
      <c r="D13" s="224" t="str">
        <f>CONCATENATE(TRIM(Name8),"  ",Surname8)</f>
        <v xml:space="preserve">  </v>
      </c>
      <c r="E13" s="197" t="str">
        <f t="shared" si="0"/>
        <v/>
      </c>
      <c r="F13" s="195" t="str">
        <f t="shared" si="1"/>
        <v/>
      </c>
      <c r="G13" s="195" t="str">
        <f t="shared" si="2"/>
        <v/>
      </c>
      <c r="H13" s="196" t="str">
        <f t="shared" si="3"/>
        <v/>
      </c>
      <c r="I13" s="195" t="str">
        <f t="shared" si="4"/>
        <v/>
      </c>
      <c r="J13" s="200"/>
      <c r="K13" s="197" t="str">
        <f t="shared" si="49"/>
        <v/>
      </c>
      <c r="L13" s="195" t="str">
        <f t="shared" si="5"/>
        <v/>
      </c>
      <c r="M13" s="196" t="str">
        <f t="shared" si="6"/>
        <v/>
      </c>
      <c r="N13" s="195" t="str">
        <f t="shared" si="7"/>
        <v/>
      </c>
      <c r="O13" s="231"/>
      <c r="P13" s="197" t="str">
        <f t="shared" si="8"/>
        <v/>
      </c>
      <c r="Q13" s="195" t="str">
        <f t="shared" si="9"/>
        <v/>
      </c>
      <c r="R13" s="196" t="str">
        <f t="shared" si="10"/>
        <v/>
      </c>
      <c r="S13" s="195" t="str">
        <f t="shared" si="11"/>
        <v/>
      </c>
      <c r="T13" s="200"/>
      <c r="U13" s="197" t="str">
        <f t="shared" si="12"/>
        <v/>
      </c>
      <c r="V13" s="195" t="str">
        <f t="shared" si="13"/>
        <v/>
      </c>
      <c r="W13" s="196" t="str">
        <f t="shared" si="14"/>
        <v/>
      </c>
      <c r="X13" s="195" t="str">
        <f t="shared" si="15"/>
        <v/>
      </c>
      <c r="Y13" s="200"/>
      <c r="Z13" s="197" t="str">
        <f t="shared" si="16"/>
        <v/>
      </c>
      <c r="AA13" s="195" t="str">
        <f t="shared" si="17"/>
        <v/>
      </c>
      <c r="AB13" s="196" t="str">
        <f t="shared" si="18"/>
        <v/>
      </c>
      <c r="AC13" s="195" t="str">
        <f t="shared" si="19"/>
        <v/>
      </c>
      <c r="AD13" s="200"/>
      <c r="AE13" s="197" t="str">
        <f t="shared" si="20"/>
        <v/>
      </c>
      <c r="AF13" s="195" t="str">
        <f t="shared" si="21"/>
        <v/>
      </c>
      <c r="AG13" s="196" t="str">
        <f t="shared" si="22"/>
        <v/>
      </c>
      <c r="AH13" s="195" t="str">
        <f t="shared" si="23"/>
        <v/>
      </c>
      <c r="AI13" s="200"/>
      <c r="AJ13" s="197" t="str">
        <f t="shared" si="24"/>
        <v/>
      </c>
      <c r="AK13" s="195" t="str">
        <f t="shared" si="25"/>
        <v/>
      </c>
      <c r="AL13" s="196" t="str">
        <f t="shared" si="26"/>
        <v/>
      </c>
      <c r="AM13" s="195" t="str">
        <f t="shared" si="27"/>
        <v/>
      </c>
      <c r="AN13" s="231"/>
      <c r="AO13" s="197" t="str">
        <f t="shared" si="28"/>
        <v/>
      </c>
      <c r="AP13" s="195" t="str">
        <f t="shared" si="29"/>
        <v/>
      </c>
      <c r="AQ13" s="196" t="str">
        <f t="shared" si="30"/>
        <v/>
      </c>
      <c r="AR13" s="195" t="str">
        <f t="shared" si="31"/>
        <v/>
      </c>
      <c r="AS13" s="231"/>
      <c r="AT13" s="197" t="str">
        <f t="shared" si="32"/>
        <v/>
      </c>
      <c r="AU13" s="195" t="str">
        <f t="shared" si="33"/>
        <v/>
      </c>
      <c r="AV13" s="196" t="str">
        <f t="shared" si="34"/>
        <v/>
      </c>
      <c r="AW13" s="195" t="str">
        <f t="shared" si="35"/>
        <v/>
      </c>
      <c r="AX13" s="200"/>
      <c r="AY13" s="197" t="str">
        <f t="shared" si="36"/>
        <v/>
      </c>
      <c r="AZ13" s="195" t="str">
        <f t="shared" si="37"/>
        <v/>
      </c>
      <c r="BA13" s="196" t="str">
        <f t="shared" si="38"/>
        <v/>
      </c>
      <c r="BB13" s="195" t="str">
        <f t="shared" si="39"/>
        <v/>
      </c>
      <c r="BC13" s="200"/>
      <c r="BD13" s="197" t="str">
        <f t="shared" si="40"/>
        <v/>
      </c>
      <c r="BE13" s="195" t="str">
        <f t="shared" si="41"/>
        <v/>
      </c>
      <c r="BF13" s="196" t="str">
        <f t="shared" si="42"/>
        <v/>
      </c>
      <c r="BG13" s="195" t="str">
        <f t="shared" si="43"/>
        <v/>
      </c>
      <c r="BH13" s="200"/>
      <c r="BI13" s="197" t="str">
        <f t="shared" si="44"/>
        <v/>
      </c>
      <c r="BJ13" s="195" t="str">
        <f t="shared" si="45"/>
        <v/>
      </c>
      <c r="BK13" s="196" t="str">
        <f t="shared" si="46"/>
        <v/>
      </c>
      <c r="BL13" s="195" t="str">
        <f t="shared" si="47"/>
        <v/>
      </c>
      <c r="BM13" s="200"/>
      <c r="BN13" s="197" t="str">
        <f t="shared" si="48"/>
        <v/>
      </c>
    </row>
    <row r="14" spans="1:66" s="11" customFormat="1" ht="21">
      <c r="A14" s="195">
        <v>9</v>
      </c>
      <c r="B14" s="195" t="str">
        <f>IF('2.Students'' data'!E19="","",CONCATENATE('2.Students'' data'!E19,'2.Students'' data'!F19,'2.Students'' data'!G19,'2.Students'' data'!H19,'2.Students'' data'!I19,'2.Students'' data'!J19,'2.Students'' data'!K19,'2.Students'' data'!L19,'2.Students'' data'!M19,'2.Students'' data'!N19,'2.Students'' data'!O19,'2.Students'' data'!P19,'2.Students'' data'!Q19,))</f>
        <v/>
      </c>
      <c r="C14" s="195" t="str">
        <f>IF(IDstu9="","",IDstu9)</f>
        <v/>
      </c>
      <c r="D14" s="224" t="str">
        <f>CONCATENATE(TRIM(Name9),"  ",Surname9)</f>
        <v xml:space="preserve">  </v>
      </c>
      <c r="E14" s="197" t="str">
        <f t="shared" si="0"/>
        <v/>
      </c>
      <c r="F14" s="195" t="str">
        <f t="shared" si="1"/>
        <v/>
      </c>
      <c r="G14" s="195" t="str">
        <f t="shared" si="2"/>
        <v/>
      </c>
      <c r="H14" s="196" t="str">
        <f t="shared" si="3"/>
        <v/>
      </c>
      <c r="I14" s="195" t="str">
        <f t="shared" si="4"/>
        <v/>
      </c>
      <c r="J14" s="200"/>
      <c r="K14" s="197" t="str">
        <f t="shared" si="49"/>
        <v/>
      </c>
      <c r="L14" s="195" t="str">
        <f t="shared" si="5"/>
        <v/>
      </c>
      <c r="M14" s="196" t="str">
        <f t="shared" si="6"/>
        <v/>
      </c>
      <c r="N14" s="195" t="str">
        <f t="shared" si="7"/>
        <v/>
      </c>
      <c r="O14" s="231"/>
      <c r="P14" s="197" t="str">
        <f t="shared" si="8"/>
        <v/>
      </c>
      <c r="Q14" s="195" t="str">
        <f t="shared" si="9"/>
        <v/>
      </c>
      <c r="R14" s="196" t="str">
        <f t="shared" si="10"/>
        <v/>
      </c>
      <c r="S14" s="195" t="str">
        <f t="shared" si="11"/>
        <v/>
      </c>
      <c r="T14" s="200"/>
      <c r="U14" s="197" t="str">
        <f t="shared" si="12"/>
        <v/>
      </c>
      <c r="V14" s="195" t="str">
        <f t="shared" si="13"/>
        <v/>
      </c>
      <c r="W14" s="196" t="str">
        <f t="shared" si="14"/>
        <v/>
      </c>
      <c r="X14" s="195" t="str">
        <f t="shared" si="15"/>
        <v/>
      </c>
      <c r="Y14" s="200"/>
      <c r="Z14" s="197" t="str">
        <f t="shared" si="16"/>
        <v/>
      </c>
      <c r="AA14" s="195" t="str">
        <f t="shared" si="17"/>
        <v/>
      </c>
      <c r="AB14" s="196" t="str">
        <f t="shared" si="18"/>
        <v/>
      </c>
      <c r="AC14" s="195" t="str">
        <f t="shared" si="19"/>
        <v/>
      </c>
      <c r="AD14" s="200"/>
      <c r="AE14" s="197" t="str">
        <f t="shared" si="20"/>
        <v/>
      </c>
      <c r="AF14" s="195" t="str">
        <f t="shared" si="21"/>
        <v/>
      </c>
      <c r="AG14" s="196" t="str">
        <f t="shared" si="22"/>
        <v/>
      </c>
      <c r="AH14" s="195" t="str">
        <f t="shared" si="23"/>
        <v/>
      </c>
      <c r="AI14" s="200"/>
      <c r="AJ14" s="197" t="str">
        <f t="shared" si="24"/>
        <v/>
      </c>
      <c r="AK14" s="195" t="str">
        <f t="shared" si="25"/>
        <v/>
      </c>
      <c r="AL14" s="196" t="str">
        <f t="shared" si="26"/>
        <v/>
      </c>
      <c r="AM14" s="195" t="str">
        <f t="shared" si="27"/>
        <v/>
      </c>
      <c r="AN14" s="231"/>
      <c r="AO14" s="197" t="str">
        <f t="shared" si="28"/>
        <v/>
      </c>
      <c r="AP14" s="195" t="str">
        <f t="shared" si="29"/>
        <v/>
      </c>
      <c r="AQ14" s="196" t="str">
        <f t="shared" si="30"/>
        <v/>
      </c>
      <c r="AR14" s="195" t="str">
        <f t="shared" si="31"/>
        <v/>
      </c>
      <c r="AS14" s="231"/>
      <c r="AT14" s="197" t="str">
        <f t="shared" si="32"/>
        <v/>
      </c>
      <c r="AU14" s="195" t="str">
        <f t="shared" si="33"/>
        <v/>
      </c>
      <c r="AV14" s="196" t="str">
        <f t="shared" si="34"/>
        <v/>
      </c>
      <c r="AW14" s="195" t="str">
        <f t="shared" si="35"/>
        <v/>
      </c>
      <c r="AX14" s="200"/>
      <c r="AY14" s="197" t="str">
        <f t="shared" si="36"/>
        <v/>
      </c>
      <c r="AZ14" s="195" t="str">
        <f t="shared" si="37"/>
        <v/>
      </c>
      <c r="BA14" s="196" t="str">
        <f t="shared" si="38"/>
        <v/>
      </c>
      <c r="BB14" s="195" t="str">
        <f t="shared" si="39"/>
        <v/>
      </c>
      <c r="BC14" s="200"/>
      <c r="BD14" s="197" t="str">
        <f t="shared" si="40"/>
        <v/>
      </c>
      <c r="BE14" s="195" t="str">
        <f t="shared" si="41"/>
        <v/>
      </c>
      <c r="BF14" s="196" t="str">
        <f t="shared" si="42"/>
        <v/>
      </c>
      <c r="BG14" s="195" t="str">
        <f t="shared" si="43"/>
        <v/>
      </c>
      <c r="BH14" s="200"/>
      <c r="BI14" s="197" t="str">
        <f t="shared" si="44"/>
        <v/>
      </c>
      <c r="BJ14" s="195" t="str">
        <f t="shared" si="45"/>
        <v/>
      </c>
      <c r="BK14" s="196" t="str">
        <f t="shared" si="46"/>
        <v/>
      </c>
      <c r="BL14" s="195" t="str">
        <f t="shared" si="47"/>
        <v/>
      </c>
      <c r="BM14" s="200"/>
      <c r="BN14" s="197" t="str">
        <f t="shared" si="48"/>
        <v/>
      </c>
    </row>
    <row r="15" spans="1:66" s="11" customFormat="1" ht="21">
      <c r="A15" s="195">
        <v>10</v>
      </c>
      <c r="B15" s="195" t="str">
        <f>IF('2.Students'' data'!E20="","",CONCATENATE('2.Students'' data'!E20,'2.Students'' data'!F20,'2.Students'' data'!G20,'2.Students'' data'!H20,'2.Students'' data'!I20,'2.Students'' data'!J20,'2.Students'' data'!K20,'2.Students'' data'!L20,'2.Students'' data'!M20,'2.Students'' data'!N20,'2.Students'' data'!O20,'2.Students'' data'!P20,'2.Students'' data'!Q20,))</f>
        <v/>
      </c>
      <c r="C15" s="195" t="str">
        <f>IF(IDstu10="","",IDstu10)</f>
        <v/>
      </c>
      <c r="D15" s="224" t="str">
        <f>CONCATENATE(TRIM(Name10),"  ",Surname10)</f>
        <v xml:space="preserve">  </v>
      </c>
      <c r="E15" s="197" t="str">
        <f t="shared" si="0"/>
        <v/>
      </c>
      <c r="F15" s="195" t="str">
        <f t="shared" si="1"/>
        <v/>
      </c>
      <c r="G15" s="195" t="str">
        <f t="shared" si="2"/>
        <v/>
      </c>
      <c r="H15" s="196" t="str">
        <f t="shared" si="3"/>
        <v/>
      </c>
      <c r="I15" s="195" t="str">
        <f t="shared" si="4"/>
        <v/>
      </c>
      <c r="J15" s="200"/>
      <c r="K15" s="197" t="str">
        <f t="shared" si="49"/>
        <v/>
      </c>
      <c r="L15" s="195" t="str">
        <f t="shared" si="5"/>
        <v/>
      </c>
      <c r="M15" s="196" t="str">
        <f t="shared" si="6"/>
        <v/>
      </c>
      <c r="N15" s="195" t="str">
        <f t="shared" si="7"/>
        <v/>
      </c>
      <c r="O15" s="231"/>
      <c r="P15" s="197" t="str">
        <f t="shared" si="8"/>
        <v/>
      </c>
      <c r="Q15" s="195" t="str">
        <f t="shared" si="9"/>
        <v/>
      </c>
      <c r="R15" s="196" t="str">
        <f t="shared" si="10"/>
        <v/>
      </c>
      <c r="S15" s="195" t="str">
        <f t="shared" si="11"/>
        <v/>
      </c>
      <c r="T15" s="200"/>
      <c r="U15" s="197" t="str">
        <f t="shared" si="12"/>
        <v/>
      </c>
      <c r="V15" s="195" t="str">
        <f t="shared" si="13"/>
        <v/>
      </c>
      <c r="W15" s="196" t="str">
        <f t="shared" si="14"/>
        <v/>
      </c>
      <c r="X15" s="195" t="str">
        <f t="shared" si="15"/>
        <v/>
      </c>
      <c r="Y15" s="200"/>
      <c r="Z15" s="197" t="str">
        <f t="shared" si="16"/>
        <v/>
      </c>
      <c r="AA15" s="195" t="str">
        <f t="shared" si="17"/>
        <v/>
      </c>
      <c r="AB15" s="196" t="str">
        <f t="shared" si="18"/>
        <v/>
      </c>
      <c r="AC15" s="195" t="str">
        <f t="shared" si="19"/>
        <v/>
      </c>
      <c r="AD15" s="200"/>
      <c r="AE15" s="197" t="str">
        <f t="shared" si="20"/>
        <v/>
      </c>
      <c r="AF15" s="195" t="str">
        <f t="shared" si="21"/>
        <v/>
      </c>
      <c r="AG15" s="196" t="str">
        <f t="shared" si="22"/>
        <v/>
      </c>
      <c r="AH15" s="195" t="str">
        <f t="shared" si="23"/>
        <v/>
      </c>
      <c r="AI15" s="200"/>
      <c r="AJ15" s="197" t="str">
        <f t="shared" si="24"/>
        <v/>
      </c>
      <c r="AK15" s="195" t="str">
        <f t="shared" si="25"/>
        <v/>
      </c>
      <c r="AL15" s="196" t="str">
        <f t="shared" si="26"/>
        <v/>
      </c>
      <c r="AM15" s="195" t="str">
        <f t="shared" si="27"/>
        <v/>
      </c>
      <c r="AN15" s="231"/>
      <c r="AO15" s="197" t="str">
        <f t="shared" si="28"/>
        <v/>
      </c>
      <c r="AP15" s="195" t="str">
        <f t="shared" si="29"/>
        <v/>
      </c>
      <c r="AQ15" s="196" t="str">
        <f t="shared" si="30"/>
        <v/>
      </c>
      <c r="AR15" s="195" t="str">
        <f t="shared" si="31"/>
        <v/>
      </c>
      <c r="AS15" s="231"/>
      <c r="AT15" s="197" t="str">
        <f t="shared" si="32"/>
        <v/>
      </c>
      <c r="AU15" s="195" t="str">
        <f t="shared" si="33"/>
        <v/>
      </c>
      <c r="AV15" s="196" t="str">
        <f t="shared" si="34"/>
        <v/>
      </c>
      <c r="AW15" s="195" t="str">
        <f t="shared" si="35"/>
        <v/>
      </c>
      <c r="AX15" s="200"/>
      <c r="AY15" s="197" t="str">
        <f t="shared" si="36"/>
        <v/>
      </c>
      <c r="AZ15" s="195" t="str">
        <f t="shared" si="37"/>
        <v/>
      </c>
      <c r="BA15" s="196" t="str">
        <f t="shared" si="38"/>
        <v/>
      </c>
      <c r="BB15" s="195" t="str">
        <f t="shared" si="39"/>
        <v/>
      </c>
      <c r="BC15" s="200"/>
      <c r="BD15" s="197" t="str">
        <f t="shared" si="40"/>
        <v/>
      </c>
      <c r="BE15" s="195" t="str">
        <f t="shared" si="41"/>
        <v/>
      </c>
      <c r="BF15" s="196" t="str">
        <f t="shared" si="42"/>
        <v/>
      </c>
      <c r="BG15" s="195" t="str">
        <f t="shared" si="43"/>
        <v/>
      </c>
      <c r="BH15" s="200"/>
      <c r="BI15" s="197" t="str">
        <f t="shared" si="44"/>
        <v/>
      </c>
      <c r="BJ15" s="195" t="str">
        <f t="shared" si="45"/>
        <v/>
      </c>
      <c r="BK15" s="196" t="str">
        <f t="shared" si="46"/>
        <v/>
      </c>
      <c r="BL15" s="195" t="str">
        <f t="shared" si="47"/>
        <v/>
      </c>
      <c r="BM15" s="200"/>
      <c r="BN15" s="197" t="str">
        <f t="shared" si="48"/>
        <v/>
      </c>
    </row>
    <row r="16" spans="1:66" s="11" customFormat="1" ht="21">
      <c r="A16" s="195">
        <v>11</v>
      </c>
      <c r="B16" s="195" t="str">
        <f>IF('2.Students'' data'!E21="","",CONCATENATE('2.Students'' data'!E21,'2.Students'' data'!F21,'2.Students'' data'!G21,'2.Students'' data'!H21,'2.Students'' data'!I21,'2.Students'' data'!J21,'2.Students'' data'!K21,'2.Students'' data'!L21,'2.Students'' data'!M21,'2.Students'' data'!N21,'2.Students'' data'!O21,'2.Students'' data'!P21,'2.Students'' data'!Q21,))</f>
        <v/>
      </c>
      <c r="C16" s="195" t="str">
        <f>IF(IDstu11="","",IDstu11)</f>
        <v/>
      </c>
      <c r="D16" s="224" t="str">
        <f>CONCATENATE(TRIM(Name11),"  ",Surname11)</f>
        <v xml:space="preserve">  </v>
      </c>
      <c r="E16" s="197" t="str">
        <f t="shared" si="0"/>
        <v/>
      </c>
      <c r="F16" s="195" t="str">
        <f t="shared" si="1"/>
        <v/>
      </c>
      <c r="G16" s="195" t="str">
        <f t="shared" si="2"/>
        <v/>
      </c>
      <c r="H16" s="196" t="str">
        <f t="shared" si="3"/>
        <v/>
      </c>
      <c r="I16" s="195" t="str">
        <f t="shared" si="4"/>
        <v/>
      </c>
      <c r="J16" s="200"/>
      <c r="K16" s="197" t="str">
        <f t="shared" si="49"/>
        <v/>
      </c>
      <c r="L16" s="195" t="str">
        <f t="shared" si="5"/>
        <v/>
      </c>
      <c r="M16" s="196" t="str">
        <f t="shared" si="6"/>
        <v/>
      </c>
      <c r="N16" s="195" t="str">
        <f t="shared" si="7"/>
        <v/>
      </c>
      <c r="O16" s="231"/>
      <c r="P16" s="197" t="str">
        <f t="shared" si="8"/>
        <v/>
      </c>
      <c r="Q16" s="195" t="str">
        <f t="shared" si="9"/>
        <v/>
      </c>
      <c r="R16" s="196" t="str">
        <f t="shared" si="10"/>
        <v/>
      </c>
      <c r="S16" s="195" t="str">
        <f t="shared" si="11"/>
        <v/>
      </c>
      <c r="T16" s="200"/>
      <c r="U16" s="197" t="str">
        <f t="shared" si="12"/>
        <v/>
      </c>
      <c r="V16" s="195" t="str">
        <f t="shared" si="13"/>
        <v/>
      </c>
      <c r="W16" s="196" t="str">
        <f t="shared" si="14"/>
        <v/>
      </c>
      <c r="X16" s="195" t="str">
        <f t="shared" si="15"/>
        <v/>
      </c>
      <c r="Y16" s="200"/>
      <c r="Z16" s="197" t="str">
        <f t="shared" si="16"/>
        <v/>
      </c>
      <c r="AA16" s="195" t="str">
        <f t="shared" si="17"/>
        <v/>
      </c>
      <c r="AB16" s="196" t="str">
        <f t="shared" si="18"/>
        <v/>
      </c>
      <c r="AC16" s="195" t="str">
        <f t="shared" si="19"/>
        <v/>
      </c>
      <c r="AD16" s="200"/>
      <c r="AE16" s="197" t="str">
        <f t="shared" si="20"/>
        <v/>
      </c>
      <c r="AF16" s="195" t="str">
        <f t="shared" si="21"/>
        <v/>
      </c>
      <c r="AG16" s="196" t="str">
        <f t="shared" si="22"/>
        <v/>
      </c>
      <c r="AH16" s="195" t="str">
        <f t="shared" si="23"/>
        <v/>
      </c>
      <c r="AI16" s="200"/>
      <c r="AJ16" s="197" t="str">
        <f t="shared" si="24"/>
        <v/>
      </c>
      <c r="AK16" s="195" t="str">
        <f t="shared" si="25"/>
        <v/>
      </c>
      <c r="AL16" s="196" t="str">
        <f t="shared" si="26"/>
        <v/>
      </c>
      <c r="AM16" s="195" t="str">
        <f t="shared" si="27"/>
        <v/>
      </c>
      <c r="AN16" s="231"/>
      <c r="AO16" s="197" t="str">
        <f t="shared" si="28"/>
        <v/>
      </c>
      <c r="AP16" s="195" t="str">
        <f t="shared" si="29"/>
        <v/>
      </c>
      <c r="AQ16" s="196" t="str">
        <f t="shared" si="30"/>
        <v/>
      </c>
      <c r="AR16" s="195" t="str">
        <f t="shared" si="31"/>
        <v/>
      </c>
      <c r="AS16" s="231"/>
      <c r="AT16" s="197" t="str">
        <f t="shared" si="32"/>
        <v/>
      </c>
      <c r="AU16" s="195" t="str">
        <f t="shared" si="33"/>
        <v/>
      </c>
      <c r="AV16" s="196" t="str">
        <f t="shared" si="34"/>
        <v/>
      </c>
      <c r="AW16" s="195" t="str">
        <f t="shared" si="35"/>
        <v/>
      </c>
      <c r="AX16" s="200"/>
      <c r="AY16" s="197" t="str">
        <f t="shared" si="36"/>
        <v/>
      </c>
      <c r="AZ16" s="195" t="str">
        <f t="shared" si="37"/>
        <v/>
      </c>
      <c r="BA16" s="196" t="str">
        <f t="shared" si="38"/>
        <v/>
      </c>
      <c r="BB16" s="195" t="str">
        <f t="shared" si="39"/>
        <v/>
      </c>
      <c r="BC16" s="200"/>
      <c r="BD16" s="197" t="str">
        <f t="shared" si="40"/>
        <v/>
      </c>
      <c r="BE16" s="195" t="str">
        <f t="shared" si="41"/>
        <v/>
      </c>
      <c r="BF16" s="196" t="str">
        <f t="shared" si="42"/>
        <v/>
      </c>
      <c r="BG16" s="195" t="str">
        <f t="shared" si="43"/>
        <v/>
      </c>
      <c r="BH16" s="200"/>
      <c r="BI16" s="197" t="str">
        <f t="shared" si="44"/>
        <v/>
      </c>
      <c r="BJ16" s="195" t="str">
        <f t="shared" si="45"/>
        <v/>
      </c>
      <c r="BK16" s="196" t="str">
        <f t="shared" si="46"/>
        <v/>
      </c>
      <c r="BL16" s="195" t="str">
        <f t="shared" si="47"/>
        <v/>
      </c>
      <c r="BM16" s="200"/>
      <c r="BN16" s="197" t="str">
        <f t="shared" si="48"/>
        <v/>
      </c>
    </row>
    <row r="17" spans="1:66" s="11" customFormat="1" ht="21">
      <c r="A17" s="195">
        <v>12</v>
      </c>
      <c r="B17" s="195" t="str">
        <f>IF('2.Students'' data'!E22="","",CONCATENATE('2.Students'' data'!E22,'2.Students'' data'!F22,'2.Students'' data'!G22,'2.Students'' data'!H22,'2.Students'' data'!I22,'2.Students'' data'!J22,'2.Students'' data'!K22,'2.Students'' data'!L22,'2.Students'' data'!M22,'2.Students'' data'!N22,'2.Students'' data'!O22,'2.Students'' data'!P22,'2.Students'' data'!Q22,))</f>
        <v/>
      </c>
      <c r="C17" s="195" t="str">
        <f>IF(IDstu12="","",IDstu12)</f>
        <v/>
      </c>
      <c r="D17" s="224" t="str">
        <f>CONCATENATE(TRIM(Name12),"  ",Surname12)</f>
        <v xml:space="preserve">  </v>
      </c>
      <c r="E17" s="197" t="str">
        <f t="shared" si="0"/>
        <v/>
      </c>
      <c r="F17" s="195" t="str">
        <f t="shared" si="1"/>
        <v/>
      </c>
      <c r="G17" s="195" t="str">
        <f t="shared" si="2"/>
        <v/>
      </c>
      <c r="H17" s="196" t="str">
        <f t="shared" si="3"/>
        <v/>
      </c>
      <c r="I17" s="195" t="str">
        <f t="shared" si="4"/>
        <v/>
      </c>
      <c r="J17" s="200"/>
      <c r="K17" s="197" t="str">
        <f t="shared" si="49"/>
        <v/>
      </c>
      <c r="L17" s="195" t="str">
        <f t="shared" si="5"/>
        <v/>
      </c>
      <c r="M17" s="196" t="str">
        <f t="shared" si="6"/>
        <v/>
      </c>
      <c r="N17" s="195" t="str">
        <f t="shared" si="7"/>
        <v/>
      </c>
      <c r="O17" s="231"/>
      <c r="P17" s="197" t="str">
        <f t="shared" si="8"/>
        <v/>
      </c>
      <c r="Q17" s="195" t="str">
        <f t="shared" si="9"/>
        <v/>
      </c>
      <c r="R17" s="196" t="str">
        <f t="shared" si="10"/>
        <v/>
      </c>
      <c r="S17" s="195" t="str">
        <f t="shared" si="11"/>
        <v/>
      </c>
      <c r="T17" s="200"/>
      <c r="U17" s="197" t="str">
        <f t="shared" si="12"/>
        <v/>
      </c>
      <c r="V17" s="195" t="str">
        <f t="shared" si="13"/>
        <v/>
      </c>
      <c r="W17" s="196" t="str">
        <f t="shared" si="14"/>
        <v/>
      </c>
      <c r="X17" s="195" t="str">
        <f t="shared" si="15"/>
        <v/>
      </c>
      <c r="Y17" s="200"/>
      <c r="Z17" s="197" t="str">
        <f t="shared" si="16"/>
        <v/>
      </c>
      <c r="AA17" s="195" t="str">
        <f t="shared" si="17"/>
        <v/>
      </c>
      <c r="AB17" s="196" t="str">
        <f t="shared" si="18"/>
        <v/>
      </c>
      <c r="AC17" s="195" t="str">
        <f t="shared" si="19"/>
        <v/>
      </c>
      <c r="AD17" s="200"/>
      <c r="AE17" s="197" t="str">
        <f t="shared" si="20"/>
        <v/>
      </c>
      <c r="AF17" s="195" t="str">
        <f t="shared" si="21"/>
        <v/>
      </c>
      <c r="AG17" s="196" t="str">
        <f t="shared" si="22"/>
        <v/>
      </c>
      <c r="AH17" s="195" t="str">
        <f t="shared" si="23"/>
        <v/>
      </c>
      <c r="AI17" s="200"/>
      <c r="AJ17" s="197" t="str">
        <f t="shared" si="24"/>
        <v/>
      </c>
      <c r="AK17" s="195" t="str">
        <f t="shared" si="25"/>
        <v/>
      </c>
      <c r="AL17" s="196" t="str">
        <f t="shared" si="26"/>
        <v/>
      </c>
      <c r="AM17" s="195" t="str">
        <f t="shared" si="27"/>
        <v/>
      </c>
      <c r="AN17" s="231"/>
      <c r="AO17" s="197" t="str">
        <f t="shared" si="28"/>
        <v/>
      </c>
      <c r="AP17" s="195" t="str">
        <f t="shared" si="29"/>
        <v/>
      </c>
      <c r="AQ17" s="196" t="str">
        <f t="shared" si="30"/>
        <v/>
      </c>
      <c r="AR17" s="195" t="str">
        <f t="shared" si="31"/>
        <v/>
      </c>
      <c r="AS17" s="231"/>
      <c r="AT17" s="197" t="str">
        <f t="shared" si="32"/>
        <v/>
      </c>
      <c r="AU17" s="195" t="str">
        <f t="shared" si="33"/>
        <v/>
      </c>
      <c r="AV17" s="196" t="str">
        <f t="shared" si="34"/>
        <v/>
      </c>
      <c r="AW17" s="195" t="str">
        <f t="shared" si="35"/>
        <v/>
      </c>
      <c r="AX17" s="200"/>
      <c r="AY17" s="197" t="str">
        <f t="shared" si="36"/>
        <v/>
      </c>
      <c r="AZ17" s="195" t="str">
        <f t="shared" si="37"/>
        <v/>
      </c>
      <c r="BA17" s="196" t="str">
        <f t="shared" si="38"/>
        <v/>
      </c>
      <c r="BB17" s="195" t="str">
        <f t="shared" si="39"/>
        <v/>
      </c>
      <c r="BC17" s="200"/>
      <c r="BD17" s="197" t="str">
        <f t="shared" si="40"/>
        <v/>
      </c>
      <c r="BE17" s="195" t="str">
        <f t="shared" si="41"/>
        <v/>
      </c>
      <c r="BF17" s="196" t="str">
        <f t="shared" si="42"/>
        <v/>
      </c>
      <c r="BG17" s="195" t="str">
        <f t="shared" si="43"/>
        <v/>
      </c>
      <c r="BH17" s="200"/>
      <c r="BI17" s="197" t="str">
        <f t="shared" si="44"/>
        <v/>
      </c>
      <c r="BJ17" s="195" t="str">
        <f t="shared" si="45"/>
        <v/>
      </c>
      <c r="BK17" s="196" t="str">
        <f t="shared" si="46"/>
        <v/>
      </c>
      <c r="BL17" s="195" t="str">
        <f t="shared" si="47"/>
        <v/>
      </c>
      <c r="BM17" s="200"/>
      <c r="BN17" s="197" t="str">
        <f t="shared" si="48"/>
        <v/>
      </c>
    </row>
    <row r="18" spans="1:66" s="11" customFormat="1" ht="21">
      <c r="A18" s="195">
        <v>13</v>
      </c>
      <c r="B18" s="195" t="str">
        <f>IF('2.Students'' data'!E23="","",CONCATENATE('2.Students'' data'!E23,'2.Students'' data'!F23,'2.Students'' data'!G23,'2.Students'' data'!H23,'2.Students'' data'!I23,'2.Students'' data'!J23,'2.Students'' data'!K23,'2.Students'' data'!L23,'2.Students'' data'!M23,'2.Students'' data'!N23,'2.Students'' data'!O23,'2.Students'' data'!P23,'2.Students'' data'!Q23,))</f>
        <v/>
      </c>
      <c r="C18" s="195" t="str">
        <f>IF(IDstu13="","",IDstu13)</f>
        <v/>
      </c>
      <c r="D18" s="224" t="str">
        <f>CONCATENATE(TRIM(Name13),"  ",Surname13)</f>
        <v xml:space="preserve">  </v>
      </c>
      <c r="E18" s="197" t="str">
        <f t="shared" si="0"/>
        <v/>
      </c>
      <c r="F18" s="195" t="str">
        <f t="shared" si="1"/>
        <v/>
      </c>
      <c r="G18" s="195" t="str">
        <f t="shared" si="2"/>
        <v/>
      </c>
      <c r="H18" s="196" t="str">
        <f t="shared" si="3"/>
        <v/>
      </c>
      <c r="I18" s="195" t="str">
        <f t="shared" si="4"/>
        <v/>
      </c>
      <c r="J18" s="200"/>
      <c r="K18" s="197" t="str">
        <f t="shared" si="49"/>
        <v/>
      </c>
      <c r="L18" s="195" t="str">
        <f t="shared" si="5"/>
        <v/>
      </c>
      <c r="M18" s="196" t="str">
        <f t="shared" si="6"/>
        <v/>
      </c>
      <c r="N18" s="195" t="str">
        <f t="shared" si="7"/>
        <v/>
      </c>
      <c r="O18" s="231"/>
      <c r="P18" s="197" t="str">
        <f t="shared" si="8"/>
        <v/>
      </c>
      <c r="Q18" s="195" t="str">
        <f t="shared" si="9"/>
        <v/>
      </c>
      <c r="R18" s="196" t="str">
        <f t="shared" si="10"/>
        <v/>
      </c>
      <c r="S18" s="195" t="str">
        <f t="shared" si="11"/>
        <v/>
      </c>
      <c r="T18" s="200"/>
      <c r="U18" s="197" t="str">
        <f t="shared" si="12"/>
        <v/>
      </c>
      <c r="V18" s="195" t="str">
        <f t="shared" si="13"/>
        <v/>
      </c>
      <c r="W18" s="196" t="str">
        <f t="shared" si="14"/>
        <v/>
      </c>
      <c r="X18" s="195" t="str">
        <f t="shared" si="15"/>
        <v/>
      </c>
      <c r="Y18" s="200"/>
      <c r="Z18" s="197" t="str">
        <f t="shared" si="16"/>
        <v/>
      </c>
      <c r="AA18" s="195" t="str">
        <f t="shared" si="17"/>
        <v/>
      </c>
      <c r="AB18" s="196" t="str">
        <f t="shared" si="18"/>
        <v/>
      </c>
      <c r="AC18" s="195" t="str">
        <f t="shared" si="19"/>
        <v/>
      </c>
      <c r="AD18" s="200"/>
      <c r="AE18" s="197" t="str">
        <f t="shared" si="20"/>
        <v/>
      </c>
      <c r="AF18" s="195" t="str">
        <f t="shared" si="21"/>
        <v/>
      </c>
      <c r="AG18" s="196" t="str">
        <f t="shared" si="22"/>
        <v/>
      </c>
      <c r="AH18" s="195" t="str">
        <f t="shared" si="23"/>
        <v/>
      </c>
      <c r="AI18" s="200"/>
      <c r="AJ18" s="197" t="str">
        <f t="shared" si="24"/>
        <v/>
      </c>
      <c r="AK18" s="195" t="str">
        <f t="shared" si="25"/>
        <v/>
      </c>
      <c r="AL18" s="196" t="str">
        <f t="shared" si="26"/>
        <v/>
      </c>
      <c r="AM18" s="195" t="str">
        <f t="shared" si="27"/>
        <v/>
      </c>
      <c r="AN18" s="231"/>
      <c r="AO18" s="197" t="str">
        <f t="shared" si="28"/>
        <v/>
      </c>
      <c r="AP18" s="195" t="str">
        <f t="shared" si="29"/>
        <v/>
      </c>
      <c r="AQ18" s="196" t="str">
        <f t="shared" si="30"/>
        <v/>
      </c>
      <c r="AR18" s="195" t="str">
        <f t="shared" si="31"/>
        <v/>
      </c>
      <c r="AS18" s="231"/>
      <c r="AT18" s="197" t="str">
        <f t="shared" si="32"/>
        <v/>
      </c>
      <c r="AU18" s="195" t="str">
        <f t="shared" si="33"/>
        <v/>
      </c>
      <c r="AV18" s="196" t="str">
        <f t="shared" si="34"/>
        <v/>
      </c>
      <c r="AW18" s="195" t="str">
        <f t="shared" si="35"/>
        <v/>
      </c>
      <c r="AX18" s="200"/>
      <c r="AY18" s="197" t="str">
        <f t="shared" si="36"/>
        <v/>
      </c>
      <c r="AZ18" s="195" t="str">
        <f t="shared" si="37"/>
        <v/>
      </c>
      <c r="BA18" s="196" t="str">
        <f t="shared" si="38"/>
        <v/>
      </c>
      <c r="BB18" s="195" t="str">
        <f t="shared" si="39"/>
        <v/>
      </c>
      <c r="BC18" s="200"/>
      <c r="BD18" s="197" t="str">
        <f t="shared" si="40"/>
        <v/>
      </c>
      <c r="BE18" s="195" t="str">
        <f t="shared" si="41"/>
        <v/>
      </c>
      <c r="BF18" s="196" t="str">
        <f t="shared" si="42"/>
        <v/>
      </c>
      <c r="BG18" s="195" t="str">
        <f t="shared" si="43"/>
        <v/>
      </c>
      <c r="BH18" s="200"/>
      <c r="BI18" s="197" t="str">
        <f t="shared" si="44"/>
        <v/>
      </c>
      <c r="BJ18" s="195" t="str">
        <f t="shared" si="45"/>
        <v/>
      </c>
      <c r="BK18" s="196" t="str">
        <f t="shared" si="46"/>
        <v/>
      </c>
      <c r="BL18" s="195" t="str">
        <f t="shared" si="47"/>
        <v/>
      </c>
      <c r="BM18" s="200"/>
      <c r="BN18" s="197" t="str">
        <f t="shared" si="48"/>
        <v/>
      </c>
    </row>
    <row r="19" spans="1:66" s="11" customFormat="1" ht="21">
      <c r="A19" s="195">
        <v>14</v>
      </c>
      <c r="B19" s="195" t="str">
        <f>IF('2.Students'' data'!E24="","",CONCATENATE('2.Students'' data'!E24,'2.Students'' data'!F24,'2.Students'' data'!G24,'2.Students'' data'!H24,'2.Students'' data'!I24,'2.Students'' data'!J24,'2.Students'' data'!K24,'2.Students'' data'!L24,'2.Students'' data'!M24,'2.Students'' data'!N24,'2.Students'' data'!O24,'2.Students'' data'!P24,'2.Students'' data'!Q24,))</f>
        <v/>
      </c>
      <c r="C19" s="195" t="str">
        <f>IF(IDstu14="","",IDstu14)</f>
        <v/>
      </c>
      <c r="D19" s="224" t="str">
        <f>CONCATENATE(TRIM(Name14),"  ",Surname14)</f>
        <v xml:space="preserve">  </v>
      </c>
      <c r="E19" s="197" t="str">
        <f t="shared" si="0"/>
        <v/>
      </c>
      <c r="F19" s="195" t="str">
        <f t="shared" si="1"/>
        <v/>
      </c>
      <c r="G19" s="195" t="str">
        <f t="shared" si="2"/>
        <v/>
      </c>
      <c r="H19" s="196" t="str">
        <f t="shared" si="3"/>
        <v/>
      </c>
      <c r="I19" s="195" t="str">
        <f t="shared" si="4"/>
        <v/>
      </c>
      <c r="J19" s="200"/>
      <c r="K19" s="197" t="str">
        <f t="shared" si="49"/>
        <v/>
      </c>
      <c r="L19" s="195" t="str">
        <f t="shared" si="5"/>
        <v/>
      </c>
      <c r="M19" s="196" t="str">
        <f t="shared" si="6"/>
        <v/>
      </c>
      <c r="N19" s="195" t="str">
        <f t="shared" si="7"/>
        <v/>
      </c>
      <c r="O19" s="231"/>
      <c r="P19" s="197" t="str">
        <f t="shared" si="8"/>
        <v/>
      </c>
      <c r="Q19" s="195" t="str">
        <f t="shared" si="9"/>
        <v/>
      </c>
      <c r="R19" s="196" t="str">
        <f t="shared" si="10"/>
        <v/>
      </c>
      <c r="S19" s="195" t="str">
        <f t="shared" si="11"/>
        <v/>
      </c>
      <c r="T19" s="200"/>
      <c r="U19" s="197" t="str">
        <f t="shared" si="12"/>
        <v/>
      </c>
      <c r="V19" s="195" t="str">
        <f t="shared" si="13"/>
        <v/>
      </c>
      <c r="W19" s="196" t="str">
        <f t="shared" si="14"/>
        <v/>
      </c>
      <c r="X19" s="195" t="str">
        <f t="shared" si="15"/>
        <v/>
      </c>
      <c r="Y19" s="200"/>
      <c r="Z19" s="197" t="str">
        <f t="shared" si="16"/>
        <v/>
      </c>
      <c r="AA19" s="195" t="str">
        <f t="shared" si="17"/>
        <v/>
      </c>
      <c r="AB19" s="196" t="str">
        <f t="shared" si="18"/>
        <v/>
      </c>
      <c r="AC19" s="195" t="str">
        <f t="shared" si="19"/>
        <v/>
      </c>
      <c r="AD19" s="200"/>
      <c r="AE19" s="197" t="str">
        <f t="shared" si="20"/>
        <v/>
      </c>
      <c r="AF19" s="195" t="str">
        <f t="shared" si="21"/>
        <v/>
      </c>
      <c r="AG19" s="196" t="str">
        <f t="shared" si="22"/>
        <v/>
      </c>
      <c r="AH19" s="195" t="str">
        <f t="shared" si="23"/>
        <v/>
      </c>
      <c r="AI19" s="200"/>
      <c r="AJ19" s="197" t="str">
        <f t="shared" si="24"/>
        <v/>
      </c>
      <c r="AK19" s="195" t="str">
        <f t="shared" si="25"/>
        <v/>
      </c>
      <c r="AL19" s="196" t="str">
        <f t="shared" si="26"/>
        <v/>
      </c>
      <c r="AM19" s="195" t="str">
        <f t="shared" si="27"/>
        <v/>
      </c>
      <c r="AN19" s="231"/>
      <c r="AO19" s="197" t="str">
        <f t="shared" si="28"/>
        <v/>
      </c>
      <c r="AP19" s="195" t="str">
        <f t="shared" si="29"/>
        <v/>
      </c>
      <c r="AQ19" s="196" t="str">
        <f t="shared" si="30"/>
        <v/>
      </c>
      <c r="AR19" s="195" t="str">
        <f t="shared" si="31"/>
        <v/>
      </c>
      <c r="AS19" s="231"/>
      <c r="AT19" s="197" t="str">
        <f t="shared" si="32"/>
        <v/>
      </c>
      <c r="AU19" s="195" t="str">
        <f t="shared" si="33"/>
        <v/>
      </c>
      <c r="AV19" s="196" t="str">
        <f t="shared" si="34"/>
        <v/>
      </c>
      <c r="AW19" s="195" t="str">
        <f t="shared" si="35"/>
        <v/>
      </c>
      <c r="AX19" s="200"/>
      <c r="AY19" s="197" t="str">
        <f t="shared" si="36"/>
        <v/>
      </c>
      <c r="AZ19" s="195" t="str">
        <f t="shared" si="37"/>
        <v/>
      </c>
      <c r="BA19" s="196" t="str">
        <f t="shared" si="38"/>
        <v/>
      </c>
      <c r="BB19" s="195" t="str">
        <f t="shared" si="39"/>
        <v/>
      </c>
      <c r="BC19" s="200"/>
      <c r="BD19" s="197" t="str">
        <f t="shared" si="40"/>
        <v/>
      </c>
      <c r="BE19" s="195" t="str">
        <f t="shared" si="41"/>
        <v/>
      </c>
      <c r="BF19" s="196" t="str">
        <f t="shared" si="42"/>
        <v/>
      </c>
      <c r="BG19" s="195" t="str">
        <f t="shared" si="43"/>
        <v/>
      </c>
      <c r="BH19" s="200"/>
      <c r="BI19" s="197" t="str">
        <f t="shared" si="44"/>
        <v/>
      </c>
      <c r="BJ19" s="195" t="str">
        <f t="shared" si="45"/>
        <v/>
      </c>
      <c r="BK19" s="196" t="str">
        <f t="shared" si="46"/>
        <v/>
      </c>
      <c r="BL19" s="195" t="str">
        <f t="shared" si="47"/>
        <v/>
      </c>
      <c r="BM19" s="200"/>
      <c r="BN19" s="197" t="str">
        <f t="shared" si="48"/>
        <v/>
      </c>
    </row>
    <row r="20" spans="1:66" s="11" customFormat="1" ht="21">
      <c r="A20" s="195">
        <v>15</v>
      </c>
      <c r="B20" s="195" t="str">
        <f>IF('2.Students'' data'!E25="","",CONCATENATE('2.Students'' data'!E25,'2.Students'' data'!F25,'2.Students'' data'!G25,'2.Students'' data'!H25,'2.Students'' data'!I25,'2.Students'' data'!J25,'2.Students'' data'!K25,'2.Students'' data'!L25,'2.Students'' data'!M25,'2.Students'' data'!N25,'2.Students'' data'!O25,'2.Students'' data'!P25,'2.Students'' data'!Q25,))</f>
        <v/>
      </c>
      <c r="C20" s="195" t="str">
        <f>IF(IDstu15="","",IDstu15)</f>
        <v/>
      </c>
      <c r="D20" s="224" t="str">
        <f>CONCATENATE(TRIM(Name15),"  ",Surname15)</f>
        <v xml:space="preserve">  </v>
      </c>
      <c r="E20" s="197" t="str">
        <f t="shared" si="0"/>
        <v/>
      </c>
      <c r="F20" s="195" t="str">
        <f t="shared" si="1"/>
        <v/>
      </c>
      <c r="G20" s="195" t="str">
        <f t="shared" si="2"/>
        <v/>
      </c>
      <c r="H20" s="196" t="str">
        <f t="shared" si="3"/>
        <v/>
      </c>
      <c r="I20" s="195" t="str">
        <f t="shared" si="4"/>
        <v/>
      </c>
      <c r="J20" s="200"/>
      <c r="K20" s="197" t="str">
        <f t="shared" si="49"/>
        <v/>
      </c>
      <c r="L20" s="195" t="str">
        <f t="shared" si="5"/>
        <v/>
      </c>
      <c r="M20" s="196" t="str">
        <f t="shared" si="6"/>
        <v/>
      </c>
      <c r="N20" s="195" t="str">
        <f t="shared" si="7"/>
        <v/>
      </c>
      <c r="O20" s="231"/>
      <c r="P20" s="197" t="str">
        <f t="shared" si="8"/>
        <v/>
      </c>
      <c r="Q20" s="195" t="str">
        <f t="shared" si="9"/>
        <v/>
      </c>
      <c r="R20" s="196" t="str">
        <f t="shared" si="10"/>
        <v/>
      </c>
      <c r="S20" s="195" t="str">
        <f t="shared" si="11"/>
        <v/>
      </c>
      <c r="T20" s="200"/>
      <c r="U20" s="197" t="str">
        <f t="shared" si="12"/>
        <v/>
      </c>
      <c r="V20" s="195" t="str">
        <f t="shared" si="13"/>
        <v/>
      </c>
      <c r="W20" s="196" t="str">
        <f t="shared" si="14"/>
        <v/>
      </c>
      <c r="X20" s="195" t="str">
        <f t="shared" si="15"/>
        <v/>
      </c>
      <c r="Y20" s="200"/>
      <c r="Z20" s="197" t="str">
        <f t="shared" si="16"/>
        <v/>
      </c>
      <c r="AA20" s="195" t="str">
        <f t="shared" si="17"/>
        <v/>
      </c>
      <c r="AB20" s="196" t="str">
        <f t="shared" si="18"/>
        <v/>
      </c>
      <c r="AC20" s="195" t="str">
        <f t="shared" si="19"/>
        <v/>
      </c>
      <c r="AD20" s="200"/>
      <c r="AE20" s="197" t="str">
        <f t="shared" si="20"/>
        <v/>
      </c>
      <c r="AF20" s="195" t="str">
        <f t="shared" si="21"/>
        <v/>
      </c>
      <c r="AG20" s="196" t="str">
        <f t="shared" si="22"/>
        <v/>
      </c>
      <c r="AH20" s="195" t="str">
        <f t="shared" si="23"/>
        <v/>
      </c>
      <c r="AI20" s="200"/>
      <c r="AJ20" s="197" t="str">
        <f t="shared" si="24"/>
        <v/>
      </c>
      <c r="AK20" s="195" t="str">
        <f t="shared" si="25"/>
        <v/>
      </c>
      <c r="AL20" s="196" t="str">
        <f t="shared" si="26"/>
        <v/>
      </c>
      <c r="AM20" s="195" t="str">
        <f t="shared" si="27"/>
        <v/>
      </c>
      <c r="AN20" s="231"/>
      <c r="AO20" s="197" t="str">
        <f t="shared" si="28"/>
        <v/>
      </c>
      <c r="AP20" s="195" t="str">
        <f t="shared" si="29"/>
        <v/>
      </c>
      <c r="AQ20" s="196" t="str">
        <f t="shared" si="30"/>
        <v/>
      </c>
      <c r="AR20" s="195" t="str">
        <f t="shared" si="31"/>
        <v/>
      </c>
      <c r="AS20" s="231"/>
      <c r="AT20" s="197" t="str">
        <f t="shared" si="32"/>
        <v/>
      </c>
      <c r="AU20" s="195" t="str">
        <f t="shared" si="33"/>
        <v/>
      </c>
      <c r="AV20" s="196" t="str">
        <f t="shared" si="34"/>
        <v/>
      </c>
      <c r="AW20" s="195" t="str">
        <f t="shared" si="35"/>
        <v/>
      </c>
      <c r="AX20" s="200"/>
      <c r="AY20" s="197" t="str">
        <f t="shared" si="36"/>
        <v/>
      </c>
      <c r="AZ20" s="195" t="str">
        <f t="shared" si="37"/>
        <v/>
      </c>
      <c r="BA20" s="196" t="str">
        <f t="shared" si="38"/>
        <v/>
      </c>
      <c r="BB20" s="195" t="str">
        <f t="shared" si="39"/>
        <v/>
      </c>
      <c r="BC20" s="200"/>
      <c r="BD20" s="197" t="str">
        <f t="shared" si="40"/>
        <v/>
      </c>
      <c r="BE20" s="195" t="str">
        <f t="shared" si="41"/>
        <v/>
      </c>
      <c r="BF20" s="196" t="str">
        <f t="shared" si="42"/>
        <v/>
      </c>
      <c r="BG20" s="195" t="str">
        <f t="shared" si="43"/>
        <v/>
      </c>
      <c r="BH20" s="200"/>
      <c r="BI20" s="197" t="str">
        <f t="shared" si="44"/>
        <v/>
      </c>
      <c r="BJ20" s="195" t="str">
        <f t="shared" si="45"/>
        <v/>
      </c>
      <c r="BK20" s="196" t="str">
        <f t="shared" si="46"/>
        <v/>
      </c>
      <c r="BL20" s="195" t="str">
        <f t="shared" si="47"/>
        <v/>
      </c>
      <c r="BM20" s="200"/>
      <c r="BN20" s="197" t="str">
        <f t="shared" si="48"/>
        <v/>
      </c>
    </row>
    <row r="21" spans="1:66" s="11" customFormat="1" ht="21">
      <c r="A21" s="195">
        <v>16</v>
      </c>
      <c r="B21" s="195" t="str">
        <f>IF('2.Students'' data'!E26="","",CONCATENATE('2.Students'' data'!E26,'2.Students'' data'!F26,'2.Students'' data'!G26,'2.Students'' data'!H26,'2.Students'' data'!I26,'2.Students'' data'!J26,'2.Students'' data'!K26,'2.Students'' data'!L26,'2.Students'' data'!M26,'2.Students'' data'!N26,'2.Students'' data'!O26,'2.Students'' data'!P26,'2.Students'' data'!Q26,))</f>
        <v/>
      </c>
      <c r="C21" s="195" t="str">
        <f>IF(IDstu16="","",IDstu16)</f>
        <v/>
      </c>
      <c r="D21" s="224" t="str">
        <f>CONCATENATE(TRIM(Name16),"  ",Surname16)</f>
        <v xml:space="preserve">  </v>
      </c>
      <c r="E21" s="197" t="str">
        <f t="shared" si="0"/>
        <v/>
      </c>
      <c r="F21" s="195" t="str">
        <f t="shared" si="1"/>
        <v/>
      </c>
      <c r="G21" s="195" t="str">
        <f t="shared" si="2"/>
        <v/>
      </c>
      <c r="H21" s="196" t="str">
        <f t="shared" si="3"/>
        <v/>
      </c>
      <c r="I21" s="195" t="str">
        <f t="shared" si="4"/>
        <v/>
      </c>
      <c r="J21" s="200"/>
      <c r="K21" s="197" t="str">
        <f t="shared" si="49"/>
        <v/>
      </c>
      <c r="L21" s="195" t="str">
        <f t="shared" si="5"/>
        <v/>
      </c>
      <c r="M21" s="196" t="str">
        <f t="shared" si="6"/>
        <v/>
      </c>
      <c r="N21" s="195" t="str">
        <f t="shared" si="7"/>
        <v/>
      </c>
      <c r="O21" s="231"/>
      <c r="P21" s="197" t="str">
        <f t="shared" si="8"/>
        <v/>
      </c>
      <c r="Q21" s="195" t="str">
        <f t="shared" si="9"/>
        <v/>
      </c>
      <c r="R21" s="196" t="str">
        <f t="shared" si="10"/>
        <v/>
      </c>
      <c r="S21" s="195" t="str">
        <f t="shared" si="11"/>
        <v/>
      </c>
      <c r="T21" s="200"/>
      <c r="U21" s="197" t="str">
        <f t="shared" si="12"/>
        <v/>
      </c>
      <c r="V21" s="195" t="str">
        <f t="shared" si="13"/>
        <v/>
      </c>
      <c r="W21" s="196" t="str">
        <f t="shared" si="14"/>
        <v/>
      </c>
      <c r="X21" s="195" t="str">
        <f t="shared" si="15"/>
        <v/>
      </c>
      <c r="Y21" s="200"/>
      <c r="Z21" s="197" t="str">
        <f t="shared" si="16"/>
        <v/>
      </c>
      <c r="AA21" s="195" t="str">
        <f t="shared" si="17"/>
        <v/>
      </c>
      <c r="AB21" s="196" t="str">
        <f t="shared" si="18"/>
        <v/>
      </c>
      <c r="AC21" s="195" t="str">
        <f t="shared" si="19"/>
        <v/>
      </c>
      <c r="AD21" s="200"/>
      <c r="AE21" s="197" t="str">
        <f t="shared" si="20"/>
        <v/>
      </c>
      <c r="AF21" s="195" t="str">
        <f t="shared" si="21"/>
        <v/>
      </c>
      <c r="AG21" s="196" t="str">
        <f t="shared" si="22"/>
        <v/>
      </c>
      <c r="AH21" s="195" t="str">
        <f t="shared" si="23"/>
        <v/>
      </c>
      <c r="AI21" s="200"/>
      <c r="AJ21" s="197" t="str">
        <f t="shared" si="24"/>
        <v/>
      </c>
      <c r="AK21" s="195" t="str">
        <f t="shared" si="25"/>
        <v/>
      </c>
      <c r="AL21" s="196" t="str">
        <f t="shared" si="26"/>
        <v/>
      </c>
      <c r="AM21" s="195" t="str">
        <f t="shared" si="27"/>
        <v/>
      </c>
      <c r="AN21" s="231"/>
      <c r="AO21" s="197" t="str">
        <f t="shared" si="28"/>
        <v/>
      </c>
      <c r="AP21" s="195" t="str">
        <f t="shared" si="29"/>
        <v/>
      </c>
      <c r="AQ21" s="196" t="str">
        <f t="shared" si="30"/>
        <v/>
      </c>
      <c r="AR21" s="195" t="str">
        <f t="shared" si="31"/>
        <v/>
      </c>
      <c r="AS21" s="231"/>
      <c r="AT21" s="197" t="str">
        <f t="shared" si="32"/>
        <v/>
      </c>
      <c r="AU21" s="195" t="str">
        <f t="shared" si="33"/>
        <v/>
      </c>
      <c r="AV21" s="196" t="str">
        <f t="shared" si="34"/>
        <v/>
      </c>
      <c r="AW21" s="195" t="str">
        <f t="shared" si="35"/>
        <v/>
      </c>
      <c r="AX21" s="200"/>
      <c r="AY21" s="197" t="str">
        <f t="shared" si="36"/>
        <v/>
      </c>
      <c r="AZ21" s="195" t="str">
        <f t="shared" si="37"/>
        <v/>
      </c>
      <c r="BA21" s="196" t="str">
        <f t="shared" si="38"/>
        <v/>
      </c>
      <c r="BB21" s="195" t="str">
        <f t="shared" si="39"/>
        <v/>
      </c>
      <c r="BC21" s="200"/>
      <c r="BD21" s="197" t="str">
        <f t="shared" si="40"/>
        <v/>
      </c>
      <c r="BE21" s="195" t="str">
        <f t="shared" si="41"/>
        <v/>
      </c>
      <c r="BF21" s="196" t="str">
        <f t="shared" si="42"/>
        <v/>
      </c>
      <c r="BG21" s="195" t="str">
        <f t="shared" si="43"/>
        <v/>
      </c>
      <c r="BH21" s="200"/>
      <c r="BI21" s="197" t="str">
        <f t="shared" si="44"/>
        <v/>
      </c>
      <c r="BJ21" s="195" t="str">
        <f t="shared" si="45"/>
        <v/>
      </c>
      <c r="BK21" s="196" t="str">
        <f t="shared" si="46"/>
        <v/>
      </c>
      <c r="BL21" s="195" t="str">
        <f t="shared" si="47"/>
        <v/>
      </c>
      <c r="BM21" s="200"/>
      <c r="BN21" s="197" t="str">
        <f t="shared" si="48"/>
        <v/>
      </c>
    </row>
    <row r="22" spans="1:66" s="11" customFormat="1" ht="21">
      <c r="A22" s="195">
        <v>17</v>
      </c>
      <c r="B22" s="195" t="str">
        <f>IF('2.Students'' data'!E27="","",CONCATENATE('2.Students'' data'!E27,'2.Students'' data'!F27,'2.Students'' data'!G27,'2.Students'' data'!H27,'2.Students'' data'!I27,'2.Students'' data'!J27,'2.Students'' data'!K27,'2.Students'' data'!L27,'2.Students'' data'!M27,'2.Students'' data'!N27,'2.Students'' data'!O27,'2.Students'' data'!P27,'2.Students'' data'!Q27,))</f>
        <v/>
      </c>
      <c r="C22" s="195" t="str">
        <f>IF(IDstu17="","",IDstu17)</f>
        <v/>
      </c>
      <c r="D22" s="224" t="str">
        <f>CONCATENATE(TRIM(Name17),"  ",Surname17)</f>
        <v xml:space="preserve">  </v>
      </c>
      <c r="E22" s="197" t="str">
        <f t="shared" si="0"/>
        <v/>
      </c>
      <c r="F22" s="195" t="str">
        <f t="shared" si="1"/>
        <v/>
      </c>
      <c r="G22" s="195" t="str">
        <f t="shared" si="2"/>
        <v/>
      </c>
      <c r="H22" s="196" t="str">
        <f t="shared" si="3"/>
        <v/>
      </c>
      <c r="I22" s="195" t="str">
        <f t="shared" si="4"/>
        <v/>
      </c>
      <c r="J22" s="200"/>
      <c r="K22" s="197" t="str">
        <f t="shared" si="49"/>
        <v/>
      </c>
      <c r="L22" s="195" t="str">
        <f t="shared" si="5"/>
        <v/>
      </c>
      <c r="M22" s="196" t="str">
        <f t="shared" si="6"/>
        <v/>
      </c>
      <c r="N22" s="195" t="str">
        <f t="shared" si="7"/>
        <v/>
      </c>
      <c r="O22" s="231"/>
      <c r="P22" s="197" t="str">
        <f t="shared" si="8"/>
        <v/>
      </c>
      <c r="Q22" s="195" t="str">
        <f t="shared" si="9"/>
        <v/>
      </c>
      <c r="R22" s="196" t="str">
        <f t="shared" si="10"/>
        <v/>
      </c>
      <c r="S22" s="195" t="str">
        <f t="shared" si="11"/>
        <v/>
      </c>
      <c r="T22" s="200"/>
      <c r="U22" s="197" t="str">
        <f t="shared" si="12"/>
        <v/>
      </c>
      <c r="V22" s="195" t="str">
        <f t="shared" si="13"/>
        <v/>
      </c>
      <c r="W22" s="196" t="str">
        <f t="shared" si="14"/>
        <v/>
      </c>
      <c r="X22" s="195" t="str">
        <f t="shared" si="15"/>
        <v/>
      </c>
      <c r="Y22" s="200"/>
      <c r="Z22" s="197" t="str">
        <f t="shared" si="16"/>
        <v/>
      </c>
      <c r="AA22" s="195" t="str">
        <f t="shared" si="17"/>
        <v/>
      </c>
      <c r="AB22" s="196" t="str">
        <f t="shared" si="18"/>
        <v/>
      </c>
      <c r="AC22" s="195" t="str">
        <f t="shared" si="19"/>
        <v/>
      </c>
      <c r="AD22" s="200"/>
      <c r="AE22" s="197" t="str">
        <f t="shared" si="20"/>
        <v/>
      </c>
      <c r="AF22" s="195" t="str">
        <f t="shared" si="21"/>
        <v/>
      </c>
      <c r="AG22" s="196" t="str">
        <f t="shared" si="22"/>
        <v/>
      </c>
      <c r="AH22" s="195" t="str">
        <f t="shared" si="23"/>
        <v/>
      </c>
      <c r="AI22" s="200"/>
      <c r="AJ22" s="197" t="str">
        <f t="shared" si="24"/>
        <v/>
      </c>
      <c r="AK22" s="195" t="str">
        <f t="shared" si="25"/>
        <v/>
      </c>
      <c r="AL22" s="196" t="str">
        <f t="shared" si="26"/>
        <v/>
      </c>
      <c r="AM22" s="195" t="str">
        <f t="shared" si="27"/>
        <v/>
      </c>
      <c r="AN22" s="231"/>
      <c r="AO22" s="197" t="str">
        <f t="shared" si="28"/>
        <v/>
      </c>
      <c r="AP22" s="195" t="str">
        <f t="shared" si="29"/>
        <v/>
      </c>
      <c r="AQ22" s="196" t="str">
        <f t="shared" si="30"/>
        <v/>
      </c>
      <c r="AR22" s="195" t="str">
        <f t="shared" si="31"/>
        <v/>
      </c>
      <c r="AS22" s="231"/>
      <c r="AT22" s="197" t="str">
        <f t="shared" si="32"/>
        <v/>
      </c>
      <c r="AU22" s="195" t="str">
        <f t="shared" si="33"/>
        <v/>
      </c>
      <c r="AV22" s="196" t="str">
        <f t="shared" si="34"/>
        <v/>
      </c>
      <c r="AW22" s="195" t="str">
        <f t="shared" si="35"/>
        <v/>
      </c>
      <c r="AX22" s="200"/>
      <c r="AY22" s="197" t="str">
        <f t="shared" si="36"/>
        <v/>
      </c>
      <c r="AZ22" s="195" t="str">
        <f t="shared" si="37"/>
        <v/>
      </c>
      <c r="BA22" s="196" t="str">
        <f t="shared" si="38"/>
        <v/>
      </c>
      <c r="BB22" s="195" t="str">
        <f t="shared" si="39"/>
        <v/>
      </c>
      <c r="BC22" s="200"/>
      <c r="BD22" s="197" t="str">
        <f t="shared" si="40"/>
        <v/>
      </c>
      <c r="BE22" s="195" t="str">
        <f t="shared" si="41"/>
        <v/>
      </c>
      <c r="BF22" s="196" t="str">
        <f t="shared" si="42"/>
        <v/>
      </c>
      <c r="BG22" s="195" t="str">
        <f t="shared" si="43"/>
        <v/>
      </c>
      <c r="BH22" s="200"/>
      <c r="BI22" s="197" t="str">
        <f t="shared" si="44"/>
        <v/>
      </c>
      <c r="BJ22" s="195" t="str">
        <f t="shared" si="45"/>
        <v/>
      </c>
      <c r="BK22" s="196" t="str">
        <f t="shared" si="46"/>
        <v/>
      </c>
      <c r="BL22" s="195" t="str">
        <f t="shared" si="47"/>
        <v/>
      </c>
      <c r="BM22" s="200"/>
      <c r="BN22" s="197" t="str">
        <f t="shared" si="48"/>
        <v/>
      </c>
    </row>
    <row r="23" spans="1:66" s="11" customFormat="1" ht="21">
      <c r="A23" s="195">
        <v>18</v>
      </c>
      <c r="B23" s="195" t="str">
        <f>IF('2.Students'' data'!E28="","",CONCATENATE('2.Students'' data'!E28,'2.Students'' data'!F28,'2.Students'' data'!G28,'2.Students'' data'!H28,'2.Students'' data'!I28,'2.Students'' data'!J28,'2.Students'' data'!K28,'2.Students'' data'!L28,'2.Students'' data'!M28,'2.Students'' data'!N28,'2.Students'' data'!O28,'2.Students'' data'!P28,'2.Students'' data'!Q28,))</f>
        <v/>
      </c>
      <c r="C23" s="195" t="str">
        <f>IF(IDstu18="","",IDstu18)</f>
        <v/>
      </c>
      <c r="D23" s="224" t="str">
        <f>CONCATENATE(TRIM(Name18),"  ",Surname18)</f>
        <v xml:space="preserve">  </v>
      </c>
      <c r="E23" s="197" t="str">
        <f t="shared" si="0"/>
        <v/>
      </c>
      <c r="F23" s="195" t="str">
        <f t="shared" si="1"/>
        <v/>
      </c>
      <c r="G23" s="195" t="str">
        <f t="shared" si="2"/>
        <v/>
      </c>
      <c r="H23" s="196" t="str">
        <f t="shared" si="3"/>
        <v/>
      </c>
      <c r="I23" s="195" t="str">
        <f t="shared" si="4"/>
        <v/>
      </c>
      <c r="J23" s="200"/>
      <c r="K23" s="197" t="str">
        <f t="shared" si="49"/>
        <v/>
      </c>
      <c r="L23" s="195" t="str">
        <f t="shared" si="5"/>
        <v/>
      </c>
      <c r="M23" s="196" t="str">
        <f t="shared" si="6"/>
        <v/>
      </c>
      <c r="N23" s="195" t="str">
        <f t="shared" si="7"/>
        <v/>
      </c>
      <c r="O23" s="231"/>
      <c r="P23" s="197" t="str">
        <f t="shared" si="8"/>
        <v/>
      </c>
      <c r="Q23" s="195" t="str">
        <f t="shared" si="9"/>
        <v/>
      </c>
      <c r="R23" s="196" t="str">
        <f t="shared" si="10"/>
        <v/>
      </c>
      <c r="S23" s="195" t="str">
        <f t="shared" si="11"/>
        <v/>
      </c>
      <c r="T23" s="200"/>
      <c r="U23" s="197" t="str">
        <f t="shared" si="12"/>
        <v/>
      </c>
      <c r="V23" s="195" t="str">
        <f t="shared" si="13"/>
        <v/>
      </c>
      <c r="W23" s="196" t="str">
        <f t="shared" si="14"/>
        <v/>
      </c>
      <c r="X23" s="195" t="str">
        <f t="shared" si="15"/>
        <v/>
      </c>
      <c r="Y23" s="200"/>
      <c r="Z23" s="197" t="str">
        <f t="shared" si="16"/>
        <v/>
      </c>
      <c r="AA23" s="195" t="str">
        <f t="shared" si="17"/>
        <v/>
      </c>
      <c r="AB23" s="196" t="str">
        <f t="shared" si="18"/>
        <v/>
      </c>
      <c r="AC23" s="195" t="str">
        <f t="shared" si="19"/>
        <v/>
      </c>
      <c r="AD23" s="200"/>
      <c r="AE23" s="197" t="str">
        <f t="shared" si="20"/>
        <v/>
      </c>
      <c r="AF23" s="195" t="str">
        <f t="shared" si="21"/>
        <v/>
      </c>
      <c r="AG23" s="196" t="str">
        <f t="shared" si="22"/>
        <v/>
      </c>
      <c r="AH23" s="195" t="str">
        <f t="shared" si="23"/>
        <v/>
      </c>
      <c r="AI23" s="200"/>
      <c r="AJ23" s="197" t="str">
        <f t="shared" si="24"/>
        <v/>
      </c>
      <c r="AK23" s="195" t="str">
        <f t="shared" si="25"/>
        <v/>
      </c>
      <c r="AL23" s="196" t="str">
        <f t="shared" si="26"/>
        <v/>
      </c>
      <c r="AM23" s="195" t="str">
        <f t="shared" si="27"/>
        <v/>
      </c>
      <c r="AN23" s="231"/>
      <c r="AO23" s="197" t="str">
        <f t="shared" si="28"/>
        <v/>
      </c>
      <c r="AP23" s="195" t="str">
        <f t="shared" si="29"/>
        <v/>
      </c>
      <c r="AQ23" s="196" t="str">
        <f t="shared" si="30"/>
        <v/>
      </c>
      <c r="AR23" s="195" t="str">
        <f t="shared" si="31"/>
        <v/>
      </c>
      <c r="AS23" s="231"/>
      <c r="AT23" s="197" t="str">
        <f t="shared" si="32"/>
        <v/>
      </c>
      <c r="AU23" s="195" t="str">
        <f t="shared" si="33"/>
        <v/>
      </c>
      <c r="AV23" s="196" t="str">
        <f t="shared" si="34"/>
        <v/>
      </c>
      <c r="AW23" s="195" t="str">
        <f t="shared" si="35"/>
        <v/>
      </c>
      <c r="AX23" s="200"/>
      <c r="AY23" s="197" t="str">
        <f t="shared" si="36"/>
        <v/>
      </c>
      <c r="AZ23" s="195" t="str">
        <f t="shared" si="37"/>
        <v/>
      </c>
      <c r="BA23" s="196" t="str">
        <f t="shared" si="38"/>
        <v/>
      </c>
      <c r="BB23" s="195" t="str">
        <f t="shared" si="39"/>
        <v/>
      </c>
      <c r="BC23" s="200"/>
      <c r="BD23" s="197" t="str">
        <f t="shared" si="40"/>
        <v/>
      </c>
      <c r="BE23" s="195" t="str">
        <f t="shared" si="41"/>
        <v/>
      </c>
      <c r="BF23" s="196" t="str">
        <f t="shared" si="42"/>
        <v/>
      </c>
      <c r="BG23" s="195" t="str">
        <f t="shared" si="43"/>
        <v/>
      </c>
      <c r="BH23" s="200"/>
      <c r="BI23" s="197" t="str">
        <f t="shared" si="44"/>
        <v/>
      </c>
      <c r="BJ23" s="195" t="str">
        <f t="shared" si="45"/>
        <v/>
      </c>
      <c r="BK23" s="196" t="str">
        <f t="shared" si="46"/>
        <v/>
      </c>
      <c r="BL23" s="195" t="str">
        <f t="shared" si="47"/>
        <v/>
      </c>
      <c r="BM23" s="200"/>
      <c r="BN23" s="197" t="str">
        <f t="shared" si="48"/>
        <v/>
      </c>
    </row>
    <row r="24" spans="1:66" s="11" customFormat="1" ht="21">
      <c r="A24" s="195">
        <v>19</v>
      </c>
      <c r="B24" s="195" t="str">
        <f>IF('2.Students'' data'!E29="","",CONCATENATE('2.Students'' data'!E29,'2.Students'' data'!F29,'2.Students'' data'!G29,'2.Students'' data'!H29,'2.Students'' data'!I29,'2.Students'' data'!J29,'2.Students'' data'!K29,'2.Students'' data'!L29,'2.Students'' data'!M29,'2.Students'' data'!N29,'2.Students'' data'!O29,'2.Students'' data'!P29,'2.Students'' data'!Q29,))</f>
        <v/>
      </c>
      <c r="C24" s="195" t="str">
        <f>IF(IDstu19="","",IDstu19)</f>
        <v/>
      </c>
      <c r="D24" s="224" t="str">
        <f>CONCATENATE(TRIM(Name19),"  ",Surname19)</f>
        <v xml:space="preserve">  </v>
      </c>
      <c r="E24" s="197" t="str">
        <f t="shared" si="0"/>
        <v/>
      </c>
      <c r="F24" s="195" t="str">
        <f t="shared" si="1"/>
        <v/>
      </c>
      <c r="G24" s="195" t="str">
        <f t="shared" si="2"/>
        <v/>
      </c>
      <c r="H24" s="196" t="str">
        <f t="shared" si="3"/>
        <v/>
      </c>
      <c r="I24" s="195" t="str">
        <f t="shared" si="4"/>
        <v/>
      </c>
      <c r="J24" s="200"/>
      <c r="K24" s="197" t="str">
        <f t="shared" si="49"/>
        <v/>
      </c>
      <c r="L24" s="195" t="str">
        <f t="shared" si="5"/>
        <v/>
      </c>
      <c r="M24" s="196" t="str">
        <f t="shared" si="6"/>
        <v/>
      </c>
      <c r="N24" s="195" t="str">
        <f t="shared" si="7"/>
        <v/>
      </c>
      <c r="O24" s="231"/>
      <c r="P24" s="197" t="str">
        <f t="shared" si="8"/>
        <v/>
      </c>
      <c r="Q24" s="195" t="str">
        <f t="shared" si="9"/>
        <v/>
      </c>
      <c r="R24" s="196" t="str">
        <f t="shared" si="10"/>
        <v/>
      </c>
      <c r="S24" s="195" t="str">
        <f t="shared" si="11"/>
        <v/>
      </c>
      <c r="T24" s="200"/>
      <c r="U24" s="197" t="str">
        <f t="shared" si="12"/>
        <v/>
      </c>
      <c r="V24" s="195" t="str">
        <f t="shared" si="13"/>
        <v/>
      </c>
      <c r="W24" s="196" t="str">
        <f t="shared" si="14"/>
        <v/>
      </c>
      <c r="X24" s="195" t="str">
        <f t="shared" si="15"/>
        <v/>
      </c>
      <c r="Y24" s="200"/>
      <c r="Z24" s="197" t="str">
        <f t="shared" si="16"/>
        <v/>
      </c>
      <c r="AA24" s="195" t="str">
        <f t="shared" si="17"/>
        <v/>
      </c>
      <c r="AB24" s="196" t="str">
        <f t="shared" si="18"/>
        <v/>
      </c>
      <c r="AC24" s="195" t="str">
        <f t="shared" si="19"/>
        <v/>
      </c>
      <c r="AD24" s="200"/>
      <c r="AE24" s="197" t="str">
        <f t="shared" si="20"/>
        <v/>
      </c>
      <c r="AF24" s="195" t="str">
        <f t="shared" si="21"/>
        <v/>
      </c>
      <c r="AG24" s="196" t="str">
        <f t="shared" si="22"/>
        <v/>
      </c>
      <c r="AH24" s="195" t="str">
        <f t="shared" si="23"/>
        <v/>
      </c>
      <c r="AI24" s="200"/>
      <c r="AJ24" s="197" t="str">
        <f t="shared" si="24"/>
        <v/>
      </c>
      <c r="AK24" s="195" t="str">
        <f t="shared" si="25"/>
        <v/>
      </c>
      <c r="AL24" s="196" t="str">
        <f t="shared" si="26"/>
        <v/>
      </c>
      <c r="AM24" s="195" t="str">
        <f t="shared" si="27"/>
        <v/>
      </c>
      <c r="AN24" s="231"/>
      <c r="AO24" s="197" t="str">
        <f t="shared" si="28"/>
        <v/>
      </c>
      <c r="AP24" s="195" t="str">
        <f t="shared" si="29"/>
        <v/>
      </c>
      <c r="AQ24" s="196" t="str">
        <f t="shared" si="30"/>
        <v/>
      </c>
      <c r="AR24" s="195" t="str">
        <f t="shared" si="31"/>
        <v/>
      </c>
      <c r="AS24" s="231"/>
      <c r="AT24" s="197" t="str">
        <f t="shared" si="32"/>
        <v/>
      </c>
      <c r="AU24" s="195" t="str">
        <f t="shared" si="33"/>
        <v/>
      </c>
      <c r="AV24" s="196" t="str">
        <f t="shared" si="34"/>
        <v/>
      </c>
      <c r="AW24" s="195" t="str">
        <f t="shared" si="35"/>
        <v/>
      </c>
      <c r="AX24" s="200"/>
      <c r="AY24" s="197" t="str">
        <f t="shared" si="36"/>
        <v/>
      </c>
      <c r="AZ24" s="195" t="str">
        <f t="shared" si="37"/>
        <v/>
      </c>
      <c r="BA24" s="196" t="str">
        <f t="shared" si="38"/>
        <v/>
      </c>
      <c r="BB24" s="195" t="str">
        <f t="shared" si="39"/>
        <v/>
      </c>
      <c r="BC24" s="200"/>
      <c r="BD24" s="197" t="str">
        <f t="shared" si="40"/>
        <v/>
      </c>
      <c r="BE24" s="195" t="str">
        <f t="shared" si="41"/>
        <v/>
      </c>
      <c r="BF24" s="196" t="str">
        <f t="shared" si="42"/>
        <v/>
      </c>
      <c r="BG24" s="195" t="str">
        <f t="shared" si="43"/>
        <v/>
      </c>
      <c r="BH24" s="200"/>
      <c r="BI24" s="197" t="str">
        <f t="shared" si="44"/>
        <v/>
      </c>
      <c r="BJ24" s="195" t="str">
        <f t="shared" si="45"/>
        <v/>
      </c>
      <c r="BK24" s="196" t="str">
        <f t="shared" si="46"/>
        <v/>
      </c>
      <c r="BL24" s="195" t="str">
        <f t="shared" si="47"/>
        <v/>
      </c>
      <c r="BM24" s="200"/>
      <c r="BN24" s="197" t="str">
        <f t="shared" si="48"/>
        <v/>
      </c>
    </row>
    <row r="25" spans="1:66" s="11" customFormat="1" ht="21">
      <c r="A25" s="195">
        <v>20</v>
      </c>
      <c r="B25" s="195" t="str">
        <f>IF('2.Students'' data'!E30="","",CONCATENATE('2.Students'' data'!E30,'2.Students'' data'!F30,'2.Students'' data'!G30,'2.Students'' data'!H30,'2.Students'' data'!I30,'2.Students'' data'!J30,'2.Students'' data'!K30,'2.Students'' data'!L30,'2.Students'' data'!M30,'2.Students'' data'!N30,'2.Students'' data'!O30,'2.Students'' data'!P30,'2.Students'' data'!Q30,))</f>
        <v/>
      </c>
      <c r="C25" s="195" t="str">
        <f>IF(IDstu20="","",IDstu20)</f>
        <v/>
      </c>
      <c r="D25" s="224" t="str">
        <f>CONCATENATE(TRIM(Name20),"  ",Surname20)</f>
        <v xml:space="preserve">  </v>
      </c>
      <c r="E25" s="197" t="str">
        <f t="shared" si="0"/>
        <v/>
      </c>
      <c r="F25" s="195" t="str">
        <f t="shared" si="1"/>
        <v/>
      </c>
      <c r="G25" s="195" t="str">
        <f t="shared" si="2"/>
        <v/>
      </c>
      <c r="H25" s="196" t="str">
        <f t="shared" si="3"/>
        <v/>
      </c>
      <c r="I25" s="195" t="str">
        <f t="shared" si="4"/>
        <v/>
      </c>
      <c r="J25" s="200"/>
      <c r="K25" s="197" t="str">
        <f t="shared" si="49"/>
        <v/>
      </c>
      <c r="L25" s="195" t="str">
        <f t="shared" si="5"/>
        <v/>
      </c>
      <c r="M25" s="196" t="str">
        <f t="shared" si="6"/>
        <v/>
      </c>
      <c r="N25" s="195" t="str">
        <f t="shared" si="7"/>
        <v/>
      </c>
      <c r="O25" s="231"/>
      <c r="P25" s="197" t="str">
        <f t="shared" si="8"/>
        <v/>
      </c>
      <c r="Q25" s="195" t="str">
        <f t="shared" si="9"/>
        <v/>
      </c>
      <c r="R25" s="196" t="str">
        <f t="shared" si="10"/>
        <v/>
      </c>
      <c r="S25" s="195" t="str">
        <f t="shared" si="11"/>
        <v/>
      </c>
      <c r="T25" s="200"/>
      <c r="U25" s="197" t="str">
        <f t="shared" si="12"/>
        <v/>
      </c>
      <c r="V25" s="195" t="str">
        <f t="shared" si="13"/>
        <v/>
      </c>
      <c r="W25" s="196" t="str">
        <f t="shared" si="14"/>
        <v/>
      </c>
      <c r="X25" s="195" t="str">
        <f t="shared" si="15"/>
        <v/>
      </c>
      <c r="Y25" s="200"/>
      <c r="Z25" s="197" t="str">
        <f t="shared" si="16"/>
        <v/>
      </c>
      <c r="AA25" s="195" t="str">
        <f t="shared" si="17"/>
        <v/>
      </c>
      <c r="AB25" s="196" t="str">
        <f t="shared" si="18"/>
        <v/>
      </c>
      <c r="AC25" s="195" t="str">
        <f t="shared" si="19"/>
        <v/>
      </c>
      <c r="AD25" s="200"/>
      <c r="AE25" s="197" t="str">
        <f t="shared" si="20"/>
        <v/>
      </c>
      <c r="AF25" s="195" t="str">
        <f t="shared" si="21"/>
        <v/>
      </c>
      <c r="AG25" s="196" t="str">
        <f t="shared" si="22"/>
        <v/>
      </c>
      <c r="AH25" s="195" t="str">
        <f t="shared" si="23"/>
        <v/>
      </c>
      <c r="AI25" s="200"/>
      <c r="AJ25" s="197" t="str">
        <f t="shared" si="24"/>
        <v/>
      </c>
      <c r="AK25" s="195" t="str">
        <f t="shared" si="25"/>
        <v/>
      </c>
      <c r="AL25" s="196" t="str">
        <f t="shared" si="26"/>
        <v/>
      </c>
      <c r="AM25" s="195" t="str">
        <f t="shared" si="27"/>
        <v/>
      </c>
      <c r="AN25" s="231"/>
      <c r="AO25" s="197" t="str">
        <f t="shared" si="28"/>
        <v/>
      </c>
      <c r="AP25" s="195" t="str">
        <f t="shared" si="29"/>
        <v/>
      </c>
      <c r="AQ25" s="196" t="str">
        <f t="shared" si="30"/>
        <v/>
      </c>
      <c r="AR25" s="195" t="str">
        <f t="shared" si="31"/>
        <v/>
      </c>
      <c r="AS25" s="231"/>
      <c r="AT25" s="197" t="str">
        <f t="shared" si="32"/>
        <v/>
      </c>
      <c r="AU25" s="195" t="str">
        <f t="shared" si="33"/>
        <v/>
      </c>
      <c r="AV25" s="196" t="str">
        <f t="shared" si="34"/>
        <v/>
      </c>
      <c r="AW25" s="195" t="str">
        <f t="shared" si="35"/>
        <v/>
      </c>
      <c r="AX25" s="200"/>
      <c r="AY25" s="197" t="str">
        <f t="shared" si="36"/>
        <v/>
      </c>
      <c r="AZ25" s="195" t="str">
        <f t="shared" si="37"/>
        <v/>
      </c>
      <c r="BA25" s="196" t="str">
        <f t="shared" si="38"/>
        <v/>
      </c>
      <c r="BB25" s="195" t="str">
        <f t="shared" si="39"/>
        <v/>
      </c>
      <c r="BC25" s="200"/>
      <c r="BD25" s="197" t="str">
        <f t="shared" si="40"/>
        <v/>
      </c>
      <c r="BE25" s="195" t="str">
        <f t="shared" si="41"/>
        <v/>
      </c>
      <c r="BF25" s="196" t="str">
        <f t="shared" si="42"/>
        <v/>
      </c>
      <c r="BG25" s="195" t="str">
        <f t="shared" si="43"/>
        <v/>
      </c>
      <c r="BH25" s="200"/>
      <c r="BI25" s="197" t="str">
        <f t="shared" si="44"/>
        <v/>
      </c>
      <c r="BJ25" s="195" t="str">
        <f t="shared" si="45"/>
        <v/>
      </c>
      <c r="BK25" s="196" t="str">
        <f t="shared" si="46"/>
        <v/>
      </c>
      <c r="BL25" s="195" t="str">
        <f t="shared" si="47"/>
        <v/>
      </c>
      <c r="BM25" s="200"/>
      <c r="BN25" s="197" t="str">
        <f t="shared" si="48"/>
        <v/>
      </c>
    </row>
    <row r="26" spans="1:66" s="11" customFormat="1" ht="21">
      <c r="A26" s="195">
        <v>21</v>
      </c>
      <c r="B26" s="195" t="str">
        <f>IF('2.Students'' data'!E31="","",CONCATENATE('2.Students'' data'!E31,'2.Students'' data'!F31,'2.Students'' data'!G31,'2.Students'' data'!H31,'2.Students'' data'!I31,'2.Students'' data'!J31,'2.Students'' data'!K31,'2.Students'' data'!L31,'2.Students'' data'!M31,'2.Students'' data'!N31,'2.Students'' data'!O31,'2.Students'' data'!P31,'2.Students'' data'!Q31,))</f>
        <v/>
      </c>
      <c r="C26" s="195" t="str">
        <f>IF(IDstu21="","",IDstu21)</f>
        <v/>
      </c>
      <c r="D26" s="224" t="str">
        <f>CONCATENATE(TRIM(Name21),"  ",Surname21)</f>
        <v xml:space="preserve">  </v>
      </c>
      <c r="E26" s="197" t="str">
        <f t="shared" si="0"/>
        <v/>
      </c>
      <c r="F26" s="195" t="str">
        <f t="shared" si="1"/>
        <v/>
      </c>
      <c r="G26" s="195" t="str">
        <f t="shared" si="2"/>
        <v/>
      </c>
      <c r="H26" s="196" t="str">
        <f t="shared" si="3"/>
        <v/>
      </c>
      <c r="I26" s="195" t="str">
        <f t="shared" si="4"/>
        <v/>
      </c>
      <c r="J26" s="200"/>
      <c r="K26" s="197" t="str">
        <f t="shared" si="49"/>
        <v/>
      </c>
      <c r="L26" s="195" t="str">
        <f t="shared" si="5"/>
        <v/>
      </c>
      <c r="M26" s="196" t="str">
        <f t="shared" si="6"/>
        <v/>
      </c>
      <c r="N26" s="195" t="str">
        <f t="shared" si="7"/>
        <v/>
      </c>
      <c r="O26" s="231"/>
      <c r="P26" s="197" t="str">
        <f t="shared" si="8"/>
        <v/>
      </c>
      <c r="Q26" s="195" t="str">
        <f t="shared" si="9"/>
        <v/>
      </c>
      <c r="R26" s="196" t="str">
        <f t="shared" si="10"/>
        <v/>
      </c>
      <c r="S26" s="195" t="str">
        <f t="shared" si="11"/>
        <v/>
      </c>
      <c r="T26" s="200"/>
      <c r="U26" s="197" t="str">
        <f t="shared" si="12"/>
        <v/>
      </c>
      <c r="V26" s="195" t="str">
        <f t="shared" si="13"/>
        <v/>
      </c>
      <c r="W26" s="196" t="str">
        <f t="shared" si="14"/>
        <v/>
      </c>
      <c r="X26" s="195" t="str">
        <f t="shared" si="15"/>
        <v/>
      </c>
      <c r="Y26" s="200"/>
      <c r="Z26" s="197" t="str">
        <f t="shared" si="16"/>
        <v/>
      </c>
      <c r="AA26" s="195" t="str">
        <f t="shared" si="17"/>
        <v/>
      </c>
      <c r="AB26" s="196" t="str">
        <f t="shared" si="18"/>
        <v/>
      </c>
      <c r="AC26" s="195" t="str">
        <f t="shared" si="19"/>
        <v/>
      </c>
      <c r="AD26" s="200"/>
      <c r="AE26" s="197" t="str">
        <f t="shared" si="20"/>
        <v/>
      </c>
      <c r="AF26" s="195" t="str">
        <f t="shared" si="21"/>
        <v/>
      </c>
      <c r="AG26" s="196" t="str">
        <f t="shared" si="22"/>
        <v/>
      </c>
      <c r="AH26" s="195" t="str">
        <f t="shared" si="23"/>
        <v/>
      </c>
      <c r="AI26" s="200"/>
      <c r="AJ26" s="197" t="str">
        <f t="shared" si="24"/>
        <v/>
      </c>
      <c r="AK26" s="195" t="str">
        <f t="shared" si="25"/>
        <v/>
      </c>
      <c r="AL26" s="196" t="str">
        <f t="shared" si="26"/>
        <v/>
      </c>
      <c r="AM26" s="195" t="str">
        <f t="shared" si="27"/>
        <v/>
      </c>
      <c r="AN26" s="231"/>
      <c r="AO26" s="197" t="str">
        <f t="shared" si="28"/>
        <v/>
      </c>
      <c r="AP26" s="195" t="str">
        <f t="shared" si="29"/>
        <v/>
      </c>
      <c r="AQ26" s="196" t="str">
        <f t="shared" si="30"/>
        <v/>
      </c>
      <c r="AR26" s="195" t="str">
        <f t="shared" si="31"/>
        <v/>
      </c>
      <c r="AS26" s="231"/>
      <c r="AT26" s="197" t="str">
        <f t="shared" si="32"/>
        <v/>
      </c>
      <c r="AU26" s="195" t="str">
        <f t="shared" si="33"/>
        <v/>
      </c>
      <c r="AV26" s="196" t="str">
        <f t="shared" si="34"/>
        <v/>
      </c>
      <c r="AW26" s="195" t="str">
        <f t="shared" si="35"/>
        <v/>
      </c>
      <c r="AX26" s="200"/>
      <c r="AY26" s="197" t="str">
        <f t="shared" si="36"/>
        <v/>
      </c>
      <c r="AZ26" s="195" t="str">
        <f t="shared" si="37"/>
        <v/>
      </c>
      <c r="BA26" s="196" t="str">
        <f t="shared" si="38"/>
        <v/>
      </c>
      <c r="BB26" s="195" t="str">
        <f t="shared" si="39"/>
        <v/>
      </c>
      <c r="BC26" s="200"/>
      <c r="BD26" s="197" t="str">
        <f t="shared" si="40"/>
        <v/>
      </c>
      <c r="BE26" s="195" t="str">
        <f t="shared" si="41"/>
        <v/>
      </c>
      <c r="BF26" s="196" t="str">
        <f t="shared" si="42"/>
        <v/>
      </c>
      <c r="BG26" s="195" t="str">
        <f t="shared" si="43"/>
        <v/>
      </c>
      <c r="BH26" s="200"/>
      <c r="BI26" s="197" t="str">
        <f t="shared" si="44"/>
        <v/>
      </c>
      <c r="BJ26" s="195" t="str">
        <f t="shared" si="45"/>
        <v/>
      </c>
      <c r="BK26" s="196" t="str">
        <f t="shared" si="46"/>
        <v/>
      </c>
      <c r="BL26" s="195" t="str">
        <f t="shared" si="47"/>
        <v/>
      </c>
      <c r="BM26" s="200"/>
      <c r="BN26" s="197" t="str">
        <f t="shared" si="48"/>
        <v/>
      </c>
    </row>
    <row r="27" spans="1:66" s="11" customFormat="1" ht="21">
      <c r="A27" s="195">
        <v>22</v>
      </c>
      <c r="B27" s="195" t="str">
        <f>IF('2.Students'' data'!E32="","",CONCATENATE('2.Students'' data'!E32,'2.Students'' data'!F32,'2.Students'' data'!G32,'2.Students'' data'!H32,'2.Students'' data'!I32,'2.Students'' data'!J32,'2.Students'' data'!K32,'2.Students'' data'!L32,'2.Students'' data'!M32,'2.Students'' data'!N32,'2.Students'' data'!O32,'2.Students'' data'!P32,'2.Students'' data'!Q32,))</f>
        <v/>
      </c>
      <c r="C27" s="195" t="str">
        <f>IF(IDstu22="","",IDstu22)</f>
        <v/>
      </c>
      <c r="D27" s="224" t="str">
        <f>CONCATENATE(TRIM(Name22),"  ",Surname22)</f>
        <v xml:space="preserve">  </v>
      </c>
      <c r="E27" s="197" t="str">
        <f t="shared" si="0"/>
        <v/>
      </c>
      <c r="F27" s="195" t="str">
        <f t="shared" si="1"/>
        <v/>
      </c>
      <c r="G27" s="195" t="str">
        <f t="shared" si="2"/>
        <v/>
      </c>
      <c r="H27" s="196" t="str">
        <f t="shared" si="3"/>
        <v/>
      </c>
      <c r="I27" s="195" t="str">
        <f t="shared" si="4"/>
        <v/>
      </c>
      <c r="J27" s="200"/>
      <c r="K27" s="197" t="str">
        <f t="shared" si="49"/>
        <v/>
      </c>
      <c r="L27" s="195" t="str">
        <f t="shared" si="5"/>
        <v/>
      </c>
      <c r="M27" s="196" t="str">
        <f t="shared" si="6"/>
        <v/>
      </c>
      <c r="N27" s="195" t="str">
        <f t="shared" si="7"/>
        <v/>
      </c>
      <c r="O27" s="231"/>
      <c r="P27" s="197" t="str">
        <f t="shared" si="8"/>
        <v/>
      </c>
      <c r="Q27" s="195" t="str">
        <f t="shared" si="9"/>
        <v/>
      </c>
      <c r="R27" s="196" t="str">
        <f t="shared" si="10"/>
        <v/>
      </c>
      <c r="S27" s="195" t="str">
        <f t="shared" si="11"/>
        <v/>
      </c>
      <c r="T27" s="200"/>
      <c r="U27" s="197" t="str">
        <f t="shared" si="12"/>
        <v/>
      </c>
      <c r="V27" s="195" t="str">
        <f t="shared" si="13"/>
        <v/>
      </c>
      <c r="W27" s="196" t="str">
        <f t="shared" si="14"/>
        <v/>
      </c>
      <c r="X27" s="195" t="str">
        <f t="shared" si="15"/>
        <v/>
      </c>
      <c r="Y27" s="200"/>
      <c r="Z27" s="197" t="str">
        <f t="shared" si="16"/>
        <v/>
      </c>
      <c r="AA27" s="195" t="str">
        <f t="shared" si="17"/>
        <v/>
      </c>
      <c r="AB27" s="196" t="str">
        <f t="shared" si="18"/>
        <v/>
      </c>
      <c r="AC27" s="195" t="str">
        <f t="shared" si="19"/>
        <v/>
      </c>
      <c r="AD27" s="200"/>
      <c r="AE27" s="197" t="str">
        <f t="shared" si="20"/>
        <v/>
      </c>
      <c r="AF27" s="195" t="str">
        <f t="shared" si="21"/>
        <v/>
      </c>
      <c r="AG27" s="196" t="str">
        <f t="shared" si="22"/>
        <v/>
      </c>
      <c r="AH27" s="195" t="str">
        <f t="shared" si="23"/>
        <v/>
      </c>
      <c r="AI27" s="200"/>
      <c r="AJ27" s="197" t="str">
        <f t="shared" si="24"/>
        <v/>
      </c>
      <c r="AK27" s="195" t="str">
        <f t="shared" si="25"/>
        <v/>
      </c>
      <c r="AL27" s="196" t="str">
        <f t="shared" si="26"/>
        <v/>
      </c>
      <c r="AM27" s="195" t="str">
        <f t="shared" si="27"/>
        <v/>
      </c>
      <c r="AN27" s="231"/>
      <c r="AO27" s="197" t="str">
        <f t="shared" si="28"/>
        <v/>
      </c>
      <c r="AP27" s="195" t="str">
        <f t="shared" si="29"/>
        <v/>
      </c>
      <c r="AQ27" s="196" t="str">
        <f t="shared" si="30"/>
        <v/>
      </c>
      <c r="AR27" s="195" t="str">
        <f t="shared" si="31"/>
        <v/>
      </c>
      <c r="AS27" s="231"/>
      <c r="AT27" s="197" t="str">
        <f t="shared" si="32"/>
        <v/>
      </c>
      <c r="AU27" s="195" t="str">
        <f t="shared" si="33"/>
        <v/>
      </c>
      <c r="AV27" s="196" t="str">
        <f t="shared" si="34"/>
        <v/>
      </c>
      <c r="AW27" s="195" t="str">
        <f t="shared" si="35"/>
        <v/>
      </c>
      <c r="AX27" s="200"/>
      <c r="AY27" s="197" t="str">
        <f t="shared" si="36"/>
        <v/>
      </c>
      <c r="AZ27" s="195" t="str">
        <f t="shared" si="37"/>
        <v/>
      </c>
      <c r="BA27" s="196" t="str">
        <f t="shared" si="38"/>
        <v/>
      </c>
      <c r="BB27" s="195" t="str">
        <f t="shared" si="39"/>
        <v/>
      </c>
      <c r="BC27" s="200"/>
      <c r="BD27" s="197" t="str">
        <f t="shared" si="40"/>
        <v/>
      </c>
      <c r="BE27" s="195" t="str">
        <f t="shared" si="41"/>
        <v/>
      </c>
      <c r="BF27" s="196" t="str">
        <f t="shared" si="42"/>
        <v/>
      </c>
      <c r="BG27" s="195" t="str">
        <f t="shared" si="43"/>
        <v/>
      </c>
      <c r="BH27" s="200"/>
      <c r="BI27" s="197" t="str">
        <f t="shared" si="44"/>
        <v/>
      </c>
      <c r="BJ27" s="195" t="str">
        <f t="shared" si="45"/>
        <v/>
      </c>
      <c r="BK27" s="196" t="str">
        <f t="shared" si="46"/>
        <v/>
      </c>
      <c r="BL27" s="195" t="str">
        <f t="shared" si="47"/>
        <v/>
      </c>
      <c r="BM27" s="200"/>
      <c r="BN27" s="197" t="str">
        <f t="shared" si="48"/>
        <v/>
      </c>
    </row>
    <row r="28" spans="1:66" s="11" customFormat="1" ht="21">
      <c r="A28" s="195">
        <v>23</v>
      </c>
      <c r="B28" s="195" t="str">
        <f>IF('2.Students'' data'!E33="","",CONCATENATE('2.Students'' data'!E33,'2.Students'' data'!F33,'2.Students'' data'!G33,'2.Students'' data'!H33,'2.Students'' data'!I33,'2.Students'' data'!J33,'2.Students'' data'!K33,'2.Students'' data'!L33,'2.Students'' data'!M33,'2.Students'' data'!N33,'2.Students'' data'!O33,'2.Students'' data'!P33,'2.Students'' data'!Q33,))</f>
        <v/>
      </c>
      <c r="C28" s="195" t="str">
        <f>IF(IDstu23="","",IDstu23)</f>
        <v/>
      </c>
      <c r="D28" s="224" t="str">
        <f>CONCATENATE(TRIM(Name23),"  ",Surname23)</f>
        <v xml:space="preserve">  </v>
      </c>
      <c r="E28" s="197" t="str">
        <f t="shared" si="0"/>
        <v/>
      </c>
      <c r="F28" s="195" t="str">
        <f t="shared" si="1"/>
        <v/>
      </c>
      <c r="G28" s="195" t="str">
        <f t="shared" si="2"/>
        <v/>
      </c>
      <c r="H28" s="196" t="str">
        <f t="shared" si="3"/>
        <v/>
      </c>
      <c r="I28" s="195" t="str">
        <f t="shared" si="4"/>
        <v/>
      </c>
      <c r="J28" s="200"/>
      <c r="K28" s="197" t="str">
        <f t="shared" si="49"/>
        <v/>
      </c>
      <c r="L28" s="195" t="str">
        <f t="shared" si="5"/>
        <v/>
      </c>
      <c r="M28" s="196" t="str">
        <f t="shared" si="6"/>
        <v/>
      </c>
      <c r="N28" s="195" t="str">
        <f t="shared" si="7"/>
        <v/>
      </c>
      <c r="O28" s="231"/>
      <c r="P28" s="197" t="str">
        <f t="shared" si="8"/>
        <v/>
      </c>
      <c r="Q28" s="195" t="str">
        <f t="shared" si="9"/>
        <v/>
      </c>
      <c r="R28" s="196" t="str">
        <f t="shared" si="10"/>
        <v/>
      </c>
      <c r="S28" s="195" t="str">
        <f t="shared" si="11"/>
        <v/>
      </c>
      <c r="T28" s="200"/>
      <c r="U28" s="197" t="str">
        <f t="shared" si="12"/>
        <v/>
      </c>
      <c r="V28" s="195" t="str">
        <f t="shared" si="13"/>
        <v/>
      </c>
      <c r="W28" s="196" t="str">
        <f t="shared" si="14"/>
        <v/>
      </c>
      <c r="X28" s="195" t="str">
        <f t="shared" si="15"/>
        <v/>
      </c>
      <c r="Y28" s="200"/>
      <c r="Z28" s="197" t="str">
        <f t="shared" si="16"/>
        <v/>
      </c>
      <c r="AA28" s="195" t="str">
        <f t="shared" si="17"/>
        <v/>
      </c>
      <c r="AB28" s="196" t="str">
        <f t="shared" si="18"/>
        <v/>
      </c>
      <c r="AC28" s="195" t="str">
        <f t="shared" si="19"/>
        <v/>
      </c>
      <c r="AD28" s="200"/>
      <c r="AE28" s="197" t="str">
        <f t="shared" si="20"/>
        <v/>
      </c>
      <c r="AF28" s="195" t="str">
        <f t="shared" si="21"/>
        <v/>
      </c>
      <c r="AG28" s="196" t="str">
        <f t="shared" si="22"/>
        <v/>
      </c>
      <c r="AH28" s="195" t="str">
        <f t="shared" si="23"/>
        <v/>
      </c>
      <c r="AI28" s="200"/>
      <c r="AJ28" s="197" t="str">
        <f t="shared" si="24"/>
        <v/>
      </c>
      <c r="AK28" s="195" t="str">
        <f t="shared" si="25"/>
        <v/>
      </c>
      <c r="AL28" s="196" t="str">
        <f t="shared" si="26"/>
        <v/>
      </c>
      <c r="AM28" s="195" t="str">
        <f t="shared" si="27"/>
        <v/>
      </c>
      <c r="AN28" s="231"/>
      <c r="AO28" s="197" t="str">
        <f t="shared" si="28"/>
        <v/>
      </c>
      <c r="AP28" s="195" t="str">
        <f t="shared" si="29"/>
        <v/>
      </c>
      <c r="AQ28" s="196" t="str">
        <f t="shared" si="30"/>
        <v/>
      </c>
      <c r="AR28" s="195" t="str">
        <f t="shared" si="31"/>
        <v/>
      </c>
      <c r="AS28" s="231"/>
      <c r="AT28" s="197" t="str">
        <f t="shared" si="32"/>
        <v/>
      </c>
      <c r="AU28" s="195" t="str">
        <f t="shared" si="33"/>
        <v/>
      </c>
      <c r="AV28" s="196" t="str">
        <f t="shared" si="34"/>
        <v/>
      </c>
      <c r="AW28" s="195" t="str">
        <f t="shared" si="35"/>
        <v/>
      </c>
      <c r="AX28" s="200"/>
      <c r="AY28" s="197" t="str">
        <f t="shared" si="36"/>
        <v/>
      </c>
      <c r="AZ28" s="195" t="str">
        <f t="shared" si="37"/>
        <v/>
      </c>
      <c r="BA28" s="196" t="str">
        <f t="shared" si="38"/>
        <v/>
      </c>
      <c r="BB28" s="195" t="str">
        <f t="shared" si="39"/>
        <v/>
      </c>
      <c r="BC28" s="200"/>
      <c r="BD28" s="197" t="str">
        <f t="shared" si="40"/>
        <v/>
      </c>
      <c r="BE28" s="195" t="str">
        <f t="shared" si="41"/>
        <v/>
      </c>
      <c r="BF28" s="196" t="str">
        <f t="shared" si="42"/>
        <v/>
      </c>
      <c r="BG28" s="195" t="str">
        <f t="shared" si="43"/>
        <v/>
      </c>
      <c r="BH28" s="200"/>
      <c r="BI28" s="197" t="str">
        <f t="shared" si="44"/>
        <v/>
      </c>
      <c r="BJ28" s="195" t="str">
        <f t="shared" si="45"/>
        <v/>
      </c>
      <c r="BK28" s="196" t="str">
        <f t="shared" si="46"/>
        <v/>
      </c>
      <c r="BL28" s="195" t="str">
        <f t="shared" si="47"/>
        <v/>
      </c>
      <c r="BM28" s="200"/>
      <c r="BN28" s="197" t="str">
        <f t="shared" si="48"/>
        <v/>
      </c>
    </row>
    <row r="29" spans="1:66" s="11" customFormat="1" ht="21">
      <c r="A29" s="195">
        <v>24</v>
      </c>
      <c r="B29" s="195" t="str">
        <f>IF('2.Students'' data'!E34="","",CONCATENATE('2.Students'' data'!E34,'2.Students'' data'!F34,'2.Students'' data'!G34,'2.Students'' data'!H34,'2.Students'' data'!I34,'2.Students'' data'!J34,'2.Students'' data'!K34,'2.Students'' data'!L34,'2.Students'' data'!M34,'2.Students'' data'!N34,'2.Students'' data'!O34,'2.Students'' data'!P34,'2.Students'' data'!Q34,))</f>
        <v/>
      </c>
      <c r="C29" s="195" t="str">
        <f>IF(IDstu24="","",IDstu24)</f>
        <v/>
      </c>
      <c r="D29" s="224" t="str">
        <f>CONCATENATE(TRIM(Name24),"  ",Surname24)</f>
        <v xml:space="preserve">  </v>
      </c>
      <c r="E29" s="197" t="str">
        <f t="shared" si="0"/>
        <v/>
      </c>
      <c r="F29" s="195" t="str">
        <f t="shared" si="1"/>
        <v/>
      </c>
      <c r="G29" s="195" t="str">
        <f t="shared" si="2"/>
        <v/>
      </c>
      <c r="H29" s="196" t="str">
        <f t="shared" si="3"/>
        <v/>
      </c>
      <c r="I29" s="195" t="str">
        <f t="shared" si="4"/>
        <v/>
      </c>
      <c r="J29" s="200"/>
      <c r="K29" s="197" t="str">
        <f t="shared" si="49"/>
        <v/>
      </c>
      <c r="L29" s="195" t="str">
        <f t="shared" si="5"/>
        <v/>
      </c>
      <c r="M29" s="196" t="str">
        <f t="shared" si="6"/>
        <v/>
      </c>
      <c r="N29" s="195" t="str">
        <f t="shared" si="7"/>
        <v/>
      </c>
      <c r="O29" s="231"/>
      <c r="P29" s="197" t="str">
        <f t="shared" si="8"/>
        <v/>
      </c>
      <c r="Q29" s="195" t="str">
        <f t="shared" si="9"/>
        <v/>
      </c>
      <c r="R29" s="196" t="str">
        <f t="shared" si="10"/>
        <v/>
      </c>
      <c r="S29" s="195" t="str">
        <f t="shared" si="11"/>
        <v/>
      </c>
      <c r="T29" s="200"/>
      <c r="U29" s="197" t="str">
        <f t="shared" si="12"/>
        <v/>
      </c>
      <c r="V29" s="195" t="str">
        <f t="shared" si="13"/>
        <v/>
      </c>
      <c r="W29" s="196" t="str">
        <f t="shared" si="14"/>
        <v/>
      </c>
      <c r="X29" s="195" t="str">
        <f t="shared" si="15"/>
        <v/>
      </c>
      <c r="Y29" s="200"/>
      <c r="Z29" s="197" t="str">
        <f t="shared" si="16"/>
        <v/>
      </c>
      <c r="AA29" s="195" t="str">
        <f t="shared" si="17"/>
        <v/>
      </c>
      <c r="AB29" s="196" t="str">
        <f t="shared" si="18"/>
        <v/>
      </c>
      <c r="AC29" s="195" t="str">
        <f t="shared" si="19"/>
        <v/>
      </c>
      <c r="AD29" s="200"/>
      <c r="AE29" s="197" t="str">
        <f t="shared" si="20"/>
        <v/>
      </c>
      <c r="AF29" s="195" t="str">
        <f t="shared" si="21"/>
        <v/>
      </c>
      <c r="AG29" s="196" t="str">
        <f t="shared" si="22"/>
        <v/>
      </c>
      <c r="AH29" s="195" t="str">
        <f t="shared" si="23"/>
        <v/>
      </c>
      <c r="AI29" s="200"/>
      <c r="AJ29" s="197" t="str">
        <f t="shared" si="24"/>
        <v/>
      </c>
      <c r="AK29" s="195" t="str">
        <f t="shared" si="25"/>
        <v/>
      </c>
      <c r="AL29" s="196" t="str">
        <f t="shared" si="26"/>
        <v/>
      </c>
      <c r="AM29" s="195" t="str">
        <f t="shared" si="27"/>
        <v/>
      </c>
      <c r="AN29" s="231"/>
      <c r="AO29" s="197" t="str">
        <f t="shared" si="28"/>
        <v/>
      </c>
      <c r="AP29" s="195" t="str">
        <f t="shared" si="29"/>
        <v/>
      </c>
      <c r="AQ29" s="196" t="str">
        <f t="shared" si="30"/>
        <v/>
      </c>
      <c r="AR29" s="195" t="str">
        <f t="shared" si="31"/>
        <v/>
      </c>
      <c r="AS29" s="231"/>
      <c r="AT29" s="197" t="str">
        <f t="shared" si="32"/>
        <v/>
      </c>
      <c r="AU29" s="195" t="str">
        <f t="shared" si="33"/>
        <v/>
      </c>
      <c r="AV29" s="196" t="str">
        <f t="shared" si="34"/>
        <v/>
      </c>
      <c r="AW29" s="195" t="str">
        <f t="shared" si="35"/>
        <v/>
      </c>
      <c r="AX29" s="200"/>
      <c r="AY29" s="197" t="str">
        <f t="shared" si="36"/>
        <v/>
      </c>
      <c r="AZ29" s="195" t="str">
        <f t="shared" si="37"/>
        <v/>
      </c>
      <c r="BA29" s="196" t="str">
        <f t="shared" si="38"/>
        <v/>
      </c>
      <c r="BB29" s="195" t="str">
        <f t="shared" si="39"/>
        <v/>
      </c>
      <c r="BC29" s="200"/>
      <c r="BD29" s="197" t="str">
        <f t="shared" si="40"/>
        <v/>
      </c>
      <c r="BE29" s="195" t="str">
        <f t="shared" si="41"/>
        <v/>
      </c>
      <c r="BF29" s="196" t="str">
        <f t="shared" si="42"/>
        <v/>
      </c>
      <c r="BG29" s="195" t="str">
        <f t="shared" si="43"/>
        <v/>
      </c>
      <c r="BH29" s="200"/>
      <c r="BI29" s="197" t="str">
        <f t="shared" si="44"/>
        <v/>
      </c>
      <c r="BJ29" s="195" t="str">
        <f t="shared" si="45"/>
        <v/>
      </c>
      <c r="BK29" s="196" t="str">
        <f t="shared" si="46"/>
        <v/>
      </c>
      <c r="BL29" s="195" t="str">
        <f t="shared" si="47"/>
        <v/>
      </c>
      <c r="BM29" s="200"/>
      <c r="BN29" s="197" t="str">
        <f t="shared" si="48"/>
        <v/>
      </c>
    </row>
    <row r="30" spans="1:66" s="11" customFormat="1" ht="21">
      <c r="A30" s="195">
        <v>25</v>
      </c>
      <c r="B30" s="195" t="str">
        <f>IF('2.Students'' data'!E35="","",CONCATENATE('2.Students'' data'!E35,'2.Students'' data'!F35,'2.Students'' data'!G35,'2.Students'' data'!H35,'2.Students'' data'!I35,'2.Students'' data'!J35,'2.Students'' data'!K35,'2.Students'' data'!L35,'2.Students'' data'!M35,'2.Students'' data'!N35,'2.Students'' data'!O35,'2.Students'' data'!P35,'2.Students'' data'!Q35,))</f>
        <v/>
      </c>
      <c r="C30" s="195" t="str">
        <f>IF(IDstu25="","",IDstu25)</f>
        <v/>
      </c>
      <c r="D30" s="224" t="str">
        <f>CONCATENATE(TRIM(Name25),"  ",Surname25)</f>
        <v xml:space="preserve">  </v>
      </c>
      <c r="E30" s="197" t="str">
        <f t="shared" si="0"/>
        <v/>
      </c>
      <c r="F30" s="195" t="str">
        <f t="shared" si="1"/>
        <v/>
      </c>
      <c r="G30" s="195" t="str">
        <f t="shared" si="2"/>
        <v/>
      </c>
      <c r="H30" s="196" t="str">
        <f t="shared" si="3"/>
        <v/>
      </c>
      <c r="I30" s="195" t="str">
        <f t="shared" si="4"/>
        <v/>
      </c>
      <c r="J30" s="200"/>
      <c r="K30" s="197" t="str">
        <f t="shared" si="49"/>
        <v/>
      </c>
      <c r="L30" s="195" t="str">
        <f t="shared" si="5"/>
        <v/>
      </c>
      <c r="M30" s="196" t="str">
        <f t="shared" si="6"/>
        <v/>
      </c>
      <c r="N30" s="195" t="str">
        <f t="shared" si="7"/>
        <v/>
      </c>
      <c r="O30" s="231"/>
      <c r="P30" s="197" t="str">
        <f t="shared" si="8"/>
        <v/>
      </c>
      <c r="Q30" s="195" t="str">
        <f t="shared" si="9"/>
        <v/>
      </c>
      <c r="R30" s="196" t="str">
        <f t="shared" si="10"/>
        <v/>
      </c>
      <c r="S30" s="195" t="str">
        <f t="shared" si="11"/>
        <v/>
      </c>
      <c r="T30" s="200"/>
      <c r="U30" s="197" t="str">
        <f t="shared" si="12"/>
        <v/>
      </c>
      <c r="V30" s="195" t="str">
        <f t="shared" si="13"/>
        <v/>
      </c>
      <c r="W30" s="196" t="str">
        <f t="shared" si="14"/>
        <v/>
      </c>
      <c r="X30" s="195" t="str">
        <f t="shared" si="15"/>
        <v/>
      </c>
      <c r="Y30" s="200"/>
      <c r="Z30" s="197" t="str">
        <f t="shared" si="16"/>
        <v/>
      </c>
      <c r="AA30" s="195" t="str">
        <f t="shared" si="17"/>
        <v/>
      </c>
      <c r="AB30" s="196" t="str">
        <f t="shared" si="18"/>
        <v/>
      </c>
      <c r="AC30" s="195" t="str">
        <f t="shared" si="19"/>
        <v/>
      </c>
      <c r="AD30" s="200"/>
      <c r="AE30" s="197" t="str">
        <f t="shared" si="20"/>
        <v/>
      </c>
      <c r="AF30" s="195" t="str">
        <f t="shared" si="21"/>
        <v/>
      </c>
      <c r="AG30" s="196" t="str">
        <f t="shared" si="22"/>
        <v/>
      </c>
      <c r="AH30" s="195" t="str">
        <f t="shared" si="23"/>
        <v/>
      </c>
      <c r="AI30" s="200"/>
      <c r="AJ30" s="197" t="str">
        <f t="shared" si="24"/>
        <v/>
      </c>
      <c r="AK30" s="195" t="str">
        <f t="shared" si="25"/>
        <v/>
      </c>
      <c r="AL30" s="196" t="str">
        <f t="shared" si="26"/>
        <v/>
      </c>
      <c r="AM30" s="195" t="str">
        <f t="shared" si="27"/>
        <v/>
      </c>
      <c r="AN30" s="200"/>
      <c r="AO30" s="197" t="str">
        <f t="shared" si="28"/>
        <v/>
      </c>
      <c r="AP30" s="195" t="str">
        <f t="shared" si="29"/>
        <v/>
      </c>
      <c r="AQ30" s="196" t="str">
        <f t="shared" si="30"/>
        <v/>
      </c>
      <c r="AR30" s="195" t="str">
        <f t="shared" si="31"/>
        <v/>
      </c>
      <c r="AS30" s="231"/>
      <c r="AT30" s="197" t="str">
        <f t="shared" si="32"/>
        <v/>
      </c>
      <c r="AU30" s="195" t="str">
        <f t="shared" si="33"/>
        <v/>
      </c>
      <c r="AV30" s="196" t="str">
        <f t="shared" si="34"/>
        <v/>
      </c>
      <c r="AW30" s="195" t="str">
        <f t="shared" si="35"/>
        <v/>
      </c>
      <c r="AX30" s="200"/>
      <c r="AY30" s="197" t="str">
        <f t="shared" si="36"/>
        <v/>
      </c>
      <c r="AZ30" s="195" t="str">
        <f t="shared" si="37"/>
        <v/>
      </c>
      <c r="BA30" s="196" t="str">
        <f t="shared" si="38"/>
        <v/>
      </c>
      <c r="BB30" s="195" t="str">
        <f t="shared" si="39"/>
        <v/>
      </c>
      <c r="BC30" s="200"/>
      <c r="BD30" s="197" t="str">
        <f t="shared" si="40"/>
        <v/>
      </c>
      <c r="BE30" s="195" t="str">
        <f t="shared" si="41"/>
        <v/>
      </c>
      <c r="BF30" s="196" t="str">
        <f t="shared" si="42"/>
        <v/>
      </c>
      <c r="BG30" s="195" t="str">
        <f t="shared" si="43"/>
        <v/>
      </c>
      <c r="BH30" s="200"/>
      <c r="BI30" s="197" t="str">
        <f t="shared" si="44"/>
        <v/>
      </c>
      <c r="BJ30" s="195" t="str">
        <f t="shared" si="45"/>
        <v/>
      </c>
      <c r="BK30" s="196" t="str">
        <f t="shared" si="46"/>
        <v/>
      </c>
      <c r="BL30" s="195" t="str">
        <f t="shared" si="47"/>
        <v/>
      </c>
      <c r="BM30" s="200"/>
      <c r="BN30" s="197" t="str">
        <f t="shared" si="48"/>
        <v/>
      </c>
    </row>
    <row r="31" spans="1:66" s="11" customFormat="1" ht="21">
      <c r="A31" s="195">
        <v>26</v>
      </c>
      <c r="B31" s="195" t="str">
        <f>IF('2.Students'' data'!E36="","",CONCATENATE('2.Students'' data'!E36,'2.Students'' data'!F36,'2.Students'' data'!G36,'2.Students'' data'!H36,'2.Students'' data'!I36,'2.Students'' data'!J36,'2.Students'' data'!K36,'2.Students'' data'!L36,'2.Students'' data'!M36,'2.Students'' data'!N36,'2.Students'' data'!O36,'2.Students'' data'!P36,'2.Students'' data'!Q36,))</f>
        <v/>
      </c>
      <c r="C31" s="195" t="str">
        <f>IF(IDstu26="","",IDstu26)</f>
        <v/>
      </c>
      <c r="D31" s="224" t="str">
        <f>CONCATENATE(TRIM(Name26),"  ",Surname26)</f>
        <v xml:space="preserve">  </v>
      </c>
      <c r="E31" s="197" t="str">
        <f t="shared" si="0"/>
        <v/>
      </c>
      <c r="F31" s="195" t="str">
        <f t="shared" si="1"/>
        <v/>
      </c>
      <c r="G31" s="195" t="str">
        <f t="shared" si="2"/>
        <v/>
      </c>
      <c r="H31" s="196" t="str">
        <f t="shared" si="3"/>
        <v/>
      </c>
      <c r="I31" s="195" t="str">
        <f t="shared" si="4"/>
        <v/>
      </c>
      <c r="J31" s="200"/>
      <c r="K31" s="197" t="str">
        <f t="shared" si="49"/>
        <v/>
      </c>
      <c r="L31" s="195" t="str">
        <f t="shared" si="5"/>
        <v/>
      </c>
      <c r="M31" s="196" t="str">
        <f t="shared" si="6"/>
        <v/>
      </c>
      <c r="N31" s="195" t="str">
        <f t="shared" si="7"/>
        <v/>
      </c>
      <c r="O31" s="231"/>
      <c r="P31" s="197" t="str">
        <f t="shared" si="8"/>
        <v/>
      </c>
      <c r="Q31" s="195" t="str">
        <f t="shared" si="9"/>
        <v/>
      </c>
      <c r="R31" s="196" t="str">
        <f t="shared" si="10"/>
        <v/>
      </c>
      <c r="S31" s="195" t="str">
        <f t="shared" si="11"/>
        <v/>
      </c>
      <c r="T31" s="200"/>
      <c r="U31" s="197" t="str">
        <f t="shared" si="12"/>
        <v/>
      </c>
      <c r="V31" s="195" t="str">
        <f t="shared" si="13"/>
        <v/>
      </c>
      <c r="W31" s="196" t="str">
        <f t="shared" si="14"/>
        <v/>
      </c>
      <c r="X31" s="195" t="str">
        <f t="shared" si="15"/>
        <v/>
      </c>
      <c r="Y31" s="200"/>
      <c r="Z31" s="197" t="str">
        <f t="shared" si="16"/>
        <v/>
      </c>
      <c r="AA31" s="195" t="str">
        <f t="shared" si="17"/>
        <v/>
      </c>
      <c r="AB31" s="196" t="str">
        <f t="shared" si="18"/>
        <v/>
      </c>
      <c r="AC31" s="195" t="str">
        <f t="shared" si="19"/>
        <v/>
      </c>
      <c r="AD31" s="200"/>
      <c r="AE31" s="197" t="str">
        <f t="shared" si="20"/>
        <v/>
      </c>
      <c r="AF31" s="195" t="str">
        <f t="shared" si="21"/>
        <v/>
      </c>
      <c r="AG31" s="196" t="str">
        <f t="shared" si="22"/>
        <v/>
      </c>
      <c r="AH31" s="195" t="str">
        <f t="shared" si="23"/>
        <v/>
      </c>
      <c r="AI31" s="200"/>
      <c r="AJ31" s="197" t="str">
        <f t="shared" si="24"/>
        <v/>
      </c>
      <c r="AK31" s="195" t="str">
        <f t="shared" si="25"/>
        <v/>
      </c>
      <c r="AL31" s="196" t="str">
        <f t="shared" si="26"/>
        <v/>
      </c>
      <c r="AM31" s="195" t="str">
        <f t="shared" si="27"/>
        <v/>
      </c>
      <c r="AN31" s="200"/>
      <c r="AO31" s="197" t="str">
        <f t="shared" si="28"/>
        <v/>
      </c>
      <c r="AP31" s="195" t="str">
        <f t="shared" si="29"/>
        <v/>
      </c>
      <c r="AQ31" s="196" t="str">
        <f t="shared" si="30"/>
        <v/>
      </c>
      <c r="AR31" s="195" t="str">
        <f t="shared" si="31"/>
        <v/>
      </c>
      <c r="AS31" s="231"/>
      <c r="AT31" s="197" t="str">
        <f t="shared" si="32"/>
        <v/>
      </c>
      <c r="AU31" s="195" t="str">
        <f t="shared" si="33"/>
        <v/>
      </c>
      <c r="AV31" s="196" t="str">
        <f t="shared" si="34"/>
        <v/>
      </c>
      <c r="AW31" s="195" t="str">
        <f t="shared" si="35"/>
        <v/>
      </c>
      <c r="AX31" s="200"/>
      <c r="AY31" s="197" t="str">
        <f t="shared" si="36"/>
        <v/>
      </c>
      <c r="AZ31" s="195" t="str">
        <f t="shared" si="37"/>
        <v/>
      </c>
      <c r="BA31" s="196" t="str">
        <f t="shared" si="38"/>
        <v/>
      </c>
      <c r="BB31" s="195" t="str">
        <f t="shared" si="39"/>
        <v/>
      </c>
      <c r="BC31" s="200"/>
      <c r="BD31" s="197" t="str">
        <f t="shared" si="40"/>
        <v/>
      </c>
      <c r="BE31" s="195" t="str">
        <f t="shared" si="41"/>
        <v/>
      </c>
      <c r="BF31" s="196" t="str">
        <f t="shared" si="42"/>
        <v/>
      </c>
      <c r="BG31" s="195" t="str">
        <f t="shared" si="43"/>
        <v/>
      </c>
      <c r="BH31" s="200"/>
      <c r="BI31" s="197" t="str">
        <f t="shared" si="44"/>
        <v/>
      </c>
      <c r="BJ31" s="195" t="str">
        <f t="shared" si="45"/>
        <v/>
      </c>
      <c r="BK31" s="196" t="str">
        <f t="shared" si="46"/>
        <v/>
      </c>
      <c r="BL31" s="195" t="str">
        <f t="shared" si="47"/>
        <v/>
      </c>
      <c r="BM31" s="200"/>
      <c r="BN31" s="197" t="str">
        <f t="shared" si="48"/>
        <v/>
      </c>
    </row>
    <row r="32" spans="1:66" s="11" customFormat="1" ht="21">
      <c r="A32" s="195">
        <v>27</v>
      </c>
      <c r="B32" s="195" t="str">
        <f>IF('2.Students'' data'!E37="","",CONCATENATE('2.Students'' data'!E37,'2.Students'' data'!F37,'2.Students'' data'!G37,'2.Students'' data'!H37,'2.Students'' data'!I37,'2.Students'' data'!J37,'2.Students'' data'!K37,'2.Students'' data'!L37,'2.Students'' data'!M37,'2.Students'' data'!N37,'2.Students'' data'!O37,'2.Students'' data'!P37,'2.Students'' data'!Q37,))</f>
        <v/>
      </c>
      <c r="C32" s="195" t="str">
        <f>IF(IDstu27="","",IDstu27)</f>
        <v/>
      </c>
      <c r="D32" s="224" t="str">
        <f>CONCATENATE(TRIM(Name27),"  ",Surname27)</f>
        <v xml:space="preserve">  </v>
      </c>
      <c r="E32" s="197" t="str">
        <f t="shared" si="0"/>
        <v/>
      </c>
      <c r="F32" s="195" t="str">
        <f t="shared" si="1"/>
        <v/>
      </c>
      <c r="G32" s="195" t="str">
        <f t="shared" si="2"/>
        <v/>
      </c>
      <c r="H32" s="196" t="str">
        <f t="shared" si="3"/>
        <v/>
      </c>
      <c r="I32" s="195" t="str">
        <f t="shared" si="4"/>
        <v/>
      </c>
      <c r="J32" s="200"/>
      <c r="K32" s="197" t="str">
        <f t="shared" si="49"/>
        <v/>
      </c>
      <c r="L32" s="195" t="str">
        <f t="shared" si="5"/>
        <v/>
      </c>
      <c r="M32" s="196" t="str">
        <f t="shared" si="6"/>
        <v/>
      </c>
      <c r="N32" s="195" t="str">
        <f t="shared" si="7"/>
        <v/>
      </c>
      <c r="O32" s="231"/>
      <c r="P32" s="197" t="str">
        <f t="shared" si="8"/>
        <v/>
      </c>
      <c r="Q32" s="195" t="str">
        <f t="shared" si="9"/>
        <v/>
      </c>
      <c r="R32" s="196" t="str">
        <f t="shared" si="10"/>
        <v/>
      </c>
      <c r="S32" s="195" t="str">
        <f t="shared" si="11"/>
        <v/>
      </c>
      <c r="T32" s="200"/>
      <c r="U32" s="197" t="str">
        <f t="shared" si="12"/>
        <v/>
      </c>
      <c r="V32" s="195" t="str">
        <f t="shared" si="13"/>
        <v/>
      </c>
      <c r="W32" s="196" t="str">
        <f t="shared" si="14"/>
        <v/>
      </c>
      <c r="X32" s="195" t="str">
        <f t="shared" si="15"/>
        <v/>
      </c>
      <c r="Y32" s="200"/>
      <c r="Z32" s="197" t="str">
        <f t="shared" si="16"/>
        <v/>
      </c>
      <c r="AA32" s="195" t="str">
        <f t="shared" si="17"/>
        <v/>
      </c>
      <c r="AB32" s="196" t="str">
        <f t="shared" si="18"/>
        <v/>
      </c>
      <c r="AC32" s="195" t="str">
        <f t="shared" si="19"/>
        <v/>
      </c>
      <c r="AD32" s="200"/>
      <c r="AE32" s="197" t="str">
        <f t="shared" si="20"/>
        <v/>
      </c>
      <c r="AF32" s="195" t="str">
        <f t="shared" si="21"/>
        <v/>
      </c>
      <c r="AG32" s="196" t="str">
        <f t="shared" si="22"/>
        <v/>
      </c>
      <c r="AH32" s="195" t="str">
        <f t="shared" si="23"/>
        <v/>
      </c>
      <c r="AI32" s="200"/>
      <c r="AJ32" s="197" t="str">
        <f t="shared" si="24"/>
        <v/>
      </c>
      <c r="AK32" s="195" t="str">
        <f t="shared" si="25"/>
        <v/>
      </c>
      <c r="AL32" s="196" t="str">
        <f t="shared" si="26"/>
        <v/>
      </c>
      <c r="AM32" s="195" t="str">
        <f t="shared" si="27"/>
        <v/>
      </c>
      <c r="AN32" s="200"/>
      <c r="AO32" s="197" t="str">
        <f t="shared" si="28"/>
        <v/>
      </c>
      <c r="AP32" s="195" t="str">
        <f t="shared" si="29"/>
        <v/>
      </c>
      <c r="AQ32" s="196" t="str">
        <f t="shared" si="30"/>
        <v/>
      </c>
      <c r="AR32" s="195" t="str">
        <f t="shared" si="31"/>
        <v/>
      </c>
      <c r="AS32" s="231"/>
      <c r="AT32" s="197" t="str">
        <f t="shared" si="32"/>
        <v/>
      </c>
      <c r="AU32" s="195" t="str">
        <f t="shared" si="33"/>
        <v/>
      </c>
      <c r="AV32" s="196" t="str">
        <f t="shared" si="34"/>
        <v/>
      </c>
      <c r="AW32" s="195" t="str">
        <f t="shared" si="35"/>
        <v/>
      </c>
      <c r="AX32" s="200"/>
      <c r="AY32" s="197" t="str">
        <f t="shared" si="36"/>
        <v/>
      </c>
      <c r="AZ32" s="195" t="str">
        <f t="shared" si="37"/>
        <v/>
      </c>
      <c r="BA32" s="196" t="str">
        <f t="shared" si="38"/>
        <v/>
      </c>
      <c r="BB32" s="195" t="str">
        <f t="shared" si="39"/>
        <v/>
      </c>
      <c r="BC32" s="200"/>
      <c r="BD32" s="197" t="str">
        <f t="shared" si="40"/>
        <v/>
      </c>
      <c r="BE32" s="195" t="str">
        <f t="shared" si="41"/>
        <v/>
      </c>
      <c r="BF32" s="196" t="str">
        <f t="shared" si="42"/>
        <v/>
      </c>
      <c r="BG32" s="195" t="str">
        <f t="shared" si="43"/>
        <v/>
      </c>
      <c r="BH32" s="200"/>
      <c r="BI32" s="197" t="str">
        <f t="shared" si="44"/>
        <v/>
      </c>
      <c r="BJ32" s="195" t="str">
        <f t="shared" si="45"/>
        <v/>
      </c>
      <c r="BK32" s="196" t="str">
        <f t="shared" si="46"/>
        <v/>
      </c>
      <c r="BL32" s="195" t="str">
        <f t="shared" si="47"/>
        <v/>
      </c>
      <c r="BM32" s="200"/>
      <c r="BN32" s="197" t="str">
        <f t="shared" si="48"/>
        <v/>
      </c>
    </row>
    <row r="33" spans="1:66" s="11" customFormat="1" ht="21">
      <c r="A33" s="195">
        <v>28</v>
      </c>
      <c r="B33" s="195" t="str">
        <f>IF('2.Students'' data'!E38="","",CONCATENATE('2.Students'' data'!E38,'2.Students'' data'!F38,'2.Students'' data'!G38,'2.Students'' data'!H38,'2.Students'' data'!I38,'2.Students'' data'!J38,'2.Students'' data'!K38,'2.Students'' data'!L38,'2.Students'' data'!M38,'2.Students'' data'!N38,'2.Students'' data'!O38,'2.Students'' data'!P38,'2.Students'' data'!Q38,))</f>
        <v/>
      </c>
      <c r="C33" s="195" t="str">
        <f>IF(IDstu28="","",IDstu28)</f>
        <v/>
      </c>
      <c r="D33" s="224" t="str">
        <f>CONCATENATE(TRIM(Name28),"  ",Surname28)</f>
        <v xml:space="preserve">  </v>
      </c>
      <c r="E33" s="197" t="str">
        <f t="shared" si="0"/>
        <v/>
      </c>
      <c r="F33" s="195" t="str">
        <f t="shared" si="1"/>
        <v/>
      </c>
      <c r="G33" s="195" t="str">
        <f t="shared" si="2"/>
        <v/>
      </c>
      <c r="H33" s="196" t="str">
        <f t="shared" si="3"/>
        <v/>
      </c>
      <c r="I33" s="195" t="str">
        <f t="shared" si="4"/>
        <v/>
      </c>
      <c r="J33" s="200"/>
      <c r="K33" s="197" t="str">
        <f t="shared" si="49"/>
        <v/>
      </c>
      <c r="L33" s="195" t="str">
        <f t="shared" si="5"/>
        <v/>
      </c>
      <c r="M33" s="196" t="str">
        <f t="shared" si="6"/>
        <v/>
      </c>
      <c r="N33" s="195" t="str">
        <f t="shared" si="7"/>
        <v/>
      </c>
      <c r="O33" s="231"/>
      <c r="P33" s="197" t="str">
        <f t="shared" si="8"/>
        <v/>
      </c>
      <c r="Q33" s="195" t="str">
        <f t="shared" si="9"/>
        <v/>
      </c>
      <c r="R33" s="196" t="str">
        <f t="shared" si="10"/>
        <v/>
      </c>
      <c r="S33" s="195" t="str">
        <f t="shared" si="11"/>
        <v/>
      </c>
      <c r="T33" s="200"/>
      <c r="U33" s="197" t="str">
        <f t="shared" si="12"/>
        <v/>
      </c>
      <c r="V33" s="195" t="str">
        <f t="shared" si="13"/>
        <v/>
      </c>
      <c r="W33" s="196" t="str">
        <f t="shared" si="14"/>
        <v/>
      </c>
      <c r="X33" s="195" t="str">
        <f t="shared" si="15"/>
        <v/>
      </c>
      <c r="Y33" s="200"/>
      <c r="Z33" s="197" t="str">
        <f t="shared" si="16"/>
        <v/>
      </c>
      <c r="AA33" s="195" t="str">
        <f t="shared" si="17"/>
        <v/>
      </c>
      <c r="AB33" s="196" t="str">
        <f t="shared" si="18"/>
        <v/>
      </c>
      <c r="AC33" s="195" t="str">
        <f t="shared" si="19"/>
        <v/>
      </c>
      <c r="AD33" s="200"/>
      <c r="AE33" s="197" t="str">
        <f t="shared" si="20"/>
        <v/>
      </c>
      <c r="AF33" s="195" t="str">
        <f t="shared" si="21"/>
        <v/>
      </c>
      <c r="AG33" s="196" t="str">
        <f t="shared" si="22"/>
        <v/>
      </c>
      <c r="AH33" s="195" t="str">
        <f t="shared" si="23"/>
        <v/>
      </c>
      <c r="AI33" s="200"/>
      <c r="AJ33" s="197" t="str">
        <f t="shared" si="24"/>
        <v/>
      </c>
      <c r="AK33" s="195" t="str">
        <f t="shared" si="25"/>
        <v/>
      </c>
      <c r="AL33" s="196" t="str">
        <f t="shared" si="26"/>
        <v/>
      </c>
      <c r="AM33" s="195" t="str">
        <f t="shared" si="27"/>
        <v/>
      </c>
      <c r="AN33" s="200"/>
      <c r="AO33" s="197" t="str">
        <f t="shared" si="28"/>
        <v/>
      </c>
      <c r="AP33" s="195" t="str">
        <f t="shared" si="29"/>
        <v/>
      </c>
      <c r="AQ33" s="196" t="str">
        <f t="shared" si="30"/>
        <v/>
      </c>
      <c r="AR33" s="195" t="str">
        <f t="shared" si="31"/>
        <v/>
      </c>
      <c r="AS33" s="231"/>
      <c r="AT33" s="197" t="str">
        <f t="shared" si="32"/>
        <v/>
      </c>
      <c r="AU33" s="195" t="str">
        <f t="shared" si="33"/>
        <v/>
      </c>
      <c r="AV33" s="196" t="str">
        <f t="shared" si="34"/>
        <v/>
      </c>
      <c r="AW33" s="195" t="str">
        <f t="shared" si="35"/>
        <v/>
      </c>
      <c r="AX33" s="200"/>
      <c r="AY33" s="197" t="str">
        <f t="shared" si="36"/>
        <v/>
      </c>
      <c r="AZ33" s="195" t="str">
        <f t="shared" si="37"/>
        <v/>
      </c>
      <c r="BA33" s="196" t="str">
        <f t="shared" si="38"/>
        <v/>
      </c>
      <c r="BB33" s="195" t="str">
        <f t="shared" si="39"/>
        <v/>
      </c>
      <c r="BC33" s="200"/>
      <c r="BD33" s="197" t="str">
        <f t="shared" si="40"/>
        <v/>
      </c>
      <c r="BE33" s="195" t="str">
        <f t="shared" si="41"/>
        <v/>
      </c>
      <c r="BF33" s="196" t="str">
        <f t="shared" si="42"/>
        <v/>
      </c>
      <c r="BG33" s="195" t="str">
        <f t="shared" si="43"/>
        <v/>
      </c>
      <c r="BH33" s="200"/>
      <c r="BI33" s="197" t="str">
        <f t="shared" si="44"/>
        <v/>
      </c>
      <c r="BJ33" s="195" t="str">
        <f t="shared" si="45"/>
        <v/>
      </c>
      <c r="BK33" s="196" t="str">
        <f t="shared" si="46"/>
        <v/>
      </c>
      <c r="BL33" s="195" t="str">
        <f t="shared" si="47"/>
        <v/>
      </c>
      <c r="BM33" s="200"/>
      <c r="BN33" s="197" t="str">
        <f t="shared" si="48"/>
        <v/>
      </c>
    </row>
    <row r="34" spans="1:66" s="11" customFormat="1" ht="21">
      <c r="A34" s="195">
        <v>29</v>
      </c>
      <c r="B34" s="195" t="str">
        <f>IF('2.Students'' data'!E39="","",CONCATENATE('2.Students'' data'!E39,'2.Students'' data'!F39,'2.Students'' data'!G39,'2.Students'' data'!H39,'2.Students'' data'!I39,'2.Students'' data'!J39,'2.Students'' data'!K39,'2.Students'' data'!L39,'2.Students'' data'!M39,'2.Students'' data'!N39,'2.Students'' data'!O39,'2.Students'' data'!P39,'2.Students'' data'!Q39,))</f>
        <v/>
      </c>
      <c r="C34" s="195" t="str">
        <f>IF(IDstu29="","",IDstu29)</f>
        <v/>
      </c>
      <c r="D34" s="224" t="str">
        <f>CONCATENATE(TRIM(Name29),"  ",Surname29)</f>
        <v xml:space="preserve">  </v>
      </c>
      <c r="E34" s="197" t="str">
        <f t="shared" si="0"/>
        <v/>
      </c>
      <c r="F34" s="195" t="str">
        <f t="shared" si="1"/>
        <v/>
      </c>
      <c r="G34" s="195" t="str">
        <f t="shared" si="2"/>
        <v/>
      </c>
      <c r="H34" s="196" t="str">
        <f t="shared" si="3"/>
        <v/>
      </c>
      <c r="I34" s="195" t="str">
        <f t="shared" si="4"/>
        <v/>
      </c>
      <c r="J34" s="200"/>
      <c r="K34" s="197" t="str">
        <f t="shared" si="49"/>
        <v/>
      </c>
      <c r="L34" s="195" t="str">
        <f t="shared" si="5"/>
        <v/>
      </c>
      <c r="M34" s="196" t="str">
        <f t="shared" si="6"/>
        <v/>
      </c>
      <c r="N34" s="195" t="str">
        <f t="shared" si="7"/>
        <v/>
      </c>
      <c r="O34" s="200"/>
      <c r="P34" s="197" t="str">
        <f t="shared" si="8"/>
        <v/>
      </c>
      <c r="Q34" s="195" t="str">
        <f t="shared" si="9"/>
        <v/>
      </c>
      <c r="R34" s="196" t="str">
        <f t="shared" si="10"/>
        <v/>
      </c>
      <c r="S34" s="195" t="str">
        <f t="shared" si="11"/>
        <v/>
      </c>
      <c r="T34" s="200"/>
      <c r="U34" s="197" t="str">
        <f t="shared" si="12"/>
        <v/>
      </c>
      <c r="V34" s="195" t="str">
        <f t="shared" si="13"/>
        <v/>
      </c>
      <c r="W34" s="196" t="str">
        <f t="shared" si="14"/>
        <v/>
      </c>
      <c r="X34" s="195" t="str">
        <f t="shared" si="15"/>
        <v/>
      </c>
      <c r="Y34" s="200"/>
      <c r="Z34" s="197" t="str">
        <f t="shared" si="16"/>
        <v/>
      </c>
      <c r="AA34" s="195" t="str">
        <f t="shared" si="17"/>
        <v/>
      </c>
      <c r="AB34" s="196" t="str">
        <f t="shared" si="18"/>
        <v/>
      </c>
      <c r="AC34" s="195" t="str">
        <f t="shared" si="19"/>
        <v/>
      </c>
      <c r="AD34" s="200"/>
      <c r="AE34" s="197" t="str">
        <f t="shared" si="20"/>
        <v/>
      </c>
      <c r="AF34" s="195" t="str">
        <f t="shared" si="21"/>
        <v/>
      </c>
      <c r="AG34" s="196" t="str">
        <f t="shared" si="22"/>
        <v/>
      </c>
      <c r="AH34" s="195" t="str">
        <f t="shared" si="23"/>
        <v/>
      </c>
      <c r="AI34" s="200"/>
      <c r="AJ34" s="197" t="str">
        <f t="shared" si="24"/>
        <v/>
      </c>
      <c r="AK34" s="195" t="str">
        <f t="shared" si="25"/>
        <v/>
      </c>
      <c r="AL34" s="196" t="str">
        <f t="shared" si="26"/>
        <v/>
      </c>
      <c r="AM34" s="195" t="str">
        <f t="shared" si="27"/>
        <v/>
      </c>
      <c r="AN34" s="200"/>
      <c r="AO34" s="197" t="str">
        <f t="shared" si="28"/>
        <v/>
      </c>
      <c r="AP34" s="195" t="str">
        <f t="shared" si="29"/>
        <v/>
      </c>
      <c r="AQ34" s="196" t="str">
        <f t="shared" si="30"/>
        <v/>
      </c>
      <c r="AR34" s="195" t="str">
        <f t="shared" si="31"/>
        <v/>
      </c>
      <c r="AS34" s="200"/>
      <c r="AT34" s="197" t="str">
        <f t="shared" si="32"/>
        <v/>
      </c>
      <c r="AU34" s="195" t="str">
        <f t="shared" si="33"/>
        <v/>
      </c>
      <c r="AV34" s="196" t="str">
        <f t="shared" si="34"/>
        <v/>
      </c>
      <c r="AW34" s="195" t="str">
        <f t="shared" si="35"/>
        <v/>
      </c>
      <c r="AX34" s="200"/>
      <c r="AY34" s="197" t="str">
        <f t="shared" si="36"/>
        <v/>
      </c>
      <c r="AZ34" s="195" t="str">
        <f t="shared" si="37"/>
        <v/>
      </c>
      <c r="BA34" s="196" t="str">
        <f t="shared" si="38"/>
        <v/>
      </c>
      <c r="BB34" s="195" t="str">
        <f t="shared" si="39"/>
        <v/>
      </c>
      <c r="BC34" s="200"/>
      <c r="BD34" s="197" t="str">
        <f t="shared" si="40"/>
        <v/>
      </c>
      <c r="BE34" s="195" t="str">
        <f t="shared" si="41"/>
        <v/>
      </c>
      <c r="BF34" s="196" t="str">
        <f t="shared" si="42"/>
        <v/>
      </c>
      <c r="BG34" s="195" t="str">
        <f t="shared" si="43"/>
        <v/>
      </c>
      <c r="BH34" s="200"/>
      <c r="BI34" s="197" t="str">
        <f t="shared" si="44"/>
        <v/>
      </c>
      <c r="BJ34" s="195" t="str">
        <f t="shared" si="45"/>
        <v/>
      </c>
      <c r="BK34" s="196" t="str">
        <f t="shared" si="46"/>
        <v/>
      </c>
      <c r="BL34" s="195" t="str">
        <f t="shared" si="47"/>
        <v/>
      </c>
      <c r="BM34" s="200"/>
      <c r="BN34" s="197" t="str">
        <f t="shared" si="48"/>
        <v/>
      </c>
    </row>
    <row r="35" spans="1:66" s="11" customFormat="1" ht="21">
      <c r="A35" s="195">
        <v>30</v>
      </c>
      <c r="B35" s="195" t="str">
        <f>IF('2.Students'' data'!E40="","",CONCATENATE('2.Students'' data'!E40,'2.Students'' data'!F40,'2.Students'' data'!G40,'2.Students'' data'!H40,'2.Students'' data'!I40,'2.Students'' data'!J40,'2.Students'' data'!K40,'2.Students'' data'!L40,'2.Students'' data'!M40,'2.Students'' data'!N40,'2.Students'' data'!O40,'2.Students'' data'!P40,'2.Students'' data'!Q40,))</f>
        <v/>
      </c>
      <c r="C35" s="195" t="str">
        <f>IF(IDstu30="","",IDstu30)</f>
        <v/>
      </c>
      <c r="D35" s="224" t="str">
        <f>CONCATENATE(TRIM(Name30),"  ",Surname30)</f>
        <v xml:space="preserve">  </v>
      </c>
      <c r="E35" s="197" t="str">
        <f t="shared" si="0"/>
        <v/>
      </c>
      <c r="F35" s="195" t="str">
        <f t="shared" si="1"/>
        <v/>
      </c>
      <c r="G35" s="195" t="str">
        <f t="shared" si="2"/>
        <v/>
      </c>
      <c r="H35" s="196" t="str">
        <f t="shared" si="3"/>
        <v/>
      </c>
      <c r="I35" s="195" t="str">
        <f t="shared" si="4"/>
        <v/>
      </c>
      <c r="J35" s="200"/>
      <c r="K35" s="197" t="str">
        <f t="shared" si="49"/>
        <v/>
      </c>
      <c r="L35" s="195" t="str">
        <f t="shared" si="5"/>
        <v/>
      </c>
      <c r="M35" s="196" t="str">
        <f t="shared" si="6"/>
        <v/>
      </c>
      <c r="N35" s="195" t="str">
        <f t="shared" si="7"/>
        <v/>
      </c>
      <c r="O35" s="200"/>
      <c r="P35" s="197" t="str">
        <f t="shared" si="8"/>
        <v/>
      </c>
      <c r="Q35" s="195" t="str">
        <f t="shared" si="9"/>
        <v/>
      </c>
      <c r="R35" s="196" t="str">
        <f t="shared" si="10"/>
        <v/>
      </c>
      <c r="S35" s="195" t="str">
        <f t="shared" si="11"/>
        <v/>
      </c>
      <c r="T35" s="200"/>
      <c r="U35" s="197" t="str">
        <f t="shared" si="12"/>
        <v/>
      </c>
      <c r="V35" s="195" t="str">
        <f t="shared" si="13"/>
        <v/>
      </c>
      <c r="W35" s="196" t="str">
        <f t="shared" si="14"/>
        <v/>
      </c>
      <c r="X35" s="195" t="str">
        <f t="shared" si="15"/>
        <v/>
      </c>
      <c r="Y35" s="200"/>
      <c r="Z35" s="197" t="str">
        <f t="shared" si="16"/>
        <v/>
      </c>
      <c r="AA35" s="195" t="str">
        <f t="shared" si="17"/>
        <v/>
      </c>
      <c r="AB35" s="196" t="str">
        <f t="shared" si="18"/>
        <v/>
      </c>
      <c r="AC35" s="195" t="str">
        <f t="shared" si="19"/>
        <v/>
      </c>
      <c r="AD35" s="200"/>
      <c r="AE35" s="197" t="str">
        <f t="shared" si="20"/>
        <v/>
      </c>
      <c r="AF35" s="195" t="str">
        <f t="shared" si="21"/>
        <v/>
      </c>
      <c r="AG35" s="196" t="str">
        <f t="shared" si="22"/>
        <v/>
      </c>
      <c r="AH35" s="195" t="str">
        <f t="shared" si="23"/>
        <v/>
      </c>
      <c r="AI35" s="200"/>
      <c r="AJ35" s="197" t="str">
        <f t="shared" si="24"/>
        <v/>
      </c>
      <c r="AK35" s="195" t="str">
        <f t="shared" si="25"/>
        <v/>
      </c>
      <c r="AL35" s="196" t="str">
        <f t="shared" si="26"/>
        <v/>
      </c>
      <c r="AM35" s="195" t="str">
        <f t="shared" si="27"/>
        <v/>
      </c>
      <c r="AN35" s="200"/>
      <c r="AO35" s="197" t="str">
        <f t="shared" si="28"/>
        <v/>
      </c>
      <c r="AP35" s="195" t="str">
        <f t="shared" si="29"/>
        <v/>
      </c>
      <c r="AQ35" s="196" t="str">
        <f t="shared" si="30"/>
        <v/>
      </c>
      <c r="AR35" s="195" t="str">
        <f t="shared" si="31"/>
        <v/>
      </c>
      <c r="AS35" s="200"/>
      <c r="AT35" s="197" t="str">
        <f t="shared" si="32"/>
        <v/>
      </c>
      <c r="AU35" s="195" t="str">
        <f t="shared" si="33"/>
        <v/>
      </c>
      <c r="AV35" s="196" t="str">
        <f t="shared" si="34"/>
        <v/>
      </c>
      <c r="AW35" s="195" t="str">
        <f t="shared" si="35"/>
        <v/>
      </c>
      <c r="AX35" s="200"/>
      <c r="AY35" s="197" t="str">
        <f t="shared" si="36"/>
        <v/>
      </c>
      <c r="AZ35" s="195" t="str">
        <f t="shared" si="37"/>
        <v/>
      </c>
      <c r="BA35" s="196" t="str">
        <f t="shared" si="38"/>
        <v/>
      </c>
      <c r="BB35" s="195" t="str">
        <f t="shared" si="39"/>
        <v/>
      </c>
      <c r="BC35" s="200"/>
      <c r="BD35" s="197" t="str">
        <f t="shared" si="40"/>
        <v/>
      </c>
      <c r="BE35" s="195" t="str">
        <f t="shared" si="41"/>
        <v/>
      </c>
      <c r="BF35" s="196" t="str">
        <f t="shared" si="42"/>
        <v/>
      </c>
      <c r="BG35" s="195" t="str">
        <f t="shared" si="43"/>
        <v/>
      </c>
      <c r="BH35" s="200"/>
      <c r="BI35" s="197" t="str">
        <f t="shared" si="44"/>
        <v/>
      </c>
      <c r="BJ35" s="195" t="str">
        <f t="shared" si="45"/>
        <v/>
      </c>
      <c r="BK35" s="196" t="str">
        <f t="shared" si="46"/>
        <v/>
      </c>
      <c r="BL35" s="195" t="str">
        <f t="shared" si="47"/>
        <v/>
      </c>
      <c r="BM35" s="200"/>
      <c r="BN35" s="197" t="str">
        <f t="shared" si="48"/>
        <v/>
      </c>
    </row>
    <row r="36" spans="1:66" s="11" customFormat="1" ht="21">
      <c r="A36" s="195">
        <v>31</v>
      </c>
      <c r="B36" s="195" t="str">
        <f>IF('2.Students'' data'!E41="","",CONCATENATE('2.Students'' data'!E41,'2.Students'' data'!F41,'2.Students'' data'!G41,'2.Students'' data'!H41,'2.Students'' data'!I41,'2.Students'' data'!J41,'2.Students'' data'!K41,'2.Students'' data'!L41,'2.Students'' data'!M41,'2.Students'' data'!N41,'2.Students'' data'!O41,'2.Students'' data'!P41,'2.Students'' data'!Q41,))</f>
        <v/>
      </c>
      <c r="C36" s="195" t="str">
        <f>IF(IDstu31="","",IDstu31)</f>
        <v/>
      </c>
      <c r="D36" s="224" t="str">
        <f>CONCATENATE(TRIM(Name31),"  ",Surname31)</f>
        <v xml:space="preserve">  </v>
      </c>
      <c r="E36" s="197" t="str">
        <f t="shared" si="0"/>
        <v/>
      </c>
      <c r="F36" s="195" t="str">
        <f t="shared" si="1"/>
        <v/>
      </c>
      <c r="G36" s="195" t="str">
        <f t="shared" si="2"/>
        <v/>
      </c>
      <c r="H36" s="196" t="str">
        <f t="shared" si="3"/>
        <v/>
      </c>
      <c r="I36" s="195" t="str">
        <f t="shared" si="4"/>
        <v/>
      </c>
      <c r="J36" s="200"/>
      <c r="K36" s="197" t="str">
        <f t="shared" si="49"/>
        <v/>
      </c>
      <c r="L36" s="195" t="str">
        <f t="shared" si="5"/>
        <v/>
      </c>
      <c r="M36" s="196" t="str">
        <f t="shared" si="6"/>
        <v/>
      </c>
      <c r="N36" s="195" t="str">
        <f t="shared" si="7"/>
        <v/>
      </c>
      <c r="O36" s="200"/>
      <c r="P36" s="197" t="str">
        <f t="shared" si="8"/>
        <v/>
      </c>
      <c r="Q36" s="195" t="str">
        <f t="shared" si="9"/>
        <v/>
      </c>
      <c r="R36" s="196" t="str">
        <f t="shared" si="10"/>
        <v/>
      </c>
      <c r="S36" s="195" t="str">
        <f t="shared" si="11"/>
        <v/>
      </c>
      <c r="T36" s="200"/>
      <c r="U36" s="197" t="str">
        <f t="shared" si="12"/>
        <v/>
      </c>
      <c r="V36" s="195" t="str">
        <f t="shared" si="13"/>
        <v/>
      </c>
      <c r="W36" s="196" t="str">
        <f t="shared" si="14"/>
        <v/>
      </c>
      <c r="X36" s="195" t="str">
        <f t="shared" si="15"/>
        <v/>
      </c>
      <c r="Y36" s="200"/>
      <c r="Z36" s="197" t="str">
        <f t="shared" si="16"/>
        <v/>
      </c>
      <c r="AA36" s="195" t="str">
        <f t="shared" si="17"/>
        <v/>
      </c>
      <c r="AB36" s="196" t="str">
        <f t="shared" si="18"/>
        <v/>
      </c>
      <c r="AC36" s="195" t="str">
        <f t="shared" si="19"/>
        <v/>
      </c>
      <c r="AD36" s="200"/>
      <c r="AE36" s="197" t="str">
        <f t="shared" si="20"/>
        <v/>
      </c>
      <c r="AF36" s="195" t="str">
        <f t="shared" si="21"/>
        <v/>
      </c>
      <c r="AG36" s="196" t="str">
        <f t="shared" si="22"/>
        <v/>
      </c>
      <c r="AH36" s="195" t="str">
        <f t="shared" si="23"/>
        <v/>
      </c>
      <c r="AI36" s="200"/>
      <c r="AJ36" s="197" t="str">
        <f t="shared" si="24"/>
        <v/>
      </c>
      <c r="AK36" s="195" t="str">
        <f t="shared" si="25"/>
        <v/>
      </c>
      <c r="AL36" s="196" t="str">
        <f t="shared" si="26"/>
        <v/>
      </c>
      <c r="AM36" s="195" t="str">
        <f t="shared" si="27"/>
        <v/>
      </c>
      <c r="AN36" s="200"/>
      <c r="AO36" s="197" t="str">
        <f t="shared" si="28"/>
        <v/>
      </c>
      <c r="AP36" s="195" t="str">
        <f t="shared" si="29"/>
        <v/>
      </c>
      <c r="AQ36" s="196" t="str">
        <f t="shared" si="30"/>
        <v/>
      </c>
      <c r="AR36" s="195" t="str">
        <f t="shared" si="31"/>
        <v/>
      </c>
      <c r="AS36" s="200"/>
      <c r="AT36" s="197" t="str">
        <f t="shared" si="32"/>
        <v/>
      </c>
      <c r="AU36" s="195" t="str">
        <f t="shared" si="33"/>
        <v/>
      </c>
      <c r="AV36" s="196" t="str">
        <f t="shared" si="34"/>
        <v/>
      </c>
      <c r="AW36" s="195" t="str">
        <f t="shared" si="35"/>
        <v/>
      </c>
      <c r="AX36" s="200"/>
      <c r="AY36" s="197" t="str">
        <f t="shared" si="36"/>
        <v/>
      </c>
      <c r="AZ36" s="195" t="str">
        <f t="shared" si="37"/>
        <v/>
      </c>
      <c r="BA36" s="196" t="str">
        <f t="shared" si="38"/>
        <v/>
      </c>
      <c r="BB36" s="195" t="str">
        <f t="shared" si="39"/>
        <v/>
      </c>
      <c r="BC36" s="200"/>
      <c r="BD36" s="197" t="str">
        <f t="shared" si="40"/>
        <v/>
      </c>
      <c r="BE36" s="195" t="str">
        <f t="shared" si="41"/>
        <v/>
      </c>
      <c r="BF36" s="196" t="str">
        <f t="shared" si="42"/>
        <v/>
      </c>
      <c r="BG36" s="195" t="str">
        <f t="shared" si="43"/>
        <v/>
      </c>
      <c r="BH36" s="200"/>
      <c r="BI36" s="197" t="str">
        <f t="shared" si="44"/>
        <v/>
      </c>
      <c r="BJ36" s="195" t="str">
        <f t="shared" si="45"/>
        <v/>
      </c>
      <c r="BK36" s="196" t="str">
        <f t="shared" si="46"/>
        <v/>
      </c>
      <c r="BL36" s="195" t="str">
        <f t="shared" si="47"/>
        <v/>
      </c>
      <c r="BM36" s="200"/>
      <c r="BN36" s="197" t="str">
        <f t="shared" si="48"/>
        <v/>
      </c>
    </row>
    <row r="37" spans="1:66" s="11" customFormat="1" ht="21">
      <c r="A37" s="195">
        <v>32</v>
      </c>
      <c r="B37" s="195" t="str">
        <f>IF('2.Students'' data'!E42="","",CONCATENATE('2.Students'' data'!E42,'2.Students'' data'!F42,'2.Students'' data'!G42,'2.Students'' data'!H42,'2.Students'' data'!I42,'2.Students'' data'!J42,'2.Students'' data'!K42,'2.Students'' data'!L42,'2.Students'' data'!M42,'2.Students'' data'!N42,'2.Students'' data'!O42,'2.Students'' data'!P42,'2.Students'' data'!Q42,))</f>
        <v/>
      </c>
      <c r="C37" s="195" t="str">
        <f>IF(IDstu32="","",IDstu32)</f>
        <v/>
      </c>
      <c r="D37" s="224" t="str">
        <f>CONCATENATE(TRIM(Name32),"  ",Surname32)</f>
        <v xml:space="preserve">  </v>
      </c>
      <c r="E37" s="197" t="str">
        <f t="shared" si="0"/>
        <v/>
      </c>
      <c r="F37" s="195" t="str">
        <f t="shared" si="1"/>
        <v/>
      </c>
      <c r="G37" s="195" t="str">
        <f t="shared" si="2"/>
        <v/>
      </c>
      <c r="H37" s="196" t="str">
        <f t="shared" si="3"/>
        <v/>
      </c>
      <c r="I37" s="195" t="str">
        <f t="shared" si="4"/>
        <v/>
      </c>
      <c r="J37" s="200"/>
      <c r="K37" s="197" t="str">
        <f t="shared" si="49"/>
        <v/>
      </c>
      <c r="L37" s="195" t="str">
        <f t="shared" si="5"/>
        <v/>
      </c>
      <c r="M37" s="196" t="str">
        <f t="shared" si="6"/>
        <v/>
      </c>
      <c r="N37" s="195" t="str">
        <f t="shared" si="7"/>
        <v/>
      </c>
      <c r="O37" s="200"/>
      <c r="P37" s="197" t="str">
        <f t="shared" si="8"/>
        <v/>
      </c>
      <c r="Q37" s="195" t="str">
        <f t="shared" si="9"/>
        <v/>
      </c>
      <c r="R37" s="196" t="str">
        <f t="shared" si="10"/>
        <v/>
      </c>
      <c r="S37" s="195" t="str">
        <f t="shared" si="11"/>
        <v/>
      </c>
      <c r="T37" s="200"/>
      <c r="U37" s="197" t="str">
        <f t="shared" si="12"/>
        <v/>
      </c>
      <c r="V37" s="195" t="str">
        <f t="shared" si="13"/>
        <v/>
      </c>
      <c r="W37" s="196" t="str">
        <f t="shared" si="14"/>
        <v/>
      </c>
      <c r="X37" s="195" t="str">
        <f t="shared" si="15"/>
        <v/>
      </c>
      <c r="Y37" s="200"/>
      <c r="Z37" s="197" t="str">
        <f t="shared" si="16"/>
        <v/>
      </c>
      <c r="AA37" s="195" t="str">
        <f t="shared" si="17"/>
        <v/>
      </c>
      <c r="AB37" s="196" t="str">
        <f t="shared" si="18"/>
        <v/>
      </c>
      <c r="AC37" s="195" t="str">
        <f t="shared" si="19"/>
        <v/>
      </c>
      <c r="AD37" s="200"/>
      <c r="AE37" s="197" t="str">
        <f t="shared" si="20"/>
        <v/>
      </c>
      <c r="AF37" s="195" t="str">
        <f t="shared" si="21"/>
        <v/>
      </c>
      <c r="AG37" s="196" t="str">
        <f t="shared" si="22"/>
        <v/>
      </c>
      <c r="AH37" s="195" t="str">
        <f t="shared" si="23"/>
        <v/>
      </c>
      <c r="AI37" s="200"/>
      <c r="AJ37" s="197" t="str">
        <f t="shared" si="24"/>
        <v/>
      </c>
      <c r="AK37" s="195" t="str">
        <f t="shared" si="25"/>
        <v/>
      </c>
      <c r="AL37" s="196" t="str">
        <f t="shared" si="26"/>
        <v/>
      </c>
      <c r="AM37" s="195" t="str">
        <f t="shared" si="27"/>
        <v/>
      </c>
      <c r="AN37" s="200"/>
      <c r="AO37" s="197" t="str">
        <f t="shared" si="28"/>
        <v/>
      </c>
      <c r="AP37" s="195" t="str">
        <f t="shared" si="29"/>
        <v/>
      </c>
      <c r="AQ37" s="196" t="str">
        <f t="shared" si="30"/>
        <v/>
      </c>
      <c r="AR37" s="195" t="str">
        <f t="shared" si="31"/>
        <v/>
      </c>
      <c r="AS37" s="200"/>
      <c r="AT37" s="197" t="str">
        <f t="shared" si="32"/>
        <v/>
      </c>
      <c r="AU37" s="195" t="str">
        <f t="shared" si="33"/>
        <v/>
      </c>
      <c r="AV37" s="196" t="str">
        <f t="shared" si="34"/>
        <v/>
      </c>
      <c r="AW37" s="195" t="str">
        <f t="shared" si="35"/>
        <v/>
      </c>
      <c r="AX37" s="200"/>
      <c r="AY37" s="197" t="str">
        <f t="shared" si="36"/>
        <v/>
      </c>
      <c r="AZ37" s="195" t="str">
        <f t="shared" si="37"/>
        <v/>
      </c>
      <c r="BA37" s="196" t="str">
        <f t="shared" si="38"/>
        <v/>
      </c>
      <c r="BB37" s="195" t="str">
        <f t="shared" si="39"/>
        <v/>
      </c>
      <c r="BC37" s="200"/>
      <c r="BD37" s="197" t="str">
        <f t="shared" si="40"/>
        <v/>
      </c>
      <c r="BE37" s="195" t="str">
        <f t="shared" si="41"/>
        <v/>
      </c>
      <c r="BF37" s="196" t="str">
        <f t="shared" si="42"/>
        <v/>
      </c>
      <c r="BG37" s="195" t="str">
        <f t="shared" si="43"/>
        <v/>
      </c>
      <c r="BH37" s="200"/>
      <c r="BI37" s="197" t="str">
        <f t="shared" si="44"/>
        <v/>
      </c>
      <c r="BJ37" s="195" t="str">
        <f t="shared" si="45"/>
        <v/>
      </c>
      <c r="BK37" s="196" t="str">
        <f t="shared" si="46"/>
        <v/>
      </c>
      <c r="BL37" s="195" t="str">
        <f t="shared" si="47"/>
        <v/>
      </c>
      <c r="BM37" s="200"/>
      <c r="BN37" s="197" t="str">
        <f t="shared" si="48"/>
        <v/>
      </c>
    </row>
    <row r="38" spans="1:66" s="11" customFormat="1" ht="21">
      <c r="A38" s="195">
        <v>33</v>
      </c>
      <c r="B38" s="195" t="str">
        <f>IF('2.Students'' data'!E43="","",CONCATENATE('2.Students'' data'!E43,'2.Students'' data'!F43,'2.Students'' data'!G43,'2.Students'' data'!H43,'2.Students'' data'!I43,'2.Students'' data'!J43,'2.Students'' data'!K43,'2.Students'' data'!L43,'2.Students'' data'!M43,'2.Students'' data'!N43,'2.Students'' data'!O43,'2.Students'' data'!P43,'2.Students'' data'!Q43,))</f>
        <v/>
      </c>
      <c r="C38" s="195" t="str">
        <f>IF(IDstu33="","",IDstu33)</f>
        <v/>
      </c>
      <c r="D38" s="224" t="str">
        <f>CONCATENATE(TRIM(Name33),"  ",Surname33)</f>
        <v xml:space="preserve">  </v>
      </c>
      <c r="E38" s="197" t="str">
        <f t="shared" si="0"/>
        <v/>
      </c>
      <c r="F38" s="195" t="str">
        <f t="shared" si="1"/>
        <v/>
      </c>
      <c r="G38" s="195" t="str">
        <f t="shared" si="2"/>
        <v/>
      </c>
      <c r="H38" s="196" t="str">
        <f t="shared" si="3"/>
        <v/>
      </c>
      <c r="I38" s="195" t="str">
        <f t="shared" si="4"/>
        <v/>
      </c>
      <c r="J38" s="200"/>
      <c r="K38" s="197" t="str">
        <f t="shared" si="49"/>
        <v/>
      </c>
      <c r="L38" s="195" t="str">
        <f t="shared" si="5"/>
        <v/>
      </c>
      <c r="M38" s="196" t="str">
        <f t="shared" si="6"/>
        <v/>
      </c>
      <c r="N38" s="195" t="str">
        <f t="shared" si="7"/>
        <v/>
      </c>
      <c r="O38" s="200"/>
      <c r="P38" s="197" t="str">
        <f t="shared" si="8"/>
        <v/>
      </c>
      <c r="Q38" s="195" t="str">
        <f t="shared" si="9"/>
        <v/>
      </c>
      <c r="R38" s="196" t="str">
        <f t="shared" si="10"/>
        <v/>
      </c>
      <c r="S38" s="195" t="str">
        <f t="shared" si="11"/>
        <v/>
      </c>
      <c r="T38" s="200"/>
      <c r="U38" s="197" t="str">
        <f t="shared" si="12"/>
        <v/>
      </c>
      <c r="V38" s="195" t="str">
        <f t="shared" si="13"/>
        <v/>
      </c>
      <c r="W38" s="196" t="str">
        <f t="shared" si="14"/>
        <v/>
      </c>
      <c r="X38" s="195" t="str">
        <f t="shared" si="15"/>
        <v/>
      </c>
      <c r="Y38" s="200"/>
      <c r="Z38" s="197" t="str">
        <f t="shared" si="16"/>
        <v/>
      </c>
      <c r="AA38" s="195" t="str">
        <f t="shared" si="17"/>
        <v/>
      </c>
      <c r="AB38" s="196" t="str">
        <f t="shared" si="18"/>
        <v/>
      </c>
      <c r="AC38" s="195" t="str">
        <f t="shared" si="19"/>
        <v/>
      </c>
      <c r="AD38" s="200"/>
      <c r="AE38" s="197" t="str">
        <f t="shared" si="20"/>
        <v/>
      </c>
      <c r="AF38" s="195" t="str">
        <f t="shared" si="21"/>
        <v/>
      </c>
      <c r="AG38" s="196" t="str">
        <f t="shared" si="22"/>
        <v/>
      </c>
      <c r="AH38" s="195" t="str">
        <f t="shared" si="23"/>
        <v/>
      </c>
      <c r="AI38" s="200"/>
      <c r="AJ38" s="197" t="str">
        <f t="shared" si="24"/>
        <v/>
      </c>
      <c r="AK38" s="195" t="str">
        <f t="shared" si="25"/>
        <v/>
      </c>
      <c r="AL38" s="196" t="str">
        <f t="shared" si="26"/>
        <v/>
      </c>
      <c r="AM38" s="195" t="str">
        <f t="shared" si="27"/>
        <v/>
      </c>
      <c r="AN38" s="200"/>
      <c r="AO38" s="197" t="str">
        <f t="shared" si="28"/>
        <v/>
      </c>
      <c r="AP38" s="195" t="str">
        <f t="shared" si="29"/>
        <v/>
      </c>
      <c r="AQ38" s="196" t="str">
        <f t="shared" si="30"/>
        <v/>
      </c>
      <c r="AR38" s="195" t="str">
        <f t="shared" si="31"/>
        <v/>
      </c>
      <c r="AS38" s="200"/>
      <c r="AT38" s="197" t="str">
        <f t="shared" si="32"/>
        <v/>
      </c>
      <c r="AU38" s="195" t="str">
        <f t="shared" si="33"/>
        <v/>
      </c>
      <c r="AV38" s="196" t="str">
        <f t="shared" si="34"/>
        <v/>
      </c>
      <c r="AW38" s="195" t="str">
        <f t="shared" si="35"/>
        <v/>
      </c>
      <c r="AX38" s="200"/>
      <c r="AY38" s="197" t="str">
        <f t="shared" si="36"/>
        <v/>
      </c>
      <c r="AZ38" s="195" t="str">
        <f t="shared" si="37"/>
        <v/>
      </c>
      <c r="BA38" s="196" t="str">
        <f t="shared" si="38"/>
        <v/>
      </c>
      <c r="BB38" s="195" t="str">
        <f t="shared" si="39"/>
        <v/>
      </c>
      <c r="BC38" s="200"/>
      <c r="BD38" s="197" t="str">
        <f t="shared" si="40"/>
        <v/>
      </c>
      <c r="BE38" s="195" t="str">
        <f t="shared" si="41"/>
        <v/>
      </c>
      <c r="BF38" s="196" t="str">
        <f t="shared" si="42"/>
        <v/>
      </c>
      <c r="BG38" s="195" t="str">
        <f t="shared" si="43"/>
        <v/>
      </c>
      <c r="BH38" s="200"/>
      <c r="BI38" s="197" t="str">
        <f t="shared" si="44"/>
        <v/>
      </c>
      <c r="BJ38" s="195" t="str">
        <f t="shared" si="45"/>
        <v/>
      </c>
      <c r="BK38" s="196" t="str">
        <f t="shared" si="46"/>
        <v/>
      </c>
      <c r="BL38" s="195" t="str">
        <f t="shared" si="47"/>
        <v/>
      </c>
      <c r="BM38" s="200"/>
      <c r="BN38" s="197" t="str">
        <f t="shared" si="48"/>
        <v/>
      </c>
    </row>
    <row r="39" spans="1:66" s="11" customFormat="1" ht="21">
      <c r="A39" s="195">
        <v>34</v>
      </c>
      <c r="B39" s="195" t="str">
        <f>IF('2.Students'' data'!E44="","",CONCATENATE('2.Students'' data'!E44,'2.Students'' data'!F44,'2.Students'' data'!G44,'2.Students'' data'!H44,'2.Students'' data'!I44,'2.Students'' data'!J44,'2.Students'' data'!K44,'2.Students'' data'!L44,'2.Students'' data'!M44,'2.Students'' data'!N44,'2.Students'' data'!O44,'2.Students'' data'!P44,'2.Students'' data'!Q44,))</f>
        <v/>
      </c>
      <c r="C39" s="195" t="str">
        <f>IF(IDstu34="","",IDstu34)</f>
        <v/>
      </c>
      <c r="D39" s="224" t="str">
        <f>CONCATENATE(TRIM(Name34),"  ",Surname34)</f>
        <v xml:space="preserve">  </v>
      </c>
      <c r="E39" s="197" t="str">
        <f t="shared" si="0"/>
        <v/>
      </c>
      <c r="F39" s="195" t="str">
        <f t="shared" si="1"/>
        <v/>
      </c>
      <c r="G39" s="195" t="str">
        <f t="shared" si="2"/>
        <v/>
      </c>
      <c r="H39" s="196" t="str">
        <f t="shared" si="3"/>
        <v/>
      </c>
      <c r="I39" s="195" t="str">
        <f t="shared" si="4"/>
        <v/>
      </c>
      <c r="J39" s="200"/>
      <c r="K39" s="197" t="str">
        <f t="shared" si="49"/>
        <v/>
      </c>
      <c r="L39" s="195" t="str">
        <f t="shared" si="5"/>
        <v/>
      </c>
      <c r="M39" s="196" t="str">
        <f t="shared" si="6"/>
        <v/>
      </c>
      <c r="N39" s="195" t="str">
        <f t="shared" si="7"/>
        <v/>
      </c>
      <c r="O39" s="200"/>
      <c r="P39" s="197" t="str">
        <f t="shared" si="8"/>
        <v/>
      </c>
      <c r="Q39" s="195" t="str">
        <f t="shared" si="9"/>
        <v/>
      </c>
      <c r="R39" s="196" t="str">
        <f t="shared" si="10"/>
        <v/>
      </c>
      <c r="S39" s="195" t="str">
        <f t="shared" si="11"/>
        <v/>
      </c>
      <c r="T39" s="200"/>
      <c r="U39" s="197" t="str">
        <f t="shared" si="12"/>
        <v/>
      </c>
      <c r="V39" s="195" t="str">
        <f t="shared" si="13"/>
        <v/>
      </c>
      <c r="W39" s="196" t="str">
        <f t="shared" si="14"/>
        <v/>
      </c>
      <c r="X39" s="195" t="str">
        <f t="shared" si="15"/>
        <v/>
      </c>
      <c r="Y39" s="200"/>
      <c r="Z39" s="197" t="str">
        <f t="shared" si="16"/>
        <v/>
      </c>
      <c r="AA39" s="195" t="str">
        <f t="shared" si="17"/>
        <v/>
      </c>
      <c r="AB39" s="196" t="str">
        <f t="shared" si="18"/>
        <v/>
      </c>
      <c r="AC39" s="195" t="str">
        <f t="shared" si="19"/>
        <v/>
      </c>
      <c r="AD39" s="200"/>
      <c r="AE39" s="197" t="str">
        <f t="shared" si="20"/>
        <v/>
      </c>
      <c r="AF39" s="195" t="str">
        <f t="shared" si="21"/>
        <v/>
      </c>
      <c r="AG39" s="196" t="str">
        <f t="shared" si="22"/>
        <v/>
      </c>
      <c r="AH39" s="195" t="str">
        <f t="shared" si="23"/>
        <v/>
      </c>
      <c r="AI39" s="200"/>
      <c r="AJ39" s="197" t="str">
        <f t="shared" si="24"/>
        <v/>
      </c>
      <c r="AK39" s="195" t="str">
        <f t="shared" si="25"/>
        <v/>
      </c>
      <c r="AL39" s="196" t="str">
        <f t="shared" si="26"/>
        <v/>
      </c>
      <c r="AM39" s="195" t="str">
        <f t="shared" si="27"/>
        <v/>
      </c>
      <c r="AN39" s="200"/>
      <c r="AO39" s="197" t="str">
        <f t="shared" si="28"/>
        <v/>
      </c>
      <c r="AP39" s="195" t="str">
        <f t="shared" si="29"/>
        <v/>
      </c>
      <c r="AQ39" s="196" t="str">
        <f t="shared" si="30"/>
        <v/>
      </c>
      <c r="AR39" s="195" t="str">
        <f t="shared" si="31"/>
        <v/>
      </c>
      <c r="AS39" s="200"/>
      <c r="AT39" s="197" t="str">
        <f t="shared" si="32"/>
        <v/>
      </c>
      <c r="AU39" s="195" t="str">
        <f t="shared" si="33"/>
        <v/>
      </c>
      <c r="AV39" s="196" t="str">
        <f t="shared" si="34"/>
        <v/>
      </c>
      <c r="AW39" s="195" t="str">
        <f t="shared" si="35"/>
        <v/>
      </c>
      <c r="AX39" s="200"/>
      <c r="AY39" s="197" t="str">
        <f t="shared" si="36"/>
        <v/>
      </c>
      <c r="AZ39" s="195" t="str">
        <f t="shared" si="37"/>
        <v/>
      </c>
      <c r="BA39" s="196" t="str">
        <f t="shared" si="38"/>
        <v/>
      </c>
      <c r="BB39" s="195" t="str">
        <f t="shared" si="39"/>
        <v/>
      </c>
      <c r="BC39" s="200"/>
      <c r="BD39" s="197" t="str">
        <f t="shared" si="40"/>
        <v/>
      </c>
      <c r="BE39" s="195" t="str">
        <f t="shared" si="41"/>
        <v/>
      </c>
      <c r="BF39" s="196" t="str">
        <f t="shared" si="42"/>
        <v/>
      </c>
      <c r="BG39" s="195" t="str">
        <f t="shared" si="43"/>
        <v/>
      </c>
      <c r="BH39" s="200"/>
      <c r="BI39" s="197" t="str">
        <f t="shared" si="44"/>
        <v/>
      </c>
      <c r="BJ39" s="195" t="str">
        <f t="shared" si="45"/>
        <v/>
      </c>
      <c r="BK39" s="196" t="str">
        <f t="shared" si="46"/>
        <v/>
      </c>
      <c r="BL39" s="195" t="str">
        <f t="shared" si="47"/>
        <v/>
      </c>
      <c r="BM39" s="200"/>
      <c r="BN39" s="197" t="str">
        <f t="shared" si="48"/>
        <v/>
      </c>
    </row>
    <row r="40" spans="1:66" s="11" customFormat="1" ht="21">
      <c r="A40" s="195">
        <v>35</v>
      </c>
      <c r="B40" s="195" t="str">
        <f>IF('2.Students'' data'!E45="","",CONCATENATE('2.Students'' data'!E45,'2.Students'' data'!F45,'2.Students'' data'!G45,'2.Students'' data'!H45,'2.Students'' data'!I45,'2.Students'' data'!J45,'2.Students'' data'!K45,'2.Students'' data'!L45,'2.Students'' data'!M45,'2.Students'' data'!N45,'2.Students'' data'!O45,'2.Students'' data'!P45,'2.Students'' data'!Q45,))</f>
        <v/>
      </c>
      <c r="C40" s="195" t="str">
        <f>IF(IDstu35="","",IDstu35)</f>
        <v/>
      </c>
      <c r="D40" s="224" t="str">
        <f>CONCATENATE(TRIM(Name35),"  ",Surname35)</f>
        <v xml:space="preserve">  </v>
      </c>
      <c r="E40" s="197" t="str">
        <f t="shared" si="0"/>
        <v/>
      </c>
      <c r="F40" s="195" t="str">
        <f t="shared" si="1"/>
        <v/>
      </c>
      <c r="G40" s="195" t="str">
        <f t="shared" si="2"/>
        <v/>
      </c>
      <c r="H40" s="196" t="str">
        <f t="shared" si="3"/>
        <v/>
      </c>
      <c r="I40" s="195" t="str">
        <f t="shared" si="4"/>
        <v/>
      </c>
      <c r="J40" s="200"/>
      <c r="K40" s="197" t="str">
        <f t="shared" si="49"/>
        <v/>
      </c>
      <c r="L40" s="195" t="str">
        <f t="shared" si="5"/>
        <v/>
      </c>
      <c r="M40" s="196" t="str">
        <f t="shared" si="6"/>
        <v/>
      </c>
      <c r="N40" s="195" t="str">
        <f t="shared" si="7"/>
        <v/>
      </c>
      <c r="O40" s="200"/>
      <c r="P40" s="197" t="str">
        <f t="shared" si="8"/>
        <v/>
      </c>
      <c r="Q40" s="195" t="str">
        <f t="shared" si="9"/>
        <v/>
      </c>
      <c r="R40" s="196" t="str">
        <f t="shared" si="10"/>
        <v/>
      </c>
      <c r="S40" s="195" t="str">
        <f t="shared" si="11"/>
        <v/>
      </c>
      <c r="T40" s="200"/>
      <c r="U40" s="197" t="str">
        <f t="shared" si="12"/>
        <v/>
      </c>
      <c r="V40" s="195" t="str">
        <f t="shared" si="13"/>
        <v/>
      </c>
      <c r="W40" s="196" t="str">
        <f t="shared" si="14"/>
        <v/>
      </c>
      <c r="X40" s="195" t="str">
        <f t="shared" si="15"/>
        <v/>
      </c>
      <c r="Y40" s="200"/>
      <c r="Z40" s="197" t="str">
        <f t="shared" si="16"/>
        <v/>
      </c>
      <c r="AA40" s="195" t="str">
        <f t="shared" si="17"/>
        <v/>
      </c>
      <c r="AB40" s="196" t="str">
        <f t="shared" si="18"/>
        <v/>
      </c>
      <c r="AC40" s="195" t="str">
        <f t="shared" si="19"/>
        <v/>
      </c>
      <c r="AD40" s="200"/>
      <c r="AE40" s="197" t="str">
        <f t="shared" si="20"/>
        <v/>
      </c>
      <c r="AF40" s="195" t="str">
        <f t="shared" si="21"/>
        <v/>
      </c>
      <c r="AG40" s="196" t="str">
        <f t="shared" si="22"/>
        <v/>
      </c>
      <c r="AH40" s="195" t="str">
        <f t="shared" si="23"/>
        <v/>
      </c>
      <c r="AI40" s="200"/>
      <c r="AJ40" s="197" t="str">
        <f t="shared" si="24"/>
        <v/>
      </c>
      <c r="AK40" s="195" t="str">
        <f t="shared" si="25"/>
        <v/>
      </c>
      <c r="AL40" s="196" t="str">
        <f t="shared" si="26"/>
        <v/>
      </c>
      <c r="AM40" s="195" t="str">
        <f t="shared" si="27"/>
        <v/>
      </c>
      <c r="AN40" s="200"/>
      <c r="AO40" s="197" t="str">
        <f t="shared" si="28"/>
        <v/>
      </c>
      <c r="AP40" s="195" t="str">
        <f t="shared" si="29"/>
        <v/>
      </c>
      <c r="AQ40" s="196" t="str">
        <f t="shared" si="30"/>
        <v/>
      </c>
      <c r="AR40" s="195" t="str">
        <f t="shared" si="31"/>
        <v/>
      </c>
      <c r="AS40" s="200"/>
      <c r="AT40" s="197" t="str">
        <f t="shared" si="32"/>
        <v/>
      </c>
      <c r="AU40" s="195" t="str">
        <f t="shared" si="33"/>
        <v/>
      </c>
      <c r="AV40" s="196" t="str">
        <f t="shared" si="34"/>
        <v/>
      </c>
      <c r="AW40" s="195" t="str">
        <f t="shared" si="35"/>
        <v/>
      </c>
      <c r="AX40" s="200"/>
      <c r="AY40" s="197" t="str">
        <f t="shared" si="36"/>
        <v/>
      </c>
      <c r="AZ40" s="195" t="str">
        <f t="shared" si="37"/>
        <v/>
      </c>
      <c r="BA40" s="196" t="str">
        <f t="shared" si="38"/>
        <v/>
      </c>
      <c r="BB40" s="195" t="str">
        <f t="shared" si="39"/>
        <v/>
      </c>
      <c r="BC40" s="200"/>
      <c r="BD40" s="197" t="str">
        <f t="shared" si="40"/>
        <v/>
      </c>
      <c r="BE40" s="195" t="str">
        <f t="shared" si="41"/>
        <v/>
      </c>
      <c r="BF40" s="196" t="str">
        <f t="shared" si="42"/>
        <v/>
      </c>
      <c r="BG40" s="195" t="str">
        <f t="shared" si="43"/>
        <v/>
      </c>
      <c r="BH40" s="200"/>
      <c r="BI40" s="197" t="str">
        <f t="shared" si="44"/>
        <v/>
      </c>
      <c r="BJ40" s="195" t="str">
        <f t="shared" si="45"/>
        <v/>
      </c>
      <c r="BK40" s="196" t="str">
        <f t="shared" si="46"/>
        <v/>
      </c>
      <c r="BL40" s="195" t="str">
        <f t="shared" si="47"/>
        <v/>
      </c>
      <c r="BM40" s="200"/>
      <c r="BN40" s="197" t="str">
        <f t="shared" si="48"/>
        <v/>
      </c>
    </row>
    <row r="41" spans="1:66" s="11" customFormat="1" ht="21">
      <c r="A41" s="195">
        <v>36</v>
      </c>
      <c r="B41" s="195" t="str">
        <f>IF('2.Students'' data'!E46="","",CONCATENATE('2.Students'' data'!E46,'2.Students'' data'!F46,'2.Students'' data'!G46,'2.Students'' data'!H46,'2.Students'' data'!I46,'2.Students'' data'!J46,'2.Students'' data'!K46,'2.Students'' data'!L46,'2.Students'' data'!M46,'2.Students'' data'!N46,'2.Students'' data'!O46,'2.Students'' data'!P46,'2.Students'' data'!Q46,))</f>
        <v/>
      </c>
      <c r="C41" s="195" t="str">
        <f>IF(IDstu36="","",IDstu36)</f>
        <v/>
      </c>
      <c r="D41" s="224" t="str">
        <f>CONCATENATE(TRIM(Name36),"  ",Surname36)</f>
        <v xml:space="preserve">  </v>
      </c>
      <c r="E41" s="197" t="str">
        <f t="shared" si="0"/>
        <v/>
      </c>
      <c r="F41" s="195" t="str">
        <f t="shared" si="1"/>
        <v/>
      </c>
      <c r="G41" s="195" t="str">
        <f t="shared" si="2"/>
        <v/>
      </c>
      <c r="H41" s="196" t="str">
        <f t="shared" si="3"/>
        <v/>
      </c>
      <c r="I41" s="195" t="str">
        <f t="shared" si="4"/>
        <v/>
      </c>
      <c r="J41" s="200"/>
      <c r="K41" s="197" t="str">
        <f t="shared" si="49"/>
        <v/>
      </c>
      <c r="L41" s="195" t="str">
        <f t="shared" si="5"/>
        <v/>
      </c>
      <c r="M41" s="196" t="str">
        <f t="shared" si="6"/>
        <v/>
      </c>
      <c r="N41" s="195" t="str">
        <f t="shared" si="7"/>
        <v/>
      </c>
      <c r="O41" s="200"/>
      <c r="P41" s="197" t="str">
        <f t="shared" si="8"/>
        <v/>
      </c>
      <c r="Q41" s="195" t="str">
        <f t="shared" si="9"/>
        <v/>
      </c>
      <c r="R41" s="196" t="str">
        <f t="shared" si="10"/>
        <v/>
      </c>
      <c r="S41" s="195" t="str">
        <f t="shared" si="11"/>
        <v/>
      </c>
      <c r="T41" s="200"/>
      <c r="U41" s="197" t="str">
        <f t="shared" si="12"/>
        <v/>
      </c>
      <c r="V41" s="195" t="str">
        <f t="shared" si="13"/>
        <v/>
      </c>
      <c r="W41" s="196" t="str">
        <f t="shared" si="14"/>
        <v/>
      </c>
      <c r="X41" s="195" t="str">
        <f t="shared" si="15"/>
        <v/>
      </c>
      <c r="Y41" s="200"/>
      <c r="Z41" s="197" t="str">
        <f t="shared" si="16"/>
        <v/>
      </c>
      <c r="AA41" s="195" t="str">
        <f t="shared" si="17"/>
        <v/>
      </c>
      <c r="AB41" s="196" t="str">
        <f t="shared" si="18"/>
        <v/>
      </c>
      <c r="AC41" s="195" t="str">
        <f t="shared" si="19"/>
        <v/>
      </c>
      <c r="AD41" s="200"/>
      <c r="AE41" s="197" t="str">
        <f t="shared" si="20"/>
        <v/>
      </c>
      <c r="AF41" s="195" t="str">
        <f t="shared" si="21"/>
        <v/>
      </c>
      <c r="AG41" s="196" t="str">
        <f t="shared" si="22"/>
        <v/>
      </c>
      <c r="AH41" s="195" t="str">
        <f t="shared" si="23"/>
        <v/>
      </c>
      <c r="AI41" s="200"/>
      <c r="AJ41" s="197" t="str">
        <f t="shared" si="24"/>
        <v/>
      </c>
      <c r="AK41" s="195" t="str">
        <f t="shared" si="25"/>
        <v/>
      </c>
      <c r="AL41" s="196" t="str">
        <f t="shared" si="26"/>
        <v/>
      </c>
      <c r="AM41" s="195" t="str">
        <f t="shared" si="27"/>
        <v/>
      </c>
      <c r="AN41" s="200"/>
      <c r="AO41" s="197" t="str">
        <f t="shared" si="28"/>
        <v/>
      </c>
      <c r="AP41" s="195" t="str">
        <f t="shared" si="29"/>
        <v/>
      </c>
      <c r="AQ41" s="196" t="str">
        <f t="shared" si="30"/>
        <v/>
      </c>
      <c r="AR41" s="195" t="str">
        <f t="shared" si="31"/>
        <v/>
      </c>
      <c r="AS41" s="200"/>
      <c r="AT41" s="197" t="str">
        <f t="shared" si="32"/>
        <v/>
      </c>
      <c r="AU41" s="195" t="str">
        <f t="shared" si="33"/>
        <v/>
      </c>
      <c r="AV41" s="196" t="str">
        <f t="shared" si="34"/>
        <v/>
      </c>
      <c r="AW41" s="195" t="str">
        <f t="shared" si="35"/>
        <v/>
      </c>
      <c r="AX41" s="200"/>
      <c r="AY41" s="197" t="str">
        <f t="shared" si="36"/>
        <v/>
      </c>
      <c r="AZ41" s="195" t="str">
        <f t="shared" si="37"/>
        <v/>
      </c>
      <c r="BA41" s="196" t="str">
        <f t="shared" si="38"/>
        <v/>
      </c>
      <c r="BB41" s="195" t="str">
        <f t="shared" si="39"/>
        <v/>
      </c>
      <c r="BC41" s="200"/>
      <c r="BD41" s="197" t="str">
        <f t="shared" si="40"/>
        <v/>
      </c>
      <c r="BE41" s="195" t="str">
        <f t="shared" si="41"/>
        <v/>
      </c>
      <c r="BF41" s="196" t="str">
        <f t="shared" si="42"/>
        <v/>
      </c>
      <c r="BG41" s="195" t="str">
        <f t="shared" si="43"/>
        <v/>
      </c>
      <c r="BH41" s="200"/>
      <c r="BI41" s="197" t="str">
        <f t="shared" si="44"/>
        <v/>
      </c>
      <c r="BJ41" s="195" t="str">
        <f t="shared" si="45"/>
        <v/>
      </c>
      <c r="BK41" s="196" t="str">
        <f t="shared" si="46"/>
        <v/>
      </c>
      <c r="BL41" s="195" t="str">
        <f t="shared" si="47"/>
        <v/>
      </c>
      <c r="BM41" s="200"/>
      <c r="BN41" s="197" t="str">
        <f t="shared" si="48"/>
        <v/>
      </c>
    </row>
    <row r="42" spans="1:66" s="11" customFormat="1" ht="21">
      <c r="A42" s="195">
        <v>37</v>
      </c>
      <c r="B42" s="195" t="str">
        <f>IF('2.Students'' data'!E47="","",CONCATENATE('2.Students'' data'!E47,'2.Students'' data'!F47,'2.Students'' data'!G47,'2.Students'' data'!H47,'2.Students'' data'!I47,'2.Students'' data'!J47,'2.Students'' data'!K47,'2.Students'' data'!L47,'2.Students'' data'!M47,'2.Students'' data'!N47,'2.Students'' data'!O47,'2.Students'' data'!P47,'2.Students'' data'!Q47,))</f>
        <v/>
      </c>
      <c r="C42" s="195" t="str">
        <f>IF(IDstu37="","",IDstu37)</f>
        <v/>
      </c>
      <c r="D42" s="224" t="str">
        <f>CONCATENATE(TRIM(Name37),"  ",Surname37)</f>
        <v xml:space="preserve">  </v>
      </c>
      <c r="E42" s="197" t="str">
        <f t="shared" si="0"/>
        <v/>
      </c>
      <c r="F42" s="195" t="str">
        <f t="shared" si="1"/>
        <v/>
      </c>
      <c r="G42" s="195" t="str">
        <f t="shared" si="2"/>
        <v/>
      </c>
      <c r="H42" s="196" t="str">
        <f t="shared" si="3"/>
        <v/>
      </c>
      <c r="I42" s="195" t="str">
        <f t="shared" si="4"/>
        <v/>
      </c>
      <c r="J42" s="200"/>
      <c r="K42" s="197" t="str">
        <f t="shared" si="49"/>
        <v/>
      </c>
      <c r="L42" s="195" t="str">
        <f t="shared" si="5"/>
        <v/>
      </c>
      <c r="M42" s="196" t="str">
        <f t="shared" si="6"/>
        <v/>
      </c>
      <c r="N42" s="195" t="str">
        <f t="shared" si="7"/>
        <v/>
      </c>
      <c r="O42" s="200"/>
      <c r="P42" s="197" t="str">
        <f t="shared" si="8"/>
        <v/>
      </c>
      <c r="Q42" s="195" t="str">
        <f t="shared" si="9"/>
        <v/>
      </c>
      <c r="R42" s="196" t="str">
        <f t="shared" si="10"/>
        <v/>
      </c>
      <c r="S42" s="195" t="str">
        <f t="shared" si="11"/>
        <v/>
      </c>
      <c r="T42" s="200"/>
      <c r="U42" s="197" t="str">
        <f t="shared" si="12"/>
        <v/>
      </c>
      <c r="V42" s="195" t="str">
        <f t="shared" si="13"/>
        <v/>
      </c>
      <c r="W42" s="196" t="str">
        <f t="shared" si="14"/>
        <v/>
      </c>
      <c r="X42" s="195" t="str">
        <f t="shared" si="15"/>
        <v/>
      </c>
      <c r="Y42" s="200"/>
      <c r="Z42" s="197" t="str">
        <f t="shared" si="16"/>
        <v/>
      </c>
      <c r="AA42" s="195" t="str">
        <f t="shared" si="17"/>
        <v/>
      </c>
      <c r="AB42" s="196" t="str">
        <f t="shared" si="18"/>
        <v/>
      </c>
      <c r="AC42" s="195" t="str">
        <f t="shared" si="19"/>
        <v/>
      </c>
      <c r="AD42" s="200"/>
      <c r="AE42" s="197" t="str">
        <f t="shared" si="20"/>
        <v/>
      </c>
      <c r="AF42" s="195" t="str">
        <f t="shared" si="21"/>
        <v/>
      </c>
      <c r="AG42" s="196" t="str">
        <f t="shared" si="22"/>
        <v/>
      </c>
      <c r="AH42" s="195" t="str">
        <f t="shared" si="23"/>
        <v/>
      </c>
      <c r="AI42" s="200"/>
      <c r="AJ42" s="197" t="str">
        <f t="shared" si="24"/>
        <v/>
      </c>
      <c r="AK42" s="195" t="str">
        <f t="shared" si="25"/>
        <v/>
      </c>
      <c r="AL42" s="196" t="str">
        <f t="shared" si="26"/>
        <v/>
      </c>
      <c r="AM42" s="195" t="str">
        <f t="shared" si="27"/>
        <v/>
      </c>
      <c r="AN42" s="200"/>
      <c r="AO42" s="197" t="str">
        <f t="shared" si="28"/>
        <v/>
      </c>
      <c r="AP42" s="195" t="str">
        <f t="shared" si="29"/>
        <v/>
      </c>
      <c r="AQ42" s="196" t="str">
        <f t="shared" si="30"/>
        <v/>
      </c>
      <c r="AR42" s="195" t="str">
        <f t="shared" si="31"/>
        <v/>
      </c>
      <c r="AS42" s="200"/>
      <c r="AT42" s="197" t="str">
        <f t="shared" si="32"/>
        <v/>
      </c>
      <c r="AU42" s="195" t="str">
        <f t="shared" si="33"/>
        <v/>
      </c>
      <c r="AV42" s="196" t="str">
        <f t="shared" si="34"/>
        <v/>
      </c>
      <c r="AW42" s="195" t="str">
        <f t="shared" si="35"/>
        <v/>
      </c>
      <c r="AX42" s="200"/>
      <c r="AY42" s="197" t="str">
        <f t="shared" si="36"/>
        <v/>
      </c>
      <c r="AZ42" s="195" t="str">
        <f t="shared" si="37"/>
        <v/>
      </c>
      <c r="BA42" s="196" t="str">
        <f t="shared" si="38"/>
        <v/>
      </c>
      <c r="BB42" s="195" t="str">
        <f t="shared" si="39"/>
        <v/>
      </c>
      <c r="BC42" s="200"/>
      <c r="BD42" s="197" t="str">
        <f t="shared" si="40"/>
        <v/>
      </c>
      <c r="BE42" s="195" t="str">
        <f t="shared" si="41"/>
        <v/>
      </c>
      <c r="BF42" s="196" t="str">
        <f t="shared" si="42"/>
        <v/>
      </c>
      <c r="BG42" s="195" t="str">
        <f t="shared" si="43"/>
        <v/>
      </c>
      <c r="BH42" s="200"/>
      <c r="BI42" s="197" t="str">
        <f t="shared" si="44"/>
        <v/>
      </c>
      <c r="BJ42" s="195" t="str">
        <f t="shared" si="45"/>
        <v/>
      </c>
      <c r="BK42" s="196" t="str">
        <f t="shared" si="46"/>
        <v/>
      </c>
      <c r="BL42" s="195" t="str">
        <f t="shared" si="47"/>
        <v/>
      </c>
      <c r="BM42" s="200"/>
      <c r="BN42" s="197" t="str">
        <f t="shared" si="48"/>
        <v/>
      </c>
    </row>
    <row r="43" spans="1:66" s="11" customFormat="1" ht="21">
      <c r="A43" s="195">
        <v>38</v>
      </c>
      <c r="B43" s="195" t="str">
        <f>IF('2.Students'' data'!E48="","",CONCATENATE('2.Students'' data'!E48,'2.Students'' data'!F48,'2.Students'' data'!G48,'2.Students'' data'!H48,'2.Students'' data'!I48,'2.Students'' data'!J48,'2.Students'' data'!K48,'2.Students'' data'!L48,'2.Students'' data'!M48,'2.Students'' data'!N48,'2.Students'' data'!O48,'2.Students'' data'!P48,'2.Students'' data'!Q48,))</f>
        <v/>
      </c>
      <c r="C43" s="195" t="str">
        <f>IF(IDstu38="","",IDstu38)</f>
        <v/>
      </c>
      <c r="D43" s="224" t="str">
        <f>CONCATENATE(TRIM(Name38),"  ",Surname38)</f>
        <v xml:space="preserve">  </v>
      </c>
      <c r="E43" s="197" t="str">
        <f t="shared" si="0"/>
        <v/>
      </c>
      <c r="F43" s="195" t="str">
        <f t="shared" si="1"/>
        <v/>
      </c>
      <c r="G43" s="195" t="str">
        <f t="shared" si="2"/>
        <v/>
      </c>
      <c r="H43" s="196" t="str">
        <f t="shared" si="3"/>
        <v/>
      </c>
      <c r="I43" s="195" t="str">
        <f t="shared" si="4"/>
        <v/>
      </c>
      <c r="J43" s="200"/>
      <c r="K43" s="197" t="str">
        <f t="shared" si="49"/>
        <v/>
      </c>
      <c r="L43" s="195" t="str">
        <f t="shared" si="5"/>
        <v/>
      </c>
      <c r="M43" s="196" t="str">
        <f t="shared" si="6"/>
        <v/>
      </c>
      <c r="N43" s="195" t="str">
        <f t="shared" si="7"/>
        <v/>
      </c>
      <c r="O43" s="200"/>
      <c r="P43" s="197" t="str">
        <f t="shared" si="8"/>
        <v/>
      </c>
      <c r="Q43" s="195" t="str">
        <f t="shared" si="9"/>
        <v/>
      </c>
      <c r="R43" s="196" t="str">
        <f t="shared" si="10"/>
        <v/>
      </c>
      <c r="S43" s="195" t="str">
        <f t="shared" si="11"/>
        <v/>
      </c>
      <c r="T43" s="200"/>
      <c r="U43" s="197" t="str">
        <f t="shared" si="12"/>
        <v/>
      </c>
      <c r="V43" s="195" t="str">
        <f t="shared" si="13"/>
        <v/>
      </c>
      <c r="W43" s="196" t="str">
        <f t="shared" si="14"/>
        <v/>
      </c>
      <c r="X43" s="195" t="str">
        <f t="shared" si="15"/>
        <v/>
      </c>
      <c r="Y43" s="200"/>
      <c r="Z43" s="197" t="str">
        <f t="shared" si="16"/>
        <v/>
      </c>
      <c r="AA43" s="195" t="str">
        <f t="shared" si="17"/>
        <v/>
      </c>
      <c r="AB43" s="196" t="str">
        <f t="shared" si="18"/>
        <v/>
      </c>
      <c r="AC43" s="195" t="str">
        <f t="shared" si="19"/>
        <v/>
      </c>
      <c r="AD43" s="200"/>
      <c r="AE43" s="197" t="str">
        <f t="shared" si="20"/>
        <v/>
      </c>
      <c r="AF43" s="195" t="str">
        <f t="shared" si="21"/>
        <v/>
      </c>
      <c r="AG43" s="196" t="str">
        <f t="shared" si="22"/>
        <v/>
      </c>
      <c r="AH43" s="195" t="str">
        <f t="shared" si="23"/>
        <v/>
      </c>
      <c r="AI43" s="200"/>
      <c r="AJ43" s="197" t="str">
        <f t="shared" si="24"/>
        <v/>
      </c>
      <c r="AK43" s="195" t="str">
        <f t="shared" si="25"/>
        <v/>
      </c>
      <c r="AL43" s="196" t="str">
        <f t="shared" si="26"/>
        <v/>
      </c>
      <c r="AM43" s="195" t="str">
        <f t="shared" si="27"/>
        <v/>
      </c>
      <c r="AN43" s="200"/>
      <c r="AO43" s="197" t="str">
        <f t="shared" si="28"/>
        <v/>
      </c>
      <c r="AP43" s="195" t="str">
        <f t="shared" si="29"/>
        <v/>
      </c>
      <c r="AQ43" s="196" t="str">
        <f t="shared" si="30"/>
        <v/>
      </c>
      <c r="AR43" s="195" t="str">
        <f t="shared" si="31"/>
        <v/>
      </c>
      <c r="AS43" s="200"/>
      <c r="AT43" s="197" t="str">
        <f t="shared" si="32"/>
        <v/>
      </c>
      <c r="AU43" s="195" t="str">
        <f t="shared" si="33"/>
        <v/>
      </c>
      <c r="AV43" s="196" t="str">
        <f t="shared" si="34"/>
        <v/>
      </c>
      <c r="AW43" s="195" t="str">
        <f t="shared" si="35"/>
        <v/>
      </c>
      <c r="AX43" s="200"/>
      <c r="AY43" s="197" t="str">
        <f t="shared" si="36"/>
        <v/>
      </c>
      <c r="AZ43" s="195" t="str">
        <f t="shared" si="37"/>
        <v/>
      </c>
      <c r="BA43" s="196" t="str">
        <f t="shared" si="38"/>
        <v/>
      </c>
      <c r="BB43" s="195" t="str">
        <f t="shared" si="39"/>
        <v/>
      </c>
      <c r="BC43" s="200"/>
      <c r="BD43" s="197" t="str">
        <f t="shared" si="40"/>
        <v/>
      </c>
      <c r="BE43" s="195" t="str">
        <f t="shared" si="41"/>
        <v/>
      </c>
      <c r="BF43" s="196" t="str">
        <f t="shared" si="42"/>
        <v/>
      </c>
      <c r="BG43" s="195" t="str">
        <f t="shared" si="43"/>
        <v/>
      </c>
      <c r="BH43" s="200"/>
      <c r="BI43" s="197" t="str">
        <f t="shared" si="44"/>
        <v/>
      </c>
      <c r="BJ43" s="195" t="str">
        <f t="shared" si="45"/>
        <v/>
      </c>
      <c r="BK43" s="196" t="str">
        <f t="shared" si="46"/>
        <v/>
      </c>
      <c r="BL43" s="195" t="str">
        <f t="shared" si="47"/>
        <v/>
      </c>
      <c r="BM43" s="200"/>
      <c r="BN43" s="197" t="str">
        <f t="shared" si="48"/>
        <v/>
      </c>
    </row>
    <row r="44" spans="1:66" s="11" customFormat="1" ht="21">
      <c r="A44" s="195">
        <v>39</v>
      </c>
      <c r="B44" s="195" t="str">
        <f>IF('2.Students'' data'!E49="","",CONCATENATE('2.Students'' data'!E49,'2.Students'' data'!F49,'2.Students'' data'!G49,'2.Students'' data'!H49,'2.Students'' data'!I49,'2.Students'' data'!J49,'2.Students'' data'!K49,'2.Students'' data'!L49,'2.Students'' data'!M49,'2.Students'' data'!N49,'2.Students'' data'!O49,'2.Students'' data'!P49,'2.Students'' data'!Q49,))</f>
        <v/>
      </c>
      <c r="C44" s="195" t="str">
        <f>IF(IDstu39="","",IDstu39)</f>
        <v/>
      </c>
      <c r="D44" s="224" t="str">
        <f>CONCATENATE(TRIM(Name39),"  ",Surname39)</f>
        <v xml:space="preserve">  </v>
      </c>
      <c r="E44" s="197" t="str">
        <f t="shared" si="0"/>
        <v/>
      </c>
      <c r="F44" s="195" t="str">
        <f t="shared" si="1"/>
        <v/>
      </c>
      <c r="G44" s="195" t="str">
        <f t="shared" si="2"/>
        <v/>
      </c>
      <c r="H44" s="196" t="str">
        <f t="shared" si="3"/>
        <v/>
      </c>
      <c r="I44" s="195" t="str">
        <f t="shared" si="4"/>
        <v/>
      </c>
      <c r="J44" s="200"/>
      <c r="K44" s="197" t="str">
        <f t="shared" si="49"/>
        <v/>
      </c>
      <c r="L44" s="195" t="str">
        <f t="shared" si="5"/>
        <v/>
      </c>
      <c r="M44" s="196" t="str">
        <f t="shared" si="6"/>
        <v/>
      </c>
      <c r="N44" s="195" t="str">
        <f t="shared" si="7"/>
        <v/>
      </c>
      <c r="O44" s="200"/>
      <c r="P44" s="197" t="str">
        <f t="shared" si="8"/>
        <v/>
      </c>
      <c r="Q44" s="195" t="str">
        <f t="shared" si="9"/>
        <v/>
      </c>
      <c r="R44" s="196" t="str">
        <f t="shared" si="10"/>
        <v/>
      </c>
      <c r="S44" s="195" t="str">
        <f t="shared" si="11"/>
        <v/>
      </c>
      <c r="T44" s="200"/>
      <c r="U44" s="197" t="str">
        <f t="shared" si="12"/>
        <v/>
      </c>
      <c r="V44" s="195" t="str">
        <f t="shared" si="13"/>
        <v/>
      </c>
      <c r="W44" s="196" t="str">
        <f t="shared" si="14"/>
        <v/>
      </c>
      <c r="X44" s="195" t="str">
        <f t="shared" si="15"/>
        <v/>
      </c>
      <c r="Y44" s="200"/>
      <c r="Z44" s="197" t="str">
        <f t="shared" si="16"/>
        <v/>
      </c>
      <c r="AA44" s="195" t="str">
        <f t="shared" si="17"/>
        <v/>
      </c>
      <c r="AB44" s="196" t="str">
        <f t="shared" si="18"/>
        <v/>
      </c>
      <c r="AC44" s="195" t="str">
        <f t="shared" si="19"/>
        <v/>
      </c>
      <c r="AD44" s="200"/>
      <c r="AE44" s="197" t="str">
        <f t="shared" si="20"/>
        <v/>
      </c>
      <c r="AF44" s="195" t="str">
        <f t="shared" si="21"/>
        <v/>
      </c>
      <c r="AG44" s="196" t="str">
        <f t="shared" si="22"/>
        <v/>
      </c>
      <c r="AH44" s="195" t="str">
        <f t="shared" si="23"/>
        <v/>
      </c>
      <c r="AI44" s="200"/>
      <c r="AJ44" s="197" t="str">
        <f t="shared" si="24"/>
        <v/>
      </c>
      <c r="AK44" s="195" t="str">
        <f t="shared" si="25"/>
        <v/>
      </c>
      <c r="AL44" s="196" t="str">
        <f t="shared" si="26"/>
        <v/>
      </c>
      <c r="AM44" s="195" t="str">
        <f t="shared" si="27"/>
        <v/>
      </c>
      <c r="AN44" s="200"/>
      <c r="AO44" s="197" t="str">
        <f t="shared" si="28"/>
        <v/>
      </c>
      <c r="AP44" s="195" t="str">
        <f t="shared" si="29"/>
        <v/>
      </c>
      <c r="AQ44" s="196" t="str">
        <f t="shared" si="30"/>
        <v/>
      </c>
      <c r="AR44" s="195" t="str">
        <f t="shared" si="31"/>
        <v/>
      </c>
      <c r="AS44" s="200"/>
      <c r="AT44" s="197" t="str">
        <f t="shared" si="32"/>
        <v/>
      </c>
      <c r="AU44" s="195" t="str">
        <f t="shared" si="33"/>
        <v/>
      </c>
      <c r="AV44" s="196" t="str">
        <f t="shared" si="34"/>
        <v/>
      </c>
      <c r="AW44" s="195" t="str">
        <f t="shared" si="35"/>
        <v/>
      </c>
      <c r="AX44" s="200"/>
      <c r="AY44" s="197" t="str">
        <f t="shared" si="36"/>
        <v/>
      </c>
      <c r="AZ44" s="195" t="str">
        <f t="shared" si="37"/>
        <v/>
      </c>
      <c r="BA44" s="196" t="str">
        <f t="shared" si="38"/>
        <v/>
      </c>
      <c r="BB44" s="195" t="str">
        <f t="shared" si="39"/>
        <v/>
      </c>
      <c r="BC44" s="200"/>
      <c r="BD44" s="197" t="str">
        <f t="shared" si="40"/>
        <v/>
      </c>
      <c r="BE44" s="195" t="str">
        <f t="shared" si="41"/>
        <v/>
      </c>
      <c r="BF44" s="196" t="str">
        <f t="shared" si="42"/>
        <v/>
      </c>
      <c r="BG44" s="195" t="str">
        <f t="shared" si="43"/>
        <v/>
      </c>
      <c r="BH44" s="200"/>
      <c r="BI44" s="197" t="str">
        <f t="shared" si="44"/>
        <v/>
      </c>
      <c r="BJ44" s="195" t="str">
        <f t="shared" si="45"/>
        <v/>
      </c>
      <c r="BK44" s="196" t="str">
        <f t="shared" si="46"/>
        <v/>
      </c>
      <c r="BL44" s="195" t="str">
        <f t="shared" si="47"/>
        <v/>
      </c>
      <c r="BM44" s="200"/>
      <c r="BN44" s="197" t="str">
        <f t="shared" si="48"/>
        <v/>
      </c>
    </row>
    <row r="45" spans="1:66" s="11" customFormat="1" ht="21">
      <c r="A45" s="195">
        <v>40</v>
      </c>
      <c r="B45" s="195" t="str">
        <f>IF('2.Students'' data'!E50="","",CONCATENATE('2.Students'' data'!E50,'2.Students'' data'!F50,'2.Students'' data'!G50,'2.Students'' data'!H50,'2.Students'' data'!I50,'2.Students'' data'!J50,'2.Students'' data'!K50,'2.Students'' data'!L50,'2.Students'' data'!M50,'2.Students'' data'!N50,'2.Students'' data'!O50,'2.Students'' data'!P50,'2.Students'' data'!Q50,))</f>
        <v/>
      </c>
      <c r="C45" s="195" t="str">
        <f>IF(IDstu40="","",IDstu40)</f>
        <v/>
      </c>
      <c r="D45" s="224" t="str">
        <f>CONCATENATE(TRIM(Name40),"  ",Surname40)</f>
        <v xml:space="preserve">  </v>
      </c>
      <c r="E45" s="197" t="str">
        <f t="shared" si="0"/>
        <v/>
      </c>
      <c r="F45" s="195" t="str">
        <f t="shared" si="1"/>
        <v/>
      </c>
      <c r="G45" s="195" t="str">
        <f t="shared" si="2"/>
        <v/>
      </c>
      <c r="H45" s="196" t="str">
        <f t="shared" si="3"/>
        <v/>
      </c>
      <c r="I45" s="195" t="str">
        <f t="shared" si="4"/>
        <v/>
      </c>
      <c r="J45" s="200"/>
      <c r="K45" s="197" t="str">
        <f t="shared" si="49"/>
        <v/>
      </c>
      <c r="L45" s="195" t="str">
        <f t="shared" si="5"/>
        <v/>
      </c>
      <c r="M45" s="196" t="str">
        <f t="shared" si="6"/>
        <v/>
      </c>
      <c r="N45" s="195" t="str">
        <f t="shared" si="7"/>
        <v/>
      </c>
      <c r="O45" s="200"/>
      <c r="P45" s="197" t="str">
        <f t="shared" si="8"/>
        <v/>
      </c>
      <c r="Q45" s="195" t="str">
        <f t="shared" si="9"/>
        <v/>
      </c>
      <c r="R45" s="196" t="str">
        <f t="shared" si="10"/>
        <v/>
      </c>
      <c r="S45" s="195" t="str">
        <f t="shared" si="11"/>
        <v/>
      </c>
      <c r="T45" s="200"/>
      <c r="U45" s="197" t="str">
        <f t="shared" si="12"/>
        <v/>
      </c>
      <c r="V45" s="195" t="str">
        <f t="shared" si="13"/>
        <v/>
      </c>
      <c r="W45" s="196" t="str">
        <f t="shared" si="14"/>
        <v/>
      </c>
      <c r="X45" s="195" t="str">
        <f t="shared" si="15"/>
        <v/>
      </c>
      <c r="Y45" s="200"/>
      <c r="Z45" s="197" t="str">
        <f t="shared" si="16"/>
        <v/>
      </c>
      <c r="AA45" s="195" t="str">
        <f t="shared" si="17"/>
        <v/>
      </c>
      <c r="AB45" s="196" t="str">
        <f t="shared" si="18"/>
        <v/>
      </c>
      <c r="AC45" s="195" t="str">
        <f t="shared" si="19"/>
        <v/>
      </c>
      <c r="AD45" s="200"/>
      <c r="AE45" s="197" t="str">
        <f t="shared" si="20"/>
        <v/>
      </c>
      <c r="AF45" s="195" t="str">
        <f t="shared" si="21"/>
        <v/>
      </c>
      <c r="AG45" s="196" t="str">
        <f t="shared" si="22"/>
        <v/>
      </c>
      <c r="AH45" s="195" t="str">
        <f t="shared" si="23"/>
        <v/>
      </c>
      <c r="AI45" s="200"/>
      <c r="AJ45" s="197" t="str">
        <f t="shared" si="24"/>
        <v/>
      </c>
      <c r="AK45" s="195" t="str">
        <f t="shared" si="25"/>
        <v/>
      </c>
      <c r="AL45" s="196" t="str">
        <f t="shared" si="26"/>
        <v/>
      </c>
      <c r="AM45" s="195" t="str">
        <f t="shared" si="27"/>
        <v/>
      </c>
      <c r="AN45" s="200"/>
      <c r="AO45" s="197" t="str">
        <f t="shared" si="28"/>
        <v/>
      </c>
      <c r="AP45" s="195" t="str">
        <f t="shared" si="29"/>
        <v/>
      </c>
      <c r="AQ45" s="196" t="str">
        <f t="shared" si="30"/>
        <v/>
      </c>
      <c r="AR45" s="195" t="str">
        <f t="shared" si="31"/>
        <v/>
      </c>
      <c r="AS45" s="200"/>
      <c r="AT45" s="197" t="str">
        <f t="shared" si="32"/>
        <v/>
      </c>
      <c r="AU45" s="195" t="str">
        <f t="shared" si="33"/>
        <v/>
      </c>
      <c r="AV45" s="196" t="str">
        <f t="shared" si="34"/>
        <v/>
      </c>
      <c r="AW45" s="195" t="str">
        <f t="shared" si="35"/>
        <v/>
      </c>
      <c r="AX45" s="200"/>
      <c r="AY45" s="197" t="str">
        <f t="shared" si="36"/>
        <v/>
      </c>
      <c r="AZ45" s="195" t="str">
        <f t="shared" si="37"/>
        <v/>
      </c>
      <c r="BA45" s="196" t="str">
        <f t="shared" si="38"/>
        <v/>
      </c>
      <c r="BB45" s="195" t="str">
        <f t="shared" si="39"/>
        <v/>
      </c>
      <c r="BC45" s="200"/>
      <c r="BD45" s="197" t="str">
        <f t="shared" si="40"/>
        <v/>
      </c>
      <c r="BE45" s="195" t="str">
        <f t="shared" si="41"/>
        <v/>
      </c>
      <c r="BF45" s="196" t="str">
        <f t="shared" si="42"/>
        <v/>
      </c>
      <c r="BG45" s="195" t="str">
        <f t="shared" si="43"/>
        <v/>
      </c>
      <c r="BH45" s="200"/>
      <c r="BI45" s="197" t="str">
        <f t="shared" si="44"/>
        <v/>
      </c>
      <c r="BJ45" s="195" t="str">
        <f t="shared" si="45"/>
        <v/>
      </c>
      <c r="BK45" s="196" t="str">
        <f t="shared" si="46"/>
        <v/>
      </c>
      <c r="BL45" s="195" t="str">
        <f t="shared" si="47"/>
        <v/>
      </c>
      <c r="BM45" s="200"/>
      <c r="BN45" s="197" t="str">
        <f t="shared" si="48"/>
        <v/>
      </c>
    </row>
    <row r="46" spans="1:66" s="11" customFormat="1" ht="21">
      <c r="A46" s="195">
        <v>41</v>
      </c>
      <c r="B46" s="195" t="str">
        <f>IF('2.Students'' data'!E51="","",CONCATENATE('2.Students'' data'!E51,'2.Students'' data'!F51,'2.Students'' data'!G51,'2.Students'' data'!H51,'2.Students'' data'!I51,'2.Students'' data'!J51,'2.Students'' data'!K51,'2.Students'' data'!L51,'2.Students'' data'!M51,'2.Students'' data'!N51,'2.Students'' data'!O51,'2.Students'' data'!P51,'2.Students'' data'!Q51,))</f>
        <v/>
      </c>
      <c r="C46" s="195" t="str">
        <f>IF(IDstu41="","",IDstu41)</f>
        <v/>
      </c>
      <c r="D46" s="224" t="str">
        <f>CONCATENATE(TRIM(Name41),"  ",Surname41)</f>
        <v xml:space="preserve">  </v>
      </c>
      <c r="E46" s="197" t="str">
        <f t="shared" si="0"/>
        <v/>
      </c>
      <c r="F46" s="195" t="str">
        <f t="shared" si="1"/>
        <v/>
      </c>
      <c r="G46" s="195" t="str">
        <f t="shared" si="2"/>
        <v/>
      </c>
      <c r="H46" s="196" t="str">
        <f t="shared" si="3"/>
        <v/>
      </c>
      <c r="I46" s="195" t="str">
        <f t="shared" si="4"/>
        <v/>
      </c>
      <c r="J46" s="200"/>
      <c r="K46" s="197" t="str">
        <f t="shared" si="49"/>
        <v/>
      </c>
      <c r="L46" s="195" t="str">
        <f t="shared" si="5"/>
        <v/>
      </c>
      <c r="M46" s="196" t="str">
        <f t="shared" si="6"/>
        <v/>
      </c>
      <c r="N46" s="195" t="str">
        <f t="shared" si="7"/>
        <v/>
      </c>
      <c r="O46" s="200"/>
      <c r="P46" s="197" t="str">
        <f t="shared" si="8"/>
        <v/>
      </c>
      <c r="Q46" s="195" t="str">
        <f t="shared" si="9"/>
        <v/>
      </c>
      <c r="R46" s="196" t="str">
        <f t="shared" si="10"/>
        <v/>
      </c>
      <c r="S46" s="195" t="str">
        <f t="shared" si="11"/>
        <v/>
      </c>
      <c r="T46" s="200"/>
      <c r="U46" s="197" t="str">
        <f t="shared" si="12"/>
        <v/>
      </c>
      <c r="V46" s="195" t="str">
        <f t="shared" si="13"/>
        <v/>
      </c>
      <c r="W46" s="196" t="str">
        <f t="shared" si="14"/>
        <v/>
      </c>
      <c r="X46" s="195" t="str">
        <f t="shared" si="15"/>
        <v/>
      </c>
      <c r="Y46" s="200"/>
      <c r="Z46" s="197" t="str">
        <f t="shared" si="16"/>
        <v/>
      </c>
      <c r="AA46" s="195" t="str">
        <f t="shared" si="17"/>
        <v/>
      </c>
      <c r="AB46" s="196" t="str">
        <f t="shared" si="18"/>
        <v/>
      </c>
      <c r="AC46" s="195" t="str">
        <f t="shared" si="19"/>
        <v/>
      </c>
      <c r="AD46" s="200"/>
      <c r="AE46" s="197" t="str">
        <f t="shared" si="20"/>
        <v/>
      </c>
      <c r="AF46" s="195" t="str">
        <f t="shared" si="21"/>
        <v/>
      </c>
      <c r="AG46" s="196" t="str">
        <f t="shared" si="22"/>
        <v/>
      </c>
      <c r="AH46" s="195" t="str">
        <f t="shared" si="23"/>
        <v/>
      </c>
      <c r="AI46" s="200"/>
      <c r="AJ46" s="197" t="str">
        <f t="shared" si="24"/>
        <v/>
      </c>
      <c r="AK46" s="195" t="str">
        <f t="shared" si="25"/>
        <v/>
      </c>
      <c r="AL46" s="196" t="str">
        <f t="shared" si="26"/>
        <v/>
      </c>
      <c r="AM46" s="195" t="str">
        <f t="shared" si="27"/>
        <v/>
      </c>
      <c r="AN46" s="200"/>
      <c r="AO46" s="197" t="str">
        <f t="shared" si="28"/>
        <v/>
      </c>
      <c r="AP46" s="195" t="str">
        <f t="shared" si="29"/>
        <v/>
      </c>
      <c r="AQ46" s="196" t="str">
        <f t="shared" si="30"/>
        <v/>
      </c>
      <c r="AR46" s="195" t="str">
        <f t="shared" si="31"/>
        <v/>
      </c>
      <c r="AS46" s="200"/>
      <c r="AT46" s="197" t="str">
        <f t="shared" si="32"/>
        <v/>
      </c>
      <c r="AU46" s="195" t="str">
        <f t="shared" si="33"/>
        <v/>
      </c>
      <c r="AV46" s="196" t="str">
        <f t="shared" si="34"/>
        <v/>
      </c>
      <c r="AW46" s="195" t="str">
        <f t="shared" si="35"/>
        <v/>
      </c>
      <c r="AX46" s="200"/>
      <c r="AY46" s="197" t="str">
        <f t="shared" si="36"/>
        <v/>
      </c>
      <c r="AZ46" s="195" t="str">
        <f t="shared" si="37"/>
        <v/>
      </c>
      <c r="BA46" s="196" t="str">
        <f t="shared" si="38"/>
        <v/>
      </c>
      <c r="BB46" s="195" t="str">
        <f t="shared" si="39"/>
        <v/>
      </c>
      <c r="BC46" s="200"/>
      <c r="BD46" s="197" t="str">
        <f t="shared" si="40"/>
        <v/>
      </c>
      <c r="BE46" s="195" t="str">
        <f t="shared" si="41"/>
        <v/>
      </c>
      <c r="BF46" s="196" t="str">
        <f t="shared" si="42"/>
        <v/>
      </c>
      <c r="BG46" s="195" t="str">
        <f t="shared" si="43"/>
        <v/>
      </c>
      <c r="BH46" s="200"/>
      <c r="BI46" s="197" t="str">
        <f t="shared" si="44"/>
        <v/>
      </c>
      <c r="BJ46" s="195" t="str">
        <f t="shared" si="45"/>
        <v/>
      </c>
      <c r="BK46" s="196" t="str">
        <f t="shared" si="46"/>
        <v/>
      </c>
      <c r="BL46" s="195" t="str">
        <f t="shared" si="47"/>
        <v/>
      </c>
      <c r="BM46" s="200"/>
      <c r="BN46" s="197" t="str">
        <f t="shared" si="48"/>
        <v/>
      </c>
    </row>
    <row r="47" spans="1:66" s="11" customFormat="1" ht="21">
      <c r="A47" s="195">
        <v>42</v>
      </c>
      <c r="B47" s="195" t="str">
        <f>IF('2.Students'' data'!E52="","",CONCATENATE('2.Students'' data'!E52,'2.Students'' data'!F52,'2.Students'' data'!G52,'2.Students'' data'!H52,'2.Students'' data'!I52,'2.Students'' data'!J52,'2.Students'' data'!K52,'2.Students'' data'!L52,'2.Students'' data'!M52,'2.Students'' data'!N52,'2.Students'' data'!O52,'2.Students'' data'!P52,'2.Students'' data'!Q52,))</f>
        <v/>
      </c>
      <c r="C47" s="195" t="str">
        <f>IF(IDstu42="","",IDstu42)</f>
        <v/>
      </c>
      <c r="D47" s="224" t="str">
        <f>CONCATENATE(TRIM(Name42),"  ",Surname42)</f>
        <v xml:space="preserve">  </v>
      </c>
      <c r="E47" s="197" t="str">
        <f t="shared" si="0"/>
        <v/>
      </c>
      <c r="F47" s="195" t="str">
        <f t="shared" si="1"/>
        <v/>
      </c>
      <c r="G47" s="195" t="str">
        <f t="shared" si="2"/>
        <v/>
      </c>
      <c r="H47" s="196" t="str">
        <f t="shared" si="3"/>
        <v/>
      </c>
      <c r="I47" s="195" t="str">
        <f t="shared" si="4"/>
        <v/>
      </c>
      <c r="J47" s="200"/>
      <c r="K47" s="197" t="str">
        <f t="shared" si="49"/>
        <v/>
      </c>
      <c r="L47" s="195" t="str">
        <f t="shared" si="5"/>
        <v/>
      </c>
      <c r="M47" s="196" t="str">
        <f t="shared" si="6"/>
        <v/>
      </c>
      <c r="N47" s="195" t="str">
        <f t="shared" si="7"/>
        <v/>
      </c>
      <c r="O47" s="200"/>
      <c r="P47" s="197" t="str">
        <f t="shared" si="8"/>
        <v/>
      </c>
      <c r="Q47" s="195" t="str">
        <f t="shared" si="9"/>
        <v/>
      </c>
      <c r="R47" s="196" t="str">
        <f t="shared" si="10"/>
        <v/>
      </c>
      <c r="S47" s="195" t="str">
        <f t="shared" si="11"/>
        <v/>
      </c>
      <c r="T47" s="200"/>
      <c r="U47" s="197" t="str">
        <f t="shared" si="12"/>
        <v/>
      </c>
      <c r="V47" s="195" t="str">
        <f t="shared" si="13"/>
        <v/>
      </c>
      <c r="W47" s="196" t="str">
        <f t="shared" si="14"/>
        <v/>
      </c>
      <c r="X47" s="195" t="str">
        <f t="shared" si="15"/>
        <v/>
      </c>
      <c r="Y47" s="200"/>
      <c r="Z47" s="197" t="str">
        <f t="shared" si="16"/>
        <v/>
      </c>
      <c r="AA47" s="195" t="str">
        <f t="shared" si="17"/>
        <v/>
      </c>
      <c r="AB47" s="196" t="str">
        <f t="shared" si="18"/>
        <v/>
      </c>
      <c r="AC47" s="195" t="str">
        <f t="shared" si="19"/>
        <v/>
      </c>
      <c r="AD47" s="200"/>
      <c r="AE47" s="197" t="str">
        <f t="shared" si="20"/>
        <v/>
      </c>
      <c r="AF47" s="195" t="str">
        <f t="shared" si="21"/>
        <v/>
      </c>
      <c r="AG47" s="196" t="str">
        <f t="shared" si="22"/>
        <v/>
      </c>
      <c r="AH47" s="195" t="str">
        <f t="shared" si="23"/>
        <v/>
      </c>
      <c r="AI47" s="200"/>
      <c r="AJ47" s="197" t="str">
        <f t="shared" si="24"/>
        <v/>
      </c>
      <c r="AK47" s="195" t="str">
        <f t="shared" si="25"/>
        <v/>
      </c>
      <c r="AL47" s="196" t="str">
        <f t="shared" si="26"/>
        <v/>
      </c>
      <c r="AM47" s="195" t="str">
        <f t="shared" si="27"/>
        <v/>
      </c>
      <c r="AN47" s="200"/>
      <c r="AO47" s="197" t="str">
        <f t="shared" si="28"/>
        <v/>
      </c>
      <c r="AP47" s="195" t="str">
        <f t="shared" si="29"/>
        <v/>
      </c>
      <c r="AQ47" s="196" t="str">
        <f t="shared" si="30"/>
        <v/>
      </c>
      <c r="AR47" s="195" t="str">
        <f t="shared" si="31"/>
        <v/>
      </c>
      <c r="AS47" s="200"/>
      <c r="AT47" s="197" t="str">
        <f t="shared" si="32"/>
        <v/>
      </c>
      <c r="AU47" s="195" t="str">
        <f t="shared" si="33"/>
        <v/>
      </c>
      <c r="AV47" s="196" t="str">
        <f t="shared" si="34"/>
        <v/>
      </c>
      <c r="AW47" s="195" t="str">
        <f t="shared" si="35"/>
        <v/>
      </c>
      <c r="AX47" s="200"/>
      <c r="AY47" s="197" t="str">
        <f t="shared" si="36"/>
        <v/>
      </c>
      <c r="AZ47" s="195" t="str">
        <f t="shared" si="37"/>
        <v/>
      </c>
      <c r="BA47" s="196" t="str">
        <f t="shared" si="38"/>
        <v/>
      </c>
      <c r="BB47" s="195" t="str">
        <f t="shared" si="39"/>
        <v/>
      </c>
      <c r="BC47" s="200"/>
      <c r="BD47" s="197" t="str">
        <f t="shared" si="40"/>
        <v/>
      </c>
      <c r="BE47" s="195" t="str">
        <f t="shared" si="41"/>
        <v/>
      </c>
      <c r="BF47" s="196" t="str">
        <f t="shared" si="42"/>
        <v/>
      </c>
      <c r="BG47" s="195" t="str">
        <f t="shared" si="43"/>
        <v/>
      </c>
      <c r="BH47" s="200"/>
      <c r="BI47" s="197" t="str">
        <f t="shared" si="44"/>
        <v/>
      </c>
      <c r="BJ47" s="195" t="str">
        <f t="shared" si="45"/>
        <v/>
      </c>
      <c r="BK47" s="196" t="str">
        <f t="shared" si="46"/>
        <v/>
      </c>
      <c r="BL47" s="195" t="str">
        <f t="shared" si="47"/>
        <v/>
      </c>
      <c r="BM47" s="200"/>
      <c r="BN47" s="197" t="str">
        <f t="shared" si="48"/>
        <v/>
      </c>
    </row>
    <row r="48" spans="1:66" s="11" customFormat="1" ht="21">
      <c r="A48" s="195">
        <v>43</v>
      </c>
      <c r="B48" s="195" t="str">
        <f>IF('2.Students'' data'!E53="","",CONCATENATE('2.Students'' data'!E53,'2.Students'' data'!F53,'2.Students'' data'!G53,'2.Students'' data'!H53,'2.Students'' data'!I53,'2.Students'' data'!J53,'2.Students'' data'!K53,'2.Students'' data'!L53,'2.Students'' data'!M53,'2.Students'' data'!N53,'2.Students'' data'!O53,'2.Students'' data'!P53,'2.Students'' data'!Q53,))</f>
        <v/>
      </c>
      <c r="C48" s="195" t="str">
        <f>IF(IDstu43="","",IDstu43)</f>
        <v/>
      </c>
      <c r="D48" s="224" t="str">
        <f>CONCATENATE(TRIM(Name43),"  ",Surname43)</f>
        <v xml:space="preserve">  </v>
      </c>
      <c r="E48" s="197" t="str">
        <f t="shared" si="0"/>
        <v/>
      </c>
      <c r="F48" s="195" t="str">
        <f t="shared" si="1"/>
        <v/>
      </c>
      <c r="G48" s="195" t="str">
        <f t="shared" si="2"/>
        <v/>
      </c>
      <c r="H48" s="196" t="str">
        <f t="shared" si="3"/>
        <v/>
      </c>
      <c r="I48" s="195" t="str">
        <f t="shared" si="4"/>
        <v/>
      </c>
      <c r="J48" s="200"/>
      <c r="K48" s="197" t="str">
        <f t="shared" si="49"/>
        <v/>
      </c>
      <c r="L48" s="195" t="str">
        <f t="shared" si="5"/>
        <v/>
      </c>
      <c r="M48" s="196" t="str">
        <f t="shared" si="6"/>
        <v/>
      </c>
      <c r="N48" s="195" t="str">
        <f t="shared" si="7"/>
        <v/>
      </c>
      <c r="O48" s="200"/>
      <c r="P48" s="197" t="str">
        <f t="shared" si="8"/>
        <v/>
      </c>
      <c r="Q48" s="195" t="str">
        <f t="shared" si="9"/>
        <v/>
      </c>
      <c r="R48" s="196" t="str">
        <f t="shared" si="10"/>
        <v/>
      </c>
      <c r="S48" s="195" t="str">
        <f t="shared" si="11"/>
        <v/>
      </c>
      <c r="T48" s="200"/>
      <c r="U48" s="197" t="str">
        <f t="shared" si="12"/>
        <v/>
      </c>
      <c r="V48" s="195" t="str">
        <f t="shared" si="13"/>
        <v/>
      </c>
      <c r="W48" s="196" t="str">
        <f t="shared" si="14"/>
        <v/>
      </c>
      <c r="X48" s="195" t="str">
        <f t="shared" si="15"/>
        <v/>
      </c>
      <c r="Y48" s="200"/>
      <c r="Z48" s="197" t="str">
        <f t="shared" si="16"/>
        <v/>
      </c>
      <c r="AA48" s="195" t="str">
        <f t="shared" si="17"/>
        <v/>
      </c>
      <c r="AB48" s="196" t="str">
        <f t="shared" si="18"/>
        <v/>
      </c>
      <c r="AC48" s="195" t="str">
        <f t="shared" si="19"/>
        <v/>
      </c>
      <c r="AD48" s="200"/>
      <c r="AE48" s="197" t="str">
        <f t="shared" si="20"/>
        <v/>
      </c>
      <c r="AF48" s="195" t="str">
        <f t="shared" si="21"/>
        <v/>
      </c>
      <c r="AG48" s="196" t="str">
        <f t="shared" si="22"/>
        <v/>
      </c>
      <c r="AH48" s="195" t="str">
        <f t="shared" si="23"/>
        <v/>
      </c>
      <c r="AI48" s="200"/>
      <c r="AJ48" s="197" t="str">
        <f t="shared" si="24"/>
        <v/>
      </c>
      <c r="AK48" s="195" t="str">
        <f t="shared" si="25"/>
        <v/>
      </c>
      <c r="AL48" s="196" t="str">
        <f t="shared" si="26"/>
        <v/>
      </c>
      <c r="AM48" s="195" t="str">
        <f t="shared" si="27"/>
        <v/>
      </c>
      <c r="AN48" s="200"/>
      <c r="AO48" s="197" t="str">
        <f t="shared" si="28"/>
        <v/>
      </c>
      <c r="AP48" s="195" t="str">
        <f t="shared" si="29"/>
        <v/>
      </c>
      <c r="AQ48" s="196" t="str">
        <f t="shared" si="30"/>
        <v/>
      </c>
      <c r="AR48" s="195" t="str">
        <f t="shared" si="31"/>
        <v/>
      </c>
      <c r="AS48" s="200"/>
      <c r="AT48" s="197" t="str">
        <f t="shared" si="32"/>
        <v/>
      </c>
      <c r="AU48" s="195" t="str">
        <f t="shared" si="33"/>
        <v/>
      </c>
      <c r="AV48" s="196" t="str">
        <f t="shared" si="34"/>
        <v/>
      </c>
      <c r="AW48" s="195" t="str">
        <f t="shared" si="35"/>
        <v/>
      </c>
      <c r="AX48" s="200"/>
      <c r="AY48" s="197" t="str">
        <f t="shared" si="36"/>
        <v/>
      </c>
      <c r="AZ48" s="195" t="str">
        <f t="shared" si="37"/>
        <v/>
      </c>
      <c r="BA48" s="196" t="str">
        <f t="shared" si="38"/>
        <v/>
      </c>
      <c r="BB48" s="195" t="str">
        <f t="shared" si="39"/>
        <v/>
      </c>
      <c r="BC48" s="200"/>
      <c r="BD48" s="197" t="str">
        <f t="shared" si="40"/>
        <v/>
      </c>
      <c r="BE48" s="195" t="str">
        <f t="shared" si="41"/>
        <v/>
      </c>
      <c r="BF48" s="196" t="str">
        <f t="shared" si="42"/>
        <v/>
      </c>
      <c r="BG48" s="195" t="str">
        <f t="shared" si="43"/>
        <v/>
      </c>
      <c r="BH48" s="200"/>
      <c r="BI48" s="197" t="str">
        <f t="shared" si="44"/>
        <v/>
      </c>
      <c r="BJ48" s="195" t="str">
        <f t="shared" si="45"/>
        <v/>
      </c>
      <c r="BK48" s="196" t="str">
        <f t="shared" si="46"/>
        <v/>
      </c>
      <c r="BL48" s="195" t="str">
        <f t="shared" si="47"/>
        <v/>
      </c>
      <c r="BM48" s="200"/>
      <c r="BN48" s="197" t="str">
        <f t="shared" si="48"/>
        <v/>
      </c>
    </row>
    <row r="49" spans="1:66" s="11" customFormat="1" ht="21">
      <c r="A49" s="195">
        <v>44</v>
      </c>
      <c r="B49" s="195" t="str">
        <f>IF('2.Students'' data'!E54="","",CONCATENATE('2.Students'' data'!E54,'2.Students'' data'!F54,'2.Students'' data'!G54,'2.Students'' data'!H54,'2.Students'' data'!I54,'2.Students'' data'!J54,'2.Students'' data'!K54,'2.Students'' data'!L54,'2.Students'' data'!M54,'2.Students'' data'!N54,'2.Students'' data'!O54,'2.Students'' data'!P54,'2.Students'' data'!Q54,))</f>
        <v/>
      </c>
      <c r="C49" s="195" t="str">
        <f>IF(IDstu44="","",IDstu44)</f>
        <v/>
      </c>
      <c r="D49" s="224" t="str">
        <f>CONCATENATE(TRIM(Name44),"  ",Surname44)</f>
        <v xml:space="preserve">  </v>
      </c>
      <c r="E49" s="197" t="str">
        <f t="shared" si="0"/>
        <v/>
      </c>
      <c r="F49" s="195" t="str">
        <f t="shared" si="1"/>
        <v/>
      </c>
      <c r="G49" s="195" t="str">
        <f t="shared" si="2"/>
        <v/>
      </c>
      <c r="H49" s="196" t="str">
        <f t="shared" si="3"/>
        <v/>
      </c>
      <c r="I49" s="195" t="str">
        <f t="shared" si="4"/>
        <v/>
      </c>
      <c r="J49" s="200"/>
      <c r="K49" s="197" t="str">
        <f t="shared" si="49"/>
        <v/>
      </c>
      <c r="L49" s="195" t="str">
        <f t="shared" si="5"/>
        <v/>
      </c>
      <c r="M49" s="196" t="str">
        <f t="shared" si="6"/>
        <v/>
      </c>
      <c r="N49" s="195" t="str">
        <f t="shared" si="7"/>
        <v/>
      </c>
      <c r="O49" s="200"/>
      <c r="P49" s="197" t="str">
        <f t="shared" si="8"/>
        <v/>
      </c>
      <c r="Q49" s="195" t="str">
        <f t="shared" si="9"/>
        <v/>
      </c>
      <c r="R49" s="196" t="str">
        <f t="shared" si="10"/>
        <v/>
      </c>
      <c r="S49" s="195" t="str">
        <f t="shared" si="11"/>
        <v/>
      </c>
      <c r="T49" s="200"/>
      <c r="U49" s="197" t="str">
        <f t="shared" si="12"/>
        <v/>
      </c>
      <c r="V49" s="195" t="str">
        <f t="shared" si="13"/>
        <v/>
      </c>
      <c r="W49" s="196" t="str">
        <f t="shared" si="14"/>
        <v/>
      </c>
      <c r="X49" s="195" t="str">
        <f t="shared" si="15"/>
        <v/>
      </c>
      <c r="Y49" s="200"/>
      <c r="Z49" s="197" t="str">
        <f t="shared" si="16"/>
        <v/>
      </c>
      <c r="AA49" s="195" t="str">
        <f t="shared" si="17"/>
        <v/>
      </c>
      <c r="AB49" s="196" t="str">
        <f t="shared" si="18"/>
        <v/>
      </c>
      <c r="AC49" s="195" t="str">
        <f t="shared" si="19"/>
        <v/>
      </c>
      <c r="AD49" s="200"/>
      <c r="AE49" s="197" t="str">
        <f t="shared" si="20"/>
        <v/>
      </c>
      <c r="AF49" s="195" t="str">
        <f t="shared" si="21"/>
        <v/>
      </c>
      <c r="AG49" s="196" t="str">
        <f t="shared" si="22"/>
        <v/>
      </c>
      <c r="AH49" s="195" t="str">
        <f t="shared" si="23"/>
        <v/>
      </c>
      <c r="AI49" s="200"/>
      <c r="AJ49" s="197" t="str">
        <f t="shared" si="24"/>
        <v/>
      </c>
      <c r="AK49" s="195" t="str">
        <f t="shared" si="25"/>
        <v/>
      </c>
      <c r="AL49" s="196" t="str">
        <f t="shared" si="26"/>
        <v/>
      </c>
      <c r="AM49" s="195" t="str">
        <f t="shared" si="27"/>
        <v/>
      </c>
      <c r="AN49" s="200"/>
      <c r="AO49" s="197" t="str">
        <f t="shared" si="28"/>
        <v/>
      </c>
      <c r="AP49" s="195" t="str">
        <f t="shared" si="29"/>
        <v/>
      </c>
      <c r="AQ49" s="196" t="str">
        <f t="shared" si="30"/>
        <v/>
      </c>
      <c r="AR49" s="195" t="str">
        <f t="shared" si="31"/>
        <v/>
      </c>
      <c r="AS49" s="200"/>
      <c r="AT49" s="197" t="str">
        <f t="shared" si="32"/>
        <v/>
      </c>
      <c r="AU49" s="195" t="str">
        <f t="shared" si="33"/>
        <v/>
      </c>
      <c r="AV49" s="196" t="str">
        <f t="shared" si="34"/>
        <v/>
      </c>
      <c r="AW49" s="195" t="str">
        <f t="shared" si="35"/>
        <v/>
      </c>
      <c r="AX49" s="200"/>
      <c r="AY49" s="197" t="str">
        <f t="shared" si="36"/>
        <v/>
      </c>
      <c r="AZ49" s="195" t="str">
        <f t="shared" si="37"/>
        <v/>
      </c>
      <c r="BA49" s="196" t="str">
        <f t="shared" si="38"/>
        <v/>
      </c>
      <c r="BB49" s="195" t="str">
        <f t="shared" si="39"/>
        <v/>
      </c>
      <c r="BC49" s="200"/>
      <c r="BD49" s="197" t="str">
        <f t="shared" si="40"/>
        <v/>
      </c>
      <c r="BE49" s="195" t="str">
        <f t="shared" si="41"/>
        <v/>
      </c>
      <c r="BF49" s="196" t="str">
        <f t="shared" si="42"/>
        <v/>
      </c>
      <c r="BG49" s="195" t="str">
        <f t="shared" si="43"/>
        <v/>
      </c>
      <c r="BH49" s="200"/>
      <c r="BI49" s="197" t="str">
        <f t="shared" si="44"/>
        <v/>
      </c>
      <c r="BJ49" s="195" t="str">
        <f t="shared" si="45"/>
        <v/>
      </c>
      <c r="BK49" s="196" t="str">
        <f t="shared" si="46"/>
        <v/>
      </c>
      <c r="BL49" s="195" t="str">
        <f t="shared" si="47"/>
        <v/>
      </c>
      <c r="BM49" s="200"/>
      <c r="BN49" s="197" t="str">
        <f t="shared" si="48"/>
        <v/>
      </c>
    </row>
    <row r="50" spans="1:66" s="11" customFormat="1" ht="21">
      <c r="A50" s="195">
        <v>45</v>
      </c>
      <c r="B50" s="195" t="str">
        <f>IF('2.Students'' data'!E55="","",CONCATENATE('2.Students'' data'!E55,'2.Students'' data'!F55,'2.Students'' data'!G55,'2.Students'' data'!H55,'2.Students'' data'!I55,'2.Students'' data'!J55,'2.Students'' data'!K55,'2.Students'' data'!L55,'2.Students'' data'!M55,'2.Students'' data'!N55,'2.Students'' data'!O55,'2.Students'' data'!P55,'2.Students'' data'!Q55,))</f>
        <v/>
      </c>
      <c r="C50" s="195" t="str">
        <f>IF(IDstu45="","",IDstu45)</f>
        <v/>
      </c>
      <c r="D50" s="224" t="str">
        <f>CONCATENATE(TRIM(Name45),"  ",Surname45)</f>
        <v xml:space="preserve">  </v>
      </c>
      <c r="E50" s="197" t="str">
        <f t="shared" si="0"/>
        <v/>
      </c>
      <c r="F50" s="195" t="str">
        <f t="shared" si="1"/>
        <v/>
      </c>
      <c r="G50" s="195" t="str">
        <f t="shared" si="2"/>
        <v/>
      </c>
      <c r="H50" s="196" t="str">
        <f t="shared" si="3"/>
        <v/>
      </c>
      <c r="I50" s="195" t="str">
        <f t="shared" si="4"/>
        <v/>
      </c>
      <c r="J50" s="200"/>
      <c r="K50" s="197" t="str">
        <f t="shared" si="49"/>
        <v/>
      </c>
      <c r="L50" s="195" t="str">
        <f t="shared" si="5"/>
        <v/>
      </c>
      <c r="M50" s="196" t="str">
        <f t="shared" si="6"/>
        <v/>
      </c>
      <c r="N50" s="195" t="str">
        <f t="shared" si="7"/>
        <v/>
      </c>
      <c r="O50" s="200"/>
      <c r="P50" s="197" t="str">
        <f t="shared" si="8"/>
        <v/>
      </c>
      <c r="Q50" s="195" t="str">
        <f t="shared" si="9"/>
        <v/>
      </c>
      <c r="R50" s="196" t="str">
        <f t="shared" si="10"/>
        <v/>
      </c>
      <c r="S50" s="195" t="str">
        <f t="shared" si="11"/>
        <v/>
      </c>
      <c r="T50" s="200"/>
      <c r="U50" s="197" t="str">
        <f t="shared" si="12"/>
        <v/>
      </c>
      <c r="V50" s="195" t="str">
        <f t="shared" si="13"/>
        <v/>
      </c>
      <c r="W50" s="196" t="str">
        <f t="shared" si="14"/>
        <v/>
      </c>
      <c r="X50" s="195" t="str">
        <f t="shared" si="15"/>
        <v/>
      </c>
      <c r="Y50" s="200"/>
      <c r="Z50" s="197" t="str">
        <f t="shared" si="16"/>
        <v/>
      </c>
      <c r="AA50" s="195" t="str">
        <f t="shared" si="17"/>
        <v/>
      </c>
      <c r="AB50" s="196" t="str">
        <f t="shared" si="18"/>
        <v/>
      </c>
      <c r="AC50" s="195" t="str">
        <f t="shared" si="19"/>
        <v/>
      </c>
      <c r="AD50" s="200"/>
      <c r="AE50" s="197" t="str">
        <f t="shared" si="20"/>
        <v/>
      </c>
      <c r="AF50" s="195" t="str">
        <f t="shared" si="21"/>
        <v/>
      </c>
      <c r="AG50" s="196" t="str">
        <f t="shared" si="22"/>
        <v/>
      </c>
      <c r="AH50" s="195" t="str">
        <f t="shared" si="23"/>
        <v/>
      </c>
      <c r="AI50" s="200"/>
      <c r="AJ50" s="197" t="str">
        <f t="shared" si="24"/>
        <v/>
      </c>
      <c r="AK50" s="195" t="str">
        <f t="shared" si="25"/>
        <v/>
      </c>
      <c r="AL50" s="196" t="str">
        <f t="shared" si="26"/>
        <v/>
      </c>
      <c r="AM50" s="195" t="str">
        <f t="shared" si="27"/>
        <v/>
      </c>
      <c r="AN50" s="200"/>
      <c r="AO50" s="197" t="str">
        <f t="shared" si="28"/>
        <v/>
      </c>
      <c r="AP50" s="195" t="str">
        <f t="shared" si="29"/>
        <v/>
      </c>
      <c r="AQ50" s="196" t="str">
        <f t="shared" si="30"/>
        <v/>
      </c>
      <c r="AR50" s="195" t="str">
        <f t="shared" si="31"/>
        <v/>
      </c>
      <c r="AS50" s="200"/>
      <c r="AT50" s="197" t="str">
        <f t="shared" si="32"/>
        <v/>
      </c>
      <c r="AU50" s="195" t="str">
        <f t="shared" si="33"/>
        <v/>
      </c>
      <c r="AV50" s="196" t="str">
        <f t="shared" si="34"/>
        <v/>
      </c>
      <c r="AW50" s="195" t="str">
        <f t="shared" si="35"/>
        <v/>
      </c>
      <c r="AX50" s="200"/>
      <c r="AY50" s="197" t="str">
        <f t="shared" si="36"/>
        <v/>
      </c>
      <c r="AZ50" s="195" t="str">
        <f t="shared" si="37"/>
        <v/>
      </c>
      <c r="BA50" s="196" t="str">
        <f t="shared" si="38"/>
        <v/>
      </c>
      <c r="BB50" s="195" t="str">
        <f t="shared" si="39"/>
        <v/>
      </c>
      <c r="BC50" s="200"/>
      <c r="BD50" s="197" t="str">
        <f t="shared" si="40"/>
        <v/>
      </c>
      <c r="BE50" s="195" t="str">
        <f t="shared" si="41"/>
        <v/>
      </c>
      <c r="BF50" s="196" t="str">
        <f t="shared" si="42"/>
        <v/>
      </c>
      <c r="BG50" s="195" t="str">
        <f t="shared" si="43"/>
        <v/>
      </c>
      <c r="BH50" s="200"/>
      <c r="BI50" s="197" t="str">
        <f t="shared" si="44"/>
        <v/>
      </c>
      <c r="BJ50" s="195" t="str">
        <f t="shared" si="45"/>
        <v/>
      </c>
      <c r="BK50" s="196" t="str">
        <f t="shared" si="46"/>
        <v/>
      </c>
      <c r="BL50" s="195" t="str">
        <f t="shared" si="47"/>
        <v/>
      </c>
      <c r="BM50" s="200"/>
      <c r="BN50" s="197" t="str">
        <f t="shared" si="48"/>
        <v/>
      </c>
    </row>
    <row r="51" spans="1:66" s="11" customFormat="1" ht="21">
      <c r="A51" s="24"/>
      <c r="B51" s="24"/>
      <c r="C51" s="24"/>
      <c r="E51" s="13"/>
      <c r="F51" s="24"/>
      <c r="G51" s="24"/>
      <c r="H51" s="11" t="s">
        <v>4</v>
      </c>
      <c r="I51" s="24"/>
      <c r="J51" s="201" t="str">
        <f>IF(SUM(J6:J50)=0,"",SUM(J6:J50))</f>
        <v/>
      </c>
      <c r="K51" s="201"/>
      <c r="L51" s="24"/>
      <c r="M51" s="11" t="s">
        <v>4</v>
      </c>
      <c r="N51" s="24"/>
      <c r="O51" s="201" t="str">
        <f>IF(SUM(O6:O50)=0,"",SUM(O6:O50))</f>
        <v/>
      </c>
      <c r="P51" s="201"/>
      <c r="Q51" s="24"/>
      <c r="R51" s="11" t="s">
        <v>4</v>
      </c>
      <c r="S51" s="24"/>
      <c r="T51" s="202" t="str">
        <f>IF(SUM(T6:T50)=0,"",SUM(T6:T50))</f>
        <v/>
      </c>
      <c r="U51" s="201"/>
      <c r="V51" s="24"/>
      <c r="W51" s="11" t="s">
        <v>4</v>
      </c>
      <c r="X51" s="24"/>
      <c r="Y51" s="202" t="str">
        <f>IF(SUM(Y6:Y50)=0,"",SUM(Y6:Y50))</f>
        <v/>
      </c>
      <c r="Z51" s="201"/>
      <c r="AA51" s="24"/>
      <c r="AB51" s="11" t="s">
        <v>4</v>
      </c>
      <c r="AC51" s="24"/>
      <c r="AD51" s="202" t="str">
        <f>IF(SUM(AD6:AD50)=0,"",SUM(AD6:AD50))</f>
        <v/>
      </c>
      <c r="AE51" s="201"/>
      <c r="AF51" s="24"/>
      <c r="AG51" s="11" t="s">
        <v>4</v>
      </c>
      <c r="AH51" s="24"/>
      <c r="AI51" s="201" t="str">
        <f>IF(SUM(AI6:AI50)=0,"",SUM(AI6:AI50))</f>
        <v/>
      </c>
      <c r="AJ51" s="201"/>
      <c r="AK51" s="24"/>
      <c r="AL51" s="11" t="s">
        <v>4</v>
      </c>
      <c r="AM51" s="24"/>
      <c r="AN51" s="201" t="str">
        <f>IF(SUM(AN6:AN50)=0,"",SUM(AN6:AN50))</f>
        <v/>
      </c>
      <c r="AO51" s="201"/>
      <c r="AP51" s="24"/>
      <c r="AQ51" s="11" t="s">
        <v>4</v>
      </c>
      <c r="AR51" s="24"/>
      <c r="AS51" s="201" t="str">
        <f>IF(SUM(AS6:AS50)=0,"",SUM(AS6:AS50))</f>
        <v/>
      </c>
      <c r="AT51" s="201"/>
      <c r="AU51" s="24"/>
      <c r="AV51" s="11" t="s">
        <v>4</v>
      </c>
      <c r="AW51" s="24"/>
      <c r="AX51" s="201" t="str">
        <f>IF(SUM(AX6:AX50)=0,"",SUM(AX6:AX50))</f>
        <v/>
      </c>
      <c r="AY51" s="201"/>
      <c r="AZ51" s="24"/>
      <c r="BA51" s="11" t="s">
        <v>4</v>
      </c>
      <c r="BB51" s="24"/>
      <c r="BC51" s="201" t="str">
        <f>IF(SUM(BC6:BC50)=0,"",SUM(BC6:BC50))</f>
        <v/>
      </c>
      <c r="BD51" s="201"/>
      <c r="BE51" s="24"/>
      <c r="BF51" s="11" t="s">
        <v>4</v>
      </c>
      <c r="BG51" s="24"/>
      <c r="BH51" s="201" t="str">
        <f>IF(SUM(BH6:BH50)=0,"",SUM(BH6:BH50))</f>
        <v/>
      </c>
      <c r="BI51" s="201"/>
      <c r="BJ51" s="24"/>
      <c r="BK51" s="11" t="s">
        <v>4</v>
      </c>
      <c r="BL51" s="24"/>
      <c r="BM51" s="13" t="str">
        <f>IF(SUM(BM6:BM50)=0,"",SUM(BM6:BM50))</f>
        <v/>
      </c>
      <c r="BN51" s="201"/>
    </row>
    <row r="52" spans="1:66" s="11" customFormat="1" ht="21">
      <c r="A52" s="24"/>
      <c r="B52" s="24"/>
      <c r="C52" s="24"/>
      <c r="E52" s="13"/>
      <c r="F52" s="24"/>
      <c r="G52" s="24"/>
      <c r="H52" s="11" t="s">
        <v>5</v>
      </c>
      <c r="I52" s="24"/>
      <c r="J52" s="201" t="str">
        <f>IF(J51="","",MIN(J6:J50))</f>
        <v/>
      </c>
      <c r="K52" s="201"/>
      <c r="L52" s="24"/>
      <c r="M52" s="11" t="s">
        <v>5</v>
      </c>
      <c r="N52" s="24"/>
      <c r="O52" s="201" t="str">
        <f>IF(O51="","",MIN(O6:O50))</f>
        <v/>
      </c>
      <c r="P52" s="201"/>
      <c r="Q52" s="24"/>
      <c r="R52" s="11" t="s">
        <v>5</v>
      </c>
      <c r="S52" s="24"/>
      <c r="T52" s="202" t="str">
        <f>IF(T51="","",MIN(T6:T50))</f>
        <v/>
      </c>
      <c r="U52" s="201"/>
      <c r="V52" s="24"/>
      <c r="W52" s="11" t="s">
        <v>5</v>
      </c>
      <c r="X52" s="24"/>
      <c r="Y52" s="202" t="str">
        <f>IF(Y51="","",MIN(Y6:Y50))</f>
        <v/>
      </c>
      <c r="Z52" s="201"/>
      <c r="AA52" s="24"/>
      <c r="AB52" s="11" t="s">
        <v>5</v>
      </c>
      <c r="AC52" s="24"/>
      <c r="AD52" s="202" t="str">
        <f>IF(AD51="","",MIN(AD6:AD50))</f>
        <v/>
      </c>
      <c r="AE52" s="201"/>
      <c r="AF52" s="24"/>
      <c r="AG52" s="11" t="s">
        <v>5</v>
      </c>
      <c r="AH52" s="24"/>
      <c r="AI52" s="201" t="str">
        <f>IF(AI51="","",MIN(AI6:AI50))</f>
        <v/>
      </c>
      <c r="AJ52" s="201"/>
      <c r="AK52" s="24"/>
      <c r="AL52" s="11" t="s">
        <v>5</v>
      </c>
      <c r="AM52" s="24"/>
      <c r="AN52" s="201" t="str">
        <f>IF(AN51="","",MIN(AN6:AN50))</f>
        <v/>
      </c>
      <c r="AO52" s="201"/>
      <c r="AP52" s="24"/>
      <c r="AQ52" s="11" t="s">
        <v>5</v>
      </c>
      <c r="AR52" s="24"/>
      <c r="AS52" s="201" t="str">
        <f>IF(AS51="","",MIN(AS6:AS50))</f>
        <v/>
      </c>
      <c r="AT52" s="201"/>
      <c r="AU52" s="24"/>
      <c r="AV52" s="11" t="s">
        <v>5</v>
      </c>
      <c r="AW52" s="24"/>
      <c r="AX52" s="201" t="str">
        <f>IF(AX51="","",MIN(AX6:AX50))</f>
        <v/>
      </c>
      <c r="AY52" s="201"/>
      <c r="AZ52" s="24"/>
      <c r="BA52" s="11" t="s">
        <v>5</v>
      </c>
      <c r="BB52" s="24"/>
      <c r="BC52" s="201" t="str">
        <f>IF(BC51="","",MIN(BC6:BC50))</f>
        <v/>
      </c>
      <c r="BD52" s="201"/>
      <c r="BE52" s="24"/>
      <c r="BF52" s="11" t="s">
        <v>5</v>
      </c>
      <c r="BG52" s="24"/>
      <c r="BH52" s="201" t="str">
        <f>IF(BH51="","",MIN(BH6:BH50))</f>
        <v/>
      </c>
      <c r="BI52" s="201"/>
      <c r="BJ52" s="24"/>
      <c r="BK52" s="11" t="s">
        <v>5</v>
      </c>
      <c r="BL52" s="24"/>
      <c r="BM52" s="13" t="str">
        <f>IF(BM51="","",MIN(BM6:BM50))</f>
        <v/>
      </c>
      <c r="BN52" s="201"/>
    </row>
    <row r="53" spans="1:66" s="11" customFormat="1" ht="21">
      <c r="A53" s="24"/>
      <c r="B53" s="24"/>
      <c r="C53" s="24"/>
      <c r="E53" s="13"/>
      <c r="F53" s="24"/>
      <c r="G53" s="24"/>
      <c r="H53" s="11" t="s">
        <v>6</v>
      </c>
      <c r="I53" s="24"/>
      <c r="J53" s="201" t="str">
        <f>IF(J51="","",MAX(J6:J50))</f>
        <v/>
      </c>
      <c r="K53" s="201"/>
      <c r="L53" s="24"/>
      <c r="M53" s="11" t="s">
        <v>6</v>
      </c>
      <c r="N53" s="24"/>
      <c r="O53" s="201" t="str">
        <f>IF(O51="","",MAX(O6:O50))</f>
        <v/>
      </c>
      <c r="P53" s="201"/>
      <c r="Q53" s="24"/>
      <c r="R53" s="11" t="s">
        <v>6</v>
      </c>
      <c r="S53" s="24"/>
      <c r="T53" s="202" t="str">
        <f>IF(T51="","",MAX(T6:T50))</f>
        <v/>
      </c>
      <c r="U53" s="201"/>
      <c r="V53" s="24"/>
      <c r="W53" s="11" t="s">
        <v>6</v>
      </c>
      <c r="X53" s="24"/>
      <c r="Y53" s="202" t="str">
        <f>IF(Y51="","",MAX(Y6:Y50))</f>
        <v/>
      </c>
      <c r="Z53" s="201"/>
      <c r="AA53" s="24"/>
      <c r="AB53" s="11" t="s">
        <v>6</v>
      </c>
      <c r="AC53" s="24"/>
      <c r="AD53" s="202" t="str">
        <f>IF(AD51="","",MAX(AD6:AD50))</f>
        <v/>
      </c>
      <c r="AE53" s="201"/>
      <c r="AF53" s="24"/>
      <c r="AG53" s="11" t="s">
        <v>6</v>
      </c>
      <c r="AH53" s="24"/>
      <c r="AI53" s="201" t="str">
        <f>IF(AI51="","",MAX(AI6:AI50))</f>
        <v/>
      </c>
      <c r="AJ53" s="201"/>
      <c r="AK53" s="24"/>
      <c r="AL53" s="11" t="s">
        <v>6</v>
      </c>
      <c r="AM53" s="24"/>
      <c r="AN53" s="201" t="str">
        <f>IF(AN51="","",MAX(AN6:AN50))</f>
        <v/>
      </c>
      <c r="AO53" s="201"/>
      <c r="AP53" s="24"/>
      <c r="AQ53" s="11" t="s">
        <v>6</v>
      </c>
      <c r="AR53" s="24"/>
      <c r="AS53" s="201" t="str">
        <f>IF(AS51="","",MAX(AS6:AS50))</f>
        <v/>
      </c>
      <c r="AT53" s="201"/>
      <c r="AU53" s="24"/>
      <c r="AV53" s="11" t="s">
        <v>6</v>
      </c>
      <c r="AW53" s="24"/>
      <c r="AX53" s="201" t="str">
        <f>IF(AX51="","",MAX(AX6:AX50))</f>
        <v/>
      </c>
      <c r="AY53" s="201"/>
      <c r="AZ53" s="24"/>
      <c r="BA53" s="11" t="s">
        <v>6</v>
      </c>
      <c r="BB53" s="24"/>
      <c r="BC53" s="201" t="str">
        <f>IF(BC51="","",MAX(BC6:BC50))</f>
        <v/>
      </c>
      <c r="BD53" s="201"/>
      <c r="BE53" s="24"/>
      <c r="BF53" s="11" t="s">
        <v>6</v>
      </c>
      <c r="BG53" s="24"/>
      <c r="BH53" s="201" t="str">
        <f>IF(BH51="","",MAX(BH6:BH50))</f>
        <v/>
      </c>
      <c r="BI53" s="201"/>
      <c r="BJ53" s="24"/>
      <c r="BK53" s="11" t="s">
        <v>6</v>
      </c>
      <c r="BL53" s="24"/>
      <c r="BM53" s="13" t="str">
        <f>IF(BM51="","",MAX(BM6:BM50))</f>
        <v/>
      </c>
      <c r="BN53" s="201"/>
    </row>
    <row r="54" spans="1:66" s="11" customFormat="1" ht="21">
      <c r="A54" s="24"/>
      <c r="B54" s="24"/>
      <c r="C54" s="24"/>
      <c r="E54" s="13"/>
      <c r="F54" s="24"/>
      <c r="G54" s="24"/>
      <c r="H54" s="11" t="s">
        <v>7</v>
      </c>
      <c r="I54" s="24"/>
      <c r="J54" s="201" t="str">
        <f>IF(J51="","",AVERAGE(J6:J50))</f>
        <v/>
      </c>
      <c r="K54" s="201"/>
      <c r="L54" s="24"/>
      <c r="M54" s="11" t="s">
        <v>7</v>
      </c>
      <c r="N54" s="24"/>
      <c r="O54" s="201" t="str">
        <f>IF(O51="","",AVERAGE(O6:O50))</f>
        <v/>
      </c>
      <c r="P54" s="201"/>
      <c r="Q54" s="24"/>
      <c r="R54" s="11" t="s">
        <v>7</v>
      </c>
      <c r="S54" s="24"/>
      <c r="T54" s="202" t="str">
        <f>IF(T51="","",AVERAGE(T6:T50))</f>
        <v/>
      </c>
      <c r="U54" s="201"/>
      <c r="V54" s="24"/>
      <c r="W54" s="11" t="s">
        <v>7</v>
      </c>
      <c r="X54" s="24"/>
      <c r="Y54" s="202" t="str">
        <f>IF(Y51="","",AVERAGE(Y6:Y50))</f>
        <v/>
      </c>
      <c r="Z54" s="201"/>
      <c r="AA54" s="24"/>
      <c r="AB54" s="11" t="s">
        <v>7</v>
      </c>
      <c r="AC54" s="24"/>
      <c r="AD54" s="202" t="str">
        <f>IF(AD51="","",AVERAGE(AD6:AD50))</f>
        <v/>
      </c>
      <c r="AE54" s="201"/>
      <c r="AF54" s="24"/>
      <c r="AG54" s="11" t="s">
        <v>7</v>
      </c>
      <c r="AH54" s="24"/>
      <c r="AI54" s="201" t="str">
        <f>IF(AI51="","",AVERAGE(AI6:AI50))</f>
        <v/>
      </c>
      <c r="AJ54" s="201"/>
      <c r="AK54" s="24"/>
      <c r="AL54" s="11" t="s">
        <v>7</v>
      </c>
      <c r="AM54" s="24"/>
      <c r="AN54" s="201" t="str">
        <f>IF(AN51="","",AVERAGE(AN6:AN50))</f>
        <v/>
      </c>
      <c r="AO54" s="201"/>
      <c r="AP54" s="24"/>
      <c r="AQ54" s="11" t="s">
        <v>7</v>
      </c>
      <c r="AR54" s="24"/>
      <c r="AS54" s="201" t="str">
        <f>IF(AS51="","",AVERAGE(AS6:AS50))</f>
        <v/>
      </c>
      <c r="AT54" s="201"/>
      <c r="AU54" s="24"/>
      <c r="AV54" s="11" t="s">
        <v>7</v>
      </c>
      <c r="AW54" s="24"/>
      <c r="AX54" s="201" t="str">
        <f>IF(AX51="","",AVERAGE(AX6:AX50))</f>
        <v/>
      </c>
      <c r="AY54" s="201"/>
      <c r="AZ54" s="24"/>
      <c r="BA54" s="11" t="s">
        <v>7</v>
      </c>
      <c r="BB54" s="24"/>
      <c r="BC54" s="201" t="str">
        <f>IF(BC51="","",AVERAGE(BC6:BC50))</f>
        <v/>
      </c>
      <c r="BD54" s="201"/>
      <c r="BE54" s="24"/>
      <c r="BF54" s="11" t="s">
        <v>7</v>
      </c>
      <c r="BG54" s="24"/>
      <c r="BH54" s="201" t="str">
        <f>IF(BH51="","",AVERAGE(BH6:BH50))</f>
        <v/>
      </c>
      <c r="BI54" s="201"/>
      <c r="BJ54" s="24"/>
      <c r="BK54" s="11" t="s">
        <v>7</v>
      </c>
      <c r="BL54" s="24"/>
      <c r="BM54" s="13" t="str">
        <f>IF(BM51="","",AVERAGE(BM6:BM50))</f>
        <v/>
      </c>
      <c r="BN54" s="201"/>
    </row>
    <row r="55" spans="1:66" s="11" customFormat="1" ht="21">
      <c r="A55" s="24"/>
      <c r="B55" s="24"/>
      <c r="C55" s="24"/>
      <c r="E55" s="13"/>
      <c r="F55" s="24"/>
      <c r="G55" s="24"/>
      <c r="H55" s="11" t="s">
        <v>8</v>
      </c>
      <c r="I55" s="24"/>
      <c r="J55" s="201" t="str">
        <f>IF(J51="","",(J54*100)/J5)</f>
        <v/>
      </c>
      <c r="K55" s="201"/>
      <c r="L55" s="24"/>
      <c r="M55" s="11" t="s">
        <v>8</v>
      </c>
      <c r="N55" s="24"/>
      <c r="O55" s="201" t="str">
        <f>IF(O51="","",(O54*100)/O5)</f>
        <v/>
      </c>
      <c r="P55" s="201"/>
      <c r="Q55" s="24"/>
      <c r="R55" s="11" t="s">
        <v>8</v>
      </c>
      <c r="S55" s="24"/>
      <c r="T55" s="201" t="str">
        <f>IF(T51="","",(T54*100)/T5)</f>
        <v/>
      </c>
      <c r="U55" s="201"/>
      <c r="V55" s="24"/>
      <c r="W55" s="11" t="s">
        <v>8</v>
      </c>
      <c r="X55" s="24"/>
      <c r="Y55" s="201" t="str">
        <f>IF(Y51="","",(Y54*100)/Y5)</f>
        <v/>
      </c>
      <c r="Z55" s="201"/>
      <c r="AA55" s="24"/>
      <c r="AB55" s="11" t="s">
        <v>8</v>
      </c>
      <c r="AC55" s="24"/>
      <c r="AD55" s="201" t="str">
        <f>IF(AD51="","",(AD54*100)/AD5)</f>
        <v/>
      </c>
      <c r="AE55" s="201"/>
      <c r="AF55" s="24"/>
      <c r="AG55" s="11" t="s">
        <v>8</v>
      </c>
      <c r="AH55" s="24"/>
      <c r="AI55" s="201" t="str">
        <f>IF(AI51="","",(AI54*100)/AI5)</f>
        <v/>
      </c>
      <c r="AJ55" s="201"/>
      <c r="AK55" s="24"/>
      <c r="AL55" s="11" t="s">
        <v>8</v>
      </c>
      <c r="AM55" s="24"/>
      <c r="AN55" s="201" t="str">
        <f>IF(AN51="","",(AN54*100)/AN5)</f>
        <v/>
      </c>
      <c r="AO55" s="201"/>
      <c r="AP55" s="24"/>
      <c r="AQ55" s="11" t="s">
        <v>8</v>
      </c>
      <c r="AR55" s="24"/>
      <c r="AS55" s="201" t="str">
        <f>IF(AS51="","",(AS54*100)/AS5)</f>
        <v/>
      </c>
      <c r="AT55" s="201"/>
      <c r="AU55" s="24"/>
      <c r="AV55" s="11" t="s">
        <v>8</v>
      </c>
      <c r="AW55" s="24"/>
      <c r="AX55" s="201" t="str">
        <f>IF(AX51="","",(AX54*100)/AX5)</f>
        <v/>
      </c>
      <c r="AY55" s="201"/>
      <c r="AZ55" s="24"/>
      <c r="BA55" s="11" t="s">
        <v>8</v>
      </c>
      <c r="BB55" s="24"/>
      <c r="BC55" s="201" t="str">
        <f>IF(BC51="","",(BC54*100)/BC5)</f>
        <v/>
      </c>
      <c r="BD55" s="201"/>
      <c r="BE55" s="24"/>
      <c r="BF55" s="11" t="s">
        <v>8</v>
      </c>
      <c r="BG55" s="24"/>
      <c r="BH55" s="201" t="str">
        <f>IF(BH51="","",(BH54*100)/BH5)</f>
        <v/>
      </c>
      <c r="BI55" s="201"/>
      <c r="BJ55" s="24"/>
      <c r="BK55" s="11" t="s">
        <v>8</v>
      </c>
      <c r="BL55" s="24"/>
      <c r="BM55" s="201" t="str">
        <f>IF(BM51="","",(BM54*100)/BM5)</f>
        <v/>
      </c>
      <c r="BN55" s="201"/>
    </row>
    <row r="56" spans="1:66" s="11" customFormat="1" ht="21">
      <c r="A56" s="24"/>
      <c r="B56" s="24"/>
      <c r="C56" s="24"/>
      <c r="E56" s="13"/>
      <c r="F56" s="24"/>
      <c r="G56" s="24"/>
      <c r="I56" s="24"/>
      <c r="J56" s="13"/>
      <c r="K56" s="13"/>
      <c r="L56" s="24"/>
      <c r="N56" s="24"/>
      <c r="O56" s="13"/>
      <c r="P56" s="13"/>
      <c r="Q56" s="24"/>
      <c r="S56" s="24"/>
      <c r="T56" s="13"/>
      <c r="U56" s="13"/>
      <c r="V56" s="24"/>
      <c r="X56" s="24"/>
      <c r="Y56" s="13"/>
      <c r="Z56" s="13"/>
      <c r="AA56" s="24"/>
      <c r="AC56" s="24"/>
      <c r="AD56" s="13"/>
      <c r="AE56" s="13"/>
      <c r="AF56" s="24"/>
      <c r="AH56" s="24"/>
      <c r="AI56" s="13"/>
      <c r="AJ56" s="13"/>
      <c r="AK56" s="24"/>
      <c r="AM56" s="24"/>
      <c r="AN56" s="13"/>
      <c r="AO56" s="13"/>
      <c r="AP56" s="24"/>
      <c r="AR56" s="24"/>
      <c r="AS56" s="13"/>
      <c r="AT56" s="13"/>
      <c r="AU56" s="24"/>
      <c r="AW56" s="24"/>
      <c r="AX56" s="13"/>
      <c r="AY56" s="13"/>
      <c r="AZ56" s="24"/>
      <c r="BB56" s="24"/>
      <c r="BC56" s="13"/>
      <c r="BD56" s="13"/>
      <c r="BE56" s="24"/>
      <c r="BG56" s="24"/>
      <c r="BH56" s="13"/>
      <c r="BI56" s="13"/>
      <c r="BJ56" s="24"/>
      <c r="BL56" s="24"/>
      <c r="BM56" s="13"/>
      <c r="BN56" s="13"/>
    </row>
    <row r="57" spans="1:66" s="11" customFormat="1" ht="21">
      <c r="A57" s="24"/>
      <c r="B57" s="24"/>
      <c r="C57" s="24"/>
      <c r="E57" s="13"/>
      <c r="F57" s="24"/>
      <c r="G57" s="24"/>
      <c r="I57" s="24"/>
      <c r="J57" s="13"/>
      <c r="K57" s="13"/>
      <c r="L57" s="24"/>
      <c r="N57" s="24"/>
      <c r="O57" s="13"/>
      <c r="P57" s="13"/>
      <c r="Q57" s="24"/>
      <c r="S57" s="24"/>
      <c r="T57" s="13"/>
      <c r="U57" s="13"/>
      <c r="V57" s="24"/>
      <c r="X57" s="24"/>
      <c r="Y57" s="13"/>
      <c r="Z57" s="13"/>
      <c r="AA57" s="24"/>
      <c r="AC57" s="24"/>
      <c r="AD57" s="13"/>
      <c r="AE57" s="13"/>
      <c r="AF57" s="24"/>
      <c r="AH57" s="24"/>
      <c r="AI57" s="13"/>
      <c r="AJ57" s="13"/>
      <c r="AK57" s="24"/>
      <c r="AM57" s="24"/>
      <c r="AN57" s="13"/>
      <c r="AO57" s="13"/>
      <c r="AP57" s="24"/>
      <c r="AR57" s="24"/>
      <c r="AS57" s="13"/>
      <c r="AT57" s="13"/>
      <c r="AU57" s="24"/>
      <c r="AW57" s="24"/>
      <c r="AX57" s="13"/>
      <c r="AY57" s="13"/>
      <c r="AZ57" s="24"/>
      <c r="BB57" s="24"/>
      <c r="BC57" s="13"/>
      <c r="BD57" s="13"/>
      <c r="BE57" s="24"/>
      <c r="BG57" s="24"/>
      <c r="BH57" s="13"/>
      <c r="BI57" s="13"/>
      <c r="BJ57" s="24"/>
      <c r="BL57" s="24"/>
      <c r="BM57" s="13"/>
      <c r="BN57" s="13"/>
    </row>
    <row r="58" spans="1:66" s="11" customFormat="1" ht="21">
      <c r="A58" s="24"/>
      <c r="B58" s="24"/>
      <c r="C58" s="24"/>
      <c r="E58" s="13"/>
      <c r="F58" s="24"/>
      <c r="G58" s="24"/>
      <c r="I58" s="24"/>
      <c r="J58" s="13"/>
      <c r="K58" s="13"/>
      <c r="L58" s="24"/>
      <c r="N58" s="24"/>
      <c r="O58" s="13"/>
      <c r="P58" s="13"/>
      <c r="Q58" s="24"/>
      <c r="S58" s="24"/>
      <c r="T58" s="13"/>
      <c r="U58" s="13"/>
      <c r="V58" s="24"/>
      <c r="X58" s="24"/>
      <c r="Y58" s="13"/>
      <c r="Z58" s="13"/>
      <c r="AA58" s="24"/>
      <c r="AC58" s="24"/>
      <c r="AD58" s="13"/>
      <c r="AE58" s="13"/>
      <c r="AF58" s="24"/>
      <c r="AH58" s="24"/>
      <c r="AI58" s="13"/>
      <c r="AJ58" s="13"/>
      <c r="AK58" s="24"/>
      <c r="AM58" s="24"/>
      <c r="AN58" s="13"/>
      <c r="AO58" s="13"/>
      <c r="AP58" s="24"/>
      <c r="AR58" s="24"/>
      <c r="AS58" s="13"/>
      <c r="AT58" s="13"/>
      <c r="AU58" s="24"/>
      <c r="AW58" s="24"/>
      <c r="AX58" s="13"/>
      <c r="AY58" s="13"/>
      <c r="AZ58" s="24"/>
      <c r="BB58" s="24"/>
      <c r="BC58" s="13"/>
      <c r="BD58" s="13"/>
      <c r="BE58" s="24"/>
      <c r="BG58" s="24"/>
      <c r="BH58" s="13"/>
      <c r="BI58" s="13"/>
      <c r="BJ58" s="24"/>
      <c r="BL58" s="24"/>
      <c r="BM58" s="13"/>
      <c r="BN58" s="13"/>
    </row>
    <row r="59" spans="1:66" s="11" customFormat="1" ht="21">
      <c r="A59" s="24"/>
      <c r="B59" s="24"/>
      <c r="C59" s="24"/>
      <c r="E59" s="13"/>
      <c r="F59" s="24"/>
      <c r="G59" s="24"/>
      <c r="I59" s="24"/>
      <c r="J59" s="13"/>
      <c r="K59" s="13"/>
      <c r="L59" s="24"/>
      <c r="N59" s="24"/>
      <c r="O59" s="13"/>
      <c r="P59" s="13"/>
      <c r="Q59" s="24"/>
      <c r="S59" s="24"/>
      <c r="T59" s="13"/>
      <c r="U59" s="13"/>
      <c r="V59" s="24"/>
      <c r="X59" s="24"/>
      <c r="Y59" s="13"/>
      <c r="Z59" s="13"/>
      <c r="AA59" s="24"/>
      <c r="AC59" s="24"/>
      <c r="AD59" s="13"/>
      <c r="AE59" s="13"/>
      <c r="AF59" s="24"/>
      <c r="AH59" s="24"/>
      <c r="AI59" s="13"/>
      <c r="AJ59" s="13"/>
      <c r="AK59" s="24"/>
      <c r="AM59" s="24"/>
      <c r="AN59" s="13"/>
      <c r="AO59" s="13"/>
      <c r="AP59" s="24"/>
      <c r="AR59" s="24"/>
      <c r="AS59" s="13"/>
      <c r="AT59" s="13"/>
      <c r="AU59" s="24"/>
      <c r="AW59" s="24"/>
      <c r="AX59" s="13"/>
      <c r="AY59" s="13"/>
      <c r="AZ59" s="24"/>
      <c r="BB59" s="24"/>
      <c r="BC59" s="13"/>
      <c r="BD59" s="13"/>
      <c r="BE59" s="24"/>
      <c r="BG59" s="24"/>
      <c r="BH59" s="13"/>
      <c r="BI59" s="13"/>
      <c r="BJ59" s="24"/>
      <c r="BL59" s="24"/>
      <c r="BM59" s="13"/>
      <c r="BN59" s="13"/>
    </row>
    <row r="60" spans="1:66" s="11" customFormat="1" ht="21">
      <c r="A60" s="24"/>
      <c r="B60" s="24"/>
      <c r="C60" s="24"/>
      <c r="E60" s="13"/>
      <c r="F60" s="24"/>
      <c r="G60" s="24"/>
      <c r="I60" s="24"/>
      <c r="J60" s="13"/>
      <c r="K60" s="13"/>
      <c r="L60" s="24"/>
      <c r="N60" s="24"/>
      <c r="O60" s="13"/>
      <c r="P60" s="13"/>
      <c r="Q60" s="24"/>
      <c r="S60" s="24"/>
      <c r="T60" s="13"/>
      <c r="U60" s="13"/>
      <c r="V60" s="24"/>
      <c r="X60" s="24"/>
      <c r="Y60" s="13"/>
      <c r="Z60" s="13"/>
      <c r="AA60" s="24"/>
      <c r="AC60" s="24"/>
      <c r="AD60" s="13"/>
      <c r="AE60" s="13"/>
      <c r="AF60" s="24"/>
      <c r="AH60" s="24"/>
      <c r="AI60" s="13"/>
      <c r="AJ60" s="13"/>
      <c r="AK60" s="24"/>
      <c r="AM60" s="24"/>
      <c r="AN60" s="13"/>
      <c r="AO60" s="13"/>
      <c r="AP60" s="24"/>
      <c r="AR60" s="24"/>
      <c r="AS60" s="13"/>
      <c r="AT60" s="13"/>
      <c r="AU60" s="24"/>
      <c r="AW60" s="24"/>
      <c r="AX60" s="13"/>
      <c r="AY60" s="13"/>
      <c r="AZ60" s="24"/>
      <c r="BB60" s="24"/>
      <c r="BC60" s="13"/>
      <c r="BD60" s="13"/>
      <c r="BE60" s="24"/>
      <c r="BG60" s="24"/>
      <c r="BH60" s="13"/>
      <c r="BI60" s="13"/>
      <c r="BJ60" s="24"/>
      <c r="BL60" s="24"/>
      <c r="BM60" s="13"/>
      <c r="BN60" s="13"/>
    </row>
    <row r="61" spans="1:66" s="11" customFormat="1" ht="21">
      <c r="A61" s="24"/>
      <c r="B61" s="24"/>
      <c r="C61" s="24"/>
      <c r="E61" s="13"/>
      <c r="F61" s="24"/>
      <c r="G61" s="24"/>
      <c r="I61" s="24"/>
      <c r="J61" s="13"/>
      <c r="K61" s="13"/>
      <c r="L61" s="24"/>
      <c r="N61" s="24"/>
      <c r="O61" s="13"/>
      <c r="P61" s="13"/>
      <c r="Q61" s="24"/>
      <c r="S61" s="24"/>
      <c r="T61" s="13"/>
      <c r="U61" s="13"/>
      <c r="V61" s="24"/>
      <c r="X61" s="24"/>
      <c r="Y61" s="13"/>
      <c r="Z61" s="13"/>
      <c r="AA61" s="24"/>
      <c r="AC61" s="24"/>
      <c r="AD61" s="13"/>
      <c r="AE61" s="13"/>
      <c r="AF61" s="24"/>
      <c r="AH61" s="24"/>
      <c r="AI61" s="13"/>
      <c r="AJ61" s="13"/>
      <c r="AK61" s="24"/>
      <c r="AM61" s="24"/>
      <c r="AN61" s="13"/>
      <c r="AO61" s="13"/>
      <c r="AP61" s="24"/>
      <c r="AR61" s="24"/>
      <c r="AS61" s="13"/>
      <c r="AT61" s="13"/>
      <c r="AU61" s="24"/>
      <c r="AW61" s="24"/>
      <c r="AX61" s="13"/>
      <c r="AY61" s="13"/>
      <c r="AZ61" s="24"/>
      <c r="BB61" s="24"/>
      <c r="BC61" s="13"/>
      <c r="BD61" s="13"/>
      <c r="BE61" s="24"/>
      <c r="BG61" s="24"/>
      <c r="BH61" s="13"/>
      <c r="BI61" s="13"/>
      <c r="BJ61" s="24"/>
      <c r="BL61" s="24"/>
      <c r="BM61" s="13"/>
      <c r="BN61" s="13"/>
    </row>
    <row r="62" spans="1:66" s="11" customFormat="1" ht="21">
      <c r="A62" s="24"/>
      <c r="B62" s="24"/>
      <c r="C62" s="24"/>
      <c r="E62" s="13"/>
      <c r="F62" s="24"/>
      <c r="G62" s="24"/>
      <c r="I62" s="24"/>
      <c r="J62" s="13"/>
      <c r="K62" s="13"/>
      <c r="L62" s="24"/>
      <c r="N62" s="24"/>
      <c r="O62" s="13"/>
      <c r="P62" s="13"/>
      <c r="Q62" s="24"/>
      <c r="S62" s="24"/>
      <c r="T62" s="13"/>
      <c r="U62" s="13"/>
      <c r="V62" s="24"/>
      <c r="X62" s="24"/>
      <c r="Y62" s="13"/>
      <c r="Z62" s="13"/>
      <c r="AA62" s="24"/>
      <c r="AC62" s="24"/>
      <c r="AD62" s="13"/>
      <c r="AE62" s="13"/>
      <c r="AF62" s="24"/>
      <c r="AH62" s="24"/>
      <c r="AI62" s="13"/>
      <c r="AJ62" s="13"/>
      <c r="AK62" s="24"/>
      <c r="AM62" s="24"/>
      <c r="AN62" s="13"/>
      <c r="AO62" s="13"/>
      <c r="AP62" s="24"/>
      <c r="AR62" s="24"/>
      <c r="AS62" s="13"/>
      <c r="AT62" s="13"/>
      <c r="AU62" s="24"/>
      <c r="AW62" s="24"/>
      <c r="AX62" s="13"/>
      <c r="AY62" s="13"/>
      <c r="AZ62" s="24"/>
      <c r="BB62" s="24"/>
      <c r="BC62" s="13"/>
      <c r="BD62" s="13"/>
      <c r="BE62" s="24"/>
      <c r="BG62" s="24"/>
      <c r="BH62" s="13"/>
      <c r="BI62" s="13"/>
      <c r="BJ62" s="24"/>
      <c r="BL62" s="24"/>
      <c r="BM62" s="13"/>
      <c r="BN62" s="13"/>
    </row>
    <row r="63" spans="1:66" s="11" customFormat="1" ht="21">
      <c r="A63" s="24"/>
      <c r="B63" s="24"/>
      <c r="C63" s="24"/>
      <c r="E63" s="13"/>
      <c r="F63" s="24"/>
      <c r="G63" s="24"/>
      <c r="I63" s="24"/>
      <c r="J63" s="13"/>
      <c r="K63" s="13"/>
      <c r="L63" s="24"/>
      <c r="N63" s="24"/>
      <c r="O63" s="13"/>
      <c r="P63" s="13"/>
      <c r="Q63" s="24"/>
      <c r="S63" s="24"/>
      <c r="T63" s="13"/>
      <c r="U63" s="13"/>
      <c r="V63" s="24"/>
      <c r="X63" s="24"/>
      <c r="Y63" s="13"/>
      <c r="Z63" s="13"/>
      <c r="AA63" s="24"/>
      <c r="AC63" s="24"/>
      <c r="AD63" s="13"/>
      <c r="AE63" s="13"/>
      <c r="AF63" s="24"/>
      <c r="AH63" s="24"/>
      <c r="AI63" s="13"/>
      <c r="AJ63" s="13"/>
      <c r="AK63" s="24"/>
      <c r="AM63" s="24"/>
      <c r="AN63" s="13"/>
      <c r="AO63" s="13"/>
      <c r="AP63" s="24"/>
      <c r="AR63" s="24"/>
      <c r="AS63" s="13"/>
      <c r="AT63" s="13"/>
      <c r="AU63" s="24"/>
      <c r="AW63" s="24"/>
      <c r="AX63" s="13"/>
      <c r="AY63" s="13"/>
      <c r="AZ63" s="24"/>
      <c r="BB63" s="24"/>
      <c r="BC63" s="13"/>
      <c r="BD63" s="13"/>
      <c r="BE63" s="24"/>
      <c r="BG63" s="24"/>
      <c r="BH63" s="13"/>
      <c r="BI63" s="13"/>
      <c r="BJ63" s="24"/>
      <c r="BL63" s="24"/>
      <c r="BM63" s="13"/>
      <c r="BN63" s="13"/>
    </row>
    <row r="64" spans="1:66" s="11" customFormat="1" ht="21">
      <c r="A64" s="24"/>
      <c r="B64" s="24"/>
      <c r="C64" s="24"/>
      <c r="E64" s="13"/>
      <c r="F64" s="24"/>
      <c r="G64" s="24"/>
      <c r="I64" s="24"/>
      <c r="J64" s="13"/>
      <c r="K64" s="13"/>
      <c r="L64" s="24"/>
      <c r="N64" s="24"/>
      <c r="O64" s="13"/>
      <c r="P64" s="13"/>
      <c r="Q64" s="24"/>
      <c r="S64" s="24"/>
      <c r="T64" s="13"/>
      <c r="U64" s="13"/>
      <c r="V64" s="24"/>
      <c r="X64" s="24"/>
      <c r="Y64" s="13"/>
      <c r="Z64" s="13"/>
      <c r="AA64" s="24"/>
      <c r="AC64" s="24"/>
      <c r="AD64" s="13"/>
      <c r="AE64" s="13"/>
      <c r="AF64" s="24"/>
      <c r="AH64" s="24"/>
      <c r="AI64" s="13"/>
      <c r="AJ64" s="13"/>
      <c r="AK64" s="24"/>
      <c r="AM64" s="24"/>
      <c r="AN64" s="13"/>
      <c r="AO64" s="13"/>
      <c r="AP64" s="24"/>
      <c r="AR64" s="24"/>
      <c r="AS64" s="13"/>
      <c r="AT64" s="13"/>
      <c r="AU64" s="24"/>
      <c r="AW64" s="24"/>
      <c r="AX64" s="13"/>
      <c r="AY64" s="13"/>
      <c r="AZ64" s="24"/>
      <c r="BB64" s="24"/>
      <c r="BC64" s="13"/>
      <c r="BD64" s="13"/>
      <c r="BE64" s="24"/>
      <c r="BG64" s="24"/>
      <c r="BH64" s="13"/>
      <c r="BI64" s="13"/>
      <c r="BJ64" s="24"/>
      <c r="BL64" s="24"/>
      <c r="BM64" s="13"/>
      <c r="BN64" s="13"/>
    </row>
    <row r="65" spans="1:66" s="11" customFormat="1" ht="21">
      <c r="A65" s="24"/>
      <c r="B65" s="24"/>
      <c r="C65" s="24"/>
      <c r="E65" s="13"/>
      <c r="F65" s="24"/>
      <c r="G65" s="24"/>
      <c r="I65" s="24"/>
      <c r="J65" s="13"/>
      <c r="K65" s="13"/>
      <c r="L65" s="24"/>
      <c r="N65" s="24"/>
      <c r="O65" s="13"/>
      <c r="P65" s="13"/>
      <c r="Q65" s="24"/>
      <c r="S65" s="24"/>
      <c r="T65" s="13"/>
      <c r="U65" s="13"/>
      <c r="V65" s="24"/>
      <c r="X65" s="24"/>
      <c r="Y65" s="13"/>
      <c r="Z65" s="13"/>
      <c r="AA65" s="24"/>
      <c r="AC65" s="24"/>
      <c r="AD65" s="13"/>
      <c r="AE65" s="13"/>
      <c r="AF65" s="24"/>
      <c r="AH65" s="24"/>
      <c r="AI65" s="13"/>
      <c r="AJ65" s="13"/>
      <c r="AK65" s="24"/>
      <c r="AM65" s="24"/>
      <c r="AN65" s="13"/>
      <c r="AO65" s="13"/>
      <c r="AP65" s="24"/>
      <c r="AR65" s="24"/>
      <c r="AS65" s="13"/>
      <c r="AT65" s="13"/>
      <c r="AU65" s="24"/>
      <c r="AW65" s="24"/>
      <c r="AX65" s="13"/>
      <c r="AY65" s="13"/>
      <c r="AZ65" s="24"/>
      <c r="BB65" s="24"/>
      <c r="BC65" s="13"/>
      <c r="BD65" s="13"/>
      <c r="BE65" s="24"/>
      <c r="BG65" s="24"/>
      <c r="BH65" s="13"/>
      <c r="BI65" s="13"/>
      <c r="BJ65" s="24"/>
      <c r="BL65" s="24"/>
      <c r="BM65" s="13"/>
      <c r="BN65" s="13"/>
    </row>
    <row r="66" spans="1:66" s="11" customFormat="1" ht="21">
      <c r="A66" s="24"/>
      <c r="B66" s="24"/>
      <c r="C66" s="24"/>
      <c r="E66" s="13"/>
      <c r="F66" s="24"/>
      <c r="G66" s="24"/>
      <c r="I66" s="24"/>
      <c r="J66" s="13"/>
      <c r="K66" s="13"/>
      <c r="L66" s="24"/>
      <c r="N66" s="24"/>
      <c r="O66" s="13"/>
      <c r="P66" s="13"/>
      <c r="Q66" s="24"/>
      <c r="S66" s="24"/>
      <c r="T66" s="13"/>
      <c r="U66" s="13"/>
      <c r="V66" s="24"/>
      <c r="X66" s="24"/>
      <c r="Y66" s="13"/>
      <c r="Z66" s="13"/>
      <c r="AA66" s="24"/>
      <c r="AC66" s="24"/>
      <c r="AD66" s="13"/>
      <c r="AE66" s="13"/>
      <c r="AF66" s="24"/>
      <c r="AH66" s="24"/>
      <c r="AI66" s="13"/>
      <c r="AJ66" s="13"/>
      <c r="AK66" s="24"/>
      <c r="AM66" s="24"/>
      <c r="AN66" s="13"/>
      <c r="AO66" s="13"/>
      <c r="AP66" s="24"/>
      <c r="AR66" s="24"/>
      <c r="AS66" s="13"/>
      <c r="AT66" s="13"/>
      <c r="AU66" s="24"/>
      <c r="AW66" s="24"/>
      <c r="AX66" s="13"/>
      <c r="AY66" s="13"/>
      <c r="AZ66" s="24"/>
      <c r="BB66" s="24"/>
      <c r="BC66" s="13"/>
      <c r="BD66" s="13"/>
      <c r="BE66" s="24"/>
      <c r="BG66" s="24"/>
      <c r="BH66" s="13"/>
      <c r="BI66" s="13"/>
      <c r="BJ66" s="24"/>
      <c r="BL66" s="24"/>
      <c r="BM66" s="13"/>
      <c r="BN66" s="13"/>
    </row>
    <row r="67" spans="1:66" s="11" customFormat="1" ht="21">
      <c r="A67" s="24"/>
      <c r="B67" s="24"/>
      <c r="C67" s="24"/>
      <c r="E67" s="13"/>
      <c r="F67" s="24"/>
      <c r="G67" s="24"/>
      <c r="I67" s="24"/>
      <c r="J67" s="13"/>
      <c r="K67" s="13"/>
      <c r="L67" s="24"/>
      <c r="N67" s="24"/>
      <c r="O67" s="13"/>
      <c r="P67" s="13"/>
      <c r="Q67" s="24"/>
      <c r="S67" s="24"/>
      <c r="T67" s="13"/>
      <c r="U67" s="13"/>
      <c r="V67" s="24"/>
      <c r="X67" s="24"/>
      <c r="Y67" s="13"/>
      <c r="Z67" s="13"/>
      <c r="AA67" s="24"/>
      <c r="AC67" s="24"/>
      <c r="AD67" s="13"/>
      <c r="AE67" s="13"/>
      <c r="AF67" s="24"/>
      <c r="AH67" s="24"/>
      <c r="AI67" s="13"/>
      <c r="AJ67" s="13"/>
      <c r="AK67" s="24"/>
      <c r="AM67" s="24"/>
      <c r="AN67" s="13"/>
      <c r="AO67" s="13"/>
      <c r="AP67" s="24"/>
      <c r="AR67" s="24"/>
      <c r="AS67" s="13"/>
      <c r="AT67" s="13"/>
      <c r="AU67" s="24"/>
      <c r="AW67" s="24"/>
      <c r="AX67" s="13"/>
      <c r="AY67" s="13"/>
      <c r="AZ67" s="24"/>
      <c r="BB67" s="24"/>
      <c r="BC67" s="13"/>
      <c r="BD67" s="13"/>
      <c r="BE67" s="24"/>
      <c r="BG67" s="24"/>
      <c r="BH67" s="13"/>
      <c r="BI67" s="13"/>
      <c r="BJ67" s="24"/>
      <c r="BL67" s="24"/>
      <c r="BM67" s="13"/>
      <c r="BN67" s="13"/>
    </row>
    <row r="68" spans="1:66" s="11" customFormat="1" ht="21">
      <c r="A68" s="24"/>
      <c r="B68" s="24"/>
      <c r="C68" s="24"/>
      <c r="E68" s="13"/>
      <c r="F68" s="24"/>
      <c r="G68" s="24"/>
      <c r="I68" s="24"/>
      <c r="J68" s="13"/>
      <c r="K68" s="13"/>
      <c r="L68" s="24"/>
      <c r="N68" s="24"/>
      <c r="O68" s="13"/>
      <c r="P68" s="13"/>
      <c r="Q68" s="24"/>
      <c r="S68" s="24"/>
      <c r="T68" s="13"/>
      <c r="U68" s="13"/>
      <c r="V68" s="24"/>
      <c r="X68" s="24"/>
      <c r="Y68" s="13"/>
      <c r="Z68" s="13"/>
      <c r="AA68" s="24"/>
      <c r="AC68" s="24"/>
      <c r="AD68" s="13"/>
      <c r="AE68" s="13"/>
      <c r="AF68" s="24"/>
      <c r="AH68" s="24"/>
      <c r="AI68" s="13"/>
      <c r="AJ68" s="13"/>
      <c r="AK68" s="24"/>
      <c r="AM68" s="24"/>
      <c r="AN68" s="13"/>
      <c r="AO68" s="13"/>
      <c r="AP68" s="24"/>
      <c r="AR68" s="24"/>
      <c r="AS68" s="13"/>
      <c r="AT68" s="13"/>
      <c r="AU68" s="24"/>
      <c r="AW68" s="24"/>
      <c r="AX68" s="13"/>
      <c r="AY68" s="13"/>
      <c r="AZ68" s="24"/>
      <c r="BB68" s="24"/>
      <c r="BC68" s="13"/>
      <c r="BD68" s="13"/>
      <c r="BE68" s="24"/>
      <c r="BG68" s="24"/>
      <c r="BH68" s="13"/>
      <c r="BI68" s="13"/>
      <c r="BJ68" s="24"/>
      <c r="BL68" s="24"/>
      <c r="BM68" s="13"/>
      <c r="BN68" s="13"/>
    </row>
    <row r="69" spans="1:66" s="11" customFormat="1" ht="21">
      <c r="A69" s="24"/>
      <c r="B69" s="24"/>
      <c r="C69" s="24"/>
      <c r="E69" s="13"/>
      <c r="F69" s="24"/>
      <c r="G69" s="24"/>
      <c r="I69" s="24"/>
      <c r="J69" s="13"/>
      <c r="K69" s="13"/>
      <c r="L69" s="24"/>
      <c r="N69" s="24"/>
      <c r="O69" s="13"/>
      <c r="P69" s="13"/>
      <c r="Q69" s="24"/>
      <c r="S69" s="24"/>
      <c r="T69" s="13"/>
      <c r="U69" s="13"/>
      <c r="V69" s="24"/>
      <c r="X69" s="24"/>
      <c r="Y69" s="13"/>
      <c r="Z69" s="13"/>
      <c r="AA69" s="24"/>
      <c r="AC69" s="24"/>
      <c r="AD69" s="13"/>
      <c r="AE69" s="13"/>
      <c r="AF69" s="24"/>
      <c r="AH69" s="24"/>
      <c r="AI69" s="13"/>
      <c r="AJ69" s="13"/>
      <c r="AK69" s="24"/>
      <c r="AM69" s="24"/>
      <c r="AN69" s="13"/>
      <c r="AO69" s="13"/>
      <c r="AP69" s="24"/>
      <c r="AR69" s="24"/>
      <c r="AS69" s="13"/>
      <c r="AT69" s="13"/>
      <c r="AU69" s="24"/>
      <c r="AW69" s="24"/>
      <c r="AX69" s="13"/>
      <c r="AY69" s="13"/>
      <c r="AZ69" s="24"/>
      <c r="BB69" s="24"/>
      <c r="BC69" s="13"/>
      <c r="BD69" s="13"/>
      <c r="BE69" s="24"/>
      <c r="BG69" s="24"/>
      <c r="BH69" s="13"/>
      <c r="BI69" s="13"/>
      <c r="BJ69" s="24"/>
      <c r="BL69" s="24"/>
      <c r="BM69" s="13"/>
      <c r="BN69" s="13"/>
    </row>
    <row r="70" spans="1:66" s="11" customFormat="1" ht="21">
      <c r="A70" s="24"/>
      <c r="B70" s="24"/>
      <c r="C70" s="24"/>
      <c r="E70" s="13"/>
      <c r="F70" s="24"/>
      <c r="G70" s="24"/>
      <c r="I70" s="24"/>
      <c r="J70" s="13"/>
      <c r="K70" s="13"/>
      <c r="L70" s="24"/>
      <c r="N70" s="24"/>
      <c r="O70" s="13"/>
      <c r="P70" s="13"/>
      <c r="Q70" s="24"/>
      <c r="S70" s="24"/>
      <c r="T70" s="13"/>
      <c r="U70" s="13"/>
      <c r="V70" s="24"/>
      <c r="X70" s="24"/>
      <c r="Y70" s="13"/>
      <c r="Z70" s="13"/>
      <c r="AA70" s="24"/>
      <c r="AC70" s="24"/>
      <c r="AD70" s="13"/>
      <c r="AE70" s="13"/>
      <c r="AF70" s="24"/>
      <c r="AH70" s="24"/>
      <c r="AI70" s="13"/>
      <c r="AJ70" s="13"/>
      <c r="AK70" s="24"/>
      <c r="AM70" s="24"/>
      <c r="AN70" s="13"/>
      <c r="AO70" s="13"/>
      <c r="AP70" s="24"/>
      <c r="AR70" s="24"/>
      <c r="AS70" s="13"/>
      <c r="AT70" s="13"/>
      <c r="AU70" s="24"/>
      <c r="AW70" s="24"/>
      <c r="AX70" s="13"/>
      <c r="AY70" s="13"/>
      <c r="AZ70" s="24"/>
      <c r="BB70" s="24"/>
      <c r="BC70" s="13"/>
      <c r="BD70" s="13"/>
      <c r="BE70" s="24"/>
      <c r="BG70" s="24"/>
      <c r="BH70" s="13"/>
      <c r="BI70" s="13"/>
      <c r="BJ70" s="24"/>
      <c r="BL70" s="24"/>
      <c r="BM70" s="13"/>
      <c r="BN70" s="13"/>
    </row>
    <row r="71" spans="1:66" s="11" customFormat="1" ht="21">
      <c r="A71" s="24"/>
      <c r="B71" s="24"/>
      <c r="C71" s="24"/>
      <c r="E71" s="13"/>
      <c r="F71" s="24"/>
      <c r="G71" s="24"/>
      <c r="I71" s="24"/>
      <c r="J71" s="13"/>
      <c r="K71" s="13"/>
      <c r="L71" s="24"/>
      <c r="N71" s="24"/>
      <c r="O71" s="13"/>
      <c r="P71" s="13"/>
      <c r="Q71" s="24"/>
      <c r="S71" s="24"/>
      <c r="T71" s="13"/>
      <c r="U71" s="13"/>
      <c r="V71" s="24"/>
      <c r="X71" s="24"/>
      <c r="Y71" s="13"/>
      <c r="Z71" s="13"/>
      <c r="AA71" s="24"/>
      <c r="AC71" s="24"/>
      <c r="AD71" s="13"/>
      <c r="AE71" s="13"/>
      <c r="AF71" s="24"/>
      <c r="AH71" s="24"/>
      <c r="AI71" s="13"/>
      <c r="AJ71" s="13"/>
      <c r="AK71" s="24"/>
      <c r="AM71" s="24"/>
      <c r="AN71" s="13"/>
      <c r="AO71" s="13"/>
      <c r="AP71" s="24"/>
      <c r="AR71" s="24"/>
      <c r="AS71" s="13"/>
      <c r="AT71" s="13"/>
      <c r="AU71" s="24"/>
      <c r="AW71" s="24"/>
      <c r="AX71" s="13"/>
      <c r="AY71" s="13"/>
      <c r="AZ71" s="24"/>
      <c r="BB71" s="24"/>
      <c r="BC71" s="13"/>
      <c r="BD71" s="13"/>
      <c r="BE71" s="24"/>
      <c r="BG71" s="24"/>
      <c r="BH71" s="13"/>
      <c r="BI71" s="13"/>
      <c r="BJ71" s="24"/>
      <c r="BL71" s="24"/>
      <c r="BM71" s="13"/>
      <c r="BN71" s="13"/>
    </row>
    <row r="72" spans="1:66" s="11" customFormat="1" ht="21">
      <c r="A72" s="24"/>
      <c r="B72" s="24"/>
      <c r="C72" s="24"/>
      <c r="E72" s="13"/>
      <c r="F72" s="24"/>
      <c r="G72" s="24"/>
      <c r="I72" s="24"/>
      <c r="J72" s="13"/>
      <c r="K72" s="13"/>
      <c r="L72" s="24"/>
      <c r="N72" s="24"/>
      <c r="O72" s="13"/>
      <c r="P72" s="13"/>
      <c r="Q72" s="24"/>
      <c r="S72" s="24"/>
      <c r="T72" s="13"/>
      <c r="U72" s="13"/>
      <c r="V72" s="24"/>
      <c r="X72" s="24"/>
      <c r="Y72" s="13"/>
      <c r="Z72" s="13"/>
      <c r="AA72" s="24"/>
      <c r="AC72" s="24"/>
      <c r="AD72" s="13"/>
      <c r="AE72" s="13"/>
      <c r="AF72" s="24"/>
      <c r="AH72" s="24"/>
      <c r="AI72" s="13"/>
      <c r="AJ72" s="13"/>
      <c r="AK72" s="24"/>
      <c r="AM72" s="24"/>
      <c r="AN72" s="13"/>
      <c r="AO72" s="13"/>
      <c r="AP72" s="24"/>
      <c r="AR72" s="24"/>
      <c r="AS72" s="13"/>
      <c r="AT72" s="13"/>
      <c r="AU72" s="24"/>
      <c r="AW72" s="24"/>
      <c r="AX72" s="13"/>
      <c r="AY72" s="13"/>
      <c r="AZ72" s="24"/>
      <c r="BB72" s="24"/>
      <c r="BC72" s="13"/>
      <c r="BD72" s="13"/>
      <c r="BE72" s="24"/>
      <c r="BG72" s="24"/>
      <c r="BH72" s="13"/>
      <c r="BI72" s="13"/>
      <c r="BJ72" s="24"/>
      <c r="BL72" s="24"/>
      <c r="BM72" s="13"/>
      <c r="BN72" s="13"/>
    </row>
    <row r="73" spans="1:66" s="11" customFormat="1" ht="21">
      <c r="A73" s="24"/>
      <c r="B73" s="24"/>
      <c r="C73" s="24"/>
      <c r="E73" s="13"/>
      <c r="F73" s="24"/>
      <c r="G73" s="24"/>
      <c r="I73" s="24"/>
      <c r="J73" s="13"/>
      <c r="K73" s="13"/>
      <c r="L73" s="24"/>
      <c r="N73" s="24"/>
      <c r="O73" s="13"/>
      <c r="P73" s="13"/>
      <c r="Q73" s="24"/>
      <c r="S73" s="24"/>
      <c r="T73" s="13"/>
      <c r="U73" s="13"/>
      <c r="V73" s="24"/>
      <c r="X73" s="24"/>
      <c r="Y73" s="13"/>
      <c r="Z73" s="13"/>
      <c r="AA73" s="24"/>
      <c r="AC73" s="24"/>
      <c r="AD73" s="13"/>
      <c r="AE73" s="13"/>
      <c r="AF73" s="24"/>
      <c r="AH73" s="24"/>
      <c r="AI73" s="13"/>
      <c r="AJ73" s="13"/>
      <c r="AK73" s="24"/>
      <c r="AM73" s="24"/>
      <c r="AN73" s="13"/>
      <c r="AO73" s="13"/>
      <c r="AP73" s="24"/>
      <c r="AR73" s="24"/>
      <c r="AS73" s="13"/>
      <c r="AT73" s="13"/>
      <c r="AU73" s="24"/>
      <c r="AW73" s="24"/>
      <c r="AX73" s="13"/>
      <c r="AY73" s="13"/>
      <c r="AZ73" s="24"/>
      <c r="BB73" s="24"/>
      <c r="BC73" s="13"/>
      <c r="BD73" s="13"/>
      <c r="BE73" s="24"/>
      <c r="BG73" s="24"/>
      <c r="BH73" s="13"/>
      <c r="BI73" s="13"/>
      <c r="BJ73" s="24"/>
      <c r="BL73" s="24"/>
      <c r="BM73" s="13"/>
      <c r="BN73" s="13"/>
    </row>
    <row r="74" spans="1:66" s="11" customFormat="1" ht="21">
      <c r="A74" s="24"/>
      <c r="B74" s="24"/>
      <c r="C74" s="24"/>
      <c r="E74" s="13"/>
      <c r="F74" s="24"/>
      <c r="G74" s="24"/>
      <c r="I74" s="24"/>
      <c r="J74" s="13"/>
      <c r="K74" s="13"/>
      <c r="L74" s="24"/>
      <c r="N74" s="24"/>
      <c r="O74" s="13"/>
      <c r="P74" s="13"/>
      <c r="Q74" s="24"/>
      <c r="S74" s="24"/>
      <c r="T74" s="13"/>
      <c r="U74" s="13"/>
      <c r="V74" s="24"/>
      <c r="X74" s="24"/>
      <c r="Y74" s="13"/>
      <c r="Z74" s="13"/>
      <c r="AA74" s="24"/>
      <c r="AC74" s="24"/>
      <c r="AD74" s="13"/>
      <c r="AE74" s="13"/>
      <c r="AF74" s="24"/>
      <c r="AH74" s="24"/>
      <c r="AI74" s="13"/>
      <c r="AJ74" s="13"/>
      <c r="AK74" s="24"/>
      <c r="AM74" s="24"/>
      <c r="AN74" s="13"/>
      <c r="AO74" s="13"/>
      <c r="AP74" s="24"/>
      <c r="AR74" s="24"/>
      <c r="AS74" s="13"/>
      <c r="AT74" s="13"/>
      <c r="AU74" s="24"/>
      <c r="AW74" s="24"/>
      <c r="AX74" s="13"/>
      <c r="AY74" s="13"/>
      <c r="AZ74" s="24"/>
      <c r="BB74" s="24"/>
      <c r="BC74" s="13"/>
      <c r="BD74" s="13"/>
      <c r="BE74" s="24"/>
      <c r="BG74" s="24"/>
      <c r="BH74" s="13"/>
      <c r="BI74" s="13"/>
      <c r="BJ74" s="24"/>
      <c r="BL74" s="24"/>
      <c r="BM74" s="13"/>
      <c r="BN74" s="13"/>
    </row>
    <row r="75" spans="1:66" s="11" customFormat="1" ht="21">
      <c r="A75" s="24"/>
      <c r="B75" s="24"/>
      <c r="C75" s="24"/>
      <c r="E75" s="13"/>
      <c r="F75" s="24"/>
      <c r="G75" s="24"/>
      <c r="I75" s="24"/>
      <c r="J75" s="13"/>
      <c r="K75" s="13"/>
      <c r="L75" s="24"/>
      <c r="N75" s="24"/>
      <c r="O75" s="13"/>
      <c r="P75" s="13"/>
      <c r="Q75" s="24"/>
      <c r="S75" s="24"/>
      <c r="T75" s="13"/>
      <c r="U75" s="13"/>
      <c r="V75" s="24"/>
      <c r="X75" s="24"/>
      <c r="Y75" s="13"/>
      <c r="Z75" s="13"/>
      <c r="AA75" s="24"/>
      <c r="AC75" s="24"/>
      <c r="AD75" s="13"/>
      <c r="AE75" s="13"/>
      <c r="AF75" s="24"/>
      <c r="AH75" s="24"/>
      <c r="AI75" s="13"/>
      <c r="AJ75" s="13"/>
      <c r="AK75" s="24"/>
      <c r="AM75" s="24"/>
      <c r="AN75" s="13"/>
      <c r="AO75" s="13"/>
      <c r="AP75" s="24"/>
      <c r="AR75" s="24"/>
      <c r="AS75" s="13"/>
      <c r="AT75" s="13"/>
      <c r="AU75" s="24"/>
      <c r="AW75" s="24"/>
      <c r="AX75" s="13"/>
      <c r="AY75" s="13"/>
      <c r="AZ75" s="24"/>
      <c r="BB75" s="24"/>
      <c r="BC75" s="13"/>
      <c r="BD75" s="13"/>
      <c r="BE75" s="24"/>
      <c r="BG75" s="24"/>
      <c r="BH75" s="13"/>
      <c r="BI75" s="13"/>
      <c r="BJ75" s="24"/>
      <c r="BL75" s="24"/>
      <c r="BM75" s="13"/>
      <c r="BN75" s="13"/>
    </row>
    <row r="76" spans="1:66" s="11" customFormat="1" ht="21">
      <c r="A76" s="24"/>
      <c r="B76" s="24"/>
      <c r="C76" s="24"/>
      <c r="E76" s="13"/>
      <c r="F76" s="24"/>
      <c r="G76" s="24"/>
      <c r="I76" s="24"/>
      <c r="J76" s="13"/>
      <c r="K76" s="13"/>
      <c r="L76" s="24"/>
      <c r="N76" s="24"/>
      <c r="O76" s="13"/>
      <c r="P76" s="13"/>
      <c r="Q76" s="24"/>
      <c r="S76" s="24"/>
      <c r="T76" s="13"/>
      <c r="U76" s="13"/>
      <c r="V76" s="24"/>
      <c r="X76" s="24"/>
      <c r="Y76" s="13"/>
      <c r="Z76" s="13"/>
      <c r="AA76" s="24"/>
      <c r="AC76" s="24"/>
      <c r="AD76" s="13"/>
      <c r="AE76" s="13"/>
      <c r="AF76" s="24"/>
      <c r="AH76" s="24"/>
      <c r="AI76" s="13"/>
      <c r="AJ76" s="13"/>
      <c r="AK76" s="24"/>
      <c r="AM76" s="24"/>
      <c r="AN76" s="13"/>
      <c r="AO76" s="13"/>
      <c r="AP76" s="24"/>
      <c r="AR76" s="24"/>
      <c r="AS76" s="13"/>
      <c r="AT76" s="13"/>
      <c r="AU76" s="24"/>
      <c r="AW76" s="24"/>
      <c r="AX76" s="13"/>
      <c r="AY76" s="13"/>
      <c r="AZ76" s="24"/>
      <c r="BB76" s="24"/>
      <c r="BC76" s="13"/>
      <c r="BD76" s="13"/>
      <c r="BE76" s="24"/>
      <c r="BG76" s="24"/>
      <c r="BH76" s="13"/>
      <c r="BI76" s="13"/>
      <c r="BJ76" s="24"/>
      <c r="BL76" s="24"/>
      <c r="BM76" s="13"/>
      <c r="BN76" s="13"/>
    </row>
    <row r="77" spans="1:66" s="11" customFormat="1" ht="21">
      <c r="A77" s="24"/>
      <c r="B77" s="24"/>
      <c r="C77" s="24"/>
      <c r="E77" s="13"/>
      <c r="F77" s="24"/>
      <c r="G77" s="24"/>
      <c r="I77" s="24"/>
      <c r="J77" s="13"/>
      <c r="K77" s="13"/>
      <c r="L77" s="24"/>
      <c r="N77" s="24"/>
      <c r="O77" s="13"/>
      <c r="P77" s="13"/>
      <c r="Q77" s="24"/>
      <c r="S77" s="24"/>
      <c r="T77" s="13"/>
      <c r="U77" s="13"/>
      <c r="V77" s="24"/>
      <c r="X77" s="24"/>
      <c r="Y77" s="13"/>
      <c r="Z77" s="13"/>
      <c r="AA77" s="24"/>
      <c r="AC77" s="24"/>
      <c r="AD77" s="13"/>
      <c r="AE77" s="13"/>
      <c r="AF77" s="24"/>
      <c r="AH77" s="24"/>
      <c r="AI77" s="13"/>
      <c r="AJ77" s="13"/>
      <c r="AK77" s="24"/>
      <c r="AM77" s="24"/>
      <c r="AN77" s="13"/>
      <c r="AO77" s="13"/>
      <c r="AP77" s="24"/>
      <c r="AR77" s="24"/>
      <c r="AS77" s="13"/>
      <c r="AT77" s="13"/>
      <c r="AU77" s="24"/>
      <c r="AW77" s="24"/>
      <c r="AX77" s="13"/>
      <c r="AY77" s="13"/>
      <c r="AZ77" s="24"/>
      <c r="BB77" s="24"/>
      <c r="BC77" s="13"/>
      <c r="BD77" s="13"/>
      <c r="BE77" s="24"/>
      <c r="BG77" s="24"/>
      <c r="BH77" s="13"/>
      <c r="BI77" s="13"/>
      <c r="BJ77" s="24"/>
      <c r="BL77" s="24"/>
      <c r="BM77" s="13"/>
      <c r="BN77" s="13"/>
    </row>
    <row r="78" spans="1:66" s="11" customFormat="1" ht="21">
      <c r="A78" s="24"/>
      <c r="B78" s="24"/>
      <c r="C78" s="24"/>
      <c r="E78" s="13"/>
      <c r="F78" s="24"/>
      <c r="G78" s="24"/>
      <c r="I78" s="24"/>
      <c r="J78" s="13"/>
      <c r="K78" s="13"/>
      <c r="L78" s="24"/>
      <c r="N78" s="24"/>
      <c r="O78" s="13"/>
      <c r="P78" s="13"/>
      <c r="Q78" s="24"/>
      <c r="S78" s="24"/>
      <c r="T78" s="13"/>
      <c r="U78" s="13"/>
      <c r="V78" s="24"/>
      <c r="X78" s="24"/>
      <c r="Y78" s="13"/>
      <c r="Z78" s="13"/>
      <c r="AA78" s="24"/>
      <c r="AC78" s="24"/>
      <c r="AD78" s="13"/>
      <c r="AE78" s="13"/>
      <c r="AF78" s="24"/>
      <c r="AH78" s="24"/>
      <c r="AI78" s="13"/>
      <c r="AJ78" s="13"/>
      <c r="AK78" s="24"/>
      <c r="AM78" s="24"/>
      <c r="AN78" s="13"/>
      <c r="AO78" s="13"/>
      <c r="AP78" s="24"/>
      <c r="AR78" s="24"/>
      <c r="AS78" s="13"/>
      <c r="AT78" s="13"/>
      <c r="AU78" s="24"/>
      <c r="AW78" s="24"/>
      <c r="AX78" s="13"/>
      <c r="AY78" s="13"/>
      <c r="AZ78" s="24"/>
      <c r="BB78" s="24"/>
      <c r="BC78" s="13"/>
      <c r="BD78" s="13"/>
      <c r="BE78" s="24"/>
      <c r="BG78" s="24"/>
      <c r="BH78" s="13"/>
      <c r="BI78" s="13"/>
      <c r="BJ78" s="24"/>
      <c r="BL78" s="24"/>
      <c r="BM78" s="13"/>
      <c r="BN78" s="13"/>
    </row>
    <row r="79" spans="1:66" s="11" customFormat="1" ht="21">
      <c r="A79" s="24"/>
      <c r="B79" s="24"/>
      <c r="C79" s="24"/>
      <c r="E79" s="13"/>
      <c r="F79" s="24"/>
      <c r="G79" s="24"/>
      <c r="I79" s="24"/>
      <c r="J79" s="13"/>
      <c r="K79" s="13"/>
      <c r="L79" s="24"/>
      <c r="N79" s="24"/>
      <c r="O79" s="13"/>
      <c r="P79" s="13"/>
      <c r="Q79" s="24"/>
      <c r="S79" s="24"/>
      <c r="T79" s="13"/>
      <c r="U79" s="13"/>
      <c r="V79" s="24"/>
      <c r="X79" s="24"/>
      <c r="Y79" s="13"/>
      <c r="Z79" s="13"/>
      <c r="AA79" s="24"/>
      <c r="AC79" s="24"/>
      <c r="AD79" s="13"/>
      <c r="AE79" s="13"/>
      <c r="AF79" s="24"/>
      <c r="AH79" s="24"/>
      <c r="AI79" s="13"/>
      <c r="AJ79" s="13"/>
      <c r="AK79" s="24"/>
      <c r="AM79" s="24"/>
      <c r="AN79" s="13"/>
      <c r="AO79" s="13"/>
      <c r="AP79" s="24"/>
      <c r="AR79" s="24"/>
      <c r="AS79" s="13"/>
      <c r="AT79" s="13"/>
      <c r="AU79" s="24"/>
      <c r="AW79" s="24"/>
      <c r="AX79" s="13"/>
      <c r="AY79" s="13"/>
      <c r="AZ79" s="24"/>
      <c r="BB79" s="24"/>
      <c r="BC79" s="13"/>
      <c r="BD79" s="13"/>
      <c r="BE79" s="24"/>
      <c r="BG79" s="24"/>
      <c r="BH79" s="13"/>
      <c r="BI79" s="13"/>
      <c r="BJ79" s="24"/>
      <c r="BL79" s="24"/>
      <c r="BM79" s="13"/>
      <c r="BN79" s="13"/>
    </row>
    <row r="80" spans="1:66" s="11" customFormat="1" ht="21">
      <c r="A80" s="24"/>
      <c r="B80" s="24"/>
      <c r="C80" s="24"/>
      <c r="E80" s="13"/>
      <c r="F80" s="24"/>
      <c r="G80" s="24"/>
      <c r="I80" s="24"/>
      <c r="J80" s="13"/>
      <c r="K80" s="13"/>
      <c r="L80" s="24"/>
      <c r="N80" s="24"/>
      <c r="O80" s="13"/>
      <c r="P80" s="13"/>
      <c r="Q80" s="24"/>
      <c r="S80" s="24"/>
      <c r="T80" s="13"/>
      <c r="U80" s="13"/>
      <c r="V80" s="24"/>
      <c r="X80" s="24"/>
      <c r="Y80" s="13"/>
      <c r="Z80" s="13"/>
      <c r="AA80" s="24"/>
      <c r="AC80" s="24"/>
      <c r="AD80" s="13"/>
      <c r="AE80" s="13"/>
      <c r="AF80" s="24"/>
      <c r="AH80" s="24"/>
      <c r="AI80" s="13"/>
      <c r="AJ80" s="13"/>
      <c r="AK80" s="24"/>
      <c r="AM80" s="24"/>
      <c r="AN80" s="13"/>
      <c r="AO80" s="13"/>
      <c r="AP80" s="24"/>
      <c r="AR80" s="24"/>
      <c r="AS80" s="13"/>
      <c r="AT80" s="13"/>
      <c r="AU80" s="24"/>
      <c r="AW80" s="24"/>
      <c r="AX80" s="13"/>
      <c r="AY80" s="13"/>
      <c r="AZ80" s="24"/>
      <c r="BB80" s="24"/>
      <c r="BC80" s="13"/>
      <c r="BD80" s="13"/>
      <c r="BE80" s="24"/>
      <c r="BG80" s="24"/>
      <c r="BH80" s="13"/>
      <c r="BI80" s="13"/>
      <c r="BJ80" s="24"/>
      <c r="BL80" s="24"/>
      <c r="BM80" s="13"/>
      <c r="BN80" s="13"/>
    </row>
    <row r="81" spans="1:66" s="11" customFormat="1" ht="21">
      <c r="A81" s="24"/>
      <c r="B81" s="24"/>
      <c r="C81" s="24"/>
      <c r="E81" s="13"/>
      <c r="F81" s="24"/>
      <c r="G81" s="24"/>
      <c r="I81" s="24"/>
      <c r="J81" s="13"/>
      <c r="K81" s="13"/>
      <c r="L81" s="24"/>
      <c r="N81" s="24"/>
      <c r="O81" s="13"/>
      <c r="P81" s="13"/>
      <c r="Q81" s="24"/>
      <c r="S81" s="24"/>
      <c r="T81" s="13"/>
      <c r="U81" s="13"/>
      <c r="V81" s="24"/>
      <c r="X81" s="24"/>
      <c r="Y81" s="13"/>
      <c r="Z81" s="13"/>
      <c r="AA81" s="24"/>
      <c r="AC81" s="24"/>
      <c r="AD81" s="13"/>
      <c r="AE81" s="13"/>
      <c r="AF81" s="24"/>
      <c r="AH81" s="24"/>
      <c r="AI81" s="13"/>
      <c r="AJ81" s="13"/>
      <c r="AK81" s="24"/>
      <c r="AM81" s="24"/>
      <c r="AN81" s="13"/>
      <c r="AO81" s="13"/>
      <c r="AP81" s="24"/>
      <c r="AR81" s="24"/>
      <c r="AS81" s="13"/>
      <c r="AT81" s="13"/>
      <c r="AU81" s="24"/>
      <c r="AW81" s="24"/>
      <c r="AX81" s="13"/>
      <c r="AY81" s="13"/>
      <c r="AZ81" s="24"/>
      <c r="BB81" s="24"/>
      <c r="BC81" s="13"/>
      <c r="BD81" s="13"/>
      <c r="BE81" s="24"/>
      <c r="BG81" s="24"/>
      <c r="BH81" s="13"/>
      <c r="BI81" s="13"/>
      <c r="BJ81" s="24"/>
      <c r="BL81" s="24"/>
      <c r="BM81" s="13"/>
      <c r="BN81" s="13"/>
    </row>
    <row r="82" spans="1:66" s="11" customFormat="1" ht="21">
      <c r="A82" s="24"/>
      <c r="B82" s="24"/>
      <c r="C82" s="24"/>
      <c r="E82" s="13"/>
      <c r="F82" s="24"/>
      <c r="G82" s="24"/>
      <c r="I82" s="24"/>
      <c r="J82" s="13"/>
      <c r="K82" s="13"/>
      <c r="L82" s="24"/>
      <c r="N82" s="24"/>
      <c r="O82" s="13"/>
      <c r="P82" s="13"/>
      <c r="Q82" s="24"/>
      <c r="S82" s="24"/>
      <c r="T82" s="13"/>
      <c r="U82" s="13"/>
      <c r="V82" s="24"/>
      <c r="X82" s="24"/>
      <c r="Y82" s="13"/>
      <c r="Z82" s="13"/>
      <c r="AA82" s="24"/>
      <c r="AC82" s="24"/>
      <c r="AD82" s="13"/>
      <c r="AE82" s="13"/>
      <c r="AF82" s="24"/>
      <c r="AH82" s="24"/>
      <c r="AI82" s="13"/>
      <c r="AJ82" s="13"/>
      <c r="AK82" s="24"/>
      <c r="AM82" s="24"/>
      <c r="AN82" s="13"/>
      <c r="AO82" s="13"/>
      <c r="AP82" s="24"/>
      <c r="AR82" s="24"/>
      <c r="AS82" s="13"/>
      <c r="AT82" s="13"/>
      <c r="AU82" s="24"/>
      <c r="AW82" s="24"/>
      <c r="AX82" s="13"/>
      <c r="AY82" s="13"/>
      <c r="AZ82" s="24"/>
      <c r="BB82" s="24"/>
      <c r="BC82" s="13"/>
      <c r="BD82" s="13"/>
      <c r="BE82" s="24"/>
      <c r="BG82" s="24"/>
      <c r="BH82" s="13"/>
      <c r="BI82" s="13"/>
      <c r="BJ82" s="24"/>
      <c r="BL82" s="24"/>
      <c r="BM82" s="13"/>
      <c r="BN82" s="13"/>
    </row>
    <row r="83" spans="1:66" s="11" customFormat="1" ht="21">
      <c r="A83" s="24"/>
      <c r="B83" s="24"/>
      <c r="C83" s="24"/>
      <c r="E83" s="13"/>
      <c r="F83" s="24"/>
      <c r="G83" s="24"/>
      <c r="I83" s="24"/>
      <c r="J83" s="13"/>
      <c r="K83" s="13"/>
      <c r="L83" s="24"/>
      <c r="N83" s="24"/>
      <c r="O83" s="13"/>
      <c r="P83" s="13"/>
      <c r="Q83" s="24"/>
      <c r="S83" s="24"/>
      <c r="T83" s="13"/>
      <c r="U83" s="13"/>
      <c r="V83" s="24"/>
      <c r="X83" s="24"/>
      <c r="Y83" s="13"/>
      <c r="Z83" s="13"/>
      <c r="AA83" s="24"/>
      <c r="AC83" s="24"/>
      <c r="AD83" s="13"/>
      <c r="AE83" s="13"/>
      <c r="AF83" s="24"/>
      <c r="AH83" s="24"/>
      <c r="AI83" s="13"/>
      <c r="AJ83" s="13"/>
      <c r="AK83" s="24"/>
      <c r="AM83" s="24"/>
      <c r="AN83" s="13"/>
      <c r="AO83" s="13"/>
      <c r="AP83" s="24"/>
      <c r="AR83" s="24"/>
      <c r="AS83" s="13"/>
      <c r="AT83" s="13"/>
      <c r="AU83" s="24"/>
      <c r="AW83" s="24"/>
      <c r="AX83" s="13"/>
      <c r="AY83" s="13"/>
      <c r="AZ83" s="24"/>
      <c r="BB83" s="24"/>
      <c r="BC83" s="13"/>
      <c r="BD83" s="13"/>
      <c r="BE83" s="24"/>
      <c r="BG83" s="24"/>
      <c r="BH83" s="13"/>
      <c r="BI83" s="13"/>
      <c r="BJ83" s="24"/>
      <c r="BL83" s="24"/>
      <c r="BM83" s="13"/>
      <c r="BN83" s="13"/>
    </row>
    <row r="84" spans="1:66" s="11" customFormat="1" ht="21">
      <c r="A84" s="24"/>
      <c r="B84" s="24"/>
      <c r="C84" s="24"/>
      <c r="E84" s="13"/>
      <c r="F84" s="24"/>
      <c r="G84" s="24"/>
      <c r="I84" s="24"/>
      <c r="J84" s="13"/>
      <c r="K84" s="13"/>
      <c r="L84" s="24"/>
      <c r="N84" s="24"/>
      <c r="O84" s="13"/>
      <c r="P84" s="13"/>
      <c r="Q84" s="24"/>
      <c r="S84" s="24"/>
      <c r="T84" s="13"/>
      <c r="U84" s="13"/>
      <c r="V84" s="24"/>
      <c r="X84" s="24"/>
      <c r="Y84" s="13"/>
      <c r="Z84" s="13"/>
      <c r="AA84" s="24"/>
      <c r="AC84" s="24"/>
      <c r="AD84" s="13"/>
      <c r="AE84" s="13"/>
      <c r="AF84" s="24"/>
      <c r="AH84" s="24"/>
      <c r="AI84" s="13"/>
      <c r="AJ84" s="13"/>
      <c r="AK84" s="24"/>
      <c r="AM84" s="24"/>
      <c r="AN84" s="13"/>
      <c r="AO84" s="13"/>
      <c r="AP84" s="24"/>
      <c r="AR84" s="24"/>
      <c r="AS84" s="13"/>
      <c r="AT84" s="13"/>
      <c r="AU84" s="24"/>
      <c r="AW84" s="24"/>
      <c r="AX84" s="13"/>
      <c r="AY84" s="13"/>
      <c r="AZ84" s="24"/>
      <c r="BB84" s="24"/>
      <c r="BC84" s="13"/>
      <c r="BD84" s="13"/>
      <c r="BE84" s="24"/>
      <c r="BG84" s="24"/>
      <c r="BH84" s="13"/>
      <c r="BI84" s="13"/>
      <c r="BJ84" s="24"/>
      <c r="BL84" s="24"/>
      <c r="BM84" s="13"/>
      <c r="BN84" s="13"/>
    </row>
    <row r="85" spans="1:66" s="11" customFormat="1" ht="21">
      <c r="A85" s="24"/>
      <c r="B85" s="24"/>
      <c r="C85" s="24"/>
      <c r="E85" s="13"/>
      <c r="F85" s="24"/>
      <c r="G85" s="24"/>
      <c r="I85" s="24"/>
      <c r="J85" s="13"/>
      <c r="K85" s="13"/>
      <c r="L85" s="24"/>
      <c r="N85" s="24"/>
      <c r="O85" s="13"/>
      <c r="P85" s="13"/>
      <c r="Q85" s="24"/>
      <c r="S85" s="24"/>
      <c r="T85" s="13"/>
      <c r="U85" s="13"/>
      <c r="V85" s="24"/>
      <c r="X85" s="24"/>
      <c r="Y85" s="13"/>
      <c r="Z85" s="13"/>
      <c r="AA85" s="24"/>
      <c r="AC85" s="24"/>
      <c r="AD85" s="13"/>
      <c r="AE85" s="13"/>
      <c r="AF85" s="24"/>
      <c r="AH85" s="24"/>
      <c r="AI85" s="13"/>
      <c r="AJ85" s="13"/>
      <c r="AK85" s="24"/>
      <c r="AM85" s="24"/>
      <c r="AN85" s="13"/>
      <c r="AO85" s="13"/>
      <c r="AP85" s="24"/>
      <c r="AR85" s="24"/>
      <c r="AS85" s="13"/>
      <c r="AT85" s="13"/>
      <c r="AU85" s="24"/>
      <c r="AW85" s="24"/>
      <c r="AX85" s="13"/>
      <c r="AY85" s="13"/>
      <c r="AZ85" s="24"/>
      <c r="BB85" s="24"/>
      <c r="BC85" s="13"/>
      <c r="BD85" s="13"/>
      <c r="BE85" s="24"/>
      <c r="BG85" s="24"/>
      <c r="BH85" s="13"/>
      <c r="BI85" s="13"/>
      <c r="BJ85" s="24"/>
      <c r="BL85" s="24"/>
      <c r="BM85" s="13"/>
      <c r="BN85" s="13"/>
    </row>
    <row r="86" spans="1:66" s="11" customFormat="1" ht="21">
      <c r="A86" s="24"/>
      <c r="B86" s="24"/>
      <c r="C86" s="24"/>
      <c r="E86" s="13"/>
      <c r="F86" s="24"/>
      <c r="G86" s="24"/>
      <c r="I86" s="24"/>
      <c r="J86" s="13"/>
      <c r="K86" s="13"/>
      <c r="L86" s="24"/>
      <c r="N86" s="24"/>
      <c r="O86" s="13"/>
      <c r="P86" s="13"/>
      <c r="Q86" s="24"/>
      <c r="S86" s="24"/>
      <c r="T86" s="13"/>
      <c r="U86" s="13"/>
      <c r="V86" s="24"/>
      <c r="X86" s="24"/>
      <c r="Y86" s="13"/>
      <c r="Z86" s="13"/>
      <c r="AA86" s="24"/>
      <c r="AC86" s="24"/>
      <c r="AD86" s="13"/>
      <c r="AE86" s="13"/>
      <c r="AF86" s="24"/>
      <c r="AH86" s="24"/>
      <c r="AI86" s="13"/>
      <c r="AJ86" s="13"/>
      <c r="AK86" s="24"/>
      <c r="AM86" s="24"/>
      <c r="AN86" s="13"/>
      <c r="AO86" s="13"/>
      <c r="AP86" s="24"/>
      <c r="AR86" s="24"/>
      <c r="AS86" s="13"/>
      <c r="AT86" s="13"/>
      <c r="AU86" s="24"/>
      <c r="AW86" s="24"/>
      <c r="AX86" s="13"/>
      <c r="AY86" s="13"/>
      <c r="AZ86" s="24"/>
      <c r="BB86" s="24"/>
      <c r="BC86" s="13"/>
      <c r="BD86" s="13"/>
      <c r="BE86" s="24"/>
      <c r="BG86" s="24"/>
      <c r="BH86" s="13"/>
      <c r="BI86" s="13"/>
      <c r="BJ86" s="24"/>
      <c r="BL86" s="24"/>
      <c r="BM86" s="13"/>
      <c r="BN86" s="13"/>
    </row>
    <row r="87" spans="1:66" s="11" customFormat="1" ht="21">
      <c r="A87" s="24"/>
      <c r="B87" s="24"/>
      <c r="C87" s="24"/>
      <c r="E87" s="13"/>
      <c r="F87" s="24"/>
      <c r="G87" s="24"/>
      <c r="I87" s="24"/>
      <c r="J87" s="13"/>
      <c r="K87" s="13"/>
      <c r="L87" s="24"/>
      <c r="N87" s="24"/>
      <c r="O87" s="13"/>
      <c r="P87" s="13"/>
      <c r="Q87" s="24"/>
      <c r="S87" s="24"/>
      <c r="T87" s="13"/>
      <c r="U87" s="13"/>
      <c r="V87" s="24"/>
      <c r="X87" s="24"/>
      <c r="Y87" s="13"/>
      <c r="Z87" s="13"/>
      <c r="AA87" s="24"/>
      <c r="AC87" s="24"/>
      <c r="AD87" s="13"/>
      <c r="AE87" s="13"/>
      <c r="AF87" s="24"/>
      <c r="AH87" s="24"/>
      <c r="AI87" s="13"/>
      <c r="AJ87" s="13"/>
      <c r="AK87" s="24"/>
      <c r="AM87" s="24"/>
      <c r="AN87" s="13"/>
      <c r="AO87" s="13"/>
      <c r="AP87" s="24"/>
      <c r="AR87" s="24"/>
      <c r="AS87" s="13"/>
      <c r="AT87" s="13"/>
      <c r="AU87" s="24"/>
      <c r="AW87" s="24"/>
      <c r="AX87" s="13"/>
      <c r="AY87" s="13"/>
      <c r="AZ87" s="24"/>
      <c r="BB87" s="24"/>
      <c r="BC87" s="13"/>
      <c r="BD87" s="13"/>
      <c r="BE87" s="24"/>
      <c r="BG87" s="24"/>
      <c r="BH87" s="13"/>
      <c r="BI87" s="13"/>
      <c r="BJ87" s="24"/>
      <c r="BL87" s="24"/>
      <c r="BM87" s="13"/>
      <c r="BN87" s="13"/>
    </row>
    <row r="88" spans="1:66" s="11" customFormat="1" ht="21">
      <c r="A88" s="24"/>
      <c r="B88" s="24"/>
      <c r="C88" s="24"/>
      <c r="E88" s="13"/>
      <c r="F88" s="24"/>
      <c r="G88" s="24"/>
      <c r="I88" s="24"/>
      <c r="J88" s="13"/>
      <c r="K88" s="13"/>
      <c r="L88" s="24"/>
      <c r="N88" s="24"/>
      <c r="O88" s="13"/>
      <c r="P88" s="13"/>
      <c r="Q88" s="24"/>
      <c r="S88" s="24"/>
      <c r="T88" s="13"/>
      <c r="U88" s="13"/>
      <c r="V88" s="24"/>
      <c r="X88" s="24"/>
      <c r="Y88" s="13"/>
      <c r="Z88" s="13"/>
      <c r="AA88" s="24"/>
      <c r="AC88" s="24"/>
      <c r="AD88" s="13"/>
      <c r="AE88" s="13"/>
      <c r="AF88" s="24"/>
      <c r="AH88" s="24"/>
      <c r="AI88" s="13"/>
      <c r="AJ88" s="13"/>
      <c r="AK88" s="24"/>
      <c r="AM88" s="24"/>
      <c r="AN88" s="13"/>
      <c r="AO88" s="13"/>
      <c r="AP88" s="24"/>
      <c r="AR88" s="24"/>
      <c r="AS88" s="13"/>
      <c r="AT88" s="13"/>
      <c r="AU88" s="24"/>
      <c r="AW88" s="24"/>
      <c r="AX88" s="13"/>
      <c r="AY88" s="13"/>
      <c r="AZ88" s="24"/>
      <c r="BB88" s="24"/>
      <c r="BC88" s="13"/>
      <c r="BD88" s="13"/>
      <c r="BE88" s="24"/>
      <c r="BG88" s="24"/>
      <c r="BH88" s="13"/>
      <c r="BI88" s="13"/>
      <c r="BJ88" s="24"/>
      <c r="BL88" s="24"/>
      <c r="BM88" s="13"/>
      <c r="BN88" s="13"/>
    </row>
    <row r="89" spans="1:66" s="11" customFormat="1" ht="21">
      <c r="A89" s="24"/>
      <c r="B89" s="24"/>
      <c r="C89" s="24"/>
      <c r="E89" s="13"/>
      <c r="F89" s="24"/>
      <c r="G89" s="24"/>
      <c r="I89" s="24"/>
      <c r="J89" s="13"/>
      <c r="K89" s="13"/>
      <c r="L89" s="24"/>
      <c r="N89" s="24"/>
      <c r="O89" s="13"/>
      <c r="P89" s="13"/>
      <c r="Q89" s="24"/>
      <c r="S89" s="24"/>
      <c r="T89" s="13"/>
      <c r="U89" s="13"/>
      <c r="V89" s="24"/>
      <c r="X89" s="24"/>
      <c r="Y89" s="13"/>
      <c r="Z89" s="13"/>
      <c r="AA89" s="24"/>
      <c r="AC89" s="24"/>
      <c r="AD89" s="13"/>
      <c r="AE89" s="13"/>
      <c r="AF89" s="24"/>
      <c r="AH89" s="24"/>
      <c r="AI89" s="13"/>
      <c r="AJ89" s="13"/>
      <c r="AK89" s="24"/>
      <c r="AM89" s="24"/>
      <c r="AN89" s="13"/>
      <c r="AO89" s="13"/>
      <c r="AP89" s="24"/>
      <c r="AR89" s="24"/>
      <c r="AS89" s="13"/>
      <c r="AT89" s="13"/>
      <c r="AU89" s="24"/>
      <c r="AW89" s="24"/>
      <c r="AX89" s="13"/>
      <c r="AY89" s="13"/>
      <c r="AZ89" s="24"/>
      <c r="BB89" s="24"/>
      <c r="BC89" s="13"/>
      <c r="BD89" s="13"/>
      <c r="BE89" s="24"/>
      <c r="BG89" s="24"/>
      <c r="BH89" s="13"/>
      <c r="BI89" s="13"/>
      <c r="BJ89" s="24"/>
      <c r="BL89" s="24"/>
      <c r="BM89" s="13"/>
      <c r="BN89" s="13"/>
    </row>
    <row r="90" spans="1:66" s="11" customFormat="1" ht="21">
      <c r="A90" s="24"/>
      <c r="B90" s="24"/>
      <c r="C90" s="24"/>
      <c r="E90" s="13"/>
      <c r="F90" s="24"/>
      <c r="G90" s="24"/>
      <c r="I90" s="24"/>
      <c r="J90" s="13"/>
      <c r="K90" s="13"/>
      <c r="L90" s="24"/>
      <c r="N90" s="24"/>
      <c r="O90" s="13"/>
      <c r="P90" s="13"/>
      <c r="Q90" s="24"/>
      <c r="S90" s="24"/>
      <c r="T90" s="13"/>
      <c r="U90" s="13"/>
      <c r="V90" s="24"/>
      <c r="X90" s="24"/>
      <c r="Y90" s="13"/>
      <c r="Z90" s="13"/>
      <c r="AA90" s="24"/>
      <c r="AC90" s="24"/>
      <c r="AD90" s="13"/>
      <c r="AE90" s="13"/>
      <c r="AF90" s="24"/>
      <c r="AH90" s="24"/>
      <c r="AI90" s="13"/>
      <c r="AJ90" s="13"/>
      <c r="AK90" s="24"/>
      <c r="AM90" s="24"/>
      <c r="AN90" s="13"/>
      <c r="AO90" s="13"/>
      <c r="AP90" s="24"/>
      <c r="AR90" s="24"/>
      <c r="AS90" s="13"/>
      <c r="AT90" s="13"/>
      <c r="AU90" s="24"/>
      <c r="AW90" s="24"/>
      <c r="AX90" s="13"/>
      <c r="AY90" s="13"/>
      <c r="AZ90" s="24"/>
      <c r="BB90" s="24"/>
      <c r="BC90" s="13"/>
      <c r="BD90" s="13"/>
      <c r="BE90" s="24"/>
      <c r="BG90" s="24"/>
      <c r="BH90" s="13"/>
      <c r="BI90" s="13"/>
      <c r="BJ90" s="24"/>
      <c r="BL90" s="24"/>
      <c r="BM90" s="13"/>
      <c r="BN90" s="13"/>
    </row>
    <row r="91" spans="1:66" s="11" customFormat="1" ht="21">
      <c r="A91" s="24"/>
      <c r="B91" s="24"/>
      <c r="C91" s="24"/>
      <c r="E91" s="13"/>
      <c r="F91" s="24"/>
      <c r="G91" s="24"/>
      <c r="I91" s="24"/>
      <c r="J91" s="13"/>
      <c r="K91" s="13"/>
      <c r="L91" s="24"/>
      <c r="N91" s="24"/>
      <c r="O91" s="13"/>
      <c r="P91" s="13"/>
      <c r="Q91" s="24"/>
      <c r="S91" s="24"/>
      <c r="T91" s="13"/>
      <c r="U91" s="13"/>
      <c r="V91" s="24"/>
      <c r="X91" s="24"/>
      <c r="Y91" s="13"/>
      <c r="Z91" s="13"/>
      <c r="AA91" s="24"/>
      <c r="AC91" s="24"/>
      <c r="AD91" s="13"/>
      <c r="AE91" s="13"/>
      <c r="AF91" s="24"/>
      <c r="AH91" s="24"/>
      <c r="AI91" s="13"/>
      <c r="AJ91" s="13"/>
      <c r="AK91" s="24"/>
      <c r="AM91" s="24"/>
      <c r="AN91" s="13"/>
      <c r="AO91" s="13"/>
      <c r="AP91" s="24"/>
      <c r="AR91" s="24"/>
      <c r="AS91" s="13"/>
      <c r="AT91" s="13"/>
      <c r="AU91" s="24"/>
      <c r="AW91" s="24"/>
      <c r="AX91" s="13"/>
      <c r="AY91" s="13"/>
      <c r="AZ91" s="24"/>
      <c r="BB91" s="24"/>
      <c r="BC91" s="13"/>
      <c r="BD91" s="13"/>
      <c r="BE91" s="24"/>
      <c r="BG91" s="24"/>
      <c r="BH91" s="13"/>
      <c r="BI91" s="13"/>
      <c r="BJ91" s="24"/>
      <c r="BL91" s="24"/>
      <c r="BM91" s="13"/>
      <c r="BN91" s="13"/>
    </row>
    <row r="92" spans="1:66" s="11" customFormat="1" ht="21">
      <c r="A92" s="24"/>
      <c r="B92" s="24"/>
      <c r="C92" s="24"/>
      <c r="E92" s="13"/>
      <c r="F92" s="24"/>
      <c r="G92" s="24"/>
      <c r="I92" s="24"/>
      <c r="J92" s="13"/>
      <c r="K92" s="13"/>
      <c r="L92" s="24"/>
      <c r="N92" s="24"/>
      <c r="O92" s="13"/>
      <c r="P92" s="13"/>
      <c r="Q92" s="24"/>
      <c r="S92" s="24"/>
      <c r="T92" s="13"/>
      <c r="U92" s="13"/>
      <c r="V92" s="24"/>
      <c r="X92" s="24"/>
      <c r="Y92" s="13"/>
      <c r="Z92" s="13"/>
      <c r="AA92" s="24"/>
      <c r="AC92" s="24"/>
      <c r="AD92" s="13"/>
      <c r="AE92" s="13"/>
      <c r="AF92" s="24"/>
      <c r="AH92" s="24"/>
      <c r="AI92" s="13"/>
      <c r="AJ92" s="13"/>
      <c r="AK92" s="24"/>
      <c r="AM92" s="24"/>
      <c r="AN92" s="13"/>
      <c r="AO92" s="13"/>
      <c r="AP92" s="24"/>
      <c r="AR92" s="24"/>
      <c r="AS92" s="13"/>
      <c r="AT92" s="13"/>
      <c r="AU92" s="24"/>
      <c r="AW92" s="24"/>
      <c r="AX92" s="13"/>
      <c r="AY92" s="13"/>
      <c r="AZ92" s="24"/>
      <c r="BB92" s="24"/>
      <c r="BC92" s="13"/>
      <c r="BD92" s="13"/>
      <c r="BE92" s="24"/>
      <c r="BG92" s="24"/>
      <c r="BH92" s="13"/>
      <c r="BI92" s="13"/>
      <c r="BJ92" s="24"/>
      <c r="BL92" s="24"/>
      <c r="BM92" s="13"/>
      <c r="BN92" s="13"/>
    </row>
    <row r="93" spans="1:66" s="11" customFormat="1" ht="21">
      <c r="A93" s="24"/>
      <c r="B93" s="24"/>
      <c r="C93" s="24"/>
      <c r="E93" s="13"/>
      <c r="F93" s="24"/>
      <c r="G93" s="24"/>
      <c r="I93" s="24"/>
      <c r="J93" s="13"/>
      <c r="K93" s="13"/>
      <c r="L93" s="24"/>
      <c r="N93" s="24"/>
      <c r="O93" s="13"/>
      <c r="P93" s="13"/>
      <c r="Q93" s="24"/>
      <c r="S93" s="24"/>
      <c r="T93" s="13"/>
      <c r="U93" s="13"/>
      <c r="V93" s="24"/>
      <c r="X93" s="24"/>
      <c r="Y93" s="13"/>
      <c r="Z93" s="13"/>
      <c r="AA93" s="24"/>
      <c r="AC93" s="24"/>
      <c r="AD93" s="13"/>
      <c r="AE93" s="13"/>
      <c r="AF93" s="24"/>
      <c r="AH93" s="24"/>
      <c r="AI93" s="13"/>
      <c r="AJ93" s="13"/>
      <c r="AK93" s="24"/>
      <c r="AM93" s="24"/>
      <c r="AN93" s="13"/>
      <c r="AO93" s="13"/>
      <c r="AP93" s="24"/>
      <c r="AR93" s="24"/>
      <c r="AS93" s="13"/>
      <c r="AT93" s="13"/>
      <c r="AU93" s="24"/>
      <c r="AW93" s="24"/>
      <c r="AX93" s="13"/>
      <c r="AY93" s="13"/>
      <c r="AZ93" s="24"/>
      <c r="BB93" s="24"/>
      <c r="BC93" s="13"/>
      <c r="BD93" s="13"/>
      <c r="BE93" s="24"/>
      <c r="BG93" s="24"/>
      <c r="BH93" s="13"/>
      <c r="BI93" s="13"/>
      <c r="BJ93" s="24"/>
      <c r="BL93" s="24"/>
      <c r="BM93" s="13"/>
      <c r="BN93" s="13"/>
    </row>
    <row r="94" spans="1:66" s="11" customFormat="1" ht="21">
      <c r="A94" s="24"/>
      <c r="B94" s="24"/>
      <c r="C94" s="24"/>
      <c r="E94" s="13"/>
      <c r="F94" s="24"/>
      <c r="G94" s="24"/>
      <c r="I94" s="24"/>
      <c r="J94" s="13"/>
      <c r="K94" s="13"/>
      <c r="L94" s="24"/>
      <c r="N94" s="24"/>
      <c r="O94" s="13"/>
      <c r="P94" s="13"/>
      <c r="Q94" s="24"/>
      <c r="S94" s="24"/>
      <c r="T94" s="13"/>
      <c r="U94" s="13"/>
      <c r="V94" s="24"/>
      <c r="X94" s="24"/>
      <c r="Y94" s="13"/>
      <c r="Z94" s="13"/>
      <c r="AA94" s="24"/>
      <c r="AC94" s="24"/>
      <c r="AD94" s="13"/>
      <c r="AE94" s="13"/>
      <c r="AF94" s="24"/>
      <c r="AH94" s="24"/>
      <c r="AI94" s="13"/>
      <c r="AJ94" s="13"/>
      <c r="AK94" s="24"/>
      <c r="AM94" s="24"/>
      <c r="AN94" s="13"/>
      <c r="AO94" s="13"/>
      <c r="AP94" s="24"/>
      <c r="AR94" s="24"/>
      <c r="AS94" s="13"/>
      <c r="AT94" s="13"/>
      <c r="AU94" s="24"/>
      <c r="AW94" s="24"/>
      <c r="AX94" s="13"/>
      <c r="AY94" s="13"/>
      <c r="AZ94" s="24"/>
      <c r="BB94" s="24"/>
      <c r="BC94" s="13"/>
      <c r="BD94" s="13"/>
      <c r="BE94" s="24"/>
      <c r="BG94" s="24"/>
      <c r="BH94" s="13"/>
      <c r="BI94" s="13"/>
      <c r="BJ94" s="24"/>
      <c r="BL94" s="24"/>
      <c r="BM94" s="13"/>
      <c r="BN94" s="13"/>
    </row>
    <row r="95" spans="1:66" s="11" customFormat="1" ht="21">
      <c r="A95" s="24"/>
      <c r="B95" s="24"/>
      <c r="C95" s="24"/>
      <c r="E95" s="13"/>
      <c r="F95" s="24"/>
      <c r="G95" s="24"/>
      <c r="I95" s="24"/>
      <c r="J95" s="13"/>
      <c r="K95" s="13"/>
      <c r="L95" s="24"/>
      <c r="N95" s="24"/>
      <c r="O95" s="13"/>
      <c r="P95" s="13"/>
      <c r="Q95" s="24"/>
      <c r="S95" s="24"/>
      <c r="T95" s="13"/>
      <c r="U95" s="13"/>
      <c r="V95" s="24"/>
      <c r="X95" s="24"/>
      <c r="Y95" s="13"/>
      <c r="Z95" s="13"/>
      <c r="AA95" s="24"/>
      <c r="AC95" s="24"/>
      <c r="AD95" s="13"/>
      <c r="AE95" s="13"/>
      <c r="AF95" s="24"/>
      <c r="AH95" s="24"/>
      <c r="AI95" s="13"/>
      <c r="AJ95" s="13"/>
      <c r="AK95" s="24"/>
      <c r="AM95" s="24"/>
      <c r="AN95" s="13"/>
      <c r="AO95" s="13"/>
      <c r="AP95" s="24"/>
      <c r="AR95" s="24"/>
      <c r="AS95" s="13"/>
      <c r="AT95" s="13"/>
      <c r="AU95" s="24"/>
      <c r="AW95" s="24"/>
      <c r="AX95" s="13"/>
      <c r="AY95" s="13"/>
      <c r="AZ95" s="24"/>
      <c r="BB95" s="24"/>
      <c r="BC95" s="13"/>
      <c r="BD95" s="13"/>
      <c r="BE95" s="24"/>
      <c r="BG95" s="24"/>
      <c r="BH95" s="13"/>
      <c r="BI95" s="13"/>
      <c r="BJ95" s="24"/>
      <c r="BL95" s="24"/>
      <c r="BM95" s="13"/>
      <c r="BN95" s="13"/>
    </row>
    <row r="96" spans="1:66" s="11" customFormat="1" ht="21">
      <c r="A96" s="24"/>
      <c r="B96" s="24"/>
      <c r="C96" s="24"/>
      <c r="E96" s="13"/>
      <c r="F96" s="24"/>
      <c r="G96" s="24"/>
      <c r="I96" s="24"/>
      <c r="J96" s="13"/>
      <c r="K96" s="13"/>
      <c r="L96" s="24"/>
      <c r="N96" s="24"/>
      <c r="O96" s="13"/>
      <c r="P96" s="13"/>
      <c r="Q96" s="24"/>
      <c r="S96" s="24"/>
      <c r="T96" s="13"/>
      <c r="U96" s="13"/>
      <c r="V96" s="24"/>
      <c r="X96" s="24"/>
      <c r="Y96" s="13"/>
      <c r="Z96" s="13"/>
      <c r="AA96" s="24"/>
      <c r="AC96" s="24"/>
      <c r="AD96" s="13"/>
      <c r="AE96" s="13"/>
      <c r="AF96" s="24"/>
      <c r="AH96" s="24"/>
      <c r="AI96" s="13"/>
      <c r="AJ96" s="13"/>
      <c r="AK96" s="24"/>
      <c r="AM96" s="24"/>
      <c r="AN96" s="13"/>
      <c r="AO96" s="13"/>
      <c r="AP96" s="24"/>
      <c r="AR96" s="24"/>
      <c r="AS96" s="13"/>
      <c r="AT96" s="13"/>
      <c r="AU96" s="24"/>
      <c r="AW96" s="24"/>
      <c r="AX96" s="13"/>
      <c r="AY96" s="13"/>
      <c r="AZ96" s="24"/>
      <c r="BB96" s="24"/>
      <c r="BC96" s="13"/>
      <c r="BD96" s="13"/>
      <c r="BE96" s="24"/>
      <c r="BG96" s="24"/>
      <c r="BH96" s="13"/>
      <c r="BI96" s="13"/>
      <c r="BJ96" s="24"/>
      <c r="BL96" s="24"/>
      <c r="BM96" s="13"/>
      <c r="BN96" s="13"/>
    </row>
    <row r="97" spans="1:66" s="11" customFormat="1" ht="21">
      <c r="A97" s="24"/>
      <c r="B97" s="24"/>
      <c r="C97" s="24"/>
      <c r="E97" s="13"/>
      <c r="F97" s="24"/>
      <c r="G97" s="24"/>
      <c r="I97" s="24"/>
      <c r="J97" s="13"/>
      <c r="K97" s="13"/>
      <c r="L97" s="24"/>
      <c r="N97" s="24"/>
      <c r="O97" s="13"/>
      <c r="P97" s="13"/>
      <c r="Q97" s="24"/>
      <c r="S97" s="24"/>
      <c r="T97" s="13"/>
      <c r="U97" s="13"/>
      <c r="V97" s="24"/>
      <c r="X97" s="24"/>
      <c r="Y97" s="13"/>
      <c r="Z97" s="13"/>
      <c r="AA97" s="24"/>
      <c r="AC97" s="24"/>
      <c r="AD97" s="13"/>
      <c r="AE97" s="13"/>
      <c r="AF97" s="24"/>
      <c r="AH97" s="24"/>
      <c r="AI97" s="13"/>
      <c r="AJ97" s="13"/>
      <c r="AK97" s="24"/>
      <c r="AM97" s="24"/>
      <c r="AN97" s="13"/>
      <c r="AO97" s="13"/>
      <c r="AP97" s="24"/>
      <c r="AR97" s="24"/>
      <c r="AS97" s="13"/>
      <c r="AT97" s="13"/>
      <c r="AU97" s="24"/>
      <c r="AW97" s="24"/>
      <c r="AX97" s="13"/>
      <c r="AY97" s="13"/>
      <c r="AZ97" s="24"/>
      <c r="BB97" s="24"/>
      <c r="BC97" s="13"/>
      <c r="BD97" s="13"/>
      <c r="BE97" s="24"/>
      <c r="BG97" s="24"/>
      <c r="BH97" s="13"/>
      <c r="BI97" s="13"/>
      <c r="BJ97" s="24"/>
      <c r="BL97" s="24"/>
      <c r="BM97" s="13"/>
      <c r="BN97" s="13"/>
    </row>
    <row r="98" spans="1:66" s="11" customFormat="1" ht="21">
      <c r="A98" s="24"/>
      <c r="B98" s="24"/>
      <c r="C98" s="24"/>
      <c r="E98" s="13"/>
      <c r="F98" s="24"/>
      <c r="G98" s="24"/>
      <c r="I98" s="24"/>
      <c r="J98" s="13"/>
      <c r="K98" s="13"/>
      <c r="L98" s="24"/>
      <c r="N98" s="24"/>
      <c r="O98" s="13"/>
      <c r="P98" s="13"/>
      <c r="Q98" s="24"/>
      <c r="S98" s="24"/>
      <c r="T98" s="13"/>
      <c r="U98" s="13"/>
      <c r="V98" s="24"/>
      <c r="X98" s="24"/>
      <c r="Y98" s="13"/>
      <c r="Z98" s="13"/>
      <c r="AA98" s="24"/>
      <c r="AC98" s="24"/>
      <c r="AD98" s="13"/>
      <c r="AE98" s="13"/>
      <c r="AF98" s="24"/>
      <c r="AH98" s="24"/>
      <c r="AI98" s="13"/>
      <c r="AJ98" s="13"/>
      <c r="AK98" s="24"/>
      <c r="AM98" s="24"/>
      <c r="AN98" s="13"/>
      <c r="AO98" s="13"/>
      <c r="AP98" s="24"/>
      <c r="AR98" s="24"/>
      <c r="AS98" s="13"/>
      <c r="AT98" s="13"/>
      <c r="AU98" s="24"/>
      <c r="AW98" s="24"/>
      <c r="AX98" s="13"/>
      <c r="AY98" s="13"/>
      <c r="AZ98" s="24"/>
      <c r="BB98" s="24"/>
      <c r="BC98" s="13"/>
      <c r="BD98" s="13"/>
      <c r="BE98" s="24"/>
      <c r="BG98" s="24"/>
      <c r="BH98" s="13"/>
      <c r="BI98" s="13"/>
      <c r="BJ98" s="24"/>
      <c r="BL98" s="24"/>
      <c r="BM98" s="13"/>
      <c r="BN98" s="13"/>
    </row>
    <row r="99" spans="1:66" s="11" customFormat="1" ht="21">
      <c r="A99" s="24"/>
      <c r="B99" s="24"/>
      <c r="C99" s="24"/>
      <c r="E99" s="13"/>
      <c r="F99" s="24"/>
      <c r="G99" s="24"/>
      <c r="I99" s="24"/>
      <c r="J99" s="13"/>
      <c r="K99" s="13"/>
      <c r="L99" s="24"/>
      <c r="N99" s="24"/>
      <c r="O99" s="13"/>
      <c r="P99" s="13"/>
      <c r="Q99" s="24"/>
      <c r="S99" s="24"/>
      <c r="T99" s="13"/>
      <c r="U99" s="13"/>
      <c r="V99" s="24"/>
      <c r="X99" s="24"/>
      <c r="Y99" s="13"/>
      <c r="Z99" s="13"/>
      <c r="AA99" s="24"/>
      <c r="AC99" s="24"/>
      <c r="AD99" s="13"/>
      <c r="AE99" s="13"/>
      <c r="AF99" s="24"/>
      <c r="AH99" s="24"/>
      <c r="AI99" s="13"/>
      <c r="AJ99" s="13"/>
      <c r="AK99" s="24"/>
      <c r="AM99" s="24"/>
      <c r="AN99" s="13"/>
      <c r="AO99" s="13"/>
      <c r="AP99" s="24"/>
      <c r="AR99" s="24"/>
      <c r="AS99" s="13"/>
      <c r="AT99" s="13"/>
      <c r="AU99" s="24"/>
      <c r="AW99" s="24"/>
      <c r="AX99" s="13"/>
      <c r="AY99" s="13"/>
      <c r="AZ99" s="24"/>
      <c r="BB99" s="24"/>
      <c r="BC99" s="13"/>
      <c r="BD99" s="13"/>
      <c r="BE99" s="24"/>
      <c r="BG99" s="24"/>
      <c r="BH99" s="13"/>
      <c r="BI99" s="13"/>
      <c r="BJ99" s="24"/>
      <c r="BL99" s="24"/>
      <c r="BM99" s="13"/>
      <c r="BN99" s="13"/>
    </row>
    <row r="100" spans="1:66" s="11" customFormat="1" ht="21">
      <c r="A100" s="24"/>
      <c r="B100" s="24"/>
      <c r="C100" s="24"/>
      <c r="E100" s="13"/>
      <c r="F100" s="24"/>
      <c r="G100" s="24"/>
      <c r="I100" s="24"/>
      <c r="J100" s="13"/>
      <c r="K100" s="13"/>
      <c r="L100" s="24"/>
      <c r="N100" s="24"/>
      <c r="O100" s="13"/>
      <c r="P100" s="13"/>
      <c r="Q100" s="24"/>
      <c r="S100" s="24"/>
      <c r="T100" s="13"/>
      <c r="U100" s="13"/>
      <c r="V100" s="24"/>
      <c r="X100" s="24"/>
      <c r="Y100" s="13"/>
      <c r="Z100" s="13"/>
      <c r="AA100" s="24"/>
      <c r="AC100" s="24"/>
      <c r="AD100" s="13"/>
      <c r="AE100" s="13"/>
      <c r="AF100" s="24"/>
      <c r="AH100" s="24"/>
      <c r="AI100" s="13"/>
      <c r="AJ100" s="13"/>
      <c r="AK100" s="24"/>
      <c r="AM100" s="24"/>
      <c r="AN100" s="13"/>
      <c r="AO100" s="13"/>
      <c r="AP100" s="24"/>
      <c r="AR100" s="24"/>
      <c r="AS100" s="13"/>
      <c r="AT100" s="13"/>
      <c r="AU100" s="24"/>
      <c r="AW100" s="24"/>
      <c r="AX100" s="13"/>
      <c r="AY100" s="13"/>
      <c r="AZ100" s="24"/>
      <c r="BB100" s="24"/>
      <c r="BC100" s="13"/>
      <c r="BD100" s="13"/>
      <c r="BE100" s="24"/>
      <c r="BG100" s="24"/>
      <c r="BH100" s="13"/>
      <c r="BI100" s="13"/>
      <c r="BJ100" s="24"/>
      <c r="BL100" s="24"/>
      <c r="BM100" s="13"/>
      <c r="BN100" s="13"/>
    </row>
    <row r="101" spans="1:66" s="11" customFormat="1" ht="21">
      <c r="A101" s="24"/>
      <c r="B101" s="24"/>
      <c r="C101" s="24"/>
      <c r="E101" s="13"/>
      <c r="F101" s="24"/>
      <c r="G101" s="24"/>
      <c r="I101" s="24"/>
      <c r="J101" s="13"/>
      <c r="K101" s="13"/>
      <c r="L101" s="24"/>
      <c r="N101" s="24"/>
      <c r="O101" s="13"/>
      <c r="P101" s="13"/>
      <c r="Q101" s="24"/>
      <c r="S101" s="24"/>
      <c r="T101" s="13"/>
      <c r="U101" s="13"/>
      <c r="V101" s="24"/>
      <c r="X101" s="24"/>
      <c r="Y101" s="13"/>
      <c r="Z101" s="13"/>
      <c r="AA101" s="24"/>
      <c r="AC101" s="24"/>
      <c r="AD101" s="13"/>
      <c r="AE101" s="13"/>
      <c r="AF101" s="24"/>
      <c r="AH101" s="24"/>
      <c r="AI101" s="13"/>
      <c r="AJ101" s="13"/>
      <c r="AK101" s="24"/>
      <c r="AM101" s="24"/>
      <c r="AN101" s="13"/>
      <c r="AO101" s="13"/>
      <c r="AP101" s="24"/>
      <c r="AR101" s="24"/>
      <c r="AS101" s="13"/>
      <c r="AT101" s="13"/>
      <c r="AU101" s="24"/>
      <c r="AW101" s="24"/>
      <c r="AX101" s="13"/>
      <c r="AY101" s="13"/>
      <c r="AZ101" s="24"/>
      <c r="BB101" s="24"/>
      <c r="BC101" s="13"/>
      <c r="BD101" s="13"/>
      <c r="BE101" s="24"/>
      <c r="BG101" s="24"/>
      <c r="BH101" s="13"/>
      <c r="BI101" s="13"/>
      <c r="BJ101" s="24"/>
      <c r="BL101" s="24"/>
      <c r="BM101" s="13"/>
      <c r="BN101" s="13"/>
    </row>
    <row r="102" spans="1:66" s="11" customFormat="1" ht="21">
      <c r="A102" s="24"/>
      <c r="B102" s="24"/>
      <c r="C102" s="24"/>
      <c r="E102" s="13"/>
      <c r="F102" s="24"/>
      <c r="G102" s="24"/>
      <c r="I102" s="24"/>
      <c r="J102" s="13"/>
      <c r="K102" s="13"/>
      <c r="L102" s="24"/>
      <c r="N102" s="24"/>
      <c r="O102" s="13"/>
      <c r="P102" s="13"/>
      <c r="Q102" s="24"/>
      <c r="S102" s="24"/>
      <c r="T102" s="13"/>
      <c r="U102" s="13"/>
      <c r="V102" s="24"/>
      <c r="X102" s="24"/>
      <c r="Y102" s="13"/>
      <c r="Z102" s="13"/>
      <c r="AA102" s="24"/>
      <c r="AC102" s="24"/>
      <c r="AD102" s="13"/>
      <c r="AE102" s="13"/>
      <c r="AF102" s="24"/>
      <c r="AH102" s="24"/>
      <c r="AI102" s="13"/>
      <c r="AJ102" s="13"/>
      <c r="AK102" s="24"/>
      <c r="AM102" s="24"/>
      <c r="AN102" s="13"/>
      <c r="AO102" s="13"/>
      <c r="AP102" s="24"/>
      <c r="AR102" s="24"/>
      <c r="AS102" s="13"/>
      <c r="AT102" s="13"/>
      <c r="AU102" s="24"/>
      <c r="AW102" s="24"/>
      <c r="AX102" s="13"/>
      <c r="AY102" s="13"/>
      <c r="AZ102" s="24"/>
      <c r="BB102" s="24"/>
      <c r="BC102" s="13"/>
      <c r="BD102" s="13"/>
      <c r="BE102" s="24"/>
      <c r="BG102" s="24"/>
      <c r="BH102" s="13"/>
      <c r="BI102" s="13"/>
      <c r="BJ102" s="24"/>
      <c r="BL102" s="24"/>
      <c r="BM102" s="13"/>
      <c r="BN102" s="13"/>
    </row>
    <row r="103" spans="1:66" s="11" customFormat="1" ht="21">
      <c r="A103" s="24"/>
      <c r="B103" s="24"/>
      <c r="C103" s="24"/>
      <c r="E103" s="13"/>
      <c r="F103" s="24"/>
      <c r="G103" s="24"/>
      <c r="I103" s="24"/>
      <c r="J103" s="13"/>
      <c r="K103" s="13"/>
      <c r="L103" s="24"/>
      <c r="N103" s="24"/>
      <c r="O103" s="13"/>
      <c r="P103" s="13"/>
      <c r="Q103" s="24"/>
      <c r="S103" s="24"/>
      <c r="T103" s="13"/>
      <c r="U103" s="13"/>
      <c r="V103" s="24"/>
      <c r="X103" s="24"/>
      <c r="Y103" s="13"/>
      <c r="Z103" s="13"/>
      <c r="AA103" s="24"/>
      <c r="AC103" s="24"/>
      <c r="AD103" s="13"/>
      <c r="AE103" s="13"/>
      <c r="AF103" s="24"/>
      <c r="AH103" s="24"/>
      <c r="AI103" s="13"/>
      <c r="AJ103" s="13"/>
      <c r="AK103" s="24"/>
      <c r="AM103" s="24"/>
      <c r="AN103" s="13"/>
      <c r="AO103" s="13"/>
      <c r="AP103" s="24"/>
      <c r="AR103" s="24"/>
      <c r="AS103" s="13"/>
      <c r="AT103" s="13"/>
      <c r="AU103" s="24"/>
      <c r="AW103" s="24"/>
      <c r="AX103" s="13"/>
      <c r="AY103" s="13"/>
      <c r="AZ103" s="24"/>
      <c r="BB103" s="24"/>
      <c r="BC103" s="13"/>
      <c r="BD103" s="13"/>
      <c r="BE103" s="24"/>
      <c r="BG103" s="24"/>
      <c r="BH103" s="13"/>
      <c r="BI103" s="13"/>
      <c r="BJ103" s="24"/>
      <c r="BL103" s="24"/>
      <c r="BM103" s="13"/>
      <c r="BN103" s="13"/>
    </row>
    <row r="104" spans="1:66" s="11" customFormat="1" ht="21">
      <c r="A104" s="24"/>
      <c r="B104" s="24"/>
      <c r="C104" s="24"/>
      <c r="E104" s="13"/>
      <c r="F104" s="24"/>
      <c r="G104" s="24"/>
      <c r="I104" s="24"/>
      <c r="J104" s="13"/>
      <c r="K104" s="13"/>
      <c r="L104" s="24"/>
      <c r="N104" s="24"/>
      <c r="O104" s="13"/>
      <c r="P104" s="13"/>
      <c r="Q104" s="24"/>
      <c r="S104" s="24"/>
      <c r="T104" s="13"/>
      <c r="U104" s="13"/>
      <c r="V104" s="24"/>
      <c r="X104" s="24"/>
      <c r="Y104" s="13"/>
      <c r="Z104" s="13"/>
      <c r="AA104" s="24"/>
      <c r="AC104" s="24"/>
      <c r="AD104" s="13"/>
      <c r="AE104" s="13"/>
      <c r="AF104" s="24"/>
      <c r="AH104" s="24"/>
      <c r="AI104" s="13"/>
      <c r="AJ104" s="13"/>
      <c r="AK104" s="24"/>
      <c r="AM104" s="24"/>
      <c r="AN104" s="13"/>
      <c r="AO104" s="13"/>
      <c r="AP104" s="24"/>
      <c r="AR104" s="24"/>
      <c r="AS104" s="13"/>
      <c r="AT104" s="13"/>
      <c r="AU104" s="24"/>
      <c r="AW104" s="24"/>
      <c r="AX104" s="13"/>
      <c r="AY104" s="13"/>
      <c r="AZ104" s="24"/>
      <c r="BB104" s="24"/>
      <c r="BC104" s="13"/>
      <c r="BD104" s="13"/>
      <c r="BE104" s="24"/>
      <c r="BG104" s="24"/>
      <c r="BH104" s="13"/>
      <c r="BI104" s="13"/>
      <c r="BJ104" s="24"/>
      <c r="BL104" s="24"/>
      <c r="BM104" s="13"/>
      <c r="BN104" s="13"/>
    </row>
    <row r="105" spans="1:66" s="11" customFormat="1" ht="21">
      <c r="A105" s="24"/>
      <c r="B105" s="24"/>
      <c r="C105" s="24"/>
      <c r="E105" s="13"/>
      <c r="F105" s="24"/>
      <c r="G105" s="24"/>
      <c r="I105" s="24"/>
      <c r="J105" s="13"/>
      <c r="K105" s="13"/>
      <c r="L105" s="24"/>
      <c r="N105" s="24"/>
      <c r="O105" s="13"/>
      <c r="P105" s="13"/>
      <c r="Q105" s="24"/>
      <c r="S105" s="24"/>
      <c r="T105" s="13"/>
      <c r="U105" s="13"/>
      <c r="V105" s="24"/>
      <c r="X105" s="24"/>
      <c r="Y105" s="13"/>
      <c r="Z105" s="13"/>
      <c r="AA105" s="24"/>
      <c r="AC105" s="24"/>
      <c r="AD105" s="13"/>
      <c r="AE105" s="13"/>
      <c r="AF105" s="24"/>
      <c r="AH105" s="24"/>
      <c r="AI105" s="13"/>
      <c r="AJ105" s="13"/>
      <c r="AK105" s="24"/>
      <c r="AM105" s="24"/>
      <c r="AN105" s="13"/>
      <c r="AO105" s="13"/>
      <c r="AP105" s="24"/>
      <c r="AR105" s="24"/>
      <c r="AS105" s="13"/>
      <c r="AT105" s="13"/>
      <c r="AU105" s="24"/>
      <c r="AW105" s="24"/>
      <c r="AX105" s="13"/>
      <c r="AY105" s="13"/>
      <c r="AZ105" s="24"/>
      <c r="BB105" s="24"/>
      <c r="BC105" s="13"/>
      <c r="BD105" s="13"/>
      <c r="BE105" s="24"/>
      <c r="BG105" s="24"/>
      <c r="BH105" s="13"/>
      <c r="BI105" s="13"/>
      <c r="BJ105" s="24"/>
      <c r="BL105" s="24"/>
      <c r="BM105" s="13"/>
      <c r="BN105" s="13"/>
    </row>
    <row r="106" spans="1:66" s="11" customFormat="1" ht="21">
      <c r="A106" s="24"/>
      <c r="B106" s="24"/>
      <c r="C106" s="24"/>
      <c r="E106" s="13"/>
      <c r="F106" s="24"/>
      <c r="G106" s="24"/>
      <c r="I106" s="24"/>
      <c r="J106" s="13"/>
      <c r="K106" s="13"/>
      <c r="L106" s="24"/>
      <c r="N106" s="24"/>
      <c r="O106" s="13"/>
      <c r="P106" s="13"/>
      <c r="Q106" s="24"/>
      <c r="S106" s="24"/>
      <c r="T106" s="13"/>
      <c r="U106" s="13"/>
      <c r="V106" s="24"/>
      <c r="X106" s="24"/>
      <c r="Y106" s="13"/>
      <c r="Z106" s="13"/>
      <c r="AA106" s="24"/>
      <c r="AC106" s="24"/>
      <c r="AD106" s="13"/>
      <c r="AE106" s="13"/>
      <c r="AF106" s="24"/>
      <c r="AH106" s="24"/>
      <c r="AI106" s="13"/>
      <c r="AJ106" s="13"/>
      <c r="AK106" s="24"/>
      <c r="AM106" s="24"/>
      <c r="AN106" s="13"/>
      <c r="AO106" s="13"/>
      <c r="AP106" s="24"/>
      <c r="AR106" s="24"/>
      <c r="AS106" s="13"/>
      <c r="AT106" s="13"/>
      <c r="AU106" s="24"/>
      <c r="AW106" s="24"/>
      <c r="AX106" s="13"/>
      <c r="AY106" s="13"/>
      <c r="AZ106" s="24"/>
      <c r="BB106" s="24"/>
      <c r="BC106" s="13"/>
      <c r="BD106" s="13"/>
      <c r="BE106" s="24"/>
      <c r="BG106" s="24"/>
      <c r="BH106" s="13"/>
      <c r="BI106" s="13"/>
      <c r="BJ106" s="24"/>
      <c r="BL106" s="24"/>
      <c r="BM106" s="13"/>
      <c r="BN106" s="13"/>
    </row>
    <row r="107" spans="1:66" s="11" customFormat="1" ht="21">
      <c r="A107" s="24"/>
      <c r="B107" s="24"/>
      <c r="C107" s="24"/>
      <c r="E107" s="13"/>
      <c r="F107" s="24"/>
      <c r="G107" s="24"/>
      <c r="I107" s="24"/>
      <c r="J107" s="13"/>
      <c r="K107" s="13"/>
      <c r="L107" s="24"/>
      <c r="N107" s="24"/>
      <c r="O107" s="13"/>
      <c r="P107" s="13"/>
      <c r="Q107" s="24"/>
      <c r="S107" s="24"/>
      <c r="T107" s="13"/>
      <c r="U107" s="13"/>
      <c r="V107" s="24"/>
      <c r="X107" s="24"/>
      <c r="Y107" s="13"/>
      <c r="Z107" s="13"/>
      <c r="AA107" s="24"/>
      <c r="AC107" s="24"/>
      <c r="AD107" s="13"/>
      <c r="AE107" s="13"/>
      <c r="AF107" s="24"/>
      <c r="AH107" s="24"/>
      <c r="AI107" s="13"/>
      <c r="AJ107" s="13"/>
      <c r="AK107" s="24"/>
      <c r="AM107" s="24"/>
      <c r="AN107" s="13"/>
      <c r="AO107" s="13"/>
      <c r="AP107" s="24"/>
      <c r="AR107" s="24"/>
      <c r="AS107" s="13"/>
      <c r="AT107" s="13"/>
      <c r="AU107" s="24"/>
      <c r="AW107" s="24"/>
      <c r="AX107" s="13"/>
      <c r="AY107" s="13"/>
      <c r="AZ107" s="24"/>
      <c r="BB107" s="24"/>
      <c r="BC107" s="13"/>
      <c r="BD107" s="13"/>
      <c r="BE107" s="24"/>
      <c r="BG107" s="24"/>
      <c r="BH107" s="13"/>
      <c r="BI107" s="13"/>
      <c r="BJ107" s="24"/>
      <c r="BL107" s="24"/>
      <c r="BM107" s="13"/>
      <c r="BN107" s="13"/>
    </row>
    <row r="108" spans="1:66" s="11" customFormat="1" ht="21">
      <c r="A108" s="24"/>
      <c r="B108" s="24"/>
      <c r="C108" s="24"/>
      <c r="E108" s="13"/>
      <c r="F108" s="24"/>
      <c r="G108" s="24"/>
      <c r="I108" s="24"/>
      <c r="J108" s="13"/>
      <c r="K108" s="13"/>
      <c r="L108" s="24"/>
      <c r="N108" s="24"/>
      <c r="O108" s="13"/>
      <c r="P108" s="13"/>
      <c r="Q108" s="24"/>
      <c r="S108" s="24"/>
      <c r="T108" s="13"/>
      <c r="U108" s="13"/>
      <c r="V108" s="24"/>
      <c r="X108" s="24"/>
      <c r="Y108" s="13"/>
      <c r="Z108" s="13"/>
      <c r="AA108" s="24"/>
      <c r="AC108" s="24"/>
      <c r="AD108" s="13"/>
      <c r="AE108" s="13"/>
      <c r="AF108" s="24"/>
      <c r="AH108" s="24"/>
      <c r="AI108" s="13"/>
      <c r="AJ108" s="13"/>
      <c r="AK108" s="24"/>
      <c r="AM108" s="24"/>
      <c r="AN108" s="13"/>
      <c r="AO108" s="13"/>
      <c r="AP108" s="24"/>
      <c r="AR108" s="24"/>
      <c r="AS108" s="13"/>
      <c r="AT108" s="13"/>
      <c r="AU108" s="24"/>
      <c r="AW108" s="24"/>
      <c r="AX108" s="13"/>
      <c r="AY108" s="13"/>
      <c r="AZ108" s="24"/>
      <c r="BB108" s="24"/>
      <c r="BC108" s="13"/>
      <c r="BD108" s="13"/>
      <c r="BE108" s="24"/>
      <c r="BG108" s="24"/>
      <c r="BH108" s="13"/>
      <c r="BI108" s="13"/>
      <c r="BJ108" s="24"/>
      <c r="BL108" s="24"/>
      <c r="BM108" s="13"/>
      <c r="BN108" s="13"/>
    </row>
    <row r="109" spans="1:66" s="11" customFormat="1" ht="21">
      <c r="A109" s="24"/>
      <c r="B109" s="24"/>
      <c r="C109" s="24"/>
      <c r="E109" s="13"/>
      <c r="F109" s="24"/>
      <c r="G109" s="24"/>
      <c r="I109" s="24"/>
      <c r="J109" s="13"/>
      <c r="K109" s="13"/>
      <c r="L109" s="24"/>
      <c r="N109" s="24"/>
      <c r="O109" s="13"/>
      <c r="P109" s="13"/>
      <c r="Q109" s="24"/>
      <c r="S109" s="24"/>
      <c r="T109" s="13"/>
      <c r="U109" s="13"/>
      <c r="V109" s="24"/>
      <c r="X109" s="24"/>
      <c r="Y109" s="13"/>
      <c r="Z109" s="13"/>
      <c r="AA109" s="24"/>
      <c r="AC109" s="24"/>
      <c r="AD109" s="13"/>
      <c r="AE109" s="13"/>
      <c r="AF109" s="24"/>
      <c r="AH109" s="24"/>
      <c r="AI109" s="13"/>
      <c r="AJ109" s="13"/>
      <c r="AK109" s="24"/>
      <c r="AM109" s="24"/>
      <c r="AN109" s="13"/>
      <c r="AO109" s="13"/>
      <c r="AP109" s="24"/>
      <c r="AR109" s="24"/>
      <c r="AS109" s="13"/>
      <c r="AT109" s="13"/>
      <c r="AU109" s="24"/>
      <c r="AW109" s="24"/>
      <c r="AX109" s="13"/>
      <c r="AY109" s="13"/>
      <c r="AZ109" s="24"/>
      <c r="BB109" s="24"/>
      <c r="BC109" s="13"/>
      <c r="BD109" s="13"/>
      <c r="BE109" s="24"/>
      <c r="BG109" s="24"/>
      <c r="BH109" s="13"/>
      <c r="BI109" s="13"/>
      <c r="BJ109" s="24"/>
      <c r="BL109" s="24"/>
      <c r="BM109" s="13"/>
      <c r="BN109" s="13"/>
    </row>
    <row r="110" spans="1:66" s="11" customFormat="1" ht="21">
      <c r="A110" s="24"/>
      <c r="B110" s="24"/>
      <c r="C110" s="24"/>
      <c r="E110" s="13"/>
      <c r="F110" s="24"/>
      <c r="G110" s="24"/>
      <c r="I110" s="24"/>
      <c r="J110" s="13"/>
      <c r="K110" s="13"/>
      <c r="L110" s="24"/>
      <c r="N110" s="24"/>
      <c r="O110" s="13"/>
      <c r="P110" s="13"/>
      <c r="Q110" s="24"/>
      <c r="S110" s="24"/>
      <c r="T110" s="13"/>
      <c r="U110" s="13"/>
      <c r="V110" s="24"/>
      <c r="X110" s="24"/>
      <c r="Y110" s="13"/>
      <c r="Z110" s="13"/>
      <c r="AA110" s="24"/>
      <c r="AC110" s="24"/>
      <c r="AD110" s="13"/>
      <c r="AE110" s="13"/>
      <c r="AF110" s="24"/>
      <c r="AH110" s="24"/>
      <c r="AI110" s="13"/>
      <c r="AJ110" s="13"/>
      <c r="AK110" s="24"/>
      <c r="AM110" s="24"/>
      <c r="AN110" s="13"/>
      <c r="AO110" s="13"/>
      <c r="AP110" s="24"/>
      <c r="AR110" s="24"/>
      <c r="AS110" s="13"/>
      <c r="AT110" s="13"/>
      <c r="AU110" s="24"/>
      <c r="AW110" s="24"/>
      <c r="AX110" s="13"/>
      <c r="AY110" s="13"/>
      <c r="AZ110" s="24"/>
      <c r="BB110" s="24"/>
      <c r="BC110" s="13"/>
      <c r="BD110" s="13"/>
      <c r="BE110" s="24"/>
      <c r="BG110" s="24"/>
      <c r="BH110" s="13"/>
      <c r="BI110" s="13"/>
      <c r="BJ110" s="24"/>
      <c r="BL110" s="24"/>
      <c r="BM110" s="13"/>
      <c r="BN110" s="13"/>
    </row>
    <row r="111" spans="1:66" s="11" customFormat="1" ht="21">
      <c r="A111" s="24"/>
      <c r="B111" s="24"/>
      <c r="C111" s="24"/>
      <c r="E111" s="13"/>
      <c r="F111" s="24"/>
      <c r="G111" s="24"/>
      <c r="I111" s="24"/>
      <c r="J111" s="13"/>
      <c r="K111" s="13"/>
      <c r="L111" s="24"/>
      <c r="N111" s="24"/>
      <c r="O111" s="13"/>
      <c r="P111" s="13"/>
      <c r="Q111" s="24"/>
      <c r="S111" s="24"/>
      <c r="T111" s="13"/>
      <c r="U111" s="13"/>
      <c r="V111" s="24"/>
      <c r="X111" s="24"/>
      <c r="Y111" s="13"/>
      <c r="Z111" s="13"/>
      <c r="AA111" s="24"/>
      <c r="AC111" s="24"/>
      <c r="AD111" s="13"/>
      <c r="AE111" s="13"/>
      <c r="AF111" s="24"/>
      <c r="AH111" s="24"/>
      <c r="AI111" s="13"/>
      <c r="AJ111" s="13"/>
      <c r="AK111" s="24"/>
      <c r="AM111" s="24"/>
      <c r="AN111" s="13"/>
      <c r="AO111" s="13"/>
      <c r="AP111" s="24"/>
      <c r="AR111" s="24"/>
      <c r="AS111" s="13"/>
      <c r="AT111" s="13"/>
      <c r="AU111" s="24"/>
      <c r="AW111" s="24"/>
      <c r="AX111" s="13"/>
      <c r="AY111" s="13"/>
      <c r="AZ111" s="24"/>
      <c r="BB111" s="24"/>
      <c r="BC111" s="13"/>
      <c r="BD111" s="13"/>
      <c r="BE111" s="24"/>
      <c r="BG111" s="24"/>
      <c r="BH111" s="13"/>
      <c r="BI111" s="13"/>
      <c r="BJ111" s="24"/>
      <c r="BL111" s="24"/>
      <c r="BM111" s="13"/>
      <c r="BN111" s="13"/>
    </row>
    <row r="112" spans="1:66" s="11" customFormat="1" ht="21">
      <c r="A112" s="24"/>
      <c r="B112" s="24"/>
      <c r="C112" s="24"/>
      <c r="E112" s="13"/>
      <c r="F112" s="24"/>
      <c r="G112" s="24"/>
      <c r="I112" s="24"/>
      <c r="J112" s="13"/>
      <c r="K112" s="13"/>
      <c r="L112" s="24"/>
      <c r="N112" s="24"/>
      <c r="O112" s="13"/>
      <c r="P112" s="13"/>
      <c r="Q112" s="24"/>
      <c r="S112" s="24"/>
      <c r="T112" s="13"/>
      <c r="U112" s="13"/>
      <c r="V112" s="24"/>
      <c r="X112" s="24"/>
      <c r="Y112" s="13"/>
      <c r="Z112" s="13"/>
      <c r="AA112" s="24"/>
      <c r="AC112" s="24"/>
      <c r="AD112" s="13"/>
      <c r="AE112" s="13"/>
      <c r="AF112" s="24"/>
      <c r="AH112" s="24"/>
      <c r="AI112" s="13"/>
      <c r="AJ112" s="13"/>
      <c r="AK112" s="24"/>
      <c r="AM112" s="24"/>
      <c r="AN112" s="13"/>
      <c r="AO112" s="13"/>
      <c r="AP112" s="24"/>
      <c r="AR112" s="24"/>
      <c r="AS112" s="13"/>
      <c r="AT112" s="13"/>
      <c r="AU112" s="24"/>
      <c r="AW112" s="24"/>
      <c r="AX112" s="13"/>
      <c r="AY112" s="13"/>
      <c r="AZ112" s="24"/>
      <c r="BB112" s="24"/>
      <c r="BC112" s="13"/>
      <c r="BD112" s="13"/>
      <c r="BE112" s="24"/>
      <c r="BG112" s="24"/>
      <c r="BH112" s="13"/>
      <c r="BI112" s="13"/>
      <c r="BJ112" s="24"/>
      <c r="BL112" s="24"/>
      <c r="BM112" s="13"/>
      <c r="BN112" s="13"/>
    </row>
    <row r="113" spans="1:66" s="11" customFormat="1" ht="21">
      <c r="A113" s="24"/>
      <c r="B113" s="24"/>
      <c r="C113" s="24"/>
      <c r="E113" s="13"/>
      <c r="F113" s="24"/>
      <c r="G113" s="24"/>
      <c r="I113" s="24"/>
      <c r="J113" s="13"/>
      <c r="K113" s="13"/>
      <c r="L113" s="24"/>
      <c r="N113" s="24"/>
      <c r="O113" s="13"/>
      <c r="P113" s="13"/>
      <c r="Q113" s="24"/>
      <c r="S113" s="24"/>
      <c r="T113" s="13"/>
      <c r="U113" s="13"/>
      <c r="V113" s="24"/>
      <c r="X113" s="24"/>
      <c r="Y113" s="13"/>
      <c r="Z113" s="13"/>
      <c r="AA113" s="24"/>
      <c r="AC113" s="24"/>
      <c r="AD113" s="13"/>
      <c r="AE113" s="13"/>
      <c r="AF113" s="24"/>
      <c r="AH113" s="24"/>
      <c r="AI113" s="13"/>
      <c r="AJ113" s="13"/>
      <c r="AK113" s="24"/>
      <c r="AM113" s="24"/>
      <c r="AN113" s="13"/>
      <c r="AO113" s="13"/>
      <c r="AP113" s="24"/>
      <c r="AR113" s="24"/>
      <c r="AS113" s="13"/>
      <c r="AT113" s="13"/>
      <c r="AU113" s="24"/>
      <c r="AW113" s="24"/>
      <c r="AX113" s="13"/>
      <c r="AY113" s="13"/>
      <c r="AZ113" s="24"/>
      <c r="BB113" s="24"/>
      <c r="BC113" s="13"/>
      <c r="BD113" s="13"/>
      <c r="BE113" s="24"/>
      <c r="BG113" s="24"/>
      <c r="BH113" s="13"/>
      <c r="BI113" s="13"/>
      <c r="BJ113" s="24"/>
      <c r="BL113" s="24"/>
      <c r="BM113" s="13"/>
      <c r="BN113" s="13"/>
    </row>
    <row r="114" spans="1:66" s="11" customFormat="1" ht="21">
      <c r="A114" s="24"/>
      <c r="B114" s="24"/>
      <c r="C114" s="24"/>
      <c r="E114" s="13"/>
      <c r="F114" s="24"/>
      <c r="G114" s="24"/>
      <c r="I114" s="24"/>
      <c r="J114" s="13"/>
      <c r="K114" s="13"/>
      <c r="L114" s="24"/>
      <c r="N114" s="24"/>
      <c r="O114" s="13"/>
      <c r="P114" s="13"/>
      <c r="Q114" s="24"/>
      <c r="S114" s="24"/>
      <c r="T114" s="13"/>
      <c r="U114" s="13"/>
      <c r="V114" s="24"/>
      <c r="X114" s="24"/>
      <c r="Y114" s="13"/>
      <c r="Z114" s="13"/>
      <c r="AA114" s="24"/>
      <c r="AC114" s="24"/>
      <c r="AD114" s="13"/>
      <c r="AE114" s="13"/>
      <c r="AF114" s="24"/>
      <c r="AH114" s="24"/>
      <c r="AI114" s="13"/>
      <c r="AJ114" s="13"/>
      <c r="AK114" s="24"/>
      <c r="AM114" s="24"/>
      <c r="AN114" s="13"/>
      <c r="AO114" s="13"/>
      <c r="AP114" s="24"/>
      <c r="AR114" s="24"/>
      <c r="AS114" s="13"/>
      <c r="AT114" s="13"/>
      <c r="AU114" s="24"/>
      <c r="AW114" s="24"/>
      <c r="AX114" s="13"/>
      <c r="AY114" s="13"/>
      <c r="AZ114" s="24"/>
      <c r="BB114" s="24"/>
      <c r="BC114" s="13"/>
      <c r="BD114" s="13"/>
      <c r="BE114" s="24"/>
      <c r="BG114" s="24"/>
      <c r="BH114" s="13"/>
      <c r="BI114" s="13"/>
      <c r="BJ114" s="24"/>
      <c r="BL114" s="24"/>
      <c r="BM114" s="13"/>
      <c r="BN114" s="13"/>
    </row>
    <row r="115" spans="1:66" s="11" customFormat="1" ht="21">
      <c r="A115" s="24"/>
      <c r="B115" s="24"/>
      <c r="C115" s="24"/>
      <c r="E115" s="13"/>
      <c r="F115" s="24"/>
      <c r="G115" s="24"/>
      <c r="I115" s="24"/>
      <c r="J115" s="13"/>
      <c r="K115" s="13"/>
      <c r="L115" s="24"/>
      <c r="N115" s="24"/>
      <c r="O115" s="13"/>
      <c r="P115" s="13"/>
      <c r="Q115" s="24"/>
      <c r="S115" s="24"/>
      <c r="T115" s="13"/>
      <c r="U115" s="13"/>
      <c r="V115" s="24"/>
      <c r="X115" s="24"/>
      <c r="Y115" s="13"/>
      <c r="Z115" s="13"/>
      <c r="AA115" s="24"/>
      <c r="AC115" s="24"/>
      <c r="AD115" s="13"/>
      <c r="AE115" s="13"/>
      <c r="AF115" s="24"/>
      <c r="AH115" s="24"/>
      <c r="AI115" s="13"/>
      <c r="AJ115" s="13"/>
      <c r="AK115" s="24"/>
      <c r="AM115" s="24"/>
      <c r="AN115" s="13"/>
      <c r="AO115" s="13"/>
      <c r="AP115" s="24"/>
      <c r="AR115" s="24"/>
      <c r="AS115" s="13"/>
      <c r="AT115" s="13"/>
      <c r="AU115" s="24"/>
      <c r="AW115" s="24"/>
      <c r="AX115" s="13"/>
      <c r="AY115" s="13"/>
      <c r="AZ115" s="24"/>
      <c r="BB115" s="24"/>
      <c r="BC115" s="13"/>
      <c r="BD115" s="13"/>
      <c r="BE115" s="24"/>
      <c r="BG115" s="24"/>
      <c r="BH115" s="13"/>
      <c r="BI115" s="13"/>
      <c r="BJ115" s="24"/>
      <c r="BL115" s="24"/>
      <c r="BM115" s="13"/>
      <c r="BN115" s="13"/>
    </row>
    <row r="116" spans="1:66" s="11" customFormat="1" ht="21">
      <c r="A116" s="24"/>
      <c r="B116" s="24"/>
      <c r="C116" s="24"/>
      <c r="E116" s="13"/>
      <c r="F116" s="24"/>
      <c r="G116" s="24"/>
      <c r="I116" s="24"/>
      <c r="J116" s="13"/>
      <c r="K116" s="13"/>
      <c r="L116" s="24"/>
      <c r="N116" s="24"/>
      <c r="O116" s="13"/>
      <c r="P116" s="13"/>
      <c r="Q116" s="24"/>
      <c r="S116" s="24"/>
      <c r="T116" s="13"/>
      <c r="U116" s="13"/>
      <c r="V116" s="24"/>
      <c r="X116" s="24"/>
      <c r="Y116" s="13"/>
      <c r="Z116" s="13"/>
      <c r="AA116" s="24"/>
      <c r="AC116" s="24"/>
      <c r="AD116" s="13"/>
      <c r="AE116" s="13"/>
      <c r="AF116" s="24"/>
      <c r="AH116" s="24"/>
      <c r="AI116" s="13"/>
      <c r="AJ116" s="13"/>
      <c r="AK116" s="24"/>
      <c r="AM116" s="24"/>
      <c r="AN116" s="13"/>
      <c r="AO116" s="13"/>
      <c r="AP116" s="24"/>
      <c r="AR116" s="24"/>
      <c r="AS116" s="13"/>
      <c r="AT116" s="13"/>
      <c r="AU116" s="24"/>
      <c r="AW116" s="24"/>
      <c r="AX116" s="13"/>
      <c r="AY116" s="13"/>
      <c r="AZ116" s="24"/>
      <c r="BB116" s="24"/>
      <c r="BC116" s="13"/>
      <c r="BD116" s="13"/>
      <c r="BE116" s="24"/>
      <c r="BG116" s="24"/>
      <c r="BH116" s="13"/>
      <c r="BI116" s="13"/>
      <c r="BJ116" s="24"/>
      <c r="BL116" s="24"/>
      <c r="BM116" s="13"/>
      <c r="BN116" s="13"/>
    </row>
    <row r="117" spans="1:66" s="11" customFormat="1" ht="21">
      <c r="A117" s="24"/>
      <c r="B117" s="24"/>
      <c r="C117" s="24"/>
      <c r="E117" s="13"/>
      <c r="F117" s="24"/>
      <c r="G117" s="24"/>
      <c r="I117" s="24"/>
      <c r="J117" s="13"/>
      <c r="K117" s="13"/>
      <c r="L117" s="24"/>
      <c r="N117" s="24"/>
      <c r="O117" s="13"/>
      <c r="P117" s="13"/>
      <c r="Q117" s="24"/>
      <c r="S117" s="24"/>
      <c r="T117" s="13"/>
      <c r="U117" s="13"/>
      <c r="V117" s="24"/>
      <c r="X117" s="24"/>
      <c r="Y117" s="13"/>
      <c r="Z117" s="13"/>
      <c r="AA117" s="24"/>
      <c r="AC117" s="24"/>
      <c r="AD117" s="13"/>
      <c r="AE117" s="13"/>
      <c r="AF117" s="24"/>
      <c r="AH117" s="24"/>
      <c r="AI117" s="13"/>
      <c r="AJ117" s="13"/>
      <c r="AK117" s="24"/>
      <c r="AM117" s="24"/>
      <c r="AN117" s="13"/>
      <c r="AO117" s="13"/>
      <c r="AP117" s="24"/>
      <c r="AR117" s="24"/>
      <c r="AS117" s="13"/>
      <c r="AT117" s="13"/>
      <c r="AU117" s="24"/>
      <c r="AW117" s="24"/>
      <c r="AX117" s="13"/>
      <c r="AY117" s="13"/>
      <c r="AZ117" s="24"/>
      <c r="BB117" s="24"/>
      <c r="BC117" s="13"/>
      <c r="BD117" s="13"/>
      <c r="BE117" s="24"/>
      <c r="BG117" s="24"/>
      <c r="BH117" s="13"/>
      <c r="BI117" s="13"/>
      <c r="BJ117" s="24"/>
      <c r="BL117" s="24"/>
      <c r="BM117" s="13"/>
      <c r="BN117" s="13"/>
    </row>
    <row r="118" spans="1:66" s="11" customFormat="1" ht="21">
      <c r="A118" s="24"/>
      <c r="B118" s="24"/>
      <c r="C118" s="24"/>
      <c r="E118" s="13"/>
      <c r="F118" s="24"/>
      <c r="G118" s="24"/>
      <c r="I118" s="24"/>
      <c r="J118" s="13"/>
      <c r="K118" s="13"/>
      <c r="L118" s="24"/>
      <c r="N118" s="24"/>
      <c r="O118" s="13"/>
      <c r="P118" s="13"/>
      <c r="Q118" s="24"/>
      <c r="S118" s="24"/>
      <c r="T118" s="13"/>
      <c r="U118" s="13"/>
      <c r="V118" s="24"/>
      <c r="X118" s="24"/>
      <c r="Y118" s="13"/>
      <c r="Z118" s="13"/>
      <c r="AA118" s="24"/>
      <c r="AC118" s="24"/>
      <c r="AD118" s="13"/>
      <c r="AE118" s="13"/>
      <c r="AF118" s="24"/>
      <c r="AH118" s="24"/>
      <c r="AI118" s="13"/>
      <c r="AJ118" s="13"/>
      <c r="AK118" s="24"/>
      <c r="AM118" s="24"/>
      <c r="AN118" s="13"/>
      <c r="AO118" s="13"/>
      <c r="AP118" s="24"/>
      <c r="AR118" s="24"/>
      <c r="AS118" s="13"/>
      <c r="AT118" s="13"/>
      <c r="AU118" s="24"/>
      <c r="AW118" s="24"/>
      <c r="AX118" s="13"/>
      <c r="AY118" s="13"/>
      <c r="AZ118" s="24"/>
      <c r="BB118" s="24"/>
      <c r="BC118" s="13"/>
      <c r="BD118" s="13"/>
      <c r="BE118" s="24"/>
      <c r="BG118" s="24"/>
      <c r="BH118" s="13"/>
      <c r="BI118" s="13"/>
      <c r="BJ118" s="24"/>
      <c r="BL118" s="24"/>
      <c r="BM118" s="13"/>
      <c r="BN118" s="13"/>
    </row>
    <row r="119" spans="1:66" s="11" customFormat="1" ht="21">
      <c r="A119" s="24"/>
      <c r="B119" s="24"/>
      <c r="C119" s="24"/>
      <c r="E119" s="13"/>
      <c r="F119" s="24"/>
      <c r="G119" s="24"/>
      <c r="I119" s="24"/>
      <c r="J119" s="13"/>
      <c r="K119" s="13"/>
      <c r="L119" s="24"/>
      <c r="N119" s="24"/>
      <c r="O119" s="13"/>
      <c r="P119" s="13"/>
      <c r="Q119" s="24"/>
      <c r="S119" s="24"/>
      <c r="T119" s="13"/>
      <c r="U119" s="13"/>
      <c r="V119" s="24"/>
      <c r="X119" s="24"/>
      <c r="Y119" s="13"/>
      <c r="Z119" s="13"/>
      <c r="AA119" s="24"/>
      <c r="AC119" s="24"/>
      <c r="AD119" s="13"/>
      <c r="AE119" s="13"/>
      <c r="AF119" s="24"/>
      <c r="AH119" s="24"/>
      <c r="AI119" s="13"/>
      <c r="AJ119" s="13"/>
      <c r="AK119" s="24"/>
      <c r="AM119" s="24"/>
      <c r="AN119" s="13"/>
      <c r="AO119" s="13"/>
      <c r="AP119" s="24"/>
      <c r="AR119" s="24"/>
      <c r="AS119" s="13"/>
      <c r="AT119" s="13"/>
      <c r="AU119" s="24"/>
      <c r="AW119" s="24"/>
      <c r="AX119" s="13"/>
      <c r="AY119" s="13"/>
      <c r="AZ119" s="24"/>
      <c r="BB119" s="24"/>
      <c r="BC119" s="13"/>
      <c r="BD119" s="13"/>
      <c r="BE119" s="24"/>
      <c r="BG119" s="24"/>
      <c r="BH119" s="13"/>
      <c r="BI119" s="13"/>
      <c r="BJ119" s="24"/>
      <c r="BL119" s="24"/>
      <c r="BM119" s="13"/>
      <c r="BN119" s="13"/>
    </row>
    <row r="120" spans="1:66" s="11" customFormat="1" ht="21">
      <c r="A120" s="24"/>
      <c r="B120" s="24"/>
      <c r="C120" s="24"/>
      <c r="E120" s="13"/>
      <c r="F120" s="24"/>
      <c r="G120" s="24"/>
      <c r="I120" s="24"/>
      <c r="J120" s="13"/>
      <c r="K120" s="13"/>
      <c r="L120" s="24"/>
      <c r="N120" s="24"/>
      <c r="O120" s="13"/>
      <c r="P120" s="13"/>
      <c r="Q120" s="24"/>
      <c r="S120" s="24"/>
      <c r="T120" s="13"/>
      <c r="U120" s="13"/>
      <c r="V120" s="24"/>
      <c r="X120" s="24"/>
      <c r="Y120" s="13"/>
      <c r="Z120" s="13"/>
      <c r="AA120" s="24"/>
      <c r="AC120" s="24"/>
      <c r="AD120" s="13"/>
      <c r="AE120" s="13"/>
      <c r="AF120" s="24"/>
      <c r="AH120" s="24"/>
      <c r="AI120" s="13"/>
      <c r="AJ120" s="13"/>
      <c r="AK120" s="24"/>
      <c r="AM120" s="24"/>
      <c r="AN120" s="13"/>
      <c r="AO120" s="13"/>
      <c r="AP120" s="24"/>
      <c r="AR120" s="24"/>
      <c r="AS120" s="13"/>
      <c r="AT120" s="13"/>
      <c r="AU120" s="24"/>
      <c r="AW120" s="24"/>
      <c r="AX120" s="13"/>
      <c r="AY120" s="13"/>
      <c r="AZ120" s="24"/>
      <c r="BB120" s="24"/>
      <c r="BC120" s="13"/>
      <c r="BD120" s="13"/>
      <c r="BE120" s="24"/>
      <c r="BG120" s="24"/>
      <c r="BH120" s="13"/>
      <c r="BI120" s="13"/>
      <c r="BJ120" s="24"/>
      <c r="BL120" s="24"/>
      <c r="BM120" s="13"/>
      <c r="BN120" s="13"/>
    </row>
    <row r="121" spans="1:66" s="11" customFormat="1" ht="21">
      <c r="A121" s="24"/>
      <c r="B121" s="24"/>
      <c r="C121" s="24"/>
      <c r="E121" s="13"/>
      <c r="F121" s="24"/>
      <c r="G121" s="24"/>
      <c r="I121" s="24"/>
      <c r="J121" s="13"/>
      <c r="K121" s="13"/>
      <c r="L121" s="24"/>
      <c r="N121" s="24"/>
      <c r="O121" s="13"/>
      <c r="P121" s="13"/>
      <c r="Q121" s="24"/>
      <c r="S121" s="24"/>
      <c r="T121" s="13"/>
      <c r="U121" s="13"/>
      <c r="V121" s="24"/>
      <c r="X121" s="24"/>
      <c r="Y121" s="13"/>
      <c r="Z121" s="13"/>
      <c r="AA121" s="24"/>
      <c r="AC121" s="24"/>
      <c r="AD121" s="13"/>
      <c r="AE121" s="13"/>
      <c r="AF121" s="24"/>
      <c r="AH121" s="24"/>
      <c r="AI121" s="13"/>
      <c r="AJ121" s="13"/>
      <c r="AK121" s="24"/>
      <c r="AM121" s="24"/>
      <c r="AN121" s="13"/>
      <c r="AO121" s="13"/>
      <c r="AP121" s="24"/>
      <c r="AR121" s="24"/>
      <c r="AS121" s="13"/>
      <c r="AT121" s="13"/>
      <c r="AU121" s="24"/>
      <c r="AW121" s="24"/>
      <c r="AX121" s="13"/>
      <c r="AY121" s="13"/>
      <c r="AZ121" s="24"/>
      <c r="BB121" s="24"/>
      <c r="BC121" s="13"/>
      <c r="BD121" s="13"/>
      <c r="BE121" s="24"/>
      <c r="BG121" s="24"/>
      <c r="BH121" s="13"/>
      <c r="BI121" s="13"/>
      <c r="BJ121" s="24"/>
      <c r="BL121" s="24"/>
      <c r="BM121" s="13"/>
      <c r="BN121" s="13"/>
    </row>
    <row r="122" spans="1:66" s="11" customFormat="1" ht="21">
      <c r="A122" s="24"/>
      <c r="B122" s="24"/>
      <c r="C122" s="24"/>
      <c r="E122" s="13"/>
      <c r="F122" s="24"/>
      <c r="G122" s="24"/>
      <c r="I122" s="24"/>
      <c r="J122" s="13"/>
      <c r="K122" s="13"/>
      <c r="L122" s="24"/>
      <c r="N122" s="24"/>
      <c r="O122" s="13"/>
      <c r="P122" s="13"/>
      <c r="Q122" s="24"/>
      <c r="S122" s="24"/>
      <c r="T122" s="13"/>
      <c r="U122" s="13"/>
      <c r="V122" s="24"/>
      <c r="X122" s="24"/>
      <c r="Y122" s="13"/>
      <c r="Z122" s="13"/>
      <c r="AA122" s="24"/>
      <c r="AC122" s="24"/>
      <c r="AD122" s="13"/>
      <c r="AE122" s="13"/>
      <c r="AF122" s="24"/>
      <c r="AH122" s="24"/>
      <c r="AI122" s="13"/>
      <c r="AJ122" s="13"/>
      <c r="AK122" s="24"/>
      <c r="AM122" s="24"/>
      <c r="AN122" s="13"/>
      <c r="AO122" s="13"/>
      <c r="AP122" s="24"/>
      <c r="AR122" s="24"/>
      <c r="AS122" s="13"/>
      <c r="AT122" s="13"/>
      <c r="AU122" s="24"/>
      <c r="AW122" s="24"/>
      <c r="AX122" s="13"/>
      <c r="AY122" s="13"/>
      <c r="AZ122" s="24"/>
      <c r="BB122" s="24"/>
      <c r="BC122" s="13"/>
      <c r="BD122" s="13"/>
      <c r="BE122" s="24"/>
      <c r="BG122" s="24"/>
      <c r="BH122" s="13"/>
      <c r="BI122" s="13"/>
      <c r="BJ122" s="24"/>
      <c r="BL122" s="24"/>
      <c r="BM122" s="13"/>
      <c r="BN122" s="13"/>
    </row>
    <row r="123" spans="1:66" s="11" customFormat="1" ht="21">
      <c r="A123" s="24"/>
      <c r="B123" s="24"/>
      <c r="C123" s="24"/>
      <c r="E123" s="13"/>
      <c r="F123" s="24"/>
      <c r="G123" s="24"/>
      <c r="I123" s="24"/>
      <c r="J123" s="13"/>
      <c r="K123" s="13"/>
      <c r="L123" s="24"/>
      <c r="N123" s="24"/>
      <c r="O123" s="13"/>
      <c r="P123" s="13"/>
      <c r="Q123" s="24"/>
      <c r="S123" s="24"/>
      <c r="T123" s="13"/>
      <c r="U123" s="13"/>
      <c r="V123" s="24"/>
      <c r="X123" s="24"/>
      <c r="Y123" s="13"/>
      <c r="Z123" s="13"/>
      <c r="AA123" s="24"/>
      <c r="AC123" s="24"/>
      <c r="AD123" s="13"/>
      <c r="AE123" s="13"/>
      <c r="AF123" s="24"/>
      <c r="AH123" s="24"/>
      <c r="AI123" s="13"/>
      <c r="AJ123" s="13"/>
      <c r="AK123" s="24"/>
      <c r="AM123" s="24"/>
      <c r="AN123" s="13"/>
      <c r="AO123" s="13"/>
      <c r="AP123" s="24"/>
      <c r="AR123" s="24"/>
      <c r="AS123" s="13"/>
      <c r="AT123" s="13"/>
      <c r="AU123" s="24"/>
      <c r="AW123" s="24"/>
      <c r="AX123" s="13"/>
      <c r="AY123" s="13"/>
      <c r="AZ123" s="24"/>
      <c r="BB123" s="24"/>
      <c r="BC123" s="13"/>
      <c r="BD123" s="13"/>
      <c r="BE123" s="24"/>
      <c r="BG123" s="24"/>
      <c r="BH123" s="13"/>
      <c r="BI123" s="13"/>
      <c r="BJ123" s="24"/>
      <c r="BL123" s="24"/>
      <c r="BM123" s="13"/>
      <c r="BN123" s="13"/>
    </row>
    <row r="124" spans="1:66" s="11" customFormat="1" ht="21">
      <c r="A124" s="24"/>
      <c r="B124" s="24"/>
      <c r="C124" s="24"/>
      <c r="E124" s="13"/>
      <c r="F124" s="24"/>
      <c r="G124" s="24"/>
      <c r="I124" s="24"/>
      <c r="J124" s="13"/>
      <c r="K124" s="13"/>
      <c r="L124" s="24"/>
      <c r="N124" s="24"/>
      <c r="O124" s="13"/>
      <c r="P124" s="13"/>
      <c r="Q124" s="24"/>
      <c r="S124" s="24"/>
      <c r="T124" s="13"/>
      <c r="U124" s="13"/>
      <c r="V124" s="24"/>
      <c r="X124" s="24"/>
      <c r="Y124" s="13"/>
      <c r="Z124" s="13"/>
      <c r="AA124" s="24"/>
      <c r="AC124" s="24"/>
      <c r="AD124" s="13"/>
      <c r="AE124" s="13"/>
      <c r="AF124" s="24"/>
      <c r="AH124" s="24"/>
      <c r="AI124" s="13"/>
      <c r="AJ124" s="13"/>
      <c r="AK124" s="24"/>
      <c r="AM124" s="24"/>
      <c r="AN124" s="13"/>
      <c r="AO124" s="13"/>
      <c r="AP124" s="24"/>
      <c r="AR124" s="24"/>
      <c r="AS124" s="13"/>
      <c r="AT124" s="13"/>
      <c r="AU124" s="24"/>
      <c r="AW124" s="24"/>
      <c r="AX124" s="13"/>
      <c r="AY124" s="13"/>
      <c r="AZ124" s="24"/>
      <c r="BB124" s="24"/>
      <c r="BC124" s="13"/>
      <c r="BD124" s="13"/>
      <c r="BE124" s="24"/>
      <c r="BG124" s="24"/>
      <c r="BH124" s="13"/>
      <c r="BI124" s="13"/>
      <c r="BJ124" s="24"/>
      <c r="BL124" s="24"/>
      <c r="BM124" s="13"/>
      <c r="BN124" s="13"/>
    </row>
    <row r="125" spans="1:66" s="11" customFormat="1" ht="21">
      <c r="A125" s="24"/>
      <c r="B125" s="24"/>
      <c r="C125" s="24"/>
      <c r="E125" s="13"/>
      <c r="F125" s="24"/>
      <c r="G125" s="24"/>
      <c r="I125" s="24"/>
      <c r="J125" s="13"/>
      <c r="K125" s="13"/>
      <c r="L125" s="24"/>
      <c r="N125" s="24"/>
      <c r="O125" s="13"/>
      <c r="P125" s="13"/>
      <c r="Q125" s="24"/>
      <c r="S125" s="24"/>
      <c r="T125" s="13"/>
      <c r="U125" s="13"/>
      <c r="V125" s="24"/>
      <c r="X125" s="24"/>
      <c r="Y125" s="13"/>
      <c r="Z125" s="13"/>
      <c r="AA125" s="24"/>
      <c r="AC125" s="24"/>
      <c r="AD125" s="13"/>
      <c r="AE125" s="13"/>
      <c r="AF125" s="24"/>
      <c r="AH125" s="24"/>
      <c r="AI125" s="13"/>
      <c r="AJ125" s="13"/>
      <c r="AK125" s="24"/>
      <c r="AM125" s="24"/>
      <c r="AN125" s="13"/>
      <c r="AO125" s="13"/>
      <c r="AP125" s="24"/>
      <c r="AR125" s="24"/>
      <c r="AS125" s="13"/>
      <c r="AT125" s="13"/>
      <c r="AU125" s="24"/>
      <c r="AW125" s="24"/>
      <c r="AX125" s="13"/>
      <c r="AY125" s="13"/>
      <c r="AZ125" s="24"/>
      <c r="BB125" s="24"/>
      <c r="BC125" s="13"/>
      <c r="BD125" s="13"/>
      <c r="BE125" s="24"/>
      <c r="BG125" s="24"/>
      <c r="BH125" s="13"/>
      <c r="BI125" s="13"/>
      <c r="BJ125" s="24"/>
      <c r="BL125" s="24"/>
      <c r="BM125" s="13"/>
      <c r="BN125" s="13"/>
    </row>
    <row r="126" spans="1:66" s="11" customFormat="1" ht="21">
      <c r="A126" s="24"/>
      <c r="B126" s="24"/>
      <c r="C126" s="24"/>
      <c r="E126" s="13"/>
      <c r="F126" s="24"/>
      <c r="G126" s="24"/>
      <c r="I126" s="24"/>
      <c r="J126" s="13"/>
      <c r="K126" s="13"/>
      <c r="L126" s="24"/>
      <c r="N126" s="24"/>
      <c r="O126" s="13"/>
      <c r="P126" s="13"/>
      <c r="Q126" s="24"/>
      <c r="S126" s="24"/>
      <c r="T126" s="13"/>
      <c r="U126" s="13"/>
      <c r="V126" s="24"/>
      <c r="X126" s="24"/>
      <c r="Y126" s="13"/>
      <c r="Z126" s="13"/>
      <c r="AA126" s="24"/>
      <c r="AC126" s="24"/>
      <c r="AD126" s="13"/>
      <c r="AE126" s="13"/>
      <c r="AF126" s="24"/>
      <c r="AH126" s="24"/>
      <c r="AI126" s="13"/>
      <c r="AJ126" s="13"/>
      <c r="AK126" s="24"/>
      <c r="AM126" s="24"/>
      <c r="AN126" s="13"/>
      <c r="AO126" s="13"/>
      <c r="AP126" s="24"/>
      <c r="AR126" s="24"/>
      <c r="AS126" s="13"/>
      <c r="AT126" s="13"/>
      <c r="AU126" s="24"/>
      <c r="AW126" s="24"/>
      <c r="AX126" s="13"/>
      <c r="AY126" s="13"/>
      <c r="AZ126" s="24"/>
      <c r="BB126" s="24"/>
      <c r="BC126" s="13"/>
      <c r="BD126" s="13"/>
      <c r="BE126" s="24"/>
      <c r="BG126" s="24"/>
      <c r="BH126" s="13"/>
      <c r="BI126" s="13"/>
      <c r="BJ126" s="24"/>
      <c r="BL126" s="24"/>
      <c r="BM126" s="13"/>
      <c r="BN126" s="13"/>
    </row>
    <row r="127" spans="1:66" s="11" customFormat="1" ht="21">
      <c r="A127" s="24"/>
      <c r="B127" s="24"/>
      <c r="C127" s="24"/>
      <c r="E127" s="13"/>
      <c r="F127" s="24"/>
      <c r="G127" s="24"/>
      <c r="I127" s="24"/>
      <c r="J127" s="13"/>
      <c r="K127" s="13"/>
      <c r="L127" s="24"/>
      <c r="N127" s="24"/>
      <c r="O127" s="13"/>
      <c r="P127" s="13"/>
      <c r="Q127" s="24"/>
      <c r="S127" s="24"/>
      <c r="T127" s="13"/>
      <c r="U127" s="13"/>
      <c r="V127" s="24"/>
      <c r="X127" s="24"/>
      <c r="Y127" s="13"/>
      <c r="Z127" s="13"/>
      <c r="AA127" s="24"/>
      <c r="AC127" s="24"/>
      <c r="AD127" s="13"/>
      <c r="AE127" s="13"/>
      <c r="AF127" s="24"/>
      <c r="AH127" s="24"/>
      <c r="AI127" s="13"/>
      <c r="AJ127" s="13"/>
      <c r="AK127" s="24"/>
      <c r="AM127" s="24"/>
      <c r="AN127" s="13"/>
      <c r="AO127" s="13"/>
      <c r="AP127" s="24"/>
      <c r="AR127" s="24"/>
      <c r="AS127" s="13"/>
      <c r="AT127" s="13"/>
      <c r="AU127" s="24"/>
      <c r="AW127" s="24"/>
      <c r="AX127" s="13"/>
      <c r="AY127" s="13"/>
      <c r="AZ127" s="24"/>
      <c r="BB127" s="24"/>
      <c r="BC127" s="13"/>
      <c r="BD127" s="13"/>
      <c r="BE127" s="24"/>
      <c r="BG127" s="24"/>
      <c r="BH127" s="13"/>
      <c r="BI127" s="13"/>
      <c r="BJ127" s="24"/>
      <c r="BL127" s="24"/>
      <c r="BM127" s="13"/>
      <c r="BN127" s="13"/>
    </row>
    <row r="128" spans="1:66" s="11" customFormat="1" ht="21">
      <c r="A128" s="24"/>
      <c r="B128" s="24"/>
      <c r="C128" s="24"/>
      <c r="E128" s="13"/>
      <c r="F128" s="24"/>
      <c r="G128" s="24"/>
      <c r="I128" s="24"/>
      <c r="J128" s="13"/>
      <c r="K128" s="13"/>
      <c r="L128" s="24"/>
      <c r="N128" s="24"/>
      <c r="O128" s="13"/>
      <c r="P128" s="13"/>
      <c r="Q128" s="24"/>
      <c r="S128" s="24"/>
      <c r="T128" s="13"/>
      <c r="U128" s="13"/>
      <c r="V128" s="24"/>
      <c r="X128" s="24"/>
      <c r="Y128" s="13"/>
      <c r="Z128" s="13"/>
      <c r="AA128" s="24"/>
      <c r="AC128" s="24"/>
      <c r="AD128" s="13"/>
      <c r="AE128" s="13"/>
      <c r="AF128" s="24"/>
      <c r="AH128" s="24"/>
      <c r="AI128" s="13"/>
      <c r="AJ128" s="13"/>
      <c r="AK128" s="24"/>
      <c r="AM128" s="24"/>
      <c r="AN128" s="13"/>
      <c r="AO128" s="13"/>
      <c r="AP128" s="24"/>
      <c r="AR128" s="24"/>
      <c r="AS128" s="13"/>
      <c r="AT128" s="13"/>
      <c r="AU128" s="24"/>
      <c r="AW128" s="24"/>
      <c r="AX128" s="13"/>
      <c r="AY128" s="13"/>
      <c r="AZ128" s="24"/>
      <c r="BB128" s="24"/>
      <c r="BC128" s="13"/>
      <c r="BD128" s="13"/>
      <c r="BE128" s="24"/>
      <c r="BG128" s="24"/>
      <c r="BH128" s="13"/>
      <c r="BI128" s="13"/>
      <c r="BJ128" s="24"/>
      <c r="BL128" s="24"/>
      <c r="BM128" s="13"/>
      <c r="BN128" s="13"/>
    </row>
    <row r="129" spans="1:66" s="11" customFormat="1" ht="21">
      <c r="A129" s="24"/>
      <c r="B129" s="24"/>
      <c r="C129" s="24"/>
      <c r="E129" s="13"/>
      <c r="F129" s="24"/>
      <c r="G129" s="24"/>
      <c r="I129" s="24"/>
      <c r="J129" s="13"/>
      <c r="K129" s="13"/>
      <c r="L129" s="24"/>
      <c r="N129" s="24"/>
      <c r="O129" s="13"/>
      <c r="P129" s="13"/>
      <c r="Q129" s="24"/>
      <c r="S129" s="24"/>
      <c r="T129" s="13"/>
      <c r="U129" s="13"/>
      <c r="V129" s="24"/>
      <c r="X129" s="24"/>
      <c r="Y129" s="13"/>
      <c r="Z129" s="13"/>
      <c r="AA129" s="24"/>
      <c r="AC129" s="24"/>
      <c r="AD129" s="13"/>
      <c r="AE129" s="13"/>
      <c r="AF129" s="24"/>
      <c r="AH129" s="24"/>
      <c r="AI129" s="13"/>
      <c r="AJ129" s="13"/>
      <c r="AK129" s="24"/>
      <c r="AM129" s="24"/>
      <c r="AN129" s="13"/>
      <c r="AO129" s="13"/>
      <c r="AP129" s="24"/>
      <c r="AR129" s="24"/>
      <c r="AS129" s="13"/>
      <c r="AT129" s="13"/>
      <c r="AU129" s="24"/>
      <c r="AW129" s="24"/>
      <c r="AX129" s="13"/>
      <c r="AY129" s="13"/>
      <c r="AZ129" s="24"/>
      <c r="BB129" s="24"/>
      <c r="BC129" s="13"/>
      <c r="BD129" s="13"/>
      <c r="BE129" s="24"/>
      <c r="BG129" s="24"/>
      <c r="BH129" s="13"/>
      <c r="BI129" s="13"/>
      <c r="BJ129" s="24"/>
      <c r="BL129" s="24"/>
      <c r="BM129" s="13"/>
      <c r="BN129" s="13"/>
    </row>
    <row r="130" spans="1:66" s="11" customFormat="1" ht="21">
      <c r="A130" s="24"/>
      <c r="B130" s="24"/>
      <c r="C130" s="24"/>
      <c r="E130" s="13"/>
      <c r="F130" s="24"/>
      <c r="G130" s="24"/>
      <c r="I130" s="24"/>
      <c r="J130" s="13"/>
      <c r="K130" s="13"/>
      <c r="L130" s="24"/>
      <c r="N130" s="24"/>
      <c r="O130" s="13"/>
      <c r="P130" s="13"/>
      <c r="Q130" s="24"/>
      <c r="S130" s="24"/>
      <c r="T130" s="13"/>
      <c r="U130" s="13"/>
      <c r="V130" s="24"/>
      <c r="X130" s="24"/>
      <c r="Y130" s="13"/>
      <c r="Z130" s="13"/>
      <c r="AA130" s="24"/>
      <c r="AC130" s="24"/>
      <c r="AD130" s="13"/>
      <c r="AE130" s="13"/>
      <c r="AF130" s="24"/>
      <c r="AH130" s="24"/>
      <c r="AI130" s="13"/>
      <c r="AJ130" s="13"/>
      <c r="AK130" s="24"/>
      <c r="AM130" s="24"/>
      <c r="AN130" s="13"/>
      <c r="AO130" s="13"/>
      <c r="AP130" s="24"/>
      <c r="AR130" s="24"/>
      <c r="AS130" s="13"/>
      <c r="AT130" s="13"/>
      <c r="AU130" s="24"/>
      <c r="AW130" s="24"/>
      <c r="AX130" s="13"/>
      <c r="AY130" s="13"/>
      <c r="AZ130" s="24"/>
      <c r="BB130" s="24"/>
      <c r="BC130" s="13"/>
      <c r="BD130" s="13"/>
      <c r="BE130" s="24"/>
      <c r="BG130" s="24"/>
      <c r="BH130" s="13"/>
      <c r="BI130" s="13"/>
      <c r="BJ130" s="24"/>
      <c r="BL130" s="24"/>
      <c r="BM130" s="13"/>
      <c r="BN130" s="13"/>
    </row>
    <row r="131" spans="1:66" s="11" customFormat="1" ht="21">
      <c r="A131" s="24"/>
      <c r="B131" s="24"/>
      <c r="C131" s="24"/>
      <c r="E131" s="13"/>
      <c r="F131" s="24"/>
      <c r="G131" s="24"/>
      <c r="I131" s="24"/>
      <c r="J131" s="13"/>
      <c r="K131" s="13"/>
      <c r="L131" s="24"/>
      <c r="N131" s="24"/>
      <c r="O131" s="13"/>
      <c r="P131" s="13"/>
      <c r="Q131" s="24"/>
      <c r="S131" s="24"/>
      <c r="T131" s="13"/>
      <c r="U131" s="13"/>
      <c r="V131" s="24"/>
      <c r="X131" s="24"/>
      <c r="Y131" s="13"/>
      <c r="Z131" s="13"/>
      <c r="AA131" s="24"/>
      <c r="AC131" s="24"/>
      <c r="AD131" s="13"/>
      <c r="AE131" s="13"/>
      <c r="AF131" s="24"/>
      <c r="AH131" s="24"/>
      <c r="AI131" s="13"/>
      <c r="AJ131" s="13"/>
      <c r="AK131" s="24"/>
      <c r="AM131" s="24"/>
      <c r="AN131" s="13"/>
      <c r="AO131" s="13"/>
      <c r="AP131" s="24"/>
      <c r="AR131" s="24"/>
      <c r="AS131" s="13"/>
      <c r="AT131" s="13"/>
      <c r="AU131" s="24"/>
      <c r="AW131" s="24"/>
      <c r="AX131" s="13"/>
      <c r="AY131" s="13"/>
      <c r="AZ131" s="24"/>
      <c r="BB131" s="24"/>
      <c r="BC131" s="13"/>
      <c r="BD131" s="13"/>
      <c r="BE131" s="24"/>
      <c r="BG131" s="24"/>
      <c r="BH131" s="13"/>
      <c r="BI131" s="13"/>
      <c r="BJ131" s="24"/>
      <c r="BL131" s="24"/>
      <c r="BM131" s="13"/>
      <c r="BN131" s="13"/>
    </row>
    <row r="132" spans="1:66" s="11" customFormat="1" ht="21">
      <c r="A132" s="24"/>
      <c r="B132" s="24"/>
      <c r="C132" s="24"/>
      <c r="E132" s="13"/>
      <c r="F132" s="24"/>
      <c r="G132" s="24"/>
      <c r="I132" s="24"/>
      <c r="J132" s="13"/>
      <c r="K132" s="13"/>
      <c r="L132" s="24"/>
      <c r="N132" s="24"/>
      <c r="O132" s="13"/>
      <c r="P132" s="13"/>
      <c r="Q132" s="24"/>
      <c r="S132" s="24"/>
      <c r="T132" s="13"/>
      <c r="U132" s="13"/>
      <c r="V132" s="24"/>
      <c r="X132" s="24"/>
      <c r="Y132" s="13"/>
      <c r="Z132" s="13"/>
      <c r="AA132" s="24"/>
      <c r="AC132" s="24"/>
      <c r="AD132" s="13"/>
      <c r="AE132" s="13"/>
      <c r="AF132" s="24"/>
      <c r="AH132" s="24"/>
      <c r="AI132" s="13"/>
      <c r="AJ132" s="13"/>
      <c r="AK132" s="24"/>
      <c r="AM132" s="24"/>
      <c r="AN132" s="13"/>
      <c r="AO132" s="13"/>
      <c r="AP132" s="24"/>
      <c r="AR132" s="24"/>
      <c r="AS132" s="13"/>
      <c r="AT132" s="13"/>
      <c r="AU132" s="24"/>
      <c r="AW132" s="24"/>
      <c r="AX132" s="13"/>
      <c r="AY132" s="13"/>
      <c r="AZ132" s="24"/>
      <c r="BB132" s="24"/>
      <c r="BC132" s="13"/>
      <c r="BD132" s="13"/>
      <c r="BE132" s="24"/>
      <c r="BG132" s="24"/>
      <c r="BH132" s="13"/>
      <c r="BI132" s="13"/>
      <c r="BJ132" s="24"/>
      <c r="BL132" s="24"/>
      <c r="BM132" s="13"/>
      <c r="BN132" s="13"/>
    </row>
    <row r="133" spans="1:66" s="11" customFormat="1" ht="21">
      <c r="A133" s="24"/>
      <c r="B133" s="24"/>
      <c r="C133" s="24"/>
      <c r="E133" s="13"/>
      <c r="F133" s="24"/>
      <c r="G133" s="24"/>
      <c r="I133" s="24"/>
      <c r="J133" s="13"/>
      <c r="K133" s="13"/>
      <c r="L133" s="24"/>
      <c r="N133" s="24"/>
      <c r="O133" s="13"/>
      <c r="P133" s="13"/>
      <c r="Q133" s="24"/>
      <c r="S133" s="24"/>
      <c r="T133" s="13"/>
      <c r="U133" s="13"/>
      <c r="V133" s="24"/>
      <c r="X133" s="24"/>
      <c r="Y133" s="13"/>
      <c r="Z133" s="13"/>
      <c r="AA133" s="24"/>
      <c r="AC133" s="24"/>
      <c r="AD133" s="13"/>
      <c r="AE133" s="13"/>
      <c r="AF133" s="24"/>
      <c r="AH133" s="24"/>
      <c r="AI133" s="13"/>
      <c r="AJ133" s="13"/>
      <c r="AK133" s="24"/>
      <c r="AM133" s="24"/>
      <c r="AN133" s="13"/>
      <c r="AO133" s="13"/>
      <c r="AP133" s="24"/>
      <c r="AR133" s="24"/>
      <c r="AS133" s="13"/>
      <c r="AT133" s="13"/>
      <c r="AU133" s="24"/>
      <c r="AW133" s="24"/>
      <c r="AX133" s="13"/>
      <c r="AY133" s="13"/>
      <c r="AZ133" s="24"/>
      <c r="BB133" s="24"/>
      <c r="BC133" s="13"/>
      <c r="BD133" s="13"/>
      <c r="BE133" s="24"/>
      <c r="BG133" s="24"/>
      <c r="BH133" s="13"/>
      <c r="BI133" s="13"/>
      <c r="BJ133" s="24"/>
      <c r="BL133" s="24"/>
      <c r="BM133" s="13"/>
      <c r="BN133" s="13"/>
    </row>
    <row r="134" spans="1:66" s="11" customFormat="1" ht="21">
      <c r="A134" s="24"/>
      <c r="B134" s="24"/>
      <c r="C134" s="24"/>
      <c r="E134" s="13"/>
      <c r="F134" s="24"/>
      <c r="G134" s="24"/>
      <c r="I134" s="24"/>
      <c r="J134" s="13"/>
      <c r="K134" s="13"/>
      <c r="L134" s="24"/>
      <c r="N134" s="24"/>
      <c r="O134" s="13"/>
      <c r="P134" s="13"/>
      <c r="Q134" s="24"/>
      <c r="S134" s="24"/>
      <c r="T134" s="13"/>
      <c r="U134" s="13"/>
      <c r="V134" s="24"/>
      <c r="X134" s="24"/>
      <c r="Y134" s="13"/>
      <c r="Z134" s="13"/>
      <c r="AA134" s="24"/>
      <c r="AC134" s="24"/>
      <c r="AD134" s="13"/>
      <c r="AE134" s="13"/>
      <c r="AF134" s="24"/>
      <c r="AH134" s="24"/>
      <c r="AI134" s="13"/>
      <c r="AJ134" s="13"/>
      <c r="AK134" s="24"/>
      <c r="AM134" s="24"/>
      <c r="AN134" s="13"/>
      <c r="AO134" s="13"/>
      <c r="AP134" s="24"/>
      <c r="AR134" s="24"/>
      <c r="AS134" s="13"/>
      <c r="AT134" s="13"/>
      <c r="AU134" s="24"/>
      <c r="AW134" s="24"/>
      <c r="AX134" s="13"/>
      <c r="AY134" s="13"/>
      <c r="AZ134" s="24"/>
      <c r="BB134" s="24"/>
      <c r="BC134" s="13"/>
      <c r="BD134" s="13"/>
      <c r="BE134" s="24"/>
      <c r="BG134" s="24"/>
      <c r="BH134" s="13"/>
      <c r="BI134" s="13"/>
      <c r="BJ134" s="24"/>
      <c r="BL134" s="24"/>
      <c r="BM134" s="13"/>
      <c r="BN134" s="13"/>
    </row>
    <row r="135" spans="1:66" s="11" customFormat="1" ht="21">
      <c r="A135" s="24"/>
      <c r="B135" s="24"/>
      <c r="C135" s="24"/>
      <c r="E135" s="13"/>
      <c r="F135" s="24"/>
      <c r="G135" s="24"/>
      <c r="I135" s="24"/>
      <c r="J135" s="13"/>
      <c r="K135" s="13"/>
      <c r="L135" s="24"/>
      <c r="N135" s="24"/>
      <c r="O135" s="13"/>
      <c r="P135" s="13"/>
      <c r="Q135" s="24"/>
      <c r="S135" s="24"/>
      <c r="T135" s="13"/>
      <c r="U135" s="13"/>
      <c r="V135" s="24"/>
      <c r="X135" s="24"/>
      <c r="Y135" s="13"/>
      <c r="Z135" s="13"/>
      <c r="AA135" s="24"/>
      <c r="AC135" s="24"/>
      <c r="AD135" s="13"/>
      <c r="AE135" s="13"/>
      <c r="AF135" s="24"/>
      <c r="AH135" s="24"/>
      <c r="AI135" s="13"/>
      <c r="AJ135" s="13"/>
      <c r="AK135" s="24"/>
      <c r="AM135" s="24"/>
      <c r="AN135" s="13"/>
      <c r="AO135" s="13"/>
      <c r="AP135" s="24"/>
      <c r="AR135" s="24"/>
      <c r="AS135" s="13"/>
      <c r="AT135" s="13"/>
      <c r="AU135" s="24"/>
      <c r="AW135" s="24"/>
      <c r="AX135" s="13"/>
      <c r="AY135" s="13"/>
      <c r="AZ135" s="24"/>
      <c r="BB135" s="24"/>
      <c r="BC135" s="13"/>
      <c r="BD135" s="13"/>
      <c r="BE135" s="24"/>
      <c r="BG135" s="24"/>
      <c r="BH135" s="13"/>
      <c r="BI135" s="13"/>
      <c r="BJ135" s="24"/>
      <c r="BL135" s="24"/>
      <c r="BM135" s="13"/>
      <c r="BN135" s="13"/>
    </row>
    <row r="136" spans="1:66" s="11" customFormat="1" ht="21">
      <c r="A136" s="24"/>
      <c r="B136" s="24"/>
      <c r="C136" s="24"/>
      <c r="E136" s="13"/>
      <c r="F136" s="24"/>
      <c r="G136" s="24"/>
      <c r="I136" s="24"/>
      <c r="J136" s="13"/>
      <c r="K136" s="13"/>
      <c r="L136" s="24"/>
      <c r="N136" s="24"/>
      <c r="O136" s="13"/>
      <c r="P136" s="13"/>
      <c r="Q136" s="24"/>
      <c r="S136" s="24"/>
      <c r="T136" s="13"/>
      <c r="U136" s="13"/>
      <c r="V136" s="24"/>
      <c r="X136" s="24"/>
      <c r="Y136" s="13"/>
      <c r="Z136" s="13"/>
      <c r="AA136" s="24"/>
      <c r="AC136" s="24"/>
      <c r="AD136" s="13"/>
      <c r="AE136" s="13"/>
      <c r="AF136" s="24"/>
      <c r="AH136" s="24"/>
      <c r="AI136" s="13"/>
      <c r="AJ136" s="13"/>
      <c r="AK136" s="24"/>
      <c r="AM136" s="24"/>
      <c r="AN136" s="13"/>
      <c r="AO136" s="13"/>
      <c r="AP136" s="24"/>
      <c r="AR136" s="24"/>
      <c r="AS136" s="13"/>
      <c r="AT136" s="13"/>
      <c r="AU136" s="24"/>
      <c r="AW136" s="24"/>
      <c r="AX136" s="13"/>
      <c r="AY136" s="13"/>
      <c r="AZ136" s="24"/>
      <c r="BB136" s="24"/>
      <c r="BC136" s="13"/>
      <c r="BD136" s="13"/>
      <c r="BE136" s="24"/>
      <c r="BG136" s="24"/>
      <c r="BH136" s="13"/>
      <c r="BI136" s="13"/>
      <c r="BJ136" s="24"/>
      <c r="BL136" s="24"/>
      <c r="BM136" s="13"/>
      <c r="BN136" s="13"/>
    </row>
    <row r="137" spans="1:66" s="11" customFormat="1" ht="21">
      <c r="A137" s="24"/>
      <c r="B137" s="24"/>
      <c r="C137" s="24"/>
      <c r="E137" s="13"/>
      <c r="F137" s="24"/>
      <c r="G137" s="24"/>
      <c r="I137" s="24"/>
      <c r="J137" s="13"/>
      <c r="K137" s="13"/>
      <c r="L137" s="24"/>
      <c r="N137" s="24"/>
      <c r="O137" s="13"/>
      <c r="P137" s="13"/>
      <c r="Q137" s="24"/>
      <c r="S137" s="24"/>
      <c r="T137" s="13"/>
      <c r="U137" s="13"/>
      <c r="V137" s="24"/>
      <c r="X137" s="24"/>
      <c r="Y137" s="13"/>
      <c r="Z137" s="13"/>
      <c r="AA137" s="24"/>
      <c r="AC137" s="24"/>
      <c r="AD137" s="13"/>
      <c r="AE137" s="13"/>
      <c r="AF137" s="24"/>
      <c r="AH137" s="24"/>
      <c r="AI137" s="13"/>
      <c r="AJ137" s="13"/>
      <c r="AK137" s="24"/>
      <c r="AM137" s="24"/>
      <c r="AN137" s="13"/>
      <c r="AO137" s="13"/>
      <c r="AP137" s="24"/>
      <c r="AR137" s="24"/>
      <c r="AS137" s="13"/>
      <c r="AT137" s="13"/>
      <c r="AU137" s="24"/>
      <c r="AW137" s="24"/>
      <c r="AX137" s="13"/>
      <c r="AY137" s="13"/>
      <c r="AZ137" s="24"/>
      <c r="BB137" s="24"/>
      <c r="BC137" s="13"/>
      <c r="BD137" s="13"/>
      <c r="BE137" s="24"/>
      <c r="BG137" s="24"/>
      <c r="BH137" s="13"/>
      <c r="BI137" s="13"/>
      <c r="BJ137" s="24"/>
      <c r="BL137" s="24"/>
      <c r="BM137" s="13"/>
      <c r="BN137" s="13"/>
    </row>
    <row r="138" spans="1:66" s="11" customFormat="1" ht="21">
      <c r="A138" s="24"/>
      <c r="B138" s="24"/>
      <c r="C138" s="24"/>
      <c r="E138" s="13"/>
      <c r="F138" s="24"/>
      <c r="G138" s="24"/>
      <c r="I138" s="24"/>
      <c r="J138" s="13"/>
      <c r="K138" s="13"/>
      <c r="L138" s="24"/>
      <c r="N138" s="24"/>
      <c r="O138" s="13"/>
      <c r="P138" s="13"/>
      <c r="Q138" s="24"/>
      <c r="S138" s="24"/>
      <c r="T138" s="13"/>
      <c r="U138" s="13"/>
      <c r="V138" s="24"/>
      <c r="X138" s="24"/>
      <c r="Y138" s="13"/>
      <c r="Z138" s="13"/>
      <c r="AA138" s="24"/>
      <c r="AC138" s="24"/>
      <c r="AD138" s="13"/>
      <c r="AE138" s="13"/>
      <c r="AF138" s="24"/>
      <c r="AH138" s="24"/>
      <c r="AI138" s="13"/>
      <c r="AJ138" s="13"/>
      <c r="AK138" s="24"/>
      <c r="AM138" s="24"/>
      <c r="AN138" s="13"/>
      <c r="AO138" s="13"/>
      <c r="AP138" s="24"/>
      <c r="AR138" s="24"/>
      <c r="AS138" s="13"/>
      <c r="AT138" s="13"/>
      <c r="AU138" s="24"/>
      <c r="AW138" s="24"/>
      <c r="AX138" s="13"/>
      <c r="AY138" s="13"/>
      <c r="AZ138" s="24"/>
      <c r="BB138" s="24"/>
      <c r="BC138" s="13"/>
      <c r="BD138" s="13"/>
      <c r="BE138" s="24"/>
      <c r="BG138" s="24"/>
      <c r="BH138" s="13"/>
      <c r="BI138" s="13"/>
      <c r="BJ138" s="24"/>
      <c r="BL138" s="24"/>
      <c r="BM138" s="13"/>
      <c r="BN138" s="13"/>
    </row>
    <row r="139" spans="1:66" s="11" customFormat="1" ht="21">
      <c r="A139" s="24"/>
      <c r="B139" s="24"/>
      <c r="C139" s="24"/>
      <c r="E139" s="13"/>
      <c r="F139" s="24"/>
      <c r="G139" s="24"/>
      <c r="I139" s="24"/>
      <c r="J139" s="13"/>
      <c r="K139" s="13"/>
      <c r="L139" s="24"/>
      <c r="N139" s="24"/>
      <c r="O139" s="13"/>
      <c r="P139" s="13"/>
      <c r="Q139" s="24"/>
      <c r="S139" s="24"/>
      <c r="T139" s="13"/>
      <c r="U139" s="13"/>
      <c r="V139" s="24"/>
      <c r="X139" s="24"/>
      <c r="Y139" s="13"/>
      <c r="Z139" s="13"/>
      <c r="AA139" s="24"/>
      <c r="AC139" s="24"/>
      <c r="AD139" s="13"/>
      <c r="AE139" s="13"/>
      <c r="AF139" s="24"/>
      <c r="AH139" s="24"/>
      <c r="AI139" s="13"/>
      <c r="AJ139" s="13"/>
      <c r="AK139" s="24"/>
      <c r="AM139" s="24"/>
      <c r="AN139" s="13"/>
      <c r="AO139" s="13"/>
      <c r="AP139" s="24"/>
      <c r="AR139" s="24"/>
      <c r="AS139" s="13"/>
      <c r="AT139" s="13"/>
      <c r="AU139" s="24"/>
      <c r="AW139" s="24"/>
      <c r="AX139" s="13"/>
      <c r="AY139" s="13"/>
      <c r="AZ139" s="24"/>
      <c r="BB139" s="24"/>
      <c r="BC139" s="13"/>
      <c r="BD139" s="13"/>
      <c r="BE139" s="24"/>
      <c r="BG139" s="24"/>
      <c r="BH139" s="13"/>
      <c r="BI139" s="13"/>
      <c r="BJ139" s="24"/>
      <c r="BL139" s="24"/>
      <c r="BM139" s="13"/>
      <c r="BN139" s="13"/>
    </row>
    <row r="140" spans="1:66" s="11" customFormat="1" ht="21">
      <c r="A140" s="24"/>
      <c r="B140" s="24"/>
      <c r="C140" s="24"/>
      <c r="E140" s="13"/>
      <c r="F140" s="24"/>
      <c r="G140" s="24"/>
      <c r="I140" s="24"/>
      <c r="J140" s="13"/>
      <c r="K140" s="13"/>
      <c r="L140" s="24"/>
      <c r="N140" s="24"/>
      <c r="O140" s="13"/>
      <c r="P140" s="13"/>
      <c r="Q140" s="24"/>
      <c r="S140" s="24"/>
      <c r="T140" s="13"/>
      <c r="U140" s="13"/>
      <c r="V140" s="24"/>
      <c r="X140" s="24"/>
      <c r="Y140" s="13"/>
      <c r="Z140" s="13"/>
      <c r="AA140" s="24"/>
      <c r="AC140" s="24"/>
      <c r="AD140" s="13"/>
      <c r="AE140" s="13"/>
      <c r="AF140" s="24"/>
      <c r="AH140" s="24"/>
      <c r="AI140" s="13"/>
      <c r="AJ140" s="13"/>
      <c r="AK140" s="24"/>
      <c r="AM140" s="24"/>
      <c r="AN140" s="13"/>
      <c r="AO140" s="13"/>
      <c r="AP140" s="24"/>
      <c r="AR140" s="24"/>
      <c r="AS140" s="13"/>
      <c r="AT140" s="13"/>
      <c r="AU140" s="24"/>
      <c r="AW140" s="24"/>
      <c r="AX140" s="13"/>
      <c r="AY140" s="13"/>
      <c r="AZ140" s="24"/>
      <c r="BB140" s="24"/>
      <c r="BC140" s="13"/>
      <c r="BD140" s="13"/>
      <c r="BE140" s="24"/>
      <c r="BG140" s="24"/>
      <c r="BH140" s="13"/>
      <c r="BI140" s="13"/>
      <c r="BJ140" s="24"/>
      <c r="BL140" s="24"/>
      <c r="BM140" s="13"/>
      <c r="BN140" s="13"/>
    </row>
    <row r="141" spans="1:66" s="11" customFormat="1" ht="21">
      <c r="A141" s="24"/>
      <c r="B141" s="24"/>
      <c r="C141" s="24"/>
      <c r="E141" s="13"/>
      <c r="F141" s="24"/>
      <c r="G141" s="24"/>
      <c r="I141" s="24"/>
      <c r="J141" s="13"/>
      <c r="K141" s="13"/>
      <c r="L141" s="24"/>
      <c r="N141" s="24"/>
      <c r="O141" s="13"/>
      <c r="P141" s="13"/>
      <c r="Q141" s="24"/>
      <c r="S141" s="24"/>
      <c r="T141" s="13"/>
      <c r="U141" s="13"/>
      <c r="V141" s="24"/>
      <c r="X141" s="24"/>
      <c r="Y141" s="13"/>
      <c r="Z141" s="13"/>
      <c r="AA141" s="24"/>
      <c r="AC141" s="24"/>
      <c r="AD141" s="13"/>
      <c r="AE141" s="13"/>
      <c r="AF141" s="24"/>
      <c r="AH141" s="24"/>
      <c r="AI141" s="13"/>
      <c r="AJ141" s="13"/>
      <c r="AK141" s="24"/>
      <c r="AM141" s="24"/>
      <c r="AN141" s="13"/>
      <c r="AO141" s="13"/>
      <c r="AP141" s="24"/>
      <c r="AR141" s="24"/>
      <c r="AS141" s="13"/>
      <c r="AT141" s="13"/>
      <c r="AU141" s="24"/>
      <c r="AW141" s="24"/>
      <c r="AX141" s="13"/>
      <c r="AY141" s="13"/>
      <c r="AZ141" s="24"/>
      <c r="BB141" s="24"/>
      <c r="BC141" s="13"/>
      <c r="BD141" s="13"/>
      <c r="BE141" s="24"/>
      <c r="BG141" s="24"/>
      <c r="BH141" s="13"/>
      <c r="BI141" s="13"/>
      <c r="BJ141" s="24"/>
      <c r="BL141" s="24"/>
      <c r="BM141" s="13"/>
      <c r="BN141" s="13"/>
    </row>
    <row r="142" spans="1:66" s="11" customFormat="1" ht="21">
      <c r="A142" s="24"/>
      <c r="B142" s="24"/>
      <c r="C142" s="24"/>
      <c r="E142" s="13"/>
      <c r="F142" s="24"/>
      <c r="G142" s="24"/>
      <c r="I142" s="24"/>
      <c r="J142" s="13"/>
      <c r="K142" s="13"/>
      <c r="L142" s="24"/>
      <c r="N142" s="24"/>
      <c r="O142" s="13"/>
      <c r="P142" s="13"/>
      <c r="Q142" s="24"/>
      <c r="S142" s="24"/>
      <c r="T142" s="13"/>
      <c r="U142" s="13"/>
      <c r="V142" s="24"/>
      <c r="X142" s="24"/>
      <c r="Y142" s="13"/>
      <c r="Z142" s="13"/>
      <c r="AA142" s="24"/>
      <c r="AC142" s="24"/>
      <c r="AD142" s="13"/>
      <c r="AE142" s="13"/>
      <c r="AF142" s="24"/>
      <c r="AH142" s="24"/>
      <c r="AI142" s="13"/>
      <c r="AJ142" s="13"/>
      <c r="AK142" s="24"/>
      <c r="AM142" s="24"/>
      <c r="AN142" s="13"/>
      <c r="AO142" s="13"/>
      <c r="AP142" s="24"/>
      <c r="AR142" s="24"/>
      <c r="AS142" s="13"/>
      <c r="AT142" s="13"/>
      <c r="AU142" s="24"/>
      <c r="AW142" s="24"/>
      <c r="AX142" s="13"/>
      <c r="AY142" s="13"/>
      <c r="AZ142" s="24"/>
      <c r="BB142" s="24"/>
      <c r="BC142" s="13"/>
      <c r="BD142" s="13"/>
      <c r="BE142" s="24"/>
      <c r="BG142" s="24"/>
      <c r="BH142" s="13"/>
      <c r="BI142" s="13"/>
      <c r="BJ142" s="24"/>
      <c r="BL142" s="24"/>
      <c r="BM142" s="13"/>
      <c r="BN142" s="13"/>
    </row>
    <row r="143" spans="1:66" s="11" customFormat="1" ht="21">
      <c r="A143" s="24"/>
      <c r="B143" s="24"/>
      <c r="C143" s="24"/>
      <c r="E143" s="13"/>
      <c r="F143" s="24"/>
      <c r="G143" s="24"/>
      <c r="I143" s="24"/>
      <c r="J143" s="13"/>
      <c r="K143" s="13"/>
      <c r="L143" s="24"/>
      <c r="N143" s="24"/>
      <c r="O143" s="13"/>
      <c r="P143" s="13"/>
      <c r="Q143" s="24"/>
      <c r="S143" s="24"/>
      <c r="T143" s="13"/>
      <c r="U143" s="13"/>
      <c r="V143" s="24"/>
      <c r="X143" s="24"/>
      <c r="Y143" s="13"/>
      <c r="Z143" s="13"/>
      <c r="AA143" s="24"/>
      <c r="AC143" s="24"/>
      <c r="AD143" s="13"/>
      <c r="AE143" s="13"/>
      <c r="AF143" s="24"/>
      <c r="AH143" s="24"/>
      <c r="AI143" s="13"/>
      <c r="AJ143" s="13"/>
      <c r="AK143" s="24"/>
      <c r="AM143" s="24"/>
      <c r="AN143" s="13"/>
      <c r="AO143" s="13"/>
      <c r="AP143" s="24"/>
      <c r="AR143" s="24"/>
      <c r="AS143" s="13"/>
      <c r="AT143" s="13"/>
      <c r="AU143" s="24"/>
      <c r="AW143" s="24"/>
      <c r="AX143" s="13"/>
      <c r="AY143" s="13"/>
      <c r="AZ143" s="24"/>
      <c r="BB143" s="24"/>
      <c r="BC143" s="13"/>
      <c r="BD143" s="13"/>
      <c r="BE143" s="24"/>
      <c r="BG143" s="24"/>
      <c r="BH143" s="13"/>
      <c r="BI143" s="13"/>
      <c r="BJ143" s="24"/>
      <c r="BL143" s="24"/>
      <c r="BM143" s="13"/>
      <c r="BN143" s="13"/>
    </row>
    <row r="144" spans="1:66" s="11" customFormat="1" ht="21">
      <c r="A144" s="24"/>
      <c r="B144" s="24"/>
      <c r="C144" s="24"/>
      <c r="E144" s="13"/>
      <c r="F144" s="24"/>
      <c r="G144" s="24"/>
      <c r="I144" s="24"/>
      <c r="J144" s="13"/>
      <c r="K144" s="13"/>
      <c r="L144" s="24"/>
      <c r="N144" s="24"/>
      <c r="O144" s="13"/>
      <c r="P144" s="13"/>
      <c r="Q144" s="24"/>
      <c r="S144" s="24"/>
      <c r="T144" s="13"/>
      <c r="U144" s="13"/>
      <c r="V144" s="24"/>
      <c r="X144" s="24"/>
      <c r="Y144" s="13"/>
      <c r="Z144" s="13"/>
      <c r="AA144" s="24"/>
      <c r="AC144" s="24"/>
      <c r="AD144" s="13"/>
      <c r="AE144" s="13"/>
      <c r="AF144" s="24"/>
      <c r="AH144" s="24"/>
      <c r="AI144" s="13"/>
      <c r="AJ144" s="13"/>
      <c r="AK144" s="24"/>
      <c r="AM144" s="24"/>
      <c r="AN144" s="13"/>
      <c r="AO144" s="13"/>
      <c r="AP144" s="24"/>
      <c r="AR144" s="24"/>
      <c r="AS144" s="13"/>
      <c r="AT144" s="13"/>
      <c r="AU144" s="24"/>
      <c r="AW144" s="24"/>
      <c r="AX144" s="13"/>
      <c r="AY144" s="13"/>
      <c r="AZ144" s="24"/>
      <c r="BB144" s="24"/>
      <c r="BC144" s="13"/>
      <c r="BD144" s="13"/>
      <c r="BE144" s="24"/>
      <c r="BG144" s="24"/>
      <c r="BH144" s="13"/>
      <c r="BI144" s="13"/>
      <c r="BJ144" s="24"/>
      <c r="BL144" s="24"/>
      <c r="BM144" s="13"/>
      <c r="BN144" s="13"/>
    </row>
    <row r="145" spans="1:66" s="11" customFormat="1" ht="21">
      <c r="A145" s="24"/>
      <c r="B145" s="24"/>
      <c r="C145" s="24"/>
      <c r="E145" s="13"/>
      <c r="F145" s="24"/>
      <c r="G145" s="24"/>
      <c r="I145" s="24"/>
      <c r="J145" s="13"/>
      <c r="K145" s="13"/>
      <c r="L145" s="24"/>
      <c r="N145" s="24"/>
      <c r="O145" s="13"/>
      <c r="P145" s="13"/>
      <c r="Q145" s="24"/>
      <c r="S145" s="24"/>
      <c r="T145" s="13"/>
      <c r="U145" s="13"/>
      <c r="V145" s="24"/>
      <c r="X145" s="24"/>
      <c r="Y145" s="13"/>
      <c r="Z145" s="13"/>
      <c r="AA145" s="24"/>
      <c r="AC145" s="24"/>
      <c r="AD145" s="13"/>
      <c r="AE145" s="13"/>
      <c r="AF145" s="24"/>
      <c r="AH145" s="24"/>
      <c r="AI145" s="13"/>
      <c r="AJ145" s="13"/>
      <c r="AK145" s="24"/>
      <c r="AM145" s="24"/>
      <c r="AN145" s="13"/>
      <c r="AO145" s="13"/>
      <c r="AP145" s="24"/>
      <c r="AR145" s="24"/>
      <c r="AS145" s="13"/>
      <c r="AT145" s="13"/>
      <c r="AU145" s="24"/>
      <c r="AW145" s="24"/>
      <c r="AX145" s="13"/>
      <c r="AY145" s="13"/>
      <c r="AZ145" s="24"/>
      <c r="BB145" s="24"/>
      <c r="BC145" s="13"/>
      <c r="BD145" s="13"/>
      <c r="BE145" s="24"/>
      <c r="BG145" s="24"/>
      <c r="BH145" s="13"/>
      <c r="BI145" s="13"/>
      <c r="BJ145" s="24"/>
      <c r="BL145" s="24"/>
      <c r="BM145" s="13"/>
      <c r="BN145" s="13"/>
    </row>
    <row r="146" spans="1:66" s="11" customFormat="1" ht="21">
      <c r="A146" s="24"/>
      <c r="B146" s="24"/>
      <c r="C146" s="24"/>
      <c r="E146" s="13"/>
      <c r="F146" s="24"/>
      <c r="G146" s="24"/>
      <c r="I146" s="24"/>
      <c r="J146" s="13"/>
      <c r="K146" s="13"/>
      <c r="L146" s="24"/>
      <c r="N146" s="24"/>
      <c r="O146" s="13"/>
      <c r="P146" s="13"/>
      <c r="Q146" s="24"/>
      <c r="S146" s="24"/>
      <c r="T146" s="13"/>
      <c r="U146" s="13"/>
      <c r="V146" s="24"/>
      <c r="X146" s="24"/>
      <c r="Y146" s="13"/>
      <c r="Z146" s="13"/>
      <c r="AA146" s="24"/>
      <c r="AC146" s="24"/>
      <c r="AD146" s="13"/>
      <c r="AE146" s="13"/>
      <c r="AF146" s="24"/>
      <c r="AH146" s="24"/>
      <c r="AI146" s="13"/>
      <c r="AJ146" s="13"/>
      <c r="AK146" s="24"/>
      <c r="AM146" s="24"/>
      <c r="AN146" s="13"/>
      <c r="AO146" s="13"/>
      <c r="AP146" s="24"/>
      <c r="AR146" s="24"/>
      <c r="AS146" s="13"/>
      <c r="AT146" s="13"/>
      <c r="AU146" s="24"/>
      <c r="AW146" s="24"/>
      <c r="AX146" s="13"/>
      <c r="AY146" s="13"/>
      <c r="AZ146" s="24"/>
      <c r="BB146" s="24"/>
      <c r="BC146" s="13"/>
      <c r="BD146" s="13"/>
      <c r="BE146" s="24"/>
      <c r="BG146" s="24"/>
      <c r="BH146" s="13"/>
      <c r="BI146" s="13"/>
      <c r="BJ146" s="24"/>
      <c r="BL146" s="24"/>
      <c r="BM146" s="13"/>
      <c r="BN146" s="13"/>
    </row>
    <row r="147" spans="1:66" s="11" customFormat="1" ht="21">
      <c r="A147" s="24"/>
      <c r="B147" s="24"/>
      <c r="C147" s="24"/>
      <c r="E147" s="13"/>
      <c r="F147" s="24"/>
      <c r="G147" s="24"/>
      <c r="I147" s="24"/>
      <c r="J147" s="13"/>
      <c r="K147" s="13"/>
      <c r="L147" s="24"/>
      <c r="N147" s="24"/>
      <c r="O147" s="13"/>
      <c r="P147" s="13"/>
      <c r="Q147" s="24"/>
      <c r="S147" s="24"/>
      <c r="T147" s="13"/>
      <c r="U147" s="13"/>
      <c r="V147" s="24"/>
      <c r="X147" s="24"/>
      <c r="Y147" s="13"/>
      <c r="Z147" s="13"/>
      <c r="AA147" s="24"/>
      <c r="AC147" s="24"/>
      <c r="AD147" s="13"/>
      <c r="AE147" s="13"/>
      <c r="AF147" s="24"/>
      <c r="AH147" s="24"/>
      <c r="AI147" s="13"/>
      <c r="AJ147" s="13"/>
      <c r="AK147" s="24"/>
      <c r="AM147" s="24"/>
      <c r="AN147" s="13"/>
      <c r="AO147" s="13"/>
      <c r="AP147" s="24"/>
      <c r="AR147" s="24"/>
      <c r="AS147" s="13"/>
      <c r="AT147" s="13"/>
      <c r="AU147" s="24"/>
      <c r="AW147" s="24"/>
      <c r="AX147" s="13"/>
      <c r="AY147" s="13"/>
      <c r="AZ147" s="24"/>
      <c r="BB147" s="24"/>
      <c r="BC147" s="13"/>
      <c r="BD147" s="13"/>
      <c r="BE147" s="24"/>
      <c r="BG147" s="24"/>
      <c r="BH147" s="13"/>
      <c r="BI147" s="13"/>
      <c r="BJ147" s="24"/>
      <c r="BL147" s="24"/>
      <c r="BM147" s="13"/>
      <c r="BN147" s="13"/>
    </row>
    <row r="148" spans="1:66" s="11" customFormat="1" ht="21">
      <c r="A148" s="24"/>
      <c r="B148" s="24"/>
      <c r="C148" s="24"/>
      <c r="E148" s="13"/>
      <c r="F148" s="24"/>
      <c r="G148" s="24"/>
      <c r="I148" s="24"/>
      <c r="J148" s="13"/>
      <c r="K148" s="13"/>
      <c r="L148" s="24"/>
      <c r="N148" s="24"/>
      <c r="O148" s="13"/>
      <c r="P148" s="13"/>
      <c r="Q148" s="24"/>
      <c r="S148" s="24"/>
      <c r="T148" s="13"/>
      <c r="U148" s="13"/>
      <c r="V148" s="24"/>
      <c r="X148" s="24"/>
      <c r="Y148" s="13"/>
      <c r="Z148" s="13"/>
      <c r="AA148" s="24"/>
      <c r="AC148" s="24"/>
      <c r="AD148" s="13"/>
      <c r="AE148" s="13"/>
      <c r="AF148" s="24"/>
      <c r="AH148" s="24"/>
      <c r="AI148" s="13"/>
      <c r="AJ148" s="13"/>
      <c r="AK148" s="24"/>
      <c r="AM148" s="24"/>
      <c r="AN148" s="13"/>
      <c r="AO148" s="13"/>
      <c r="AP148" s="24"/>
      <c r="AR148" s="24"/>
      <c r="AS148" s="13"/>
      <c r="AT148" s="13"/>
      <c r="AU148" s="24"/>
      <c r="AW148" s="24"/>
      <c r="AX148" s="13"/>
      <c r="AY148" s="13"/>
      <c r="AZ148" s="24"/>
      <c r="BB148" s="24"/>
      <c r="BC148" s="13"/>
      <c r="BD148" s="13"/>
      <c r="BE148" s="24"/>
      <c r="BG148" s="24"/>
      <c r="BH148" s="13"/>
      <c r="BI148" s="13"/>
      <c r="BJ148" s="24"/>
      <c r="BL148" s="24"/>
      <c r="BM148" s="13"/>
      <c r="BN148" s="13"/>
    </row>
    <row r="149" spans="1:66" s="11" customFormat="1" ht="21">
      <c r="A149" s="24"/>
      <c r="B149" s="24"/>
      <c r="C149" s="24"/>
      <c r="E149" s="13"/>
      <c r="F149" s="24"/>
      <c r="G149" s="24"/>
      <c r="I149" s="24"/>
      <c r="J149" s="13"/>
      <c r="K149" s="13"/>
      <c r="L149" s="24"/>
      <c r="N149" s="24"/>
      <c r="O149" s="13"/>
      <c r="P149" s="13"/>
      <c r="Q149" s="24"/>
      <c r="S149" s="24"/>
      <c r="T149" s="13"/>
      <c r="U149" s="13"/>
      <c r="V149" s="24"/>
      <c r="X149" s="24"/>
      <c r="Y149" s="13"/>
      <c r="Z149" s="13"/>
      <c r="AA149" s="24"/>
      <c r="AC149" s="24"/>
      <c r="AD149" s="13"/>
      <c r="AE149" s="13"/>
      <c r="AF149" s="24"/>
      <c r="AH149" s="24"/>
      <c r="AI149" s="13"/>
      <c r="AJ149" s="13"/>
      <c r="AK149" s="24"/>
      <c r="AM149" s="24"/>
      <c r="AN149" s="13"/>
      <c r="AO149" s="13"/>
      <c r="AP149" s="24"/>
      <c r="AR149" s="24"/>
      <c r="AS149" s="13"/>
      <c r="AT149" s="13"/>
      <c r="AU149" s="24"/>
      <c r="AW149" s="24"/>
      <c r="AX149" s="13"/>
      <c r="AY149" s="13"/>
      <c r="AZ149" s="24"/>
      <c r="BB149" s="24"/>
      <c r="BC149" s="13"/>
      <c r="BD149" s="13"/>
      <c r="BE149" s="24"/>
      <c r="BG149" s="24"/>
      <c r="BH149" s="13"/>
      <c r="BI149" s="13"/>
      <c r="BJ149" s="24"/>
      <c r="BL149" s="24"/>
      <c r="BM149" s="13"/>
      <c r="BN149" s="13"/>
    </row>
    <row r="150" spans="1:66" s="11" customFormat="1" ht="21">
      <c r="A150" s="24"/>
      <c r="B150" s="24"/>
      <c r="C150" s="24"/>
      <c r="E150" s="13"/>
      <c r="F150" s="24"/>
      <c r="G150" s="24"/>
      <c r="I150" s="24"/>
      <c r="J150" s="13"/>
      <c r="K150" s="13"/>
      <c r="L150" s="24"/>
      <c r="N150" s="24"/>
      <c r="O150" s="13"/>
      <c r="P150" s="13"/>
      <c r="Q150" s="24"/>
      <c r="S150" s="24"/>
      <c r="T150" s="13"/>
      <c r="U150" s="13"/>
      <c r="V150" s="24"/>
      <c r="X150" s="24"/>
      <c r="Y150" s="13"/>
      <c r="Z150" s="13"/>
      <c r="AA150" s="24"/>
      <c r="AC150" s="24"/>
      <c r="AD150" s="13"/>
      <c r="AE150" s="13"/>
      <c r="AF150" s="24"/>
      <c r="AH150" s="24"/>
      <c r="AI150" s="13"/>
      <c r="AJ150" s="13"/>
      <c r="AK150" s="24"/>
      <c r="AM150" s="24"/>
      <c r="AN150" s="13"/>
      <c r="AO150" s="13"/>
      <c r="AP150" s="24"/>
      <c r="AR150" s="24"/>
      <c r="AS150" s="13"/>
      <c r="AT150" s="13"/>
      <c r="AU150" s="24"/>
      <c r="AW150" s="24"/>
      <c r="AX150" s="13"/>
      <c r="AY150" s="13"/>
      <c r="AZ150" s="24"/>
      <c r="BB150" s="24"/>
      <c r="BC150" s="13"/>
      <c r="BD150" s="13"/>
      <c r="BE150" s="24"/>
      <c r="BG150" s="24"/>
      <c r="BH150" s="13"/>
      <c r="BI150" s="13"/>
      <c r="BJ150" s="24"/>
      <c r="BL150" s="24"/>
      <c r="BM150" s="13"/>
      <c r="BN150" s="13"/>
    </row>
    <row r="151" spans="1:66" s="11" customFormat="1" ht="21">
      <c r="A151" s="24"/>
      <c r="B151" s="24"/>
      <c r="C151" s="24"/>
      <c r="E151" s="13"/>
      <c r="F151" s="24"/>
      <c r="G151" s="24"/>
      <c r="I151" s="24"/>
      <c r="J151" s="13"/>
      <c r="K151" s="13"/>
      <c r="L151" s="24"/>
      <c r="N151" s="24"/>
      <c r="O151" s="13"/>
      <c r="P151" s="13"/>
      <c r="Q151" s="24"/>
      <c r="S151" s="24"/>
      <c r="T151" s="13"/>
      <c r="U151" s="13"/>
      <c r="V151" s="24"/>
      <c r="X151" s="24"/>
      <c r="Y151" s="13"/>
      <c r="Z151" s="13"/>
      <c r="AA151" s="24"/>
      <c r="AC151" s="24"/>
      <c r="AD151" s="13"/>
      <c r="AE151" s="13"/>
      <c r="AF151" s="24"/>
      <c r="AH151" s="24"/>
      <c r="AI151" s="13"/>
      <c r="AJ151" s="13"/>
      <c r="AK151" s="24"/>
      <c r="AM151" s="24"/>
      <c r="AN151" s="13"/>
      <c r="AO151" s="13"/>
      <c r="AP151" s="24"/>
      <c r="AR151" s="24"/>
      <c r="AS151" s="13"/>
      <c r="AT151" s="13"/>
      <c r="AU151" s="24"/>
      <c r="AW151" s="24"/>
      <c r="AX151" s="13"/>
      <c r="AY151" s="13"/>
      <c r="AZ151" s="24"/>
      <c r="BB151" s="24"/>
      <c r="BC151" s="13"/>
      <c r="BD151" s="13"/>
      <c r="BE151" s="24"/>
      <c r="BG151" s="24"/>
      <c r="BH151" s="13"/>
      <c r="BI151" s="13"/>
      <c r="BJ151" s="24"/>
      <c r="BL151" s="24"/>
      <c r="BM151" s="13"/>
      <c r="BN151" s="13"/>
    </row>
    <row r="152" spans="1:66" s="11" customFormat="1" ht="21">
      <c r="A152" s="24"/>
      <c r="B152" s="24"/>
      <c r="C152" s="24"/>
      <c r="E152" s="13"/>
      <c r="F152" s="24"/>
      <c r="G152" s="24"/>
      <c r="I152" s="24"/>
      <c r="J152" s="13"/>
      <c r="K152" s="13"/>
      <c r="L152" s="24"/>
      <c r="N152" s="24"/>
      <c r="O152" s="13"/>
      <c r="P152" s="13"/>
      <c r="Q152" s="24"/>
      <c r="S152" s="24"/>
      <c r="T152" s="13"/>
      <c r="U152" s="13"/>
      <c r="V152" s="24"/>
      <c r="X152" s="24"/>
      <c r="Y152" s="13"/>
      <c r="Z152" s="13"/>
      <c r="AA152" s="24"/>
      <c r="AC152" s="24"/>
      <c r="AD152" s="13"/>
      <c r="AE152" s="13"/>
      <c r="AF152" s="24"/>
      <c r="AH152" s="24"/>
      <c r="AI152" s="13"/>
      <c r="AJ152" s="13"/>
      <c r="AK152" s="24"/>
      <c r="AM152" s="24"/>
      <c r="AN152" s="13"/>
      <c r="AO152" s="13"/>
      <c r="AP152" s="24"/>
      <c r="AR152" s="24"/>
      <c r="AS152" s="13"/>
      <c r="AT152" s="13"/>
      <c r="AU152" s="24"/>
      <c r="AW152" s="24"/>
      <c r="AX152" s="13"/>
      <c r="AY152" s="13"/>
      <c r="AZ152" s="24"/>
      <c r="BB152" s="24"/>
      <c r="BC152" s="13"/>
      <c r="BD152" s="13"/>
      <c r="BE152" s="24"/>
      <c r="BG152" s="24"/>
      <c r="BH152" s="13"/>
      <c r="BI152" s="13"/>
      <c r="BJ152" s="24"/>
      <c r="BL152" s="24"/>
      <c r="BM152" s="13"/>
      <c r="BN152" s="13"/>
    </row>
    <row r="153" spans="1:66" s="11" customFormat="1" ht="21">
      <c r="A153" s="24"/>
      <c r="B153" s="24"/>
      <c r="C153" s="24"/>
      <c r="E153" s="13"/>
      <c r="F153" s="24"/>
      <c r="G153" s="24"/>
      <c r="I153" s="24"/>
      <c r="J153" s="13"/>
      <c r="K153" s="13"/>
      <c r="L153" s="24"/>
      <c r="N153" s="24"/>
      <c r="O153" s="13"/>
      <c r="P153" s="13"/>
      <c r="Q153" s="24"/>
      <c r="S153" s="24"/>
      <c r="T153" s="13"/>
      <c r="U153" s="13"/>
      <c r="V153" s="24"/>
      <c r="X153" s="24"/>
      <c r="Y153" s="13"/>
      <c r="Z153" s="13"/>
      <c r="AA153" s="24"/>
      <c r="AC153" s="24"/>
      <c r="AD153" s="13"/>
      <c r="AE153" s="13"/>
      <c r="AF153" s="24"/>
      <c r="AH153" s="24"/>
      <c r="AI153" s="13"/>
      <c r="AJ153" s="13"/>
      <c r="AK153" s="24"/>
      <c r="AM153" s="24"/>
      <c r="AN153" s="13"/>
      <c r="AO153" s="13"/>
      <c r="AP153" s="24"/>
      <c r="AR153" s="24"/>
      <c r="AS153" s="13"/>
      <c r="AT153" s="13"/>
      <c r="AU153" s="24"/>
      <c r="AW153" s="24"/>
      <c r="AX153" s="13"/>
      <c r="AY153" s="13"/>
      <c r="AZ153" s="24"/>
      <c r="BB153" s="24"/>
      <c r="BC153" s="13"/>
      <c r="BD153" s="13"/>
      <c r="BE153" s="24"/>
      <c r="BG153" s="24"/>
      <c r="BH153" s="13"/>
      <c r="BI153" s="13"/>
      <c r="BJ153" s="24"/>
      <c r="BL153" s="24"/>
      <c r="BM153" s="13"/>
      <c r="BN153" s="13"/>
    </row>
    <row r="154" spans="1:66" s="11" customFormat="1" ht="21">
      <c r="A154" s="24"/>
      <c r="B154" s="24"/>
      <c r="C154" s="24"/>
      <c r="E154" s="13"/>
      <c r="F154" s="24"/>
      <c r="G154" s="24"/>
      <c r="I154" s="24"/>
      <c r="J154" s="13"/>
      <c r="K154" s="13"/>
      <c r="L154" s="24"/>
      <c r="N154" s="24"/>
      <c r="O154" s="13"/>
      <c r="P154" s="13"/>
      <c r="Q154" s="24"/>
      <c r="S154" s="24"/>
      <c r="T154" s="13"/>
      <c r="U154" s="13"/>
      <c r="V154" s="24"/>
      <c r="X154" s="24"/>
      <c r="Y154" s="13"/>
      <c r="Z154" s="13"/>
      <c r="AA154" s="24"/>
      <c r="AC154" s="24"/>
      <c r="AD154" s="13"/>
      <c r="AE154" s="13"/>
      <c r="AF154" s="24"/>
      <c r="AH154" s="24"/>
      <c r="AI154" s="13"/>
      <c r="AJ154" s="13"/>
      <c r="AK154" s="24"/>
      <c r="AM154" s="24"/>
      <c r="AN154" s="13"/>
      <c r="AO154" s="13"/>
      <c r="AP154" s="24"/>
      <c r="AR154" s="24"/>
      <c r="AS154" s="13"/>
      <c r="AT154" s="13"/>
      <c r="AU154" s="24"/>
      <c r="AW154" s="24"/>
      <c r="AX154" s="13"/>
      <c r="AY154" s="13"/>
      <c r="AZ154" s="24"/>
      <c r="BB154" s="24"/>
      <c r="BC154" s="13"/>
      <c r="BD154" s="13"/>
      <c r="BE154" s="24"/>
      <c r="BG154" s="24"/>
      <c r="BH154" s="13"/>
      <c r="BI154" s="13"/>
      <c r="BJ154" s="24"/>
      <c r="BL154" s="24"/>
      <c r="BM154" s="13"/>
      <c r="BN154" s="13"/>
    </row>
    <row r="155" spans="1:66" s="11" customFormat="1" ht="21">
      <c r="A155" s="24"/>
      <c r="B155" s="24"/>
      <c r="C155" s="24"/>
      <c r="E155" s="13"/>
      <c r="F155" s="24"/>
      <c r="G155" s="24"/>
      <c r="I155" s="24"/>
      <c r="J155" s="13"/>
      <c r="K155" s="13"/>
      <c r="L155" s="24"/>
      <c r="N155" s="24"/>
      <c r="O155" s="13"/>
      <c r="P155" s="13"/>
      <c r="Q155" s="24"/>
      <c r="S155" s="24"/>
      <c r="T155" s="13"/>
      <c r="U155" s="13"/>
      <c r="V155" s="24"/>
      <c r="X155" s="24"/>
      <c r="Y155" s="13"/>
      <c r="Z155" s="13"/>
      <c r="AA155" s="24"/>
      <c r="AC155" s="24"/>
      <c r="AD155" s="13"/>
      <c r="AE155" s="13"/>
      <c r="AF155" s="24"/>
      <c r="AH155" s="24"/>
      <c r="AI155" s="13"/>
      <c r="AJ155" s="13"/>
      <c r="AK155" s="24"/>
      <c r="AM155" s="24"/>
      <c r="AN155" s="13"/>
      <c r="AO155" s="13"/>
      <c r="AP155" s="24"/>
      <c r="AR155" s="24"/>
      <c r="AS155" s="13"/>
      <c r="AT155" s="13"/>
      <c r="AU155" s="24"/>
      <c r="AW155" s="24"/>
      <c r="AX155" s="13"/>
      <c r="AY155" s="13"/>
      <c r="AZ155" s="24"/>
      <c r="BB155" s="24"/>
      <c r="BC155" s="13"/>
      <c r="BD155" s="13"/>
      <c r="BE155" s="24"/>
      <c r="BG155" s="24"/>
      <c r="BH155" s="13"/>
      <c r="BI155" s="13"/>
      <c r="BJ155" s="24"/>
      <c r="BL155" s="24"/>
      <c r="BM155" s="13"/>
      <c r="BN155" s="13"/>
    </row>
    <row r="156" spans="1:66" s="11" customFormat="1" ht="21">
      <c r="A156" s="24"/>
      <c r="B156" s="24"/>
      <c r="C156" s="24"/>
      <c r="E156" s="13"/>
      <c r="F156" s="24"/>
      <c r="G156" s="24"/>
      <c r="I156" s="24"/>
      <c r="J156" s="13"/>
      <c r="K156" s="13"/>
      <c r="L156" s="24"/>
      <c r="N156" s="24"/>
      <c r="O156" s="13"/>
      <c r="P156" s="13"/>
      <c r="Q156" s="24"/>
      <c r="S156" s="24"/>
      <c r="T156" s="13"/>
      <c r="U156" s="13"/>
      <c r="V156" s="24"/>
      <c r="X156" s="24"/>
      <c r="Y156" s="13"/>
      <c r="Z156" s="13"/>
      <c r="AA156" s="24"/>
      <c r="AC156" s="24"/>
      <c r="AD156" s="13"/>
      <c r="AE156" s="13"/>
      <c r="AF156" s="24"/>
      <c r="AH156" s="24"/>
      <c r="AI156" s="13"/>
      <c r="AJ156" s="13"/>
      <c r="AK156" s="24"/>
      <c r="AM156" s="24"/>
      <c r="AN156" s="13"/>
      <c r="AO156" s="13"/>
      <c r="AP156" s="24"/>
      <c r="AR156" s="24"/>
      <c r="AS156" s="13"/>
      <c r="AT156" s="13"/>
      <c r="AU156" s="24"/>
      <c r="AW156" s="24"/>
      <c r="AX156" s="13"/>
      <c r="AY156" s="13"/>
      <c r="AZ156" s="24"/>
      <c r="BB156" s="24"/>
      <c r="BC156" s="13"/>
      <c r="BD156" s="13"/>
      <c r="BE156" s="24"/>
      <c r="BG156" s="24"/>
      <c r="BH156" s="13"/>
      <c r="BI156" s="13"/>
      <c r="BJ156" s="24"/>
      <c r="BL156" s="24"/>
      <c r="BM156" s="13"/>
      <c r="BN156" s="13"/>
    </row>
    <row r="157" spans="1:66" s="11" customFormat="1" ht="21">
      <c r="A157" s="24"/>
      <c r="B157" s="24"/>
      <c r="C157" s="24"/>
      <c r="E157" s="13"/>
      <c r="F157" s="24"/>
      <c r="G157" s="24"/>
      <c r="I157" s="24"/>
      <c r="J157" s="13"/>
      <c r="K157" s="13"/>
      <c r="L157" s="24"/>
      <c r="N157" s="24"/>
      <c r="O157" s="13"/>
      <c r="P157" s="13"/>
      <c r="Q157" s="24"/>
      <c r="S157" s="24"/>
      <c r="T157" s="13"/>
      <c r="U157" s="13"/>
      <c r="V157" s="24"/>
      <c r="X157" s="24"/>
      <c r="Y157" s="13"/>
      <c r="Z157" s="13"/>
      <c r="AA157" s="24"/>
      <c r="AC157" s="24"/>
      <c r="AD157" s="13"/>
      <c r="AE157" s="13"/>
      <c r="AF157" s="24"/>
      <c r="AH157" s="24"/>
      <c r="AI157" s="13"/>
      <c r="AJ157" s="13"/>
      <c r="AK157" s="24"/>
      <c r="AM157" s="24"/>
      <c r="AN157" s="13"/>
      <c r="AO157" s="13"/>
      <c r="AP157" s="24"/>
      <c r="AR157" s="24"/>
      <c r="AS157" s="13"/>
      <c r="AT157" s="13"/>
      <c r="AU157" s="24"/>
      <c r="AW157" s="24"/>
      <c r="AX157" s="13"/>
      <c r="AY157" s="13"/>
      <c r="AZ157" s="24"/>
      <c r="BB157" s="24"/>
      <c r="BC157" s="13"/>
      <c r="BD157" s="13"/>
      <c r="BE157" s="24"/>
      <c r="BG157" s="24"/>
      <c r="BH157" s="13"/>
      <c r="BI157" s="13"/>
      <c r="BJ157" s="24"/>
      <c r="BL157" s="24"/>
      <c r="BM157" s="13"/>
      <c r="BN157" s="13"/>
    </row>
    <row r="158" spans="1:66" s="11" customFormat="1" ht="21">
      <c r="A158" s="24"/>
      <c r="B158" s="24"/>
      <c r="C158" s="24"/>
      <c r="E158" s="13"/>
      <c r="F158" s="24"/>
      <c r="G158" s="24"/>
      <c r="I158" s="24"/>
      <c r="J158" s="13"/>
      <c r="K158" s="13"/>
      <c r="L158" s="24"/>
      <c r="N158" s="24"/>
      <c r="O158" s="13"/>
      <c r="P158" s="13"/>
      <c r="Q158" s="24"/>
      <c r="S158" s="24"/>
      <c r="T158" s="13"/>
      <c r="U158" s="13"/>
      <c r="V158" s="24"/>
      <c r="X158" s="24"/>
      <c r="Y158" s="13"/>
      <c r="Z158" s="13"/>
      <c r="AA158" s="24"/>
      <c r="AC158" s="24"/>
      <c r="AD158" s="13"/>
      <c r="AE158" s="13"/>
      <c r="AF158" s="24"/>
      <c r="AH158" s="24"/>
      <c r="AI158" s="13"/>
      <c r="AJ158" s="13"/>
      <c r="AK158" s="24"/>
      <c r="AM158" s="24"/>
      <c r="AN158" s="13"/>
      <c r="AO158" s="13"/>
      <c r="AP158" s="24"/>
      <c r="AR158" s="24"/>
      <c r="AS158" s="13"/>
      <c r="AT158" s="13"/>
      <c r="AU158" s="24"/>
      <c r="AW158" s="24"/>
      <c r="AX158" s="13"/>
      <c r="AY158" s="13"/>
      <c r="AZ158" s="24"/>
      <c r="BB158" s="24"/>
      <c r="BC158" s="13"/>
      <c r="BD158" s="13"/>
      <c r="BE158" s="24"/>
      <c r="BG158" s="24"/>
      <c r="BH158" s="13"/>
      <c r="BI158" s="13"/>
      <c r="BJ158" s="24"/>
      <c r="BL158" s="24"/>
      <c r="BM158" s="13"/>
      <c r="BN158" s="13"/>
    </row>
    <row r="159" spans="1:66" s="11" customFormat="1" ht="21">
      <c r="A159" s="24"/>
      <c r="B159" s="24"/>
      <c r="C159" s="24"/>
      <c r="E159" s="13"/>
      <c r="F159" s="24"/>
      <c r="G159" s="24"/>
      <c r="I159" s="24"/>
      <c r="J159" s="13"/>
      <c r="K159" s="13"/>
      <c r="L159" s="24"/>
      <c r="N159" s="24"/>
      <c r="O159" s="13"/>
      <c r="P159" s="13"/>
      <c r="Q159" s="24"/>
      <c r="S159" s="24"/>
      <c r="T159" s="13"/>
      <c r="U159" s="13"/>
      <c r="V159" s="24"/>
      <c r="X159" s="24"/>
      <c r="Y159" s="13"/>
      <c r="Z159" s="13"/>
      <c r="AA159" s="24"/>
      <c r="AC159" s="24"/>
      <c r="AD159" s="13"/>
      <c r="AE159" s="13"/>
      <c r="AF159" s="24"/>
      <c r="AH159" s="24"/>
      <c r="AI159" s="13"/>
      <c r="AJ159" s="13"/>
      <c r="AK159" s="24"/>
      <c r="AM159" s="24"/>
      <c r="AN159" s="13"/>
      <c r="AO159" s="13"/>
      <c r="AP159" s="24"/>
      <c r="AR159" s="24"/>
      <c r="AS159" s="13"/>
      <c r="AT159" s="13"/>
      <c r="AU159" s="24"/>
      <c r="AW159" s="24"/>
      <c r="AX159" s="13"/>
      <c r="AY159" s="13"/>
      <c r="AZ159" s="24"/>
      <c r="BB159" s="24"/>
      <c r="BC159" s="13"/>
      <c r="BD159" s="13"/>
      <c r="BE159" s="24"/>
      <c r="BG159" s="24"/>
      <c r="BH159" s="13"/>
      <c r="BI159" s="13"/>
      <c r="BJ159" s="24"/>
      <c r="BL159" s="24"/>
      <c r="BM159" s="13"/>
      <c r="BN159" s="13"/>
    </row>
    <row r="160" spans="1:66" s="11" customFormat="1" ht="21">
      <c r="A160" s="24"/>
      <c r="B160" s="24"/>
      <c r="C160" s="24"/>
      <c r="E160" s="13"/>
      <c r="F160" s="24"/>
      <c r="G160" s="24"/>
      <c r="I160" s="24"/>
      <c r="J160" s="13"/>
      <c r="K160" s="13"/>
      <c r="L160" s="24"/>
      <c r="N160" s="24"/>
      <c r="O160" s="13"/>
      <c r="P160" s="13"/>
      <c r="Q160" s="24"/>
      <c r="S160" s="24"/>
      <c r="T160" s="13"/>
      <c r="U160" s="13"/>
      <c r="V160" s="24"/>
      <c r="X160" s="24"/>
      <c r="Y160" s="13"/>
      <c r="Z160" s="13"/>
      <c r="AA160" s="24"/>
      <c r="AC160" s="24"/>
      <c r="AD160" s="13"/>
      <c r="AE160" s="13"/>
      <c r="AF160" s="24"/>
      <c r="AH160" s="24"/>
      <c r="AI160" s="13"/>
      <c r="AJ160" s="13"/>
      <c r="AK160" s="24"/>
      <c r="AM160" s="24"/>
      <c r="AN160" s="13"/>
      <c r="AO160" s="13"/>
      <c r="AP160" s="24"/>
      <c r="AR160" s="24"/>
      <c r="AS160" s="13"/>
      <c r="AT160" s="13"/>
      <c r="AU160" s="24"/>
      <c r="AW160" s="24"/>
      <c r="AX160" s="13"/>
      <c r="AY160" s="13"/>
      <c r="AZ160" s="24"/>
      <c r="BB160" s="24"/>
      <c r="BC160" s="13"/>
      <c r="BD160" s="13"/>
      <c r="BE160" s="24"/>
      <c r="BG160" s="24"/>
      <c r="BH160" s="13"/>
      <c r="BI160" s="13"/>
      <c r="BJ160" s="24"/>
      <c r="BL160" s="24"/>
      <c r="BM160" s="13"/>
      <c r="BN160" s="13"/>
    </row>
    <row r="161" spans="1:66" s="11" customFormat="1" ht="21">
      <c r="A161" s="24"/>
      <c r="B161" s="24"/>
      <c r="C161" s="24"/>
      <c r="E161" s="13"/>
      <c r="F161" s="24"/>
      <c r="G161" s="24"/>
      <c r="I161" s="24"/>
      <c r="J161" s="13"/>
      <c r="K161" s="13"/>
      <c r="L161" s="24"/>
      <c r="N161" s="24"/>
      <c r="O161" s="13"/>
      <c r="P161" s="13"/>
      <c r="Q161" s="24"/>
      <c r="S161" s="24"/>
      <c r="T161" s="13"/>
      <c r="U161" s="13"/>
      <c r="V161" s="24"/>
      <c r="X161" s="24"/>
      <c r="Y161" s="13"/>
      <c r="Z161" s="13"/>
      <c r="AA161" s="24"/>
      <c r="AC161" s="24"/>
      <c r="AD161" s="13"/>
      <c r="AE161" s="13"/>
      <c r="AF161" s="24"/>
      <c r="AH161" s="24"/>
      <c r="AI161" s="13"/>
      <c r="AJ161" s="13"/>
      <c r="AK161" s="24"/>
      <c r="AM161" s="24"/>
      <c r="AN161" s="13"/>
      <c r="AO161" s="13"/>
      <c r="AP161" s="24"/>
      <c r="AR161" s="24"/>
      <c r="AS161" s="13"/>
      <c r="AT161" s="13"/>
      <c r="AU161" s="24"/>
      <c r="AW161" s="24"/>
      <c r="AX161" s="13"/>
      <c r="AY161" s="13"/>
      <c r="AZ161" s="24"/>
      <c r="BB161" s="24"/>
      <c r="BC161" s="13"/>
      <c r="BD161" s="13"/>
      <c r="BE161" s="24"/>
      <c r="BG161" s="24"/>
      <c r="BH161" s="13"/>
      <c r="BI161" s="13"/>
      <c r="BJ161" s="24"/>
      <c r="BL161" s="24"/>
      <c r="BM161" s="13"/>
      <c r="BN161" s="13"/>
    </row>
    <row r="162" spans="1:66" s="11" customFormat="1" ht="21">
      <c r="A162" s="24"/>
      <c r="B162" s="24"/>
      <c r="C162" s="24"/>
      <c r="E162" s="13"/>
      <c r="F162" s="24"/>
      <c r="G162" s="24"/>
      <c r="I162" s="24"/>
      <c r="J162" s="13"/>
      <c r="K162" s="13"/>
      <c r="L162" s="24"/>
      <c r="N162" s="24"/>
      <c r="O162" s="13"/>
      <c r="P162" s="13"/>
      <c r="Q162" s="24"/>
      <c r="S162" s="24"/>
      <c r="T162" s="13"/>
      <c r="U162" s="13"/>
      <c r="V162" s="24"/>
      <c r="X162" s="24"/>
      <c r="Y162" s="13"/>
      <c r="Z162" s="13"/>
      <c r="AA162" s="24"/>
      <c r="AC162" s="24"/>
      <c r="AD162" s="13"/>
      <c r="AE162" s="13"/>
      <c r="AF162" s="24"/>
      <c r="AH162" s="24"/>
      <c r="AI162" s="13"/>
      <c r="AJ162" s="13"/>
      <c r="AK162" s="24"/>
      <c r="AM162" s="24"/>
      <c r="AN162" s="13"/>
      <c r="AO162" s="13"/>
      <c r="AP162" s="24"/>
      <c r="AR162" s="24"/>
      <c r="AS162" s="13"/>
      <c r="AT162" s="13"/>
      <c r="AU162" s="24"/>
      <c r="AW162" s="24"/>
      <c r="AX162" s="13"/>
      <c r="AY162" s="13"/>
      <c r="AZ162" s="24"/>
      <c r="BB162" s="24"/>
      <c r="BC162" s="13"/>
      <c r="BD162" s="13"/>
      <c r="BE162" s="24"/>
      <c r="BG162" s="24"/>
      <c r="BH162" s="13"/>
      <c r="BI162" s="13"/>
      <c r="BJ162" s="24"/>
      <c r="BL162" s="24"/>
      <c r="BM162" s="13"/>
      <c r="BN162" s="13"/>
    </row>
    <row r="163" spans="1:66" s="11" customFormat="1" ht="21">
      <c r="A163" s="24"/>
      <c r="B163" s="24"/>
      <c r="C163" s="24"/>
      <c r="E163" s="13"/>
      <c r="F163" s="24"/>
      <c r="G163" s="24"/>
      <c r="I163" s="24"/>
      <c r="J163" s="13"/>
      <c r="K163" s="13"/>
      <c r="L163" s="24"/>
      <c r="N163" s="24"/>
      <c r="O163" s="13"/>
      <c r="P163" s="13"/>
      <c r="Q163" s="24"/>
      <c r="S163" s="24"/>
      <c r="T163" s="13"/>
      <c r="U163" s="13"/>
      <c r="V163" s="24"/>
      <c r="X163" s="24"/>
      <c r="Y163" s="13"/>
      <c r="Z163" s="13"/>
      <c r="AA163" s="24"/>
      <c r="AC163" s="24"/>
      <c r="AD163" s="13"/>
      <c r="AE163" s="13"/>
      <c r="AF163" s="24"/>
      <c r="AH163" s="24"/>
      <c r="AI163" s="13"/>
      <c r="AJ163" s="13"/>
      <c r="AK163" s="24"/>
      <c r="AM163" s="24"/>
      <c r="AN163" s="13"/>
      <c r="AO163" s="13"/>
      <c r="AP163" s="24"/>
      <c r="AR163" s="24"/>
      <c r="AS163" s="13"/>
      <c r="AT163" s="13"/>
      <c r="AU163" s="24"/>
      <c r="AW163" s="24"/>
      <c r="AX163" s="13"/>
      <c r="AY163" s="13"/>
      <c r="AZ163" s="24"/>
      <c r="BB163" s="24"/>
      <c r="BC163" s="13"/>
      <c r="BD163" s="13"/>
      <c r="BE163" s="24"/>
      <c r="BG163" s="24"/>
      <c r="BH163" s="13"/>
      <c r="BI163" s="13"/>
      <c r="BJ163" s="24"/>
      <c r="BL163" s="24"/>
      <c r="BM163" s="13"/>
      <c r="BN163" s="13"/>
    </row>
    <row r="164" spans="1:66" s="11" customFormat="1" ht="21">
      <c r="A164" s="24"/>
      <c r="B164" s="24"/>
      <c r="C164" s="24"/>
      <c r="E164" s="13"/>
      <c r="F164" s="24"/>
      <c r="G164" s="24"/>
      <c r="I164" s="24"/>
      <c r="J164" s="13"/>
      <c r="K164" s="13"/>
      <c r="L164" s="24"/>
      <c r="N164" s="24"/>
      <c r="O164" s="13"/>
      <c r="P164" s="13"/>
      <c r="Q164" s="24"/>
      <c r="S164" s="24"/>
      <c r="T164" s="13"/>
      <c r="U164" s="13"/>
      <c r="V164" s="24"/>
      <c r="X164" s="24"/>
      <c r="Y164" s="13"/>
      <c r="Z164" s="13"/>
      <c r="AA164" s="24"/>
      <c r="AC164" s="24"/>
      <c r="AD164" s="13"/>
      <c r="AE164" s="13"/>
      <c r="AF164" s="24"/>
      <c r="AH164" s="24"/>
      <c r="AI164" s="13"/>
      <c r="AJ164" s="13"/>
      <c r="AK164" s="24"/>
      <c r="AM164" s="24"/>
      <c r="AN164" s="13"/>
      <c r="AO164" s="13"/>
      <c r="AP164" s="24"/>
      <c r="AR164" s="24"/>
      <c r="AS164" s="13"/>
      <c r="AT164" s="13"/>
      <c r="AU164" s="24"/>
      <c r="AW164" s="24"/>
      <c r="AX164" s="13"/>
      <c r="AY164" s="13"/>
      <c r="AZ164" s="24"/>
      <c r="BB164" s="24"/>
      <c r="BC164" s="13"/>
      <c r="BD164" s="13"/>
      <c r="BE164" s="24"/>
      <c r="BG164" s="24"/>
      <c r="BH164" s="13"/>
      <c r="BI164" s="13"/>
      <c r="BJ164" s="24"/>
      <c r="BL164" s="24"/>
      <c r="BM164" s="13"/>
      <c r="BN164" s="13"/>
    </row>
    <row r="165" spans="1:66" s="11" customFormat="1" ht="21">
      <c r="A165" s="24"/>
      <c r="B165" s="24"/>
      <c r="C165" s="24"/>
      <c r="E165" s="13"/>
      <c r="F165" s="24"/>
      <c r="G165" s="24"/>
      <c r="I165" s="24"/>
      <c r="J165" s="13"/>
      <c r="K165" s="13"/>
      <c r="L165" s="24"/>
      <c r="N165" s="24"/>
      <c r="O165" s="13"/>
      <c r="P165" s="13"/>
      <c r="Q165" s="24"/>
      <c r="S165" s="24"/>
      <c r="T165" s="13"/>
      <c r="U165" s="13"/>
      <c r="V165" s="24"/>
      <c r="X165" s="24"/>
      <c r="Y165" s="13"/>
      <c r="Z165" s="13"/>
      <c r="AA165" s="24"/>
      <c r="AC165" s="24"/>
      <c r="AD165" s="13"/>
      <c r="AE165" s="13"/>
      <c r="AF165" s="24"/>
      <c r="AH165" s="24"/>
      <c r="AI165" s="13"/>
      <c r="AJ165" s="13"/>
      <c r="AK165" s="24"/>
      <c r="AM165" s="24"/>
      <c r="AN165" s="13"/>
      <c r="AO165" s="13"/>
      <c r="AP165" s="24"/>
      <c r="AR165" s="24"/>
      <c r="AS165" s="13"/>
      <c r="AT165" s="13"/>
      <c r="AU165" s="24"/>
      <c r="AW165" s="24"/>
      <c r="AX165" s="13"/>
      <c r="AY165" s="13"/>
      <c r="AZ165" s="24"/>
      <c r="BB165" s="24"/>
      <c r="BC165" s="13"/>
      <c r="BD165" s="13"/>
      <c r="BE165" s="24"/>
      <c r="BG165" s="24"/>
      <c r="BH165" s="13"/>
      <c r="BI165" s="13"/>
      <c r="BJ165" s="24"/>
      <c r="BL165" s="24"/>
      <c r="BM165" s="13"/>
      <c r="BN165" s="13"/>
    </row>
    <row r="166" spans="1:66" s="11" customFormat="1" ht="21">
      <c r="A166" s="24"/>
      <c r="B166" s="24"/>
      <c r="C166" s="24"/>
      <c r="E166" s="13"/>
      <c r="F166" s="24"/>
      <c r="G166" s="24"/>
      <c r="I166" s="24"/>
      <c r="J166" s="13"/>
      <c r="K166" s="13"/>
      <c r="L166" s="24"/>
      <c r="N166" s="24"/>
      <c r="O166" s="13"/>
      <c r="P166" s="13"/>
      <c r="Q166" s="24"/>
      <c r="S166" s="24"/>
      <c r="T166" s="13"/>
      <c r="U166" s="13"/>
      <c r="V166" s="24"/>
      <c r="X166" s="24"/>
      <c r="Y166" s="13"/>
      <c r="Z166" s="13"/>
      <c r="AA166" s="24"/>
      <c r="AC166" s="24"/>
      <c r="AD166" s="13"/>
      <c r="AE166" s="13"/>
      <c r="AF166" s="24"/>
      <c r="AH166" s="24"/>
      <c r="AI166" s="13"/>
      <c r="AJ166" s="13"/>
      <c r="AK166" s="24"/>
      <c r="AM166" s="24"/>
      <c r="AN166" s="13"/>
      <c r="AO166" s="13"/>
      <c r="AP166" s="24"/>
      <c r="AR166" s="24"/>
      <c r="AS166" s="13"/>
      <c r="AT166" s="13"/>
      <c r="AU166" s="24"/>
      <c r="AW166" s="24"/>
      <c r="AX166" s="13"/>
      <c r="AY166" s="13"/>
      <c r="AZ166" s="24"/>
      <c r="BB166" s="24"/>
      <c r="BC166" s="13"/>
      <c r="BD166" s="13"/>
      <c r="BE166" s="24"/>
      <c r="BG166" s="24"/>
      <c r="BH166" s="13"/>
      <c r="BI166" s="13"/>
      <c r="BJ166" s="24"/>
      <c r="BL166" s="24"/>
      <c r="BM166" s="13"/>
      <c r="BN166" s="13"/>
    </row>
    <row r="167" spans="1:66" s="11" customFormat="1" ht="21">
      <c r="A167" s="24"/>
      <c r="B167" s="24"/>
      <c r="C167" s="24"/>
      <c r="E167" s="13"/>
      <c r="F167" s="24"/>
      <c r="G167" s="24"/>
      <c r="I167" s="24"/>
      <c r="J167" s="13"/>
      <c r="K167" s="13"/>
      <c r="L167" s="24"/>
      <c r="N167" s="24"/>
      <c r="O167" s="13"/>
      <c r="P167" s="13"/>
      <c r="Q167" s="24"/>
      <c r="S167" s="24"/>
      <c r="T167" s="13"/>
      <c r="U167" s="13"/>
      <c r="V167" s="24"/>
      <c r="X167" s="24"/>
      <c r="Y167" s="13"/>
      <c r="Z167" s="13"/>
      <c r="AA167" s="24"/>
      <c r="AC167" s="24"/>
      <c r="AD167" s="13"/>
      <c r="AE167" s="13"/>
      <c r="AF167" s="24"/>
      <c r="AH167" s="24"/>
      <c r="AI167" s="13"/>
      <c r="AJ167" s="13"/>
      <c r="AK167" s="24"/>
      <c r="AM167" s="24"/>
      <c r="AN167" s="13"/>
      <c r="AO167" s="13"/>
      <c r="AP167" s="24"/>
      <c r="AR167" s="24"/>
      <c r="AS167" s="13"/>
      <c r="AT167" s="13"/>
      <c r="AU167" s="24"/>
      <c r="AW167" s="24"/>
      <c r="AX167" s="13"/>
      <c r="AY167" s="13"/>
      <c r="AZ167" s="24"/>
      <c r="BB167" s="24"/>
      <c r="BC167" s="13"/>
      <c r="BD167" s="13"/>
      <c r="BE167" s="24"/>
      <c r="BG167" s="24"/>
      <c r="BH167" s="13"/>
      <c r="BI167" s="13"/>
      <c r="BJ167" s="24"/>
      <c r="BL167" s="24"/>
      <c r="BM167" s="13"/>
      <c r="BN167" s="13"/>
    </row>
    <row r="168" spans="1:66" s="11" customFormat="1" ht="21">
      <c r="A168" s="24"/>
      <c r="B168" s="24"/>
      <c r="C168" s="24"/>
      <c r="E168" s="13"/>
      <c r="F168" s="24"/>
      <c r="G168" s="24"/>
      <c r="I168" s="24"/>
      <c r="J168" s="13"/>
      <c r="K168" s="13"/>
      <c r="L168" s="24"/>
      <c r="N168" s="24"/>
      <c r="O168" s="13"/>
      <c r="P168" s="13"/>
      <c r="Q168" s="24"/>
      <c r="S168" s="24"/>
      <c r="T168" s="13"/>
      <c r="U168" s="13"/>
      <c r="V168" s="24"/>
      <c r="X168" s="24"/>
      <c r="Y168" s="13"/>
      <c r="Z168" s="13"/>
      <c r="AA168" s="24"/>
      <c r="AC168" s="24"/>
      <c r="AD168" s="13"/>
      <c r="AE168" s="13"/>
      <c r="AF168" s="24"/>
      <c r="AH168" s="24"/>
      <c r="AI168" s="13"/>
      <c r="AJ168" s="13"/>
      <c r="AK168" s="24"/>
      <c r="AM168" s="24"/>
      <c r="AN168" s="13"/>
      <c r="AO168" s="13"/>
      <c r="AP168" s="24"/>
      <c r="AR168" s="24"/>
      <c r="AS168" s="13"/>
      <c r="AT168" s="13"/>
      <c r="AU168" s="24"/>
      <c r="AW168" s="24"/>
      <c r="AX168" s="13"/>
      <c r="AY168" s="13"/>
      <c r="AZ168" s="24"/>
      <c r="BB168" s="24"/>
      <c r="BC168" s="13"/>
      <c r="BD168" s="13"/>
      <c r="BE168" s="24"/>
      <c r="BG168" s="24"/>
      <c r="BH168" s="13"/>
      <c r="BI168" s="13"/>
      <c r="BJ168" s="24"/>
      <c r="BL168" s="24"/>
      <c r="BM168" s="13"/>
      <c r="BN168" s="13"/>
    </row>
    <row r="169" spans="1:66" s="11" customFormat="1" ht="21">
      <c r="A169" s="24"/>
      <c r="B169" s="24"/>
      <c r="C169" s="24"/>
      <c r="E169" s="13"/>
      <c r="F169" s="24"/>
      <c r="G169" s="24"/>
      <c r="I169" s="24"/>
      <c r="J169" s="13"/>
      <c r="K169" s="13"/>
      <c r="L169" s="24"/>
      <c r="N169" s="24"/>
      <c r="O169" s="13"/>
      <c r="P169" s="13"/>
      <c r="Q169" s="24"/>
      <c r="S169" s="24"/>
      <c r="T169" s="13"/>
      <c r="U169" s="13"/>
      <c r="V169" s="24"/>
      <c r="X169" s="24"/>
      <c r="Y169" s="13"/>
      <c r="Z169" s="13"/>
      <c r="AA169" s="24"/>
      <c r="AC169" s="24"/>
      <c r="AD169" s="13"/>
      <c r="AE169" s="13"/>
      <c r="AF169" s="24"/>
      <c r="AH169" s="24"/>
      <c r="AI169" s="13"/>
      <c r="AJ169" s="13"/>
      <c r="AK169" s="24"/>
      <c r="AM169" s="24"/>
      <c r="AN169" s="13"/>
      <c r="AO169" s="13"/>
      <c r="AP169" s="24"/>
      <c r="AR169" s="24"/>
      <c r="AS169" s="13"/>
      <c r="AT169" s="13"/>
      <c r="AU169" s="24"/>
      <c r="AW169" s="24"/>
      <c r="AX169" s="13"/>
      <c r="AY169" s="13"/>
      <c r="AZ169" s="24"/>
      <c r="BB169" s="24"/>
      <c r="BC169" s="13"/>
      <c r="BD169" s="13"/>
      <c r="BE169" s="24"/>
      <c r="BG169" s="24"/>
      <c r="BH169" s="13"/>
      <c r="BI169" s="13"/>
      <c r="BJ169" s="24"/>
      <c r="BL169" s="24"/>
      <c r="BM169" s="13"/>
      <c r="BN169" s="13"/>
    </row>
    <row r="170" spans="1:66" s="11" customFormat="1" ht="21">
      <c r="A170" s="24"/>
      <c r="B170" s="24"/>
      <c r="C170" s="24"/>
      <c r="E170" s="13"/>
      <c r="F170" s="24"/>
      <c r="G170" s="24"/>
      <c r="I170" s="24"/>
      <c r="J170" s="13"/>
      <c r="K170" s="13"/>
      <c r="L170" s="24"/>
      <c r="N170" s="24"/>
      <c r="O170" s="13"/>
      <c r="P170" s="13"/>
      <c r="Q170" s="24"/>
      <c r="S170" s="24"/>
      <c r="T170" s="13"/>
      <c r="U170" s="13"/>
      <c r="V170" s="24"/>
      <c r="X170" s="24"/>
      <c r="Y170" s="13"/>
      <c r="Z170" s="13"/>
      <c r="AA170" s="24"/>
      <c r="AC170" s="24"/>
      <c r="AD170" s="13"/>
      <c r="AE170" s="13"/>
      <c r="AF170" s="24"/>
      <c r="AH170" s="24"/>
      <c r="AI170" s="13"/>
      <c r="AJ170" s="13"/>
      <c r="AK170" s="24"/>
      <c r="AM170" s="24"/>
      <c r="AN170" s="13"/>
      <c r="AO170" s="13"/>
      <c r="AP170" s="24"/>
      <c r="AR170" s="24"/>
      <c r="AS170" s="13"/>
      <c r="AT170" s="13"/>
      <c r="AU170" s="24"/>
      <c r="AW170" s="24"/>
      <c r="AX170" s="13"/>
      <c r="AY170" s="13"/>
      <c r="AZ170" s="24"/>
      <c r="BB170" s="24"/>
      <c r="BC170" s="13"/>
      <c r="BD170" s="13"/>
      <c r="BE170" s="24"/>
      <c r="BG170" s="24"/>
      <c r="BH170" s="13"/>
      <c r="BI170" s="13"/>
      <c r="BJ170" s="24"/>
      <c r="BL170" s="24"/>
      <c r="BM170" s="13"/>
      <c r="BN170" s="13"/>
    </row>
    <row r="171" spans="1:66" s="11" customFormat="1" ht="21">
      <c r="A171" s="24"/>
      <c r="B171" s="24"/>
      <c r="C171" s="24"/>
      <c r="E171" s="13"/>
      <c r="F171" s="24"/>
      <c r="G171" s="24"/>
      <c r="I171" s="24"/>
      <c r="J171" s="13"/>
      <c r="K171" s="13"/>
      <c r="L171" s="24"/>
      <c r="N171" s="24"/>
      <c r="O171" s="13"/>
      <c r="P171" s="13"/>
      <c r="Q171" s="24"/>
      <c r="S171" s="24"/>
      <c r="T171" s="13"/>
      <c r="U171" s="13"/>
      <c r="V171" s="24"/>
      <c r="X171" s="24"/>
      <c r="Y171" s="13"/>
      <c r="Z171" s="13"/>
      <c r="AA171" s="24"/>
      <c r="AC171" s="24"/>
      <c r="AD171" s="13"/>
      <c r="AE171" s="13"/>
      <c r="AF171" s="24"/>
      <c r="AH171" s="24"/>
      <c r="AI171" s="13"/>
      <c r="AJ171" s="13"/>
      <c r="AK171" s="24"/>
      <c r="AM171" s="24"/>
      <c r="AN171" s="13"/>
      <c r="AO171" s="13"/>
      <c r="AP171" s="24"/>
      <c r="AR171" s="24"/>
      <c r="AS171" s="13"/>
      <c r="AT171" s="13"/>
      <c r="AU171" s="24"/>
      <c r="AW171" s="24"/>
      <c r="AX171" s="13"/>
      <c r="AY171" s="13"/>
      <c r="AZ171" s="24"/>
      <c r="BB171" s="24"/>
      <c r="BC171" s="13"/>
      <c r="BD171" s="13"/>
      <c r="BE171" s="24"/>
      <c r="BG171" s="24"/>
      <c r="BH171" s="13"/>
      <c r="BI171" s="13"/>
      <c r="BJ171" s="24"/>
      <c r="BL171" s="24"/>
      <c r="BM171" s="13"/>
      <c r="BN171" s="13"/>
    </row>
    <row r="172" spans="1:66" s="11" customFormat="1" ht="21">
      <c r="A172" s="24"/>
      <c r="B172" s="24"/>
      <c r="C172" s="24"/>
      <c r="E172" s="13"/>
      <c r="F172" s="24"/>
      <c r="G172" s="24"/>
      <c r="I172" s="24"/>
      <c r="J172" s="13"/>
      <c r="K172" s="13"/>
      <c r="L172" s="24"/>
      <c r="N172" s="24"/>
      <c r="O172" s="13"/>
      <c r="P172" s="13"/>
      <c r="Q172" s="24"/>
      <c r="S172" s="24"/>
      <c r="T172" s="13"/>
      <c r="U172" s="13"/>
      <c r="V172" s="24"/>
      <c r="X172" s="24"/>
      <c r="Y172" s="13"/>
      <c r="Z172" s="13"/>
      <c r="AA172" s="24"/>
      <c r="AC172" s="24"/>
      <c r="AD172" s="13"/>
      <c r="AE172" s="13"/>
      <c r="AF172" s="24"/>
      <c r="AH172" s="24"/>
      <c r="AI172" s="13"/>
      <c r="AJ172" s="13"/>
      <c r="AK172" s="24"/>
      <c r="AM172" s="24"/>
      <c r="AN172" s="13"/>
      <c r="AO172" s="13"/>
      <c r="AP172" s="24"/>
      <c r="AR172" s="24"/>
      <c r="AS172" s="13"/>
      <c r="AT172" s="13"/>
      <c r="AU172" s="24"/>
      <c r="AW172" s="24"/>
      <c r="AX172" s="13"/>
      <c r="AY172" s="13"/>
      <c r="AZ172" s="24"/>
      <c r="BB172" s="24"/>
      <c r="BC172" s="13"/>
      <c r="BD172" s="13"/>
      <c r="BE172" s="24"/>
      <c r="BG172" s="24"/>
      <c r="BH172" s="13"/>
      <c r="BI172" s="13"/>
      <c r="BJ172" s="24"/>
      <c r="BL172" s="24"/>
      <c r="BM172" s="13"/>
      <c r="BN172" s="13"/>
    </row>
    <row r="173" spans="1:66" s="11" customFormat="1" ht="21">
      <c r="A173" s="24"/>
      <c r="B173" s="24"/>
      <c r="C173" s="24"/>
      <c r="E173" s="13"/>
      <c r="F173" s="24"/>
      <c r="G173" s="24"/>
      <c r="I173" s="24"/>
      <c r="J173" s="13"/>
      <c r="K173" s="13"/>
      <c r="L173" s="24"/>
      <c r="N173" s="24"/>
      <c r="O173" s="13"/>
      <c r="P173" s="13"/>
      <c r="Q173" s="24"/>
      <c r="S173" s="24"/>
      <c r="T173" s="13"/>
      <c r="U173" s="13"/>
      <c r="V173" s="24"/>
      <c r="X173" s="24"/>
      <c r="Y173" s="13"/>
      <c r="Z173" s="13"/>
      <c r="AA173" s="24"/>
      <c r="AC173" s="24"/>
      <c r="AD173" s="13"/>
      <c r="AE173" s="13"/>
      <c r="AF173" s="24"/>
      <c r="AH173" s="24"/>
      <c r="AI173" s="13"/>
      <c r="AJ173" s="13"/>
      <c r="AK173" s="24"/>
      <c r="AM173" s="24"/>
      <c r="AN173" s="13"/>
      <c r="AO173" s="13"/>
      <c r="AP173" s="24"/>
      <c r="AR173" s="24"/>
      <c r="AS173" s="13"/>
      <c r="AT173" s="13"/>
      <c r="AU173" s="24"/>
      <c r="AW173" s="24"/>
      <c r="AX173" s="13"/>
      <c r="AY173" s="13"/>
      <c r="AZ173" s="24"/>
      <c r="BB173" s="24"/>
      <c r="BC173" s="13"/>
      <c r="BD173" s="13"/>
      <c r="BE173" s="24"/>
      <c r="BG173" s="24"/>
      <c r="BH173" s="13"/>
      <c r="BI173" s="13"/>
      <c r="BJ173" s="24"/>
      <c r="BL173" s="24"/>
      <c r="BM173" s="13"/>
      <c r="BN173" s="13"/>
    </row>
    <row r="174" spans="1:66" s="11" customFormat="1" ht="21">
      <c r="A174" s="24"/>
      <c r="B174" s="24"/>
      <c r="C174" s="24"/>
      <c r="E174" s="13"/>
      <c r="F174" s="24"/>
      <c r="G174" s="24"/>
      <c r="I174" s="24"/>
      <c r="J174" s="13"/>
      <c r="K174" s="13"/>
      <c r="L174" s="24"/>
      <c r="N174" s="24"/>
      <c r="O174" s="13"/>
      <c r="P174" s="13"/>
      <c r="Q174" s="24"/>
      <c r="S174" s="24"/>
      <c r="T174" s="13"/>
      <c r="U174" s="13"/>
      <c r="V174" s="24"/>
      <c r="X174" s="24"/>
      <c r="Y174" s="13"/>
      <c r="Z174" s="13"/>
      <c r="AA174" s="24"/>
      <c r="AC174" s="24"/>
      <c r="AD174" s="13"/>
      <c r="AE174" s="13"/>
      <c r="AF174" s="24"/>
      <c r="AH174" s="24"/>
      <c r="AI174" s="13"/>
      <c r="AJ174" s="13"/>
      <c r="AK174" s="24"/>
      <c r="AM174" s="24"/>
      <c r="AN174" s="13"/>
      <c r="AO174" s="13"/>
      <c r="AP174" s="24"/>
      <c r="AR174" s="24"/>
      <c r="AS174" s="13"/>
      <c r="AT174" s="13"/>
      <c r="AU174" s="24"/>
      <c r="AW174" s="24"/>
      <c r="AX174" s="13"/>
      <c r="AY174" s="13"/>
      <c r="AZ174" s="24"/>
      <c r="BB174" s="24"/>
      <c r="BC174" s="13"/>
      <c r="BD174" s="13"/>
      <c r="BE174" s="24"/>
      <c r="BG174" s="24"/>
      <c r="BH174" s="13"/>
      <c r="BI174" s="13"/>
      <c r="BJ174" s="24"/>
      <c r="BL174" s="24"/>
      <c r="BM174" s="13"/>
      <c r="BN174" s="13"/>
    </row>
    <row r="175" spans="1:66" s="11" customFormat="1" ht="21">
      <c r="A175" s="24"/>
      <c r="B175" s="24"/>
      <c r="C175" s="24"/>
      <c r="E175" s="13"/>
      <c r="F175" s="24"/>
      <c r="G175" s="24"/>
      <c r="I175" s="24"/>
      <c r="J175" s="13"/>
      <c r="K175" s="13"/>
      <c r="L175" s="24"/>
      <c r="N175" s="24"/>
      <c r="O175" s="13"/>
      <c r="P175" s="13"/>
      <c r="Q175" s="24"/>
      <c r="S175" s="24"/>
      <c r="T175" s="13"/>
      <c r="U175" s="13"/>
      <c r="V175" s="24"/>
      <c r="X175" s="24"/>
      <c r="Y175" s="13"/>
      <c r="Z175" s="13"/>
      <c r="AA175" s="24"/>
      <c r="AC175" s="24"/>
      <c r="AD175" s="13"/>
      <c r="AE175" s="13"/>
      <c r="AF175" s="24"/>
      <c r="AH175" s="24"/>
      <c r="AI175" s="13"/>
      <c r="AJ175" s="13"/>
      <c r="AK175" s="24"/>
      <c r="AM175" s="24"/>
      <c r="AN175" s="13"/>
      <c r="AO175" s="13"/>
      <c r="AP175" s="24"/>
      <c r="AR175" s="24"/>
      <c r="AS175" s="13"/>
      <c r="AT175" s="13"/>
      <c r="AU175" s="24"/>
      <c r="AW175" s="24"/>
      <c r="AX175" s="13"/>
      <c r="AY175" s="13"/>
      <c r="AZ175" s="24"/>
      <c r="BB175" s="24"/>
      <c r="BC175" s="13"/>
      <c r="BD175" s="13"/>
      <c r="BE175" s="24"/>
      <c r="BG175" s="24"/>
      <c r="BH175" s="13"/>
      <c r="BI175" s="13"/>
      <c r="BJ175" s="24"/>
      <c r="BL175" s="24"/>
      <c r="BM175" s="13"/>
      <c r="BN175" s="13"/>
    </row>
    <row r="176" spans="1:66" s="11" customFormat="1" ht="21">
      <c r="A176" s="24"/>
      <c r="B176" s="24"/>
      <c r="C176" s="24"/>
      <c r="E176" s="13"/>
      <c r="F176" s="24"/>
      <c r="G176" s="24"/>
      <c r="I176" s="24"/>
      <c r="J176" s="13"/>
      <c r="K176" s="13"/>
      <c r="L176" s="24"/>
      <c r="N176" s="24"/>
      <c r="O176" s="13"/>
      <c r="P176" s="13"/>
      <c r="Q176" s="24"/>
      <c r="S176" s="24"/>
      <c r="T176" s="13"/>
      <c r="U176" s="13"/>
      <c r="V176" s="24"/>
      <c r="X176" s="24"/>
      <c r="Y176" s="13"/>
      <c r="Z176" s="13"/>
      <c r="AA176" s="24"/>
      <c r="AC176" s="24"/>
      <c r="AD176" s="13"/>
      <c r="AE176" s="13"/>
      <c r="AF176" s="24"/>
      <c r="AH176" s="24"/>
      <c r="AI176" s="13"/>
      <c r="AJ176" s="13"/>
      <c r="AK176" s="24"/>
      <c r="AM176" s="24"/>
      <c r="AN176" s="13"/>
      <c r="AO176" s="13"/>
      <c r="AP176" s="24"/>
      <c r="AR176" s="24"/>
      <c r="AS176" s="13"/>
      <c r="AT176" s="13"/>
      <c r="AU176" s="24"/>
      <c r="AW176" s="24"/>
      <c r="AX176" s="13"/>
      <c r="AY176" s="13"/>
      <c r="AZ176" s="24"/>
      <c r="BB176" s="24"/>
      <c r="BC176" s="13"/>
      <c r="BD176" s="13"/>
      <c r="BE176" s="24"/>
      <c r="BG176" s="24"/>
      <c r="BH176" s="13"/>
      <c r="BI176" s="13"/>
      <c r="BJ176" s="24"/>
      <c r="BL176" s="24"/>
      <c r="BM176" s="13"/>
      <c r="BN176" s="13"/>
    </row>
    <row r="177" spans="1:66" s="11" customFormat="1" ht="21">
      <c r="A177" s="24"/>
      <c r="B177" s="24"/>
      <c r="C177" s="24"/>
      <c r="E177" s="13"/>
      <c r="F177" s="24"/>
      <c r="G177" s="24"/>
      <c r="I177" s="24"/>
      <c r="J177" s="13"/>
      <c r="K177" s="13"/>
      <c r="L177" s="24"/>
      <c r="N177" s="24"/>
      <c r="O177" s="13"/>
      <c r="P177" s="13"/>
      <c r="Q177" s="24"/>
      <c r="S177" s="24"/>
      <c r="T177" s="13"/>
      <c r="U177" s="13"/>
      <c r="V177" s="24"/>
      <c r="X177" s="24"/>
      <c r="Y177" s="13"/>
      <c r="Z177" s="13"/>
      <c r="AA177" s="24"/>
      <c r="AC177" s="24"/>
      <c r="AD177" s="13"/>
      <c r="AE177" s="13"/>
      <c r="AF177" s="24"/>
      <c r="AH177" s="24"/>
      <c r="AI177" s="13"/>
      <c r="AJ177" s="13"/>
      <c r="AK177" s="24"/>
      <c r="AM177" s="24"/>
      <c r="AN177" s="13"/>
      <c r="AO177" s="13"/>
      <c r="AP177" s="24"/>
      <c r="AR177" s="24"/>
      <c r="AS177" s="13"/>
      <c r="AT177" s="13"/>
      <c r="AU177" s="24"/>
      <c r="AW177" s="24"/>
      <c r="AX177" s="13"/>
      <c r="AY177" s="13"/>
      <c r="AZ177" s="24"/>
      <c r="BB177" s="24"/>
      <c r="BC177" s="13"/>
      <c r="BD177" s="13"/>
      <c r="BE177" s="24"/>
      <c r="BG177" s="24"/>
      <c r="BH177" s="13"/>
      <c r="BI177" s="13"/>
      <c r="BJ177" s="24"/>
      <c r="BL177" s="24"/>
      <c r="BM177" s="13"/>
      <c r="BN177" s="13"/>
    </row>
    <row r="178" spans="1:66" s="11" customFormat="1" ht="21">
      <c r="A178" s="24"/>
      <c r="B178" s="24"/>
      <c r="C178" s="24"/>
      <c r="E178" s="13"/>
      <c r="F178" s="24"/>
      <c r="G178" s="24"/>
      <c r="I178" s="24"/>
      <c r="J178" s="13"/>
      <c r="K178" s="13"/>
      <c r="L178" s="24"/>
      <c r="N178" s="24"/>
      <c r="O178" s="13"/>
      <c r="P178" s="13"/>
      <c r="Q178" s="24"/>
      <c r="S178" s="24"/>
      <c r="T178" s="13"/>
      <c r="U178" s="13"/>
      <c r="V178" s="24"/>
      <c r="X178" s="24"/>
      <c r="Y178" s="13"/>
      <c r="Z178" s="13"/>
      <c r="AA178" s="24"/>
      <c r="AC178" s="24"/>
      <c r="AD178" s="13"/>
      <c r="AE178" s="13"/>
      <c r="AF178" s="24"/>
      <c r="AH178" s="24"/>
      <c r="AI178" s="13"/>
      <c r="AJ178" s="13"/>
      <c r="AK178" s="24"/>
      <c r="AM178" s="24"/>
      <c r="AN178" s="13"/>
      <c r="AO178" s="13"/>
      <c r="AP178" s="24"/>
      <c r="AR178" s="24"/>
      <c r="AS178" s="13"/>
      <c r="AT178" s="13"/>
      <c r="AU178" s="24"/>
      <c r="AW178" s="24"/>
      <c r="AX178" s="13"/>
      <c r="AY178" s="13"/>
      <c r="AZ178" s="24"/>
      <c r="BB178" s="24"/>
      <c r="BC178" s="13"/>
      <c r="BD178" s="13"/>
      <c r="BE178" s="24"/>
      <c r="BG178" s="24"/>
      <c r="BH178" s="13"/>
      <c r="BI178" s="13"/>
      <c r="BJ178" s="24"/>
      <c r="BL178" s="24"/>
      <c r="BM178" s="13"/>
      <c r="BN178" s="13"/>
    </row>
    <row r="179" spans="1:66" s="11" customFormat="1" ht="21">
      <c r="A179" s="24"/>
      <c r="B179" s="24"/>
      <c r="C179" s="24"/>
      <c r="E179" s="13"/>
      <c r="F179" s="24"/>
      <c r="G179" s="24"/>
      <c r="I179" s="24"/>
      <c r="J179" s="13"/>
      <c r="K179" s="13"/>
      <c r="L179" s="24"/>
      <c r="N179" s="24"/>
      <c r="O179" s="13"/>
      <c r="P179" s="13"/>
      <c r="Q179" s="24"/>
      <c r="S179" s="24"/>
      <c r="T179" s="13"/>
      <c r="U179" s="13"/>
      <c r="V179" s="24"/>
      <c r="X179" s="24"/>
      <c r="Y179" s="13"/>
      <c r="Z179" s="13"/>
      <c r="AA179" s="24"/>
      <c r="AC179" s="24"/>
      <c r="AD179" s="13"/>
      <c r="AE179" s="13"/>
      <c r="AF179" s="24"/>
      <c r="AH179" s="24"/>
      <c r="AI179" s="13"/>
      <c r="AJ179" s="13"/>
      <c r="AK179" s="24"/>
      <c r="AM179" s="24"/>
      <c r="AN179" s="13"/>
      <c r="AO179" s="13"/>
      <c r="AP179" s="24"/>
      <c r="AR179" s="24"/>
      <c r="AS179" s="13"/>
      <c r="AT179" s="13"/>
      <c r="AU179" s="24"/>
      <c r="AW179" s="24"/>
      <c r="AX179" s="13"/>
      <c r="AY179" s="13"/>
      <c r="AZ179" s="24"/>
      <c r="BB179" s="24"/>
      <c r="BC179" s="13"/>
      <c r="BD179" s="13"/>
      <c r="BE179" s="24"/>
      <c r="BG179" s="24"/>
      <c r="BH179" s="13"/>
      <c r="BI179" s="13"/>
      <c r="BJ179" s="24"/>
      <c r="BL179" s="24"/>
      <c r="BM179" s="13"/>
      <c r="BN179" s="13"/>
    </row>
    <row r="180" spans="1:66" s="11" customFormat="1" ht="21">
      <c r="A180" s="24"/>
      <c r="B180" s="24"/>
      <c r="C180" s="24"/>
      <c r="E180" s="13"/>
      <c r="F180" s="24"/>
      <c r="G180" s="24"/>
      <c r="I180" s="24"/>
      <c r="J180" s="13"/>
      <c r="K180" s="13"/>
      <c r="L180" s="24"/>
      <c r="N180" s="24"/>
      <c r="O180" s="13"/>
      <c r="P180" s="13"/>
      <c r="Q180" s="24"/>
      <c r="S180" s="24"/>
      <c r="T180" s="13"/>
      <c r="U180" s="13"/>
      <c r="V180" s="24"/>
      <c r="X180" s="24"/>
      <c r="Y180" s="13"/>
      <c r="Z180" s="13"/>
      <c r="AA180" s="24"/>
      <c r="AC180" s="24"/>
      <c r="AD180" s="13"/>
      <c r="AE180" s="13"/>
      <c r="AF180" s="24"/>
      <c r="AH180" s="24"/>
      <c r="AI180" s="13"/>
      <c r="AJ180" s="13"/>
      <c r="AK180" s="24"/>
      <c r="AM180" s="24"/>
      <c r="AN180" s="13"/>
      <c r="AO180" s="13"/>
      <c r="AP180" s="24"/>
      <c r="AR180" s="24"/>
      <c r="AS180" s="13"/>
      <c r="AT180" s="13"/>
      <c r="AU180" s="24"/>
      <c r="AW180" s="24"/>
      <c r="AX180" s="13"/>
      <c r="AY180" s="13"/>
      <c r="AZ180" s="24"/>
      <c r="BB180" s="24"/>
      <c r="BC180" s="13"/>
      <c r="BD180" s="13"/>
      <c r="BE180" s="24"/>
      <c r="BG180" s="24"/>
      <c r="BH180" s="13"/>
      <c r="BI180" s="13"/>
      <c r="BJ180" s="24"/>
      <c r="BL180" s="24"/>
      <c r="BM180" s="13"/>
      <c r="BN180" s="13"/>
    </row>
    <row r="181" spans="1:66" s="11" customFormat="1" ht="21">
      <c r="A181" s="24"/>
      <c r="B181" s="24"/>
      <c r="C181" s="24"/>
      <c r="E181" s="13"/>
      <c r="F181" s="24"/>
      <c r="G181" s="24"/>
      <c r="I181" s="24"/>
      <c r="J181" s="13"/>
      <c r="K181" s="13"/>
      <c r="L181" s="24"/>
      <c r="N181" s="24"/>
      <c r="O181" s="13"/>
      <c r="P181" s="13"/>
      <c r="Q181" s="24"/>
      <c r="S181" s="24"/>
      <c r="T181" s="13"/>
      <c r="U181" s="13"/>
      <c r="V181" s="24"/>
      <c r="X181" s="24"/>
      <c r="Y181" s="13"/>
      <c r="Z181" s="13"/>
      <c r="AA181" s="24"/>
      <c r="AC181" s="24"/>
      <c r="AD181" s="13"/>
      <c r="AE181" s="13"/>
      <c r="AF181" s="24"/>
      <c r="AH181" s="24"/>
      <c r="AI181" s="13"/>
      <c r="AJ181" s="13"/>
      <c r="AK181" s="24"/>
      <c r="AM181" s="24"/>
      <c r="AN181" s="13"/>
      <c r="AO181" s="13"/>
      <c r="AP181" s="24"/>
      <c r="AR181" s="24"/>
      <c r="AS181" s="13"/>
      <c r="AT181" s="13"/>
      <c r="AU181" s="24"/>
      <c r="AW181" s="24"/>
      <c r="AX181" s="13"/>
      <c r="AY181" s="13"/>
      <c r="AZ181" s="24"/>
      <c r="BB181" s="24"/>
      <c r="BC181" s="13"/>
      <c r="BD181" s="13"/>
      <c r="BE181" s="24"/>
      <c r="BG181" s="24"/>
      <c r="BH181" s="13"/>
      <c r="BI181" s="13"/>
      <c r="BJ181" s="24"/>
      <c r="BL181" s="24"/>
      <c r="BM181" s="13"/>
      <c r="BN181" s="13"/>
    </row>
    <row r="182" spans="1:66" s="11" customFormat="1" ht="21">
      <c r="A182" s="24"/>
      <c r="B182" s="24"/>
      <c r="C182" s="24"/>
      <c r="E182" s="13"/>
      <c r="F182" s="24"/>
      <c r="G182" s="24"/>
      <c r="I182" s="24"/>
      <c r="J182" s="13"/>
      <c r="K182" s="13"/>
      <c r="L182" s="24"/>
      <c r="N182" s="24"/>
      <c r="O182" s="13"/>
      <c r="P182" s="13"/>
      <c r="Q182" s="24"/>
      <c r="S182" s="24"/>
      <c r="T182" s="13"/>
      <c r="U182" s="13"/>
      <c r="V182" s="24"/>
      <c r="X182" s="24"/>
      <c r="Y182" s="13"/>
      <c r="Z182" s="13"/>
      <c r="AA182" s="24"/>
      <c r="AC182" s="24"/>
      <c r="AD182" s="13"/>
      <c r="AE182" s="13"/>
      <c r="AF182" s="24"/>
      <c r="AH182" s="24"/>
      <c r="AI182" s="13"/>
      <c r="AJ182" s="13"/>
      <c r="AK182" s="24"/>
      <c r="AM182" s="24"/>
      <c r="AN182" s="13"/>
      <c r="AO182" s="13"/>
      <c r="AP182" s="24"/>
      <c r="AR182" s="24"/>
      <c r="AS182" s="13"/>
      <c r="AT182" s="13"/>
      <c r="AU182" s="24"/>
      <c r="AW182" s="24"/>
      <c r="AX182" s="13"/>
      <c r="AY182" s="13"/>
      <c r="AZ182" s="24"/>
      <c r="BB182" s="24"/>
      <c r="BC182" s="13"/>
      <c r="BD182" s="13"/>
      <c r="BE182" s="24"/>
      <c r="BG182" s="24"/>
      <c r="BH182" s="13"/>
      <c r="BI182" s="13"/>
      <c r="BJ182" s="24"/>
      <c r="BL182" s="24"/>
      <c r="BM182" s="13"/>
      <c r="BN182" s="13"/>
    </row>
    <row r="183" spans="1:66" s="11" customFormat="1" ht="21">
      <c r="A183" s="24"/>
      <c r="B183" s="24"/>
      <c r="C183" s="24"/>
      <c r="E183" s="13"/>
      <c r="F183" s="24"/>
      <c r="G183" s="24"/>
      <c r="I183" s="24"/>
      <c r="J183" s="13"/>
      <c r="K183" s="13"/>
      <c r="L183" s="24"/>
      <c r="N183" s="24"/>
      <c r="O183" s="13"/>
      <c r="P183" s="13"/>
      <c r="Q183" s="24"/>
      <c r="S183" s="24"/>
      <c r="T183" s="13"/>
      <c r="U183" s="13"/>
      <c r="V183" s="24"/>
      <c r="X183" s="24"/>
      <c r="Y183" s="13"/>
      <c r="Z183" s="13"/>
      <c r="AA183" s="24"/>
      <c r="AC183" s="24"/>
      <c r="AD183" s="13"/>
      <c r="AE183" s="13"/>
      <c r="AF183" s="24"/>
      <c r="AH183" s="24"/>
      <c r="AI183" s="13"/>
      <c r="AJ183" s="13"/>
      <c r="AK183" s="24"/>
      <c r="AM183" s="24"/>
      <c r="AN183" s="13"/>
      <c r="AO183" s="13"/>
      <c r="AP183" s="24"/>
      <c r="AR183" s="24"/>
      <c r="AS183" s="13"/>
      <c r="AT183" s="13"/>
      <c r="AU183" s="24"/>
      <c r="AW183" s="24"/>
      <c r="AX183" s="13"/>
      <c r="AY183" s="13"/>
      <c r="AZ183" s="24"/>
      <c r="BB183" s="24"/>
      <c r="BC183" s="13"/>
      <c r="BD183" s="13"/>
      <c r="BE183" s="24"/>
      <c r="BG183" s="24"/>
      <c r="BH183" s="13"/>
      <c r="BI183" s="13"/>
      <c r="BJ183" s="24"/>
      <c r="BL183" s="24"/>
      <c r="BM183" s="13"/>
      <c r="BN183" s="13"/>
    </row>
    <row r="184" spans="1:66" s="11" customFormat="1" ht="21">
      <c r="A184" s="24"/>
      <c r="B184" s="24"/>
      <c r="C184" s="24"/>
      <c r="E184" s="13"/>
      <c r="F184" s="24"/>
      <c r="G184" s="24"/>
      <c r="I184" s="24"/>
      <c r="J184" s="13"/>
      <c r="K184" s="13"/>
      <c r="L184" s="24"/>
      <c r="N184" s="24"/>
      <c r="O184" s="13"/>
      <c r="P184" s="13"/>
      <c r="Q184" s="24"/>
      <c r="S184" s="24"/>
      <c r="T184" s="13"/>
      <c r="U184" s="13"/>
      <c r="V184" s="24"/>
      <c r="X184" s="24"/>
      <c r="Y184" s="13"/>
      <c r="Z184" s="13"/>
      <c r="AA184" s="24"/>
      <c r="AC184" s="24"/>
      <c r="AD184" s="13"/>
      <c r="AE184" s="13"/>
      <c r="AF184" s="24"/>
      <c r="AH184" s="24"/>
      <c r="AI184" s="13"/>
      <c r="AJ184" s="13"/>
      <c r="AK184" s="24"/>
      <c r="AM184" s="24"/>
      <c r="AN184" s="13"/>
      <c r="AO184" s="13"/>
      <c r="AP184" s="24"/>
      <c r="AR184" s="24"/>
      <c r="AS184" s="13"/>
      <c r="AT184" s="13"/>
      <c r="AU184" s="24"/>
      <c r="AW184" s="24"/>
      <c r="AX184" s="13"/>
      <c r="AY184" s="13"/>
      <c r="AZ184" s="24"/>
      <c r="BB184" s="24"/>
      <c r="BC184" s="13"/>
      <c r="BD184" s="13"/>
      <c r="BE184" s="24"/>
      <c r="BG184" s="24"/>
      <c r="BH184" s="13"/>
      <c r="BI184" s="13"/>
      <c r="BJ184" s="24"/>
      <c r="BL184" s="24"/>
      <c r="BM184" s="13"/>
      <c r="BN184" s="13"/>
    </row>
    <row r="185" spans="1:66" s="11" customFormat="1" ht="21">
      <c r="A185" s="24"/>
      <c r="B185" s="24"/>
      <c r="C185" s="24"/>
      <c r="E185" s="13"/>
      <c r="F185" s="24"/>
      <c r="G185" s="24"/>
      <c r="I185" s="24"/>
      <c r="J185" s="13"/>
      <c r="K185" s="13"/>
      <c r="L185" s="24"/>
      <c r="N185" s="24"/>
      <c r="O185" s="13"/>
      <c r="P185" s="13"/>
      <c r="Q185" s="24"/>
      <c r="S185" s="24"/>
      <c r="T185" s="13"/>
      <c r="U185" s="13"/>
      <c r="V185" s="24"/>
      <c r="X185" s="24"/>
      <c r="Y185" s="13"/>
      <c r="Z185" s="13"/>
      <c r="AA185" s="24"/>
      <c r="AC185" s="24"/>
      <c r="AD185" s="13"/>
      <c r="AE185" s="13"/>
      <c r="AF185" s="24"/>
      <c r="AH185" s="24"/>
      <c r="AI185" s="13"/>
      <c r="AJ185" s="13"/>
      <c r="AK185" s="24"/>
      <c r="AM185" s="24"/>
      <c r="AN185" s="13"/>
      <c r="AO185" s="13"/>
      <c r="AP185" s="24"/>
      <c r="AR185" s="24"/>
      <c r="AS185" s="13"/>
      <c r="AT185" s="13"/>
      <c r="AU185" s="24"/>
      <c r="AW185" s="24"/>
      <c r="AX185" s="13"/>
      <c r="AY185" s="13"/>
      <c r="AZ185" s="24"/>
      <c r="BB185" s="24"/>
      <c r="BC185" s="13"/>
      <c r="BD185" s="13"/>
      <c r="BE185" s="24"/>
      <c r="BG185" s="24"/>
      <c r="BH185" s="13"/>
      <c r="BI185" s="13"/>
      <c r="BJ185" s="24"/>
      <c r="BL185" s="24"/>
      <c r="BM185" s="13"/>
      <c r="BN185" s="13"/>
    </row>
    <row r="186" spans="1:66" s="11" customFormat="1" ht="21">
      <c r="A186" s="24"/>
      <c r="B186" s="24"/>
      <c r="C186" s="24"/>
      <c r="E186" s="13"/>
      <c r="F186" s="24"/>
      <c r="G186" s="24"/>
      <c r="I186" s="24"/>
      <c r="J186" s="13"/>
      <c r="K186" s="13"/>
      <c r="L186" s="24"/>
      <c r="N186" s="24"/>
      <c r="O186" s="13"/>
      <c r="P186" s="13"/>
      <c r="Q186" s="24"/>
      <c r="S186" s="24"/>
      <c r="T186" s="13"/>
      <c r="U186" s="13"/>
      <c r="V186" s="24"/>
      <c r="X186" s="24"/>
      <c r="Y186" s="13"/>
      <c r="Z186" s="13"/>
      <c r="AA186" s="24"/>
      <c r="AC186" s="24"/>
      <c r="AD186" s="13"/>
      <c r="AE186" s="13"/>
      <c r="AF186" s="24"/>
      <c r="AH186" s="24"/>
      <c r="AI186" s="13"/>
      <c r="AJ186" s="13"/>
      <c r="AK186" s="24"/>
      <c r="AM186" s="24"/>
      <c r="AN186" s="13"/>
      <c r="AO186" s="13"/>
      <c r="AP186" s="24"/>
      <c r="AR186" s="24"/>
      <c r="AS186" s="13"/>
      <c r="AT186" s="13"/>
      <c r="AU186" s="24"/>
      <c r="AW186" s="24"/>
      <c r="AX186" s="13"/>
      <c r="AY186" s="13"/>
      <c r="AZ186" s="24"/>
      <c r="BB186" s="24"/>
      <c r="BC186" s="13"/>
      <c r="BD186" s="13"/>
      <c r="BE186" s="24"/>
      <c r="BG186" s="24"/>
      <c r="BH186" s="13"/>
      <c r="BI186" s="13"/>
      <c r="BJ186" s="24"/>
      <c r="BL186" s="24"/>
      <c r="BM186" s="13"/>
      <c r="BN186" s="13"/>
    </row>
    <row r="187" spans="1:66" s="11" customFormat="1" ht="21">
      <c r="A187" s="24"/>
      <c r="B187" s="24"/>
      <c r="C187" s="24"/>
      <c r="E187" s="13"/>
      <c r="F187" s="24"/>
      <c r="G187" s="24"/>
      <c r="I187" s="24"/>
      <c r="J187" s="13"/>
      <c r="K187" s="13"/>
      <c r="L187" s="24"/>
      <c r="N187" s="24"/>
      <c r="O187" s="13"/>
      <c r="P187" s="13"/>
      <c r="Q187" s="24"/>
      <c r="S187" s="24"/>
      <c r="T187" s="13"/>
      <c r="U187" s="13"/>
      <c r="V187" s="24"/>
      <c r="X187" s="24"/>
      <c r="Y187" s="13"/>
      <c r="Z187" s="13"/>
      <c r="AA187" s="24"/>
      <c r="AC187" s="24"/>
      <c r="AD187" s="13"/>
      <c r="AE187" s="13"/>
      <c r="AF187" s="24"/>
      <c r="AH187" s="24"/>
      <c r="AI187" s="13"/>
      <c r="AJ187" s="13"/>
      <c r="AK187" s="24"/>
      <c r="AM187" s="24"/>
      <c r="AN187" s="13"/>
      <c r="AO187" s="13"/>
      <c r="AP187" s="24"/>
      <c r="AR187" s="24"/>
      <c r="AS187" s="13"/>
      <c r="AT187" s="13"/>
      <c r="AU187" s="24"/>
      <c r="AW187" s="24"/>
      <c r="AX187" s="13"/>
      <c r="AY187" s="13"/>
      <c r="AZ187" s="24"/>
      <c r="BB187" s="24"/>
      <c r="BC187" s="13"/>
      <c r="BD187" s="13"/>
      <c r="BE187" s="24"/>
      <c r="BG187" s="24"/>
      <c r="BH187" s="13"/>
      <c r="BI187" s="13"/>
      <c r="BJ187" s="24"/>
      <c r="BL187" s="24"/>
      <c r="BM187" s="13"/>
      <c r="BN187" s="13"/>
    </row>
    <row r="188" spans="1:66" s="11" customFormat="1" ht="21">
      <c r="A188" s="24"/>
      <c r="B188" s="24"/>
      <c r="C188" s="24"/>
      <c r="E188" s="13"/>
      <c r="F188" s="24"/>
      <c r="G188" s="24"/>
      <c r="I188" s="24"/>
      <c r="J188" s="13"/>
      <c r="K188" s="13"/>
      <c r="L188" s="24"/>
      <c r="N188" s="24"/>
      <c r="O188" s="13"/>
      <c r="P188" s="13"/>
      <c r="Q188" s="24"/>
      <c r="S188" s="24"/>
      <c r="T188" s="13"/>
      <c r="U188" s="13"/>
      <c r="V188" s="24"/>
      <c r="X188" s="24"/>
      <c r="Y188" s="13"/>
      <c r="Z188" s="13"/>
      <c r="AA188" s="24"/>
      <c r="AC188" s="24"/>
      <c r="AD188" s="13"/>
      <c r="AE188" s="13"/>
      <c r="AF188" s="24"/>
      <c r="AH188" s="24"/>
      <c r="AI188" s="13"/>
      <c r="AJ188" s="13"/>
      <c r="AK188" s="24"/>
      <c r="AM188" s="24"/>
      <c r="AN188" s="13"/>
      <c r="AO188" s="13"/>
      <c r="AP188" s="24"/>
      <c r="AR188" s="24"/>
      <c r="AS188" s="13"/>
      <c r="AT188" s="13"/>
      <c r="AU188" s="24"/>
      <c r="AW188" s="24"/>
      <c r="AX188" s="13"/>
      <c r="AY188" s="13"/>
      <c r="AZ188" s="24"/>
      <c r="BB188" s="24"/>
      <c r="BC188" s="13"/>
      <c r="BD188" s="13"/>
      <c r="BE188" s="24"/>
      <c r="BG188" s="24"/>
      <c r="BH188" s="13"/>
      <c r="BI188" s="13"/>
      <c r="BJ188" s="24"/>
      <c r="BL188" s="24"/>
      <c r="BM188" s="13"/>
      <c r="BN188" s="13"/>
    </row>
    <row r="189" spans="1:66" s="11" customFormat="1" ht="21">
      <c r="A189" s="24"/>
      <c r="B189" s="24"/>
      <c r="C189" s="24"/>
      <c r="E189" s="13"/>
      <c r="F189" s="24"/>
      <c r="G189" s="24"/>
      <c r="I189" s="24"/>
      <c r="J189" s="13"/>
      <c r="K189" s="13"/>
      <c r="L189" s="24"/>
      <c r="N189" s="24"/>
      <c r="O189" s="13"/>
      <c r="P189" s="13"/>
      <c r="Q189" s="24"/>
      <c r="S189" s="24"/>
      <c r="T189" s="13"/>
      <c r="U189" s="13"/>
      <c r="V189" s="24"/>
      <c r="X189" s="24"/>
      <c r="Y189" s="13"/>
      <c r="Z189" s="13"/>
      <c r="AA189" s="24"/>
      <c r="AC189" s="24"/>
      <c r="AD189" s="13"/>
      <c r="AE189" s="13"/>
      <c r="AF189" s="24"/>
      <c r="AH189" s="24"/>
      <c r="AI189" s="13"/>
      <c r="AJ189" s="13"/>
      <c r="AK189" s="24"/>
      <c r="AM189" s="24"/>
      <c r="AN189" s="13"/>
      <c r="AO189" s="13"/>
      <c r="AP189" s="24"/>
      <c r="AR189" s="24"/>
      <c r="AS189" s="13"/>
      <c r="AT189" s="13"/>
      <c r="AU189" s="24"/>
      <c r="AW189" s="24"/>
      <c r="AX189" s="13"/>
      <c r="AY189" s="13"/>
      <c r="AZ189" s="24"/>
      <c r="BB189" s="24"/>
      <c r="BC189" s="13"/>
      <c r="BD189" s="13"/>
      <c r="BE189" s="24"/>
      <c r="BG189" s="24"/>
      <c r="BH189" s="13"/>
      <c r="BI189" s="13"/>
      <c r="BJ189" s="24"/>
      <c r="BL189" s="24"/>
      <c r="BM189" s="13"/>
      <c r="BN189" s="13"/>
    </row>
    <row r="190" spans="1:66" s="11" customFormat="1" ht="21">
      <c r="A190" s="24"/>
      <c r="B190" s="24"/>
      <c r="C190" s="24"/>
      <c r="E190" s="13"/>
      <c r="F190" s="24"/>
      <c r="G190" s="24"/>
      <c r="I190" s="24"/>
      <c r="J190" s="13"/>
      <c r="K190" s="13"/>
      <c r="L190" s="24"/>
      <c r="N190" s="24"/>
      <c r="O190" s="13"/>
      <c r="P190" s="13"/>
      <c r="Q190" s="24"/>
      <c r="S190" s="24"/>
      <c r="T190" s="13"/>
      <c r="U190" s="13"/>
      <c r="V190" s="24"/>
      <c r="X190" s="24"/>
      <c r="Y190" s="13"/>
      <c r="Z190" s="13"/>
      <c r="AA190" s="24"/>
      <c r="AC190" s="24"/>
      <c r="AD190" s="13"/>
      <c r="AE190" s="13"/>
      <c r="AF190" s="24"/>
      <c r="AH190" s="24"/>
      <c r="AI190" s="13"/>
      <c r="AJ190" s="13"/>
      <c r="AK190" s="24"/>
      <c r="AM190" s="24"/>
      <c r="AN190" s="13"/>
      <c r="AO190" s="13"/>
      <c r="AP190" s="24"/>
      <c r="AR190" s="24"/>
      <c r="AS190" s="13"/>
      <c r="AT190" s="13"/>
      <c r="AU190" s="24"/>
      <c r="AW190" s="24"/>
      <c r="AX190" s="13"/>
      <c r="AY190" s="13"/>
      <c r="AZ190" s="24"/>
      <c r="BB190" s="24"/>
      <c r="BC190" s="13"/>
      <c r="BD190" s="13"/>
      <c r="BE190" s="24"/>
      <c r="BG190" s="24"/>
      <c r="BH190" s="13"/>
      <c r="BI190" s="13"/>
      <c r="BJ190" s="24"/>
      <c r="BL190" s="24"/>
      <c r="BM190" s="13"/>
      <c r="BN190" s="13"/>
    </row>
    <row r="191" spans="1:66" s="11" customFormat="1" ht="21">
      <c r="A191" s="24"/>
      <c r="B191" s="24"/>
      <c r="C191" s="24"/>
      <c r="E191" s="13"/>
      <c r="F191" s="24"/>
      <c r="G191" s="24"/>
      <c r="I191" s="24"/>
      <c r="J191" s="13"/>
      <c r="K191" s="13"/>
      <c r="L191" s="24"/>
      <c r="N191" s="24"/>
      <c r="O191" s="13"/>
      <c r="P191" s="13"/>
      <c r="Q191" s="24"/>
      <c r="S191" s="24"/>
      <c r="T191" s="13"/>
      <c r="U191" s="13"/>
      <c r="V191" s="24"/>
      <c r="X191" s="24"/>
      <c r="Y191" s="13"/>
      <c r="Z191" s="13"/>
      <c r="AA191" s="24"/>
      <c r="AC191" s="24"/>
      <c r="AD191" s="13"/>
      <c r="AE191" s="13"/>
      <c r="AF191" s="24"/>
      <c r="AH191" s="24"/>
      <c r="AI191" s="13"/>
      <c r="AJ191" s="13"/>
      <c r="AK191" s="24"/>
      <c r="AM191" s="24"/>
      <c r="AN191" s="13"/>
      <c r="AO191" s="13"/>
      <c r="AP191" s="24"/>
      <c r="AR191" s="24"/>
      <c r="AS191" s="13"/>
      <c r="AT191" s="13"/>
      <c r="AU191" s="24"/>
      <c r="AW191" s="24"/>
      <c r="AX191" s="13"/>
      <c r="AY191" s="13"/>
      <c r="AZ191" s="24"/>
      <c r="BB191" s="24"/>
      <c r="BC191" s="13"/>
      <c r="BD191" s="13"/>
      <c r="BE191" s="24"/>
      <c r="BG191" s="24"/>
      <c r="BH191" s="13"/>
      <c r="BI191" s="13"/>
      <c r="BJ191" s="24"/>
      <c r="BL191" s="24"/>
      <c r="BM191" s="13"/>
      <c r="BN191" s="13"/>
    </row>
    <row r="192" spans="1:66" s="11" customFormat="1" ht="21">
      <c r="A192" s="24"/>
      <c r="B192" s="24"/>
      <c r="C192" s="24"/>
      <c r="E192" s="13"/>
      <c r="F192" s="24"/>
      <c r="G192" s="24"/>
      <c r="I192" s="24"/>
      <c r="J192" s="13"/>
      <c r="K192" s="13"/>
      <c r="L192" s="24"/>
      <c r="N192" s="24"/>
      <c r="O192" s="13"/>
      <c r="P192" s="13"/>
      <c r="Q192" s="24"/>
      <c r="S192" s="24"/>
      <c r="T192" s="13"/>
      <c r="U192" s="13"/>
      <c r="V192" s="24"/>
      <c r="X192" s="24"/>
      <c r="Y192" s="13"/>
      <c r="Z192" s="13"/>
      <c r="AA192" s="24"/>
      <c r="AC192" s="24"/>
      <c r="AD192" s="13"/>
      <c r="AE192" s="13"/>
      <c r="AF192" s="24"/>
      <c r="AH192" s="24"/>
      <c r="AI192" s="13"/>
      <c r="AJ192" s="13"/>
      <c r="AK192" s="24"/>
      <c r="AM192" s="24"/>
      <c r="AN192" s="13"/>
      <c r="AO192" s="13"/>
      <c r="AP192" s="24"/>
      <c r="AR192" s="24"/>
      <c r="AS192" s="13"/>
      <c r="AT192" s="13"/>
      <c r="AU192" s="24"/>
      <c r="AW192" s="24"/>
      <c r="AX192" s="13"/>
      <c r="AY192" s="13"/>
      <c r="AZ192" s="24"/>
      <c r="BB192" s="24"/>
      <c r="BC192" s="13"/>
      <c r="BD192" s="13"/>
      <c r="BE192" s="24"/>
      <c r="BG192" s="24"/>
      <c r="BH192" s="13"/>
      <c r="BI192" s="13"/>
      <c r="BJ192" s="24"/>
      <c r="BL192" s="24"/>
      <c r="BM192" s="13"/>
      <c r="BN192" s="13"/>
    </row>
    <row r="193" spans="1:66" s="11" customFormat="1" ht="21">
      <c r="A193" s="24"/>
      <c r="B193" s="24"/>
      <c r="C193" s="24"/>
      <c r="E193" s="13"/>
      <c r="F193" s="24"/>
      <c r="G193" s="24"/>
      <c r="I193" s="24"/>
      <c r="J193" s="13"/>
      <c r="K193" s="13"/>
      <c r="L193" s="24"/>
      <c r="N193" s="24"/>
      <c r="O193" s="13"/>
      <c r="P193" s="13"/>
      <c r="Q193" s="24"/>
      <c r="S193" s="24"/>
      <c r="T193" s="13"/>
      <c r="U193" s="13"/>
      <c r="V193" s="24"/>
      <c r="X193" s="24"/>
      <c r="Y193" s="13"/>
      <c r="Z193" s="13"/>
      <c r="AA193" s="24"/>
      <c r="AC193" s="24"/>
      <c r="AD193" s="13"/>
      <c r="AE193" s="13"/>
      <c r="AF193" s="24"/>
      <c r="AH193" s="24"/>
      <c r="AI193" s="13"/>
      <c r="AJ193" s="13"/>
      <c r="AK193" s="24"/>
      <c r="AM193" s="24"/>
      <c r="AN193" s="13"/>
      <c r="AO193" s="13"/>
      <c r="AP193" s="24"/>
      <c r="AR193" s="24"/>
      <c r="AS193" s="13"/>
      <c r="AT193" s="13"/>
      <c r="AU193" s="24"/>
      <c r="AW193" s="24"/>
      <c r="AX193" s="13"/>
      <c r="AY193" s="13"/>
      <c r="AZ193" s="24"/>
      <c r="BB193" s="24"/>
      <c r="BC193" s="13"/>
      <c r="BD193" s="13"/>
      <c r="BE193" s="24"/>
      <c r="BG193" s="24"/>
      <c r="BH193" s="13"/>
      <c r="BI193" s="13"/>
      <c r="BJ193" s="24"/>
      <c r="BL193" s="24"/>
      <c r="BM193" s="13"/>
      <c r="BN193" s="13"/>
    </row>
    <row r="194" spans="1:66" s="11" customFormat="1" ht="21">
      <c r="A194" s="24"/>
      <c r="B194" s="24"/>
      <c r="C194" s="24"/>
      <c r="E194" s="13"/>
      <c r="F194" s="24"/>
      <c r="G194" s="24"/>
      <c r="I194" s="24"/>
      <c r="J194" s="13"/>
      <c r="K194" s="13"/>
      <c r="L194" s="24"/>
      <c r="N194" s="24"/>
      <c r="O194" s="13"/>
      <c r="P194" s="13"/>
      <c r="Q194" s="24"/>
      <c r="S194" s="24"/>
      <c r="T194" s="13"/>
      <c r="U194" s="13"/>
      <c r="V194" s="24"/>
      <c r="X194" s="24"/>
      <c r="Y194" s="13"/>
      <c r="Z194" s="13"/>
      <c r="AA194" s="24"/>
      <c r="AC194" s="24"/>
      <c r="AD194" s="13"/>
      <c r="AE194" s="13"/>
      <c r="AF194" s="24"/>
      <c r="AH194" s="24"/>
      <c r="AI194" s="13"/>
      <c r="AJ194" s="13"/>
      <c r="AK194" s="24"/>
      <c r="AM194" s="24"/>
      <c r="AN194" s="13"/>
      <c r="AO194" s="13"/>
      <c r="AP194" s="24"/>
      <c r="AR194" s="24"/>
      <c r="AS194" s="13"/>
      <c r="AT194" s="13"/>
      <c r="AU194" s="24"/>
      <c r="AW194" s="24"/>
      <c r="AX194" s="13"/>
      <c r="AY194" s="13"/>
      <c r="AZ194" s="24"/>
      <c r="BB194" s="24"/>
      <c r="BC194" s="13"/>
      <c r="BD194" s="13"/>
      <c r="BE194" s="24"/>
      <c r="BG194" s="24"/>
      <c r="BH194" s="13"/>
      <c r="BI194" s="13"/>
      <c r="BJ194" s="24"/>
      <c r="BL194" s="24"/>
      <c r="BM194" s="13"/>
      <c r="BN194" s="13"/>
    </row>
    <row r="195" spans="1:66" s="11" customFormat="1" ht="21">
      <c r="A195" s="24"/>
      <c r="B195" s="24"/>
      <c r="C195" s="24"/>
      <c r="E195" s="13"/>
      <c r="F195" s="24"/>
      <c r="G195" s="24"/>
      <c r="I195" s="24"/>
      <c r="J195" s="13"/>
      <c r="K195" s="13"/>
      <c r="L195" s="24"/>
      <c r="N195" s="24"/>
      <c r="O195" s="13"/>
      <c r="P195" s="13"/>
      <c r="Q195" s="24"/>
      <c r="S195" s="24"/>
      <c r="T195" s="13"/>
      <c r="U195" s="13"/>
      <c r="V195" s="24"/>
      <c r="X195" s="24"/>
      <c r="Y195" s="13"/>
      <c r="Z195" s="13"/>
      <c r="AA195" s="24"/>
      <c r="AC195" s="24"/>
      <c r="AD195" s="13"/>
      <c r="AE195" s="13"/>
      <c r="AF195" s="24"/>
      <c r="AH195" s="24"/>
      <c r="AI195" s="13"/>
      <c r="AJ195" s="13"/>
      <c r="AK195" s="24"/>
      <c r="AM195" s="24"/>
      <c r="AN195" s="13"/>
      <c r="AO195" s="13"/>
      <c r="AP195" s="24"/>
      <c r="AR195" s="24"/>
      <c r="AS195" s="13"/>
      <c r="AT195" s="13"/>
      <c r="AU195" s="24"/>
      <c r="AW195" s="24"/>
      <c r="AX195" s="13"/>
      <c r="AY195" s="13"/>
      <c r="AZ195" s="24"/>
      <c r="BB195" s="24"/>
      <c r="BC195" s="13"/>
      <c r="BD195" s="13"/>
      <c r="BE195" s="24"/>
      <c r="BG195" s="24"/>
      <c r="BH195" s="13"/>
      <c r="BI195" s="13"/>
      <c r="BJ195" s="24"/>
      <c r="BL195" s="24"/>
      <c r="BM195" s="13"/>
      <c r="BN195" s="13"/>
    </row>
    <row r="196" spans="1:66" s="11" customFormat="1" ht="21">
      <c r="A196" s="24"/>
      <c r="B196" s="24"/>
      <c r="C196" s="24"/>
      <c r="E196" s="13"/>
      <c r="F196" s="24"/>
      <c r="G196" s="24"/>
      <c r="I196" s="24"/>
      <c r="J196" s="13"/>
      <c r="K196" s="13"/>
      <c r="L196" s="24"/>
      <c r="N196" s="24"/>
      <c r="O196" s="13"/>
      <c r="P196" s="13"/>
      <c r="Q196" s="24"/>
      <c r="S196" s="24"/>
      <c r="T196" s="13"/>
      <c r="U196" s="13"/>
      <c r="V196" s="24"/>
      <c r="X196" s="24"/>
      <c r="Y196" s="13"/>
      <c r="Z196" s="13"/>
      <c r="AA196" s="24"/>
      <c r="AC196" s="24"/>
      <c r="AD196" s="13"/>
      <c r="AE196" s="13"/>
      <c r="AF196" s="24"/>
      <c r="AH196" s="24"/>
      <c r="AI196" s="13"/>
      <c r="AJ196" s="13"/>
      <c r="AK196" s="24"/>
      <c r="AM196" s="24"/>
      <c r="AN196" s="13"/>
      <c r="AO196" s="13"/>
      <c r="AP196" s="24"/>
      <c r="AR196" s="24"/>
      <c r="AS196" s="13"/>
      <c r="AT196" s="13"/>
      <c r="AU196" s="24"/>
      <c r="AW196" s="24"/>
      <c r="AX196" s="13"/>
      <c r="AY196" s="13"/>
      <c r="AZ196" s="24"/>
      <c r="BB196" s="24"/>
      <c r="BC196" s="13"/>
      <c r="BD196" s="13"/>
      <c r="BE196" s="24"/>
      <c r="BG196" s="24"/>
      <c r="BH196" s="13"/>
      <c r="BI196" s="13"/>
      <c r="BJ196" s="24"/>
      <c r="BL196" s="24"/>
      <c r="BM196" s="13"/>
      <c r="BN196" s="13"/>
    </row>
    <row r="197" spans="1:66" s="11" customFormat="1" ht="21">
      <c r="A197" s="24"/>
      <c r="B197" s="24"/>
      <c r="C197" s="24"/>
      <c r="E197" s="13"/>
      <c r="F197" s="24"/>
      <c r="G197" s="24"/>
      <c r="I197" s="24"/>
      <c r="J197" s="13"/>
      <c r="K197" s="13"/>
      <c r="L197" s="24"/>
      <c r="N197" s="24"/>
      <c r="O197" s="13"/>
      <c r="P197" s="13"/>
      <c r="Q197" s="24"/>
      <c r="S197" s="24"/>
      <c r="T197" s="13"/>
      <c r="U197" s="13"/>
      <c r="V197" s="24"/>
      <c r="X197" s="24"/>
      <c r="Y197" s="13"/>
      <c r="Z197" s="13"/>
      <c r="AA197" s="24"/>
      <c r="AC197" s="24"/>
      <c r="AD197" s="13"/>
      <c r="AE197" s="13"/>
      <c r="AF197" s="24"/>
      <c r="AH197" s="24"/>
      <c r="AI197" s="13"/>
      <c r="AJ197" s="13"/>
      <c r="AK197" s="24"/>
      <c r="AM197" s="24"/>
      <c r="AN197" s="13"/>
      <c r="AO197" s="13"/>
      <c r="AP197" s="24"/>
      <c r="AR197" s="24"/>
      <c r="AS197" s="13"/>
      <c r="AT197" s="13"/>
      <c r="AU197" s="24"/>
      <c r="AW197" s="24"/>
      <c r="AX197" s="13"/>
      <c r="AY197" s="13"/>
      <c r="AZ197" s="24"/>
      <c r="BB197" s="24"/>
      <c r="BC197" s="13"/>
      <c r="BD197" s="13"/>
      <c r="BE197" s="24"/>
      <c r="BG197" s="24"/>
      <c r="BH197" s="13"/>
      <c r="BI197" s="13"/>
      <c r="BJ197" s="24"/>
      <c r="BL197" s="24"/>
      <c r="BM197" s="13"/>
      <c r="BN197" s="13"/>
    </row>
    <row r="198" spans="1:66" s="11" customFormat="1" ht="21">
      <c r="A198" s="24"/>
      <c r="B198" s="24"/>
      <c r="C198" s="24"/>
      <c r="E198" s="13"/>
      <c r="F198" s="24"/>
      <c r="G198" s="24"/>
      <c r="I198" s="24"/>
      <c r="J198" s="13"/>
      <c r="K198" s="13"/>
      <c r="L198" s="24"/>
      <c r="N198" s="24"/>
      <c r="O198" s="13"/>
      <c r="P198" s="13"/>
      <c r="Q198" s="24"/>
      <c r="S198" s="24"/>
      <c r="T198" s="13"/>
      <c r="U198" s="13"/>
      <c r="V198" s="24"/>
      <c r="X198" s="24"/>
      <c r="Y198" s="13"/>
      <c r="Z198" s="13"/>
      <c r="AA198" s="24"/>
      <c r="AC198" s="24"/>
      <c r="AD198" s="13"/>
      <c r="AE198" s="13"/>
      <c r="AF198" s="24"/>
      <c r="AH198" s="24"/>
      <c r="AI198" s="13"/>
      <c r="AJ198" s="13"/>
      <c r="AK198" s="24"/>
      <c r="AM198" s="24"/>
      <c r="AN198" s="13"/>
      <c r="AO198" s="13"/>
      <c r="AP198" s="24"/>
      <c r="AR198" s="24"/>
      <c r="AS198" s="13"/>
      <c r="AT198" s="13"/>
      <c r="AU198" s="24"/>
      <c r="AW198" s="24"/>
      <c r="AX198" s="13"/>
      <c r="AY198" s="13"/>
      <c r="AZ198" s="24"/>
      <c r="BB198" s="24"/>
      <c r="BC198" s="13"/>
      <c r="BD198" s="13"/>
      <c r="BE198" s="24"/>
      <c r="BG198" s="24"/>
      <c r="BH198" s="13"/>
      <c r="BI198" s="13"/>
      <c r="BJ198" s="24"/>
      <c r="BL198" s="24"/>
      <c r="BM198" s="13"/>
      <c r="BN198" s="13"/>
    </row>
    <row r="199" spans="1:66" s="11" customFormat="1" ht="21">
      <c r="A199" s="24"/>
      <c r="B199" s="24"/>
      <c r="C199" s="24"/>
      <c r="E199" s="13"/>
      <c r="F199" s="24"/>
      <c r="G199" s="24"/>
      <c r="I199" s="24"/>
      <c r="J199" s="13"/>
      <c r="K199" s="13"/>
      <c r="L199" s="24"/>
      <c r="N199" s="24"/>
      <c r="O199" s="13"/>
      <c r="P199" s="13"/>
      <c r="Q199" s="24"/>
      <c r="S199" s="24"/>
      <c r="T199" s="13"/>
      <c r="U199" s="13"/>
      <c r="V199" s="24"/>
      <c r="X199" s="24"/>
      <c r="Y199" s="13"/>
      <c r="Z199" s="13"/>
      <c r="AA199" s="24"/>
      <c r="AC199" s="24"/>
      <c r="AD199" s="13"/>
      <c r="AE199" s="13"/>
      <c r="AF199" s="24"/>
      <c r="AH199" s="24"/>
      <c r="AI199" s="13"/>
      <c r="AJ199" s="13"/>
      <c r="AK199" s="24"/>
      <c r="AM199" s="24"/>
      <c r="AN199" s="13"/>
      <c r="AO199" s="13"/>
      <c r="AP199" s="24"/>
      <c r="AR199" s="24"/>
      <c r="AS199" s="13"/>
      <c r="AT199" s="13"/>
      <c r="AU199" s="24"/>
      <c r="AW199" s="24"/>
      <c r="AX199" s="13"/>
      <c r="AY199" s="13"/>
      <c r="AZ199" s="24"/>
      <c r="BB199" s="24"/>
      <c r="BC199" s="13"/>
      <c r="BD199" s="13"/>
      <c r="BE199" s="24"/>
      <c r="BG199" s="24"/>
      <c r="BH199" s="13"/>
      <c r="BI199" s="13"/>
      <c r="BJ199" s="24"/>
      <c r="BL199" s="24"/>
      <c r="BM199" s="13"/>
      <c r="BN199" s="13"/>
    </row>
    <row r="200" spans="1:66" s="11" customFormat="1" ht="21">
      <c r="A200" s="24"/>
      <c r="B200" s="24"/>
      <c r="C200" s="24"/>
      <c r="E200" s="13"/>
      <c r="F200" s="24"/>
      <c r="G200" s="24"/>
      <c r="I200" s="24"/>
      <c r="J200" s="13"/>
      <c r="K200" s="13"/>
      <c r="L200" s="24"/>
      <c r="N200" s="24"/>
      <c r="O200" s="13"/>
      <c r="P200" s="13"/>
      <c r="Q200" s="24"/>
      <c r="S200" s="24"/>
      <c r="T200" s="13"/>
      <c r="U200" s="13"/>
      <c r="V200" s="24"/>
      <c r="X200" s="24"/>
      <c r="Y200" s="13"/>
      <c r="Z200" s="13"/>
      <c r="AA200" s="24"/>
      <c r="AC200" s="24"/>
      <c r="AD200" s="13"/>
      <c r="AE200" s="13"/>
      <c r="AF200" s="24"/>
      <c r="AH200" s="24"/>
      <c r="AI200" s="13"/>
      <c r="AJ200" s="13"/>
      <c r="AK200" s="24"/>
      <c r="AM200" s="24"/>
      <c r="AN200" s="13"/>
      <c r="AO200" s="13"/>
      <c r="AP200" s="24"/>
      <c r="AR200" s="24"/>
      <c r="AS200" s="13"/>
      <c r="AT200" s="13"/>
      <c r="AU200" s="24"/>
      <c r="AW200" s="24"/>
      <c r="AX200" s="13"/>
      <c r="AY200" s="13"/>
      <c r="AZ200" s="24"/>
      <c r="BB200" s="24"/>
      <c r="BC200" s="13"/>
      <c r="BD200" s="13"/>
      <c r="BE200" s="24"/>
      <c r="BG200" s="24"/>
      <c r="BH200" s="13"/>
      <c r="BI200" s="13"/>
      <c r="BJ200" s="24"/>
      <c r="BL200" s="24"/>
      <c r="BM200" s="13"/>
      <c r="BN200" s="13"/>
    </row>
    <row r="201" spans="1:66" s="11" customFormat="1" ht="21">
      <c r="A201" s="24"/>
      <c r="B201" s="24"/>
      <c r="C201" s="24"/>
      <c r="E201" s="13"/>
      <c r="F201" s="24"/>
      <c r="G201" s="24"/>
      <c r="I201" s="24"/>
      <c r="J201" s="13"/>
      <c r="K201" s="13"/>
      <c r="L201" s="24"/>
      <c r="N201" s="24"/>
      <c r="O201" s="13"/>
      <c r="P201" s="13"/>
      <c r="Q201" s="24"/>
      <c r="S201" s="24"/>
      <c r="T201" s="13"/>
      <c r="U201" s="13"/>
      <c r="V201" s="24"/>
      <c r="X201" s="24"/>
      <c r="Y201" s="13"/>
      <c r="Z201" s="13"/>
      <c r="AA201" s="24"/>
      <c r="AC201" s="24"/>
      <c r="AD201" s="13"/>
      <c r="AE201" s="13"/>
      <c r="AF201" s="24"/>
      <c r="AH201" s="24"/>
      <c r="AI201" s="13"/>
      <c r="AJ201" s="13"/>
      <c r="AK201" s="24"/>
      <c r="AM201" s="24"/>
      <c r="AN201" s="13"/>
      <c r="AO201" s="13"/>
      <c r="AP201" s="24"/>
      <c r="AR201" s="24"/>
      <c r="AS201" s="13"/>
      <c r="AT201" s="13"/>
      <c r="AU201" s="24"/>
      <c r="AW201" s="24"/>
      <c r="AX201" s="13"/>
      <c r="AY201" s="13"/>
      <c r="AZ201" s="24"/>
      <c r="BB201" s="24"/>
      <c r="BC201" s="13"/>
      <c r="BD201" s="13"/>
      <c r="BE201" s="24"/>
      <c r="BG201" s="24"/>
      <c r="BH201" s="13"/>
      <c r="BI201" s="13"/>
      <c r="BJ201" s="24"/>
      <c r="BL201" s="24"/>
      <c r="BM201" s="13"/>
      <c r="BN201" s="13"/>
    </row>
    <row r="202" spans="1:66" s="11" customFormat="1" ht="21">
      <c r="A202" s="24"/>
      <c r="B202" s="24"/>
      <c r="C202" s="24"/>
      <c r="E202" s="13"/>
      <c r="F202" s="24"/>
      <c r="G202" s="24"/>
      <c r="I202" s="24"/>
      <c r="J202" s="13"/>
      <c r="K202" s="13"/>
      <c r="L202" s="24"/>
      <c r="N202" s="24"/>
      <c r="O202" s="13"/>
      <c r="P202" s="13"/>
      <c r="Q202" s="24"/>
      <c r="S202" s="24"/>
      <c r="T202" s="13"/>
      <c r="U202" s="13"/>
      <c r="V202" s="24"/>
      <c r="X202" s="24"/>
      <c r="Y202" s="13"/>
      <c r="Z202" s="13"/>
      <c r="AA202" s="24"/>
      <c r="AC202" s="24"/>
      <c r="AD202" s="13"/>
      <c r="AE202" s="13"/>
      <c r="AF202" s="24"/>
      <c r="AH202" s="24"/>
      <c r="AI202" s="13"/>
      <c r="AJ202" s="13"/>
      <c r="AK202" s="24"/>
      <c r="AM202" s="24"/>
      <c r="AN202" s="13"/>
      <c r="AO202" s="13"/>
      <c r="AP202" s="24"/>
      <c r="AR202" s="24"/>
      <c r="AS202" s="13"/>
      <c r="AT202" s="13"/>
      <c r="AU202" s="24"/>
      <c r="AW202" s="24"/>
      <c r="AX202" s="13"/>
      <c r="AY202" s="13"/>
      <c r="AZ202" s="24"/>
      <c r="BB202" s="24"/>
      <c r="BC202" s="13"/>
      <c r="BD202" s="13"/>
      <c r="BE202" s="24"/>
      <c r="BG202" s="24"/>
      <c r="BH202" s="13"/>
      <c r="BI202" s="13"/>
      <c r="BJ202" s="24"/>
      <c r="BL202" s="24"/>
      <c r="BM202" s="13"/>
      <c r="BN202" s="13"/>
    </row>
    <row r="203" spans="1:66" s="11" customFormat="1" ht="21">
      <c r="A203" s="24"/>
      <c r="B203" s="24"/>
      <c r="C203" s="24"/>
      <c r="E203" s="13"/>
      <c r="F203" s="24"/>
      <c r="G203" s="24"/>
      <c r="I203" s="24"/>
      <c r="J203" s="13"/>
      <c r="K203" s="13"/>
      <c r="L203" s="24"/>
      <c r="N203" s="24"/>
      <c r="O203" s="13"/>
      <c r="P203" s="13"/>
      <c r="Q203" s="24"/>
      <c r="S203" s="24"/>
      <c r="T203" s="13"/>
      <c r="U203" s="13"/>
      <c r="V203" s="24"/>
      <c r="X203" s="24"/>
      <c r="Y203" s="13"/>
      <c r="Z203" s="13"/>
      <c r="AA203" s="24"/>
      <c r="AC203" s="24"/>
      <c r="AD203" s="13"/>
      <c r="AE203" s="13"/>
      <c r="AF203" s="24"/>
      <c r="AH203" s="24"/>
      <c r="AI203" s="13"/>
      <c r="AJ203" s="13"/>
      <c r="AK203" s="24"/>
      <c r="AM203" s="24"/>
      <c r="AN203" s="13"/>
      <c r="AO203" s="13"/>
      <c r="AP203" s="24"/>
      <c r="AR203" s="24"/>
      <c r="AS203" s="13"/>
      <c r="AT203" s="13"/>
      <c r="AU203" s="24"/>
      <c r="AW203" s="24"/>
      <c r="AX203" s="13"/>
      <c r="AY203" s="13"/>
      <c r="AZ203" s="24"/>
      <c r="BB203" s="24"/>
      <c r="BC203" s="13"/>
      <c r="BD203" s="13"/>
      <c r="BE203" s="24"/>
      <c r="BG203" s="24"/>
      <c r="BH203" s="13"/>
      <c r="BI203" s="13"/>
      <c r="BJ203" s="24"/>
      <c r="BL203" s="24"/>
      <c r="BM203" s="13"/>
      <c r="BN203" s="13"/>
    </row>
    <row r="204" spans="1:66" s="11" customFormat="1" ht="21">
      <c r="A204" s="24"/>
      <c r="B204" s="24"/>
      <c r="C204" s="24"/>
      <c r="E204" s="13"/>
      <c r="F204" s="24"/>
      <c r="G204" s="24"/>
      <c r="I204" s="24"/>
      <c r="J204" s="13"/>
      <c r="K204" s="13"/>
      <c r="L204" s="24"/>
      <c r="N204" s="24"/>
      <c r="O204" s="13"/>
      <c r="P204" s="13"/>
      <c r="Q204" s="24"/>
      <c r="S204" s="24"/>
      <c r="T204" s="13"/>
      <c r="U204" s="13"/>
      <c r="V204" s="24"/>
      <c r="X204" s="24"/>
      <c r="Y204" s="13"/>
      <c r="Z204" s="13"/>
      <c r="AA204" s="24"/>
      <c r="AC204" s="24"/>
      <c r="AD204" s="13"/>
      <c r="AE204" s="13"/>
      <c r="AF204" s="24"/>
      <c r="AH204" s="24"/>
      <c r="AI204" s="13"/>
      <c r="AJ204" s="13"/>
      <c r="AK204" s="24"/>
      <c r="AM204" s="24"/>
      <c r="AN204" s="13"/>
      <c r="AO204" s="13"/>
      <c r="AP204" s="24"/>
      <c r="AR204" s="24"/>
      <c r="AS204" s="13"/>
      <c r="AT204" s="13"/>
      <c r="AU204" s="24"/>
      <c r="AW204" s="24"/>
      <c r="AX204" s="13"/>
      <c r="AY204" s="13"/>
      <c r="AZ204" s="24"/>
      <c r="BB204" s="24"/>
      <c r="BC204" s="13"/>
      <c r="BD204" s="13"/>
      <c r="BE204" s="24"/>
      <c r="BG204" s="24"/>
      <c r="BH204" s="13"/>
      <c r="BI204" s="13"/>
      <c r="BJ204" s="24"/>
      <c r="BL204" s="24"/>
      <c r="BM204" s="13"/>
      <c r="BN204" s="13"/>
    </row>
    <row r="205" spans="1:66" s="11" customFormat="1" ht="21">
      <c r="A205" s="24"/>
      <c r="B205" s="24"/>
      <c r="C205" s="24"/>
      <c r="E205" s="13"/>
      <c r="F205" s="24"/>
      <c r="G205" s="24"/>
      <c r="I205" s="24"/>
      <c r="J205" s="13"/>
      <c r="K205" s="13"/>
      <c r="L205" s="24"/>
      <c r="N205" s="24"/>
      <c r="O205" s="13"/>
      <c r="P205" s="13"/>
      <c r="Q205" s="24"/>
      <c r="S205" s="24"/>
      <c r="T205" s="13"/>
      <c r="U205" s="13"/>
      <c r="V205" s="24"/>
      <c r="X205" s="24"/>
      <c r="Y205" s="13"/>
      <c r="Z205" s="13"/>
      <c r="AA205" s="24"/>
      <c r="AC205" s="24"/>
      <c r="AD205" s="13"/>
      <c r="AE205" s="13"/>
      <c r="AF205" s="24"/>
      <c r="AH205" s="24"/>
      <c r="AI205" s="13"/>
      <c r="AJ205" s="13"/>
      <c r="AK205" s="24"/>
      <c r="AM205" s="24"/>
      <c r="AN205" s="13"/>
      <c r="AO205" s="13"/>
      <c r="AP205" s="24"/>
      <c r="AR205" s="24"/>
      <c r="AS205" s="13"/>
      <c r="AT205" s="13"/>
      <c r="AU205" s="24"/>
      <c r="AW205" s="24"/>
      <c r="AX205" s="13"/>
      <c r="AY205" s="13"/>
      <c r="AZ205" s="24"/>
      <c r="BB205" s="24"/>
      <c r="BC205" s="13"/>
      <c r="BD205" s="13"/>
      <c r="BE205" s="24"/>
      <c r="BG205" s="24"/>
      <c r="BH205" s="13"/>
      <c r="BI205" s="13"/>
      <c r="BJ205" s="24"/>
      <c r="BL205" s="24"/>
      <c r="BM205" s="13"/>
      <c r="BN205" s="13"/>
    </row>
    <row r="206" spans="1:66" s="11" customFormat="1" ht="21">
      <c r="A206" s="24"/>
      <c r="B206" s="24"/>
      <c r="C206" s="24"/>
      <c r="E206" s="13"/>
      <c r="F206" s="24"/>
      <c r="G206" s="24"/>
      <c r="I206" s="24"/>
      <c r="J206" s="13"/>
      <c r="K206" s="13"/>
      <c r="L206" s="24"/>
      <c r="N206" s="24"/>
      <c r="O206" s="13"/>
      <c r="P206" s="13"/>
      <c r="Q206" s="24"/>
      <c r="S206" s="24"/>
      <c r="T206" s="13"/>
      <c r="U206" s="13"/>
      <c r="V206" s="24"/>
      <c r="X206" s="24"/>
      <c r="Y206" s="13"/>
      <c r="Z206" s="13"/>
      <c r="AA206" s="24"/>
      <c r="AC206" s="24"/>
      <c r="AD206" s="13"/>
      <c r="AE206" s="13"/>
      <c r="AF206" s="24"/>
      <c r="AH206" s="24"/>
      <c r="AI206" s="13"/>
      <c r="AJ206" s="13"/>
      <c r="AK206" s="24"/>
      <c r="AM206" s="24"/>
      <c r="AN206" s="13"/>
      <c r="AO206" s="13"/>
      <c r="AP206" s="24"/>
      <c r="AR206" s="24"/>
      <c r="AS206" s="13"/>
      <c r="AT206" s="13"/>
      <c r="AU206" s="24"/>
      <c r="AW206" s="24"/>
      <c r="AX206" s="13"/>
      <c r="AY206" s="13"/>
      <c r="AZ206" s="24"/>
      <c r="BB206" s="24"/>
      <c r="BC206" s="13"/>
      <c r="BD206" s="13"/>
      <c r="BE206" s="24"/>
      <c r="BG206" s="24"/>
      <c r="BH206" s="13"/>
      <c r="BI206" s="13"/>
      <c r="BJ206" s="24"/>
      <c r="BL206" s="24"/>
      <c r="BM206" s="13"/>
      <c r="BN206" s="13"/>
    </row>
    <row r="207" spans="1:66" s="11" customFormat="1" ht="21">
      <c r="A207" s="24"/>
      <c r="B207" s="24"/>
      <c r="C207" s="24"/>
      <c r="E207" s="13"/>
      <c r="F207" s="24"/>
      <c r="G207" s="24"/>
      <c r="I207" s="24"/>
      <c r="J207" s="13"/>
      <c r="K207" s="13"/>
      <c r="L207" s="24"/>
      <c r="N207" s="24"/>
      <c r="O207" s="13"/>
      <c r="P207" s="13"/>
      <c r="Q207" s="24"/>
      <c r="S207" s="24"/>
      <c r="T207" s="13"/>
      <c r="U207" s="13"/>
      <c r="V207" s="24"/>
      <c r="X207" s="24"/>
      <c r="Y207" s="13"/>
      <c r="Z207" s="13"/>
      <c r="AA207" s="24"/>
      <c r="AC207" s="24"/>
      <c r="AD207" s="13"/>
      <c r="AE207" s="13"/>
      <c r="AF207" s="24"/>
      <c r="AH207" s="24"/>
      <c r="AI207" s="13"/>
      <c r="AJ207" s="13"/>
      <c r="AK207" s="24"/>
      <c r="AM207" s="24"/>
      <c r="AN207" s="13"/>
      <c r="AO207" s="13"/>
      <c r="AP207" s="24"/>
      <c r="AR207" s="24"/>
      <c r="AS207" s="13"/>
      <c r="AT207" s="13"/>
      <c r="AU207" s="24"/>
      <c r="AW207" s="24"/>
      <c r="AX207" s="13"/>
      <c r="AY207" s="13"/>
      <c r="AZ207" s="24"/>
      <c r="BB207" s="24"/>
      <c r="BC207" s="13"/>
      <c r="BD207" s="13"/>
      <c r="BE207" s="24"/>
      <c r="BG207" s="24"/>
      <c r="BH207" s="13"/>
      <c r="BI207" s="13"/>
      <c r="BJ207" s="24"/>
      <c r="BL207" s="24"/>
      <c r="BM207" s="13"/>
      <c r="BN207" s="13"/>
    </row>
    <row r="208" spans="1:66" s="11" customFormat="1" ht="21">
      <c r="A208" s="24"/>
      <c r="B208" s="24"/>
      <c r="C208" s="24"/>
      <c r="E208" s="13"/>
      <c r="F208" s="24"/>
      <c r="G208" s="24"/>
      <c r="I208" s="24"/>
      <c r="J208" s="13"/>
      <c r="K208" s="13"/>
      <c r="L208" s="24"/>
      <c r="N208" s="24"/>
      <c r="O208" s="13"/>
      <c r="P208" s="13"/>
      <c r="Q208" s="24"/>
      <c r="S208" s="24"/>
      <c r="T208" s="13"/>
      <c r="U208" s="13"/>
      <c r="V208" s="24"/>
      <c r="X208" s="24"/>
      <c r="Y208" s="13"/>
      <c r="Z208" s="13"/>
      <c r="AA208" s="24"/>
      <c r="AC208" s="24"/>
      <c r="AD208" s="13"/>
      <c r="AE208" s="13"/>
      <c r="AF208" s="24"/>
      <c r="AH208" s="24"/>
      <c r="AI208" s="13"/>
      <c r="AJ208" s="13"/>
      <c r="AK208" s="24"/>
      <c r="AM208" s="24"/>
      <c r="AN208" s="13"/>
      <c r="AO208" s="13"/>
      <c r="AP208" s="24"/>
      <c r="AR208" s="24"/>
      <c r="AS208" s="13"/>
      <c r="AT208" s="13"/>
      <c r="AU208" s="24"/>
      <c r="AW208" s="24"/>
      <c r="AX208" s="13"/>
      <c r="AY208" s="13"/>
      <c r="AZ208" s="24"/>
      <c r="BB208" s="24"/>
      <c r="BC208" s="13"/>
      <c r="BD208" s="13"/>
      <c r="BE208" s="24"/>
      <c r="BG208" s="24"/>
      <c r="BH208" s="13"/>
      <c r="BI208" s="13"/>
      <c r="BJ208" s="24"/>
      <c r="BL208" s="24"/>
      <c r="BM208" s="13"/>
      <c r="BN208" s="13"/>
    </row>
    <row r="209" spans="1:66" s="11" customFormat="1" ht="21">
      <c r="A209" s="24"/>
      <c r="B209" s="24"/>
      <c r="C209" s="24"/>
      <c r="E209" s="13"/>
      <c r="F209" s="24"/>
      <c r="G209" s="24"/>
      <c r="I209" s="24"/>
      <c r="J209" s="13"/>
      <c r="K209" s="13"/>
      <c r="L209" s="24"/>
      <c r="N209" s="24"/>
      <c r="O209" s="13"/>
      <c r="P209" s="13"/>
      <c r="Q209" s="24"/>
      <c r="S209" s="24"/>
      <c r="T209" s="13"/>
      <c r="U209" s="13"/>
      <c r="V209" s="24"/>
      <c r="X209" s="24"/>
      <c r="Y209" s="13"/>
      <c r="Z209" s="13"/>
      <c r="AA209" s="24"/>
      <c r="AC209" s="24"/>
      <c r="AD209" s="13"/>
      <c r="AE209" s="13"/>
      <c r="AF209" s="24"/>
      <c r="AH209" s="24"/>
      <c r="AI209" s="13"/>
      <c r="AJ209" s="13"/>
      <c r="AK209" s="24"/>
      <c r="AM209" s="24"/>
      <c r="AN209" s="13"/>
      <c r="AO209" s="13"/>
      <c r="AP209" s="24"/>
      <c r="AR209" s="24"/>
      <c r="AS209" s="13"/>
      <c r="AT209" s="13"/>
      <c r="AU209" s="24"/>
      <c r="AW209" s="24"/>
      <c r="AX209" s="13"/>
      <c r="AY209" s="13"/>
      <c r="AZ209" s="24"/>
      <c r="BB209" s="24"/>
      <c r="BC209" s="13"/>
      <c r="BD209" s="13"/>
      <c r="BE209" s="24"/>
      <c r="BG209" s="24"/>
      <c r="BH209" s="13"/>
      <c r="BI209" s="13"/>
      <c r="BJ209" s="24"/>
      <c r="BL209" s="24"/>
      <c r="BM209" s="13"/>
      <c r="BN209" s="13"/>
    </row>
    <row r="210" spans="1:66" s="11" customFormat="1" ht="21">
      <c r="A210" s="24"/>
      <c r="B210" s="24"/>
      <c r="C210" s="24"/>
      <c r="E210" s="13"/>
      <c r="F210" s="24"/>
      <c r="G210" s="24"/>
      <c r="I210" s="24"/>
      <c r="J210" s="13"/>
      <c r="K210" s="13"/>
      <c r="L210" s="24"/>
      <c r="N210" s="24"/>
      <c r="O210" s="13"/>
      <c r="P210" s="13"/>
      <c r="Q210" s="24"/>
      <c r="S210" s="24"/>
      <c r="T210" s="13"/>
      <c r="U210" s="13"/>
      <c r="V210" s="24"/>
      <c r="X210" s="24"/>
      <c r="Y210" s="13"/>
      <c r="Z210" s="13"/>
      <c r="AA210" s="24"/>
      <c r="AC210" s="24"/>
      <c r="AD210" s="13"/>
      <c r="AE210" s="13"/>
      <c r="AF210" s="24"/>
      <c r="AH210" s="24"/>
      <c r="AI210" s="13"/>
      <c r="AJ210" s="13"/>
      <c r="AK210" s="24"/>
      <c r="AM210" s="24"/>
      <c r="AN210" s="13"/>
      <c r="AO210" s="13"/>
      <c r="AP210" s="24"/>
      <c r="AR210" s="24"/>
      <c r="AS210" s="13"/>
      <c r="AT210" s="13"/>
      <c r="AU210" s="24"/>
      <c r="AW210" s="24"/>
      <c r="AX210" s="13"/>
      <c r="AY210" s="13"/>
      <c r="AZ210" s="24"/>
      <c r="BB210" s="24"/>
      <c r="BC210" s="13"/>
      <c r="BD210" s="13"/>
      <c r="BE210" s="24"/>
      <c r="BG210" s="24"/>
      <c r="BH210" s="13"/>
      <c r="BI210" s="13"/>
      <c r="BJ210" s="24"/>
      <c r="BL210" s="24"/>
      <c r="BM210" s="13"/>
      <c r="BN210" s="13"/>
    </row>
    <row r="211" spans="1:66" s="11" customFormat="1" ht="21">
      <c r="A211" s="24"/>
      <c r="B211" s="24"/>
      <c r="C211" s="24"/>
      <c r="E211" s="13"/>
      <c r="F211" s="24"/>
      <c r="G211" s="24"/>
      <c r="I211" s="24"/>
      <c r="J211" s="13"/>
      <c r="K211" s="13"/>
      <c r="L211" s="24"/>
      <c r="N211" s="24"/>
      <c r="O211" s="13"/>
      <c r="P211" s="13"/>
      <c r="Q211" s="24"/>
      <c r="S211" s="24"/>
      <c r="T211" s="13"/>
      <c r="U211" s="13"/>
      <c r="V211" s="24"/>
      <c r="X211" s="24"/>
      <c r="Y211" s="13"/>
      <c r="Z211" s="13"/>
      <c r="AA211" s="24"/>
      <c r="AC211" s="24"/>
      <c r="AD211" s="13"/>
      <c r="AE211" s="13"/>
      <c r="AF211" s="24"/>
      <c r="AH211" s="24"/>
      <c r="AI211" s="13"/>
      <c r="AJ211" s="13"/>
      <c r="AK211" s="24"/>
      <c r="AM211" s="24"/>
      <c r="AN211" s="13"/>
      <c r="AO211" s="13"/>
      <c r="AP211" s="24"/>
      <c r="AR211" s="24"/>
      <c r="AS211" s="13"/>
      <c r="AT211" s="13"/>
      <c r="AU211" s="24"/>
      <c r="AW211" s="24"/>
      <c r="AX211" s="13"/>
      <c r="AY211" s="13"/>
      <c r="AZ211" s="24"/>
      <c r="BB211" s="24"/>
      <c r="BC211" s="13"/>
      <c r="BD211" s="13"/>
      <c r="BE211" s="24"/>
      <c r="BG211" s="24"/>
      <c r="BH211" s="13"/>
      <c r="BI211" s="13"/>
      <c r="BJ211" s="24"/>
      <c r="BL211" s="24"/>
      <c r="BM211" s="13"/>
      <c r="BN211" s="13"/>
    </row>
    <row r="212" spans="1:66" s="11" customFormat="1" ht="21">
      <c r="A212" s="24"/>
      <c r="B212" s="24"/>
      <c r="C212" s="24"/>
      <c r="E212" s="13"/>
      <c r="F212" s="24"/>
      <c r="G212" s="24"/>
      <c r="I212" s="24"/>
      <c r="J212" s="13"/>
      <c r="K212" s="13"/>
      <c r="L212" s="24"/>
      <c r="N212" s="24"/>
      <c r="O212" s="13"/>
      <c r="P212" s="13"/>
      <c r="Q212" s="24"/>
      <c r="S212" s="24"/>
      <c r="T212" s="13"/>
      <c r="U212" s="13"/>
      <c r="V212" s="24"/>
      <c r="X212" s="24"/>
      <c r="Y212" s="13"/>
      <c r="Z212" s="13"/>
      <c r="AA212" s="24"/>
      <c r="AC212" s="24"/>
      <c r="AD212" s="13"/>
      <c r="AE212" s="13"/>
      <c r="AF212" s="24"/>
      <c r="AH212" s="24"/>
      <c r="AI212" s="13"/>
      <c r="AJ212" s="13"/>
      <c r="AK212" s="24"/>
      <c r="AM212" s="24"/>
      <c r="AN212" s="13"/>
      <c r="AO212" s="13"/>
      <c r="AP212" s="24"/>
      <c r="AR212" s="24"/>
      <c r="AS212" s="13"/>
      <c r="AT212" s="13"/>
      <c r="AU212" s="24"/>
      <c r="AW212" s="24"/>
      <c r="AX212" s="13"/>
      <c r="AY212" s="13"/>
      <c r="AZ212" s="24"/>
      <c r="BB212" s="24"/>
      <c r="BC212" s="13"/>
      <c r="BD212" s="13"/>
      <c r="BE212" s="24"/>
      <c r="BG212" s="24"/>
      <c r="BH212" s="13"/>
      <c r="BI212" s="13"/>
      <c r="BJ212" s="24"/>
      <c r="BL212" s="24"/>
      <c r="BM212" s="13"/>
      <c r="BN212" s="13"/>
    </row>
    <row r="213" spans="1:66" s="11" customFormat="1" ht="21">
      <c r="A213" s="24"/>
      <c r="B213" s="24"/>
      <c r="C213" s="24"/>
      <c r="E213" s="13"/>
      <c r="F213" s="24"/>
      <c r="G213" s="24"/>
      <c r="I213" s="24"/>
      <c r="J213" s="13"/>
      <c r="K213" s="13"/>
      <c r="L213" s="24"/>
      <c r="N213" s="24"/>
      <c r="O213" s="13"/>
      <c r="P213" s="13"/>
      <c r="Q213" s="24"/>
      <c r="S213" s="24"/>
      <c r="T213" s="13"/>
      <c r="U213" s="13"/>
      <c r="V213" s="24"/>
      <c r="X213" s="24"/>
      <c r="Y213" s="13"/>
      <c r="Z213" s="13"/>
      <c r="AA213" s="24"/>
      <c r="AC213" s="24"/>
      <c r="AD213" s="13"/>
      <c r="AE213" s="13"/>
      <c r="AF213" s="24"/>
      <c r="AH213" s="24"/>
      <c r="AI213" s="13"/>
      <c r="AJ213" s="13"/>
      <c r="AK213" s="24"/>
      <c r="AM213" s="24"/>
      <c r="AN213" s="13"/>
      <c r="AO213" s="13"/>
      <c r="AP213" s="24"/>
      <c r="AR213" s="24"/>
      <c r="AS213" s="13"/>
      <c r="AT213" s="13"/>
      <c r="AU213" s="24"/>
      <c r="AW213" s="24"/>
      <c r="AX213" s="13"/>
      <c r="AY213" s="13"/>
      <c r="AZ213" s="24"/>
      <c r="BB213" s="24"/>
      <c r="BC213" s="13"/>
      <c r="BD213" s="13"/>
      <c r="BE213" s="24"/>
      <c r="BG213" s="24"/>
      <c r="BH213" s="13"/>
      <c r="BI213" s="13"/>
      <c r="BJ213" s="24"/>
      <c r="BL213" s="24"/>
      <c r="BM213" s="13"/>
      <c r="BN213" s="13"/>
    </row>
    <row r="214" spans="1:66" s="11" customFormat="1" ht="21">
      <c r="A214" s="24"/>
      <c r="B214" s="24"/>
      <c r="C214" s="24"/>
      <c r="E214" s="13"/>
      <c r="F214" s="24"/>
      <c r="G214" s="24"/>
      <c r="I214" s="24"/>
      <c r="J214" s="13"/>
      <c r="K214" s="13"/>
      <c r="L214" s="24"/>
      <c r="N214" s="24"/>
      <c r="O214" s="13"/>
      <c r="P214" s="13"/>
      <c r="Q214" s="24"/>
      <c r="S214" s="24"/>
      <c r="T214" s="13"/>
      <c r="U214" s="13"/>
      <c r="V214" s="24"/>
      <c r="X214" s="24"/>
      <c r="Y214" s="13"/>
      <c r="Z214" s="13"/>
      <c r="AA214" s="24"/>
      <c r="AC214" s="24"/>
      <c r="AD214" s="13"/>
      <c r="AE214" s="13"/>
      <c r="AF214" s="24"/>
      <c r="AH214" s="24"/>
      <c r="AI214" s="13"/>
      <c r="AJ214" s="13"/>
      <c r="AK214" s="24"/>
      <c r="AM214" s="24"/>
      <c r="AN214" s="13"/>
      <c r="AO214" s="13"/>
      <c r="AP214" s="24"/>
      <c r="AR214" s="24"/>
      <c r="AS214" s="13"/>
      <c r="AT214" s="13"/>
      <c r="AU214" s="24"/>
      <c r="AW214" s="24"/>
      <c r="AX214" s="13"/>
      <c r="AY214" s="13"/>
      <c r="AZ214" s="24"/>
      <c r="BB214" s="24"/>
      <c r="BC214" s="13"/>
      <c r="BD214" s="13"/>
      <c r="BE214" s="24"/>
      <c r="BG214" s="24"/>
      <c r="BH214" s="13"/>
      <c r="BI214" s="13"/>
      <c r="BJ214" s="24"/>
      <c r="BL214" s="24"/>
      <c r="BM214" s="13"/>
      <c r="BN214" s="13"/>
    </row>
    <row r="215" spans="1:66" s="11" customFormat="1" ht="21">
      <c r="A215" s="24"/>
      <c r="B215" s="24"/>
      <c r="C215" s="24"/>
      <c r="E215" s="13"/>
      <c r="F215" s="24"/>
      <c r="G215" s="24"/>
      <c r="I215" s="24"/>
      <c r="J215" s="13"/>
      <c r="K215" s="13"/>
      <c r="L215" s="24"/>
      <c r="N215" s="24"/>
      <c r="O215" s="13"/>
      <c r="P215" s="13"/>
      <c r="Q215" s="24"/>
      <c r="S215" s="24"/>
      <c r="T215" s="13"/>
      <c r="U215" s="13"/>
      <c r="V215" s="24"/>
      <c r="X215" s="24"/>
      <c r="Y215" s="13"/>
      <c r="Z215" s="13"/>
      <c r="AA215" s="24"/>
      <c r="AC215" s="24"/>
      <c r="AD215" s="13"/>
      <c r="AE215" s="13"/>
      <c r="AF215" s="24"/>
      <c r="AH215" s="24"/>
      <c r="AI215" s="13"/>
      <c r="AJ215" s="13"/>
      <c r="AK215" s="24"/>
      <c r="AM215" s="24"/>
      <c r="AN215" s="13"/>
      <c r="AO215" s="13"/>
      <c r="AP215" s="24"/>
      <c r="AR215" s="24"/>
      <c r="AS215" s="13"/>
      <c r="AT215" s="13"/>
      <c r="AU215" s="24"/>
      <c r="AW215" s="24"/>
      <c r="AX215" s="13"/>
      <c r="AY215" s="13"/>
      <c r="AZ215" s="24"/>
      <c r="BB215" s="24"/>
      <c r="BC215" s="13"/>
      <c r="BD215" s="13"/>
      <c r="BE215" s="24"/>
      <c r="BG215" s="24"/>
      <c r="BH215" s="13"/>
      <c r="BI215" s="13"/>
      <c r="BJ215" s="24"/>
      <c r="BL215" s="24"/>
      <c r="BM215" s="13"/>
      <c r="BN215" s="13"/>
    </row>
    <row r="216" spans="1:66" s="11" customFormat="1" ht="21">
      <c r="A216" s="24"/>
      <c r="B216" s="24"/>
      <c r="C216" s="24"/>
      <c r="E216" s="13"/>
      <c r="F216" s="24"/>
      <c r="G216" s="24"/>
      <c r="I216" s="24"/>
      <c r="J216" s="13"/>
      <c r="K216" s="13"/>
      <c r="L216" s="24"/>
      <c r="N216" s="24"/>
      <c r="O216" s="13"/>
      <c r="P216" s="13"/>
      <c r="Q216" s="24"/>
      <c r="S216" s="24"/>
      <c r="T216" s="13"/>
      <c r="U216" s="13"/>
      <c r="V216" s="24"/>
      <c r="X216" s="24"/>
      <c r="Y216" s="13"/>
      <c r="Z216" s="13"/>
      <c r="AA216" s="24"/>
      <c r="AC216" s="24"/>
      <c r="AD216" s="13"/>
      <c r="AE216" s="13"/>
      <c r="AF216" s="24"/>
      <c r="AH216" s="24"/>
      <c r="AI216" s="13"/>
      <c r="AJ216" s="13"/>
      <c r="AK216" s="24"/>
      <c r="AM216" s="24"/>
      <c r="AN216" s="13"/>
      <c r="AO216" s="13"/>
      <c r="AP216" s="24"/>
      <c r="AR216" s="24"/>
      <c r="AS216" s="13"/>
      <c r="AT216" s="13"/>
      <c r="AU216" s="24"/>
      <c r="AW216" s="24"/>
      <c r="AX216" s="13"/>
      <c r="AY216" s="13"/>
      <c r="AZ216" s="24"/>
      <c r="BB216" s="24"/>
      <c r="BC216" s="13"/>
      <c r="BD216" s="13"/>
      <c r="BE216" s="24"/>
      <c r="BG216" s="24"/>
      <c r="BH216" s="13"/>
      <c r="BI216" s="13"/>
      <c r="BJ216" s="24"/>
      <c r="BL216" s="24"/>
      <c r="BM216" s="13"/>
      <c r="BN216" s="13"/>
    </row>
    <row r="217" spans="1:66" s="11" customFormat="1" ht="21">
      <c r="A217" s="24"/>
      <c r="B217" s="24"/>
      <c r="C217" s="24"/>
      <c r="E217" s="13"/>
      <c r="F217" s="24"/>
      <c r="G217" s="24"/>
      <c r="I217" s="24"/>
      <c r="J217" s="13"/>
      <c r="K217" s="13"/>
      <c r="L217" s="24"/>
      <c r="N217" s="24"/>
      <c r="O217" s="13"/>
      <c r="P217" s="13"/>
      <c r="Q217" s="24"/>
      <c r="S217" s="24"/>
      <c r="T217" s="13"/>
      <c r="U217" s="13"/>
      <c r="V217" s="24"/>
      <c r="X217" s="24"/>
      <c r="Y217" s="13"/>
      <c r="Z217" s="13"/>
      <c r="AA217" s="24"/>
      <c r="AC217" s="24"/>
      <c r="AD217" s="13"/>
      <c r="AE217" s="13"/>
      <c r="AF217" s="24"/>
      <c r="AH217" s="24"/>
      <c r="AI217" s="13"/>
      <c r="AJ217" s="13"/>
      <c r="AK217" s="24"/>
      <c r="AM217" s="24"/>
      <c r="AN217" s="13"/>
      <c r="AO217" s="13"/>
      <c r="AP217" s="24"/>
      <c r="AR217" s="24"/>
      <c r="AS217" s="13"/>
      <c r="AT217" s="13"/>
      <c r="AU217" s="24"/>
      <c r="AW217" s="24"/>
      <c r="AX217" s="13"/>
      <c r="AY217" s="13"/>
      <c r="AZ217" s="24"/>
      <c r="BB217" s="24"/>
      <c r="BC217" s="13"/>
      <c r="BD217" s="13"/>
      <c r="BE217" s="24"/>
      <c r="BG217" s="24"/>
      <c r="BH217" s="13"/>
      <c r="BI217" s="13"/>
      <c r="BJ217" s="24"/>
      <c r="BL217" s="24"/>
      <c r="BM217" s="13"/>
      <c r="BN217" s="13"/>
    </row>
    <row r="218" spans="1:66" s="11" customFormat="1" ht="21">
      <c r="A218" s="24"/>
      <c r="B218" s="24"/>
      <c r="C218" s="24"/>
      <c r="E218" s="13"/>
      <c r="F218" s="24"/>
      <c r="G218" s="24"/>
      <c r="I218" s="24"/>
      <c r="J218" s="13"/>
      <c r="K218" s="13"/>
      <c r="L218" s="24"/>
      <c r="N218" s="24"/>
      <c r="O218" s="13"/>
      <c r="P218" s="13"/>
      <c r="Q218" s="24"/>
      <c r="S218" s="24"/>
      <c r="T218" s="13"/>
      <c r="U218" s="13"/>
      <c r="V218" s="24"/>
      <c r="X218" s="24"/>
      <c r="Y218" s="13"/>
      <c r="Z218" s="13"/>
      <c r="AA218" s="24"/>
      <c r="AC218" s="24"/>
      <c r="AD218" s="13"/>
      <c r="AE218" s="13"/>
      <c r="AF218" s="24"/>
      <c r="AH218" s="24"/>
      <c r="AI218" s="13"/>
      <c r="AJ218" s="13"/>
      <c r="AK218" s="24"/>
      <c r="AM218" s="24"/>
      <c r="AN218" s="13"/>
      <c r="AO218" s="13"/>
      <c r="AP218" s="24"/>
      <c r="AR218" s="24"/>
      <c r="AS218" s="13"/>
      <c r="AT218" s="13"/>
      <c r="AU218" s="24"/>
      <c r="AW218" s="24"/>
      <c r="AX218" s="13"/>
      <c r="AY218" s="13"/>
      <c r="AZ218" s="24"/>
      <c r="BB218" s="24"/>
      <c r="BC218" s="13"/>
      <c r="BD218" s="13"/>
      <c r="BE218" s="24"/>
      <c r="BG218" s="24"/>
      <c r="BH218" s="13"/>
      <c r="BI218" s="13"/>
      <c r="BJ218" s="24"/>
      <c r="BL218" s="24"/>
      <c r="BM218" s="13"/>
      <c r="BN218" s="13"/>
    </row>
    <row r="219" spans="1:66" s="11" customFormat="1" ht="21">
      <c r="A219" s="24"/>
      <c r="B219" s="24"/>
      <c r="C219" s="24"/>
      <c r="E219" s="13"/>
      <c r="F219" s="24"/>
      <c r="G219" s="24"/>
      <c r="I219" s="24"/>
      <c r="J219" s="13"/>
      <c r="K219" s="13"/>
      <c r="L219" s="24"/>
      <c r="N219" s="24"/>
      <c r="O219" s="13"/>
      <c r="P219" s="13"/>
      <c r="Q219" s="24"/>
      <c r="S219" s="24"/>
      <c r="T219" s="13"/>
      <c r="U219" s="13"/>
      <c r="V219" s="24"/>
      <c r="X219" s="24"/>
      <c r="Y219" s="13"/>
      <c r="Z219" s="13"/>
      <c r="AA219" s="24"/>
      <c r="AC219" s="24"/>
      <c r="AD219" s="13"/>
      <c r="AE219" s="13"/>
      <c r="AF219" s="24"/>
      <c r="AH219" s="24"/>
      <c r="AI219" s="13"/>
      <c r="AJ219" s="13"/>
      <c r="AK219" s="24"/>
      <c r="AM219" s="24"/>
      <c r="AN219" s="13"/>
      <c r="AO219" s="13"/>
      <c r="AP219" s="24"/>
      <c r="AR219" s="24"/>
      <c r="AS219" s="13"/>
      <c r="AT219" s="13"/>
      <c r="AU219" s="24"/>
      <c r="AW219" s="24"/>
      <c r="AX219" s="13"/>
      <c r="AY219" s="13"/>
      <c r="AZ219" s="24"/>
      <c r="BB219" s="24"/>
      <c r="BC219" s="13"/>
      <c r="BD219" s="13"/>
      <c r="BE219" s="24"/>
      <c r="BG219" s="24"/>
      <c r="BH219" s="13"/>
      <c r="BI219" s="13"/>
      <c r="BJ219" s="24"/>
      <c r="BL219" s="24"/>
      <c r="BM219" s="13"/>
      <c r="BN219" s="13"/>
    </row>
    <row r="220" spans="1:66" s="11" customFormat="1" ht="21">
      <c r="A220" s="24"/>
      <c r="B220" s="24"/>
      <c r="C220" s="24"/>
      <c r="E220" s="13"/>
      <c r="F220" s="24"/>
      <c r="G220" s="24"/>
      <c r="I220" s="24"/>
      <c r="J220" s="13"/>
      <c r="K220" s="13"/>
      <c r="L220" s="24"/>
      <c r="N220" s="24"/>
      <c r="O220" s="13"/>
      <c r="P220" s="13"/>
      <c r="Q220" s="24"/>
      <c r="S220" s="24"/>
      <c r="T220" s="13"/>
      <c r="U220" s="13"/>
      <c r="V220" s="24"/>
      <c r="X220" s="24"/>
      <c r="Y220" s="13"/>
      <c r="Z220" s="13"/>
      <c r="AA220" s="24"/>
      <c r="AC220" s="24"/>
      <c r="AD220" s="13"/>
      <c r="AE220" s="13"/>
      <c r="AF220" s="24"/>
      <c r="AH220" s="24"/>
      <c r="AI220" s="13"/>
      <c r="AJ220" s="13"/>
      <c r="AK220" s="24"/>
      <c r="AM220" s="24"/>
      <c r="AN220" s="13"/>
      <c r="AO220" s="13"/>
      <c r="AP220" s="24"/>
      <c r="AR220" s="24"/>
      <c r="AS220" s="13"/>
      <c r="AT220" s="13"/>
      <c r="AU220" s="24"/>
      <c r="AW220" s="24"/>
      <c r="AX220" s="13"/>
      <c r="AY220" s="13"/>
      <c r="AZ220" s="24"/>
      <c r="BB220" s="24"/>
      <c r="BC220" s="13"/>
      <c r="BD220" s="13"/>
      <c r="BE220" s="24"/>
      <c r="BG220" s="24"/>
      <c r="BH220" s="13"/>
      <c r="BI220" s="13"/>
      <c r="BJ220" s="24"/>
      <c r="BL220" s="24"/>
      <c r="BM220" s="13"/>
      <c r="BN220" s="13"/>
    </row>
    <row r="221" spans="1:66" s="11" customFormat="1" ht="21">
      <c r="A221" s="24"/>
      <c r="B221" s="24"/>
      <c r="C221" s="24"/>
      <c r="E221" s="13"/>
      <c r="F221" s="24"/>
      <c r="G221" s="24"/>
      <c r="I221" s="24"/>
      <c r="J221" s="13"/>
      <c r="K221" s="13"/>
      <c r="L221" s="24"/>
      <c r="N221" s="24"/>
      <c r="O221" s="13"/>
      <c r="P221" s="13"/>
      <c r="Q221" s="24"/>
      <c r="S221" s="24"/>
      <c r="T221" s="13"/>
      <c r="U221" s="13"/>
      <c r="V221" s="24"/>
      <c r="X221" s="24"/>
      <c r="Y221" s="13"/>
      <c r="Z221" s="13"/>
      <c r="AA221" s="24"/>
      <c r="AC221" s="24"/>
      <c r="AD221" s="13"/>
      <c r="AE221" s="13"/>
      <c r="AF221" s="24"/>
      <c r="AH221" s="24"/>
      <c r="AI221" s="13"/>
      <c r="AJ221" s="13"/>
      <c r="AK221" s="24"/>
      <c r="AM221" s="24"/>
      <c r="AN221" s="13"/>
      <c r="AO221" s="13"/>
      <c r="AP221" s="24"/>
      <c r="AR221" s="24"/>
      <c r="AS221" s="13"/>
      <c r="AT221" s="13"/>
      <c r="AU221" s="24"/>
      <c r="AW221" s="24"/>
      <c r="AX221" s="13"/>
      <c r="AY221" s="13"/>
      <c r="AZ221" s="24"/>
      <c r="BB221" s="24"/>
      <c r="BC221" s="13"/>
      <c r="BD221" s="13"/>
      <c r="BE221" s="24"/>
      <c r="BG221" s="24"/>
      <c r="BH221" s="13"/>
      <c r="BI221" s="13"/>
      <c r="BJ221" s="24"/>
      <c r="BL221" s="24"/>
      <c r="BM221" s="13"/>
      <c r="BN221" s="13"/>
    </row>
    <row r="222" spans="1:66" s="11" customFormat="1" ht="21">
      <c r="A222" s="24"/>
      <c r="B222" s="24"/>
      <c r="C222" s="24"/>
      <c r="E222" s="13"/>
      <c r="F222" s="24"/>
      <c r="G222" s="24"/>
      <c r="I222" s="24"/>
      <c r="J222" s="13"/>
      <c r="K222" s="13"/>
      <c r="L222" s="24"/>
      <c r="N222" s="24"/>
      <c r="O222" s="13"/>
      <c r="P222" s="13"/>
      <c r="Q222" s="24"/>
      <c r="S222" s="24"/>
      <c r="T222" s="13"/>
      <c r="U222" s="13"/>
      <c r="V222" s="24"/>
      <c r="X222" s="24"/>
      <c r="Y222" s="13"/>
      <c r="Z222" s="13"/>
      <c r="AA222" s="24"/>
      <c r="AC222" s="24"/>
      <c r="AD222" s="13"/>
      <c r="AE222" s="13"/>
      <c r="AF222" s="24"/>
      <c r="AH222" s="24"/>
      <c r="AI222" s="13"/>
      <c r="AJ222" s="13"/>
      <c r="AK222" s="24"/>
      <c r="AM222" s="24"/>
      <c r="AN222" s="13"/>
      <c r="AO222" s="13"/>
      <c r="AP222" s="24"/>
      <c r="AR222" s="24"/>
      <c r="AS222" s="13"/>
      <c r="AT222" s="13"/>
      <c r="AU222" s="24"/>
      <c r="AW222" s="24"/>
      <c r="AX222" s="13"/>
      <c r="AY222" s="13"/>
      <c r="AZ222" s="24"/>
      <c r="BB222" s="24"/>
      <c r="BC222" s="13"/>
      <c r="BD222" s="13"/>
      <c r="BE222" s="24"/>
      <c r="BG222" s="24"/>
      <c r="BH222" s="13"/>
      <c r="BI222" s="13"/>
      <c r="BJ222" s="24"/>
      <c r="BL222" s="24"/>
      <c r="BM222" s="13"/>
      <c r="BN222" s="13"/>
    </row>
    <row r="223" spans="1:66" s="11" customFormat="1" ht="21">
      <c r="A223" s="24"/>
      <c r="B223" s="24"/>
      <c r="C223" s="24"/>
      <c r="E223" s="13"/>
      <c r="F223" s="24"/>
      <c r="G223" s="24"/>
      <c r="I223" s="24"/>
      <c r="J223" s="13"/>
      <c r="K223" s="13"/>
      <c r="L223" s="24"/>
      <c r="N223" s="24"/>
      <c r="O223" s="13"/>
      <c r="P223" s="13"/>
      <c r="Q223" s="24"/>
      <c r="S223" s="24"/>
      <c r="T223" s="13"/>
      <c r="U223" s="13"/>
      <c r="V223" s="24"/>
      <c r="X223" s="24"/>
      <c r="Y223" s="13"/>
      <c r="Z223" s="13"/>
      <c r="AA223" s="24"/>
      <c r="AC223" s="24"/>
      <c r="AD223" s="13"/>
      <c r="AE223" s="13"/>
      <c r="AF223" s="24"/>
      <c r="AH223" s="24"/>
      <c r="AI223" s="13"/>
      <c r="AJ223" s="13"/>
      <c r="AK223" s="24"/>
      <c r="AM223" s="24"/>
      <c r="AN223" s="13"/>
      <c r="AO223" s="13"/>
      <c r="AP223" s="24"/>
      <c r="AR223" s="24"/>
      <c r="AS223" s="13"/>
      <c r="AT223" s="13"/>
      <c r="AU223" s="24"/>
      <c r="AW223" s="24"/>
      <c r="AX223" s="13"/>
      <c r="AY223" s="13"/>
      <c r="AZ223" s="24"/>
      <c r="BB223" s="24"/>
      <c r="BC223" s="13"/>
      <c r="BD223" s="13"/>
      <c r="BE223" s="24"/>
      <c r="BG223" s="24"/>
      <c r="BH223" s="13"/>
      <c r="BI223" s="13"/>
      <c r="BJ223" s="24"/>
      <c r="BL223" s="24"/>
      <c r="BM223" s="13"/>
      <c r="BN223" s="13"/>
    </row>
    <row r="224" spans="1:66" s="11" customFormat="1" ht="21">
      <c r="A224" s="24"/>
      <c r="B224" s="24"/>
      <c r="C224" s="24"/>
      <c r="E224" s="13"/>
      <c r="F224" s="24"/>
      <c r="G224" s="24"/>
      <c r="I224" s="24"/>
      <c r="J224" s="13"/>
      <c r="K224" s="13"/>
      <c r="L224" s="24"/>
      <c r="N224" s="24"/>
      <c r="O224" s="13"/>
      <c r="P224" s="13"/>
      <c r="Q224" s="24"/>
      <c r="S224" s="24"/>
      <c r="T224" s="13"/>
      <c r="U224" s="13"/>
      <c r="V224" s="24"/>
      <c r="X224" s="24"/>
      <c r="Y224" s="13"/>
      <c r="Z224" s="13"/>
      <c r="AA224" s="24"/>
      <c r="AC224" s="24"/>
      <c r="AD224" s="13"/>
      <c r="AE224" s="13"/>
      <c r="AF224" s="24"/>
      <c r="AH224" s="24"/>
      <c r="AI224" s="13"/>
      <c r="AJ224" s="13"/>
      <c r="AK224" s="24"/>
      <c r="AM224" s="24"/>
      <c r="AN224" s="13"/>
      <c r="AO224" s="13"/>
      <c r="AP224" s="24"/>
      <c r="AR224" s="24"/>
      <c r="AS224" s="13"/>
      <c r="AT224" s="13"/>
      <c r="AU224" s="24"/>
      <c r="AW224" s="24"/>
      <c r="AX224" s="13"/>
      <c r="AY224" s="13"/>
      <c r="AZ224" s="24"/>
      <c r="BB224" s="24"/>
      <c r="BC224" s="13"/>
      <c r="BD224" s="13"/>
      <c r="BE224" s="24"/>
      <c r="BG224" s="24"/>
      <c r="BH224" s="13"/>
      <c r="BI224" s="13"/>
      <c r="BJ224" s="24"/>
      <c r="BL224" s="24"/>
      <c r="BM224" s="13"/>
      <c r="BN224" s="13"/>
    </row>
    <row r="225" spans="1:66" s="11" customFormat="1" ht="21">
      <c r="A225" s="24"/>
      <c r="B225" s="24"/>
      <c r="C225" s="24"/>
      <c r="E225" s="13"/>
      <c r="F225" s="24"/>
      <c r="G225" s="24"/>
      <c r="I225" s="24"/>
      <c r="J225" s="13"/>
      <c r="K225" s="13"/>
      <c r="L225" s="24"/>
      <c r="N225" s="24"/>
      <c r="O225" s="13"/>
      <c r="P225" s="13"/>
      <c r="Q225" s="24"/>
      <c r="S225" s="24"/>
      <c r="T225" s="13"/>
      <c r="U225" s="13"/>
      <c r="V225" s="24"/>
      <c r="X225" s="24"/>
      <c r="Y225" s="13"/>
      <c r="Z225" s="13"/>
      <c r="AA225" s="24"/>
      <c r="AC225" s="24"/>
      <c r="AD225" s="13"/>
      <c r="AE225" s="13"/>
      <c r="AF225" s="24"/>
      <c r="AH225" s="24"/>
      <c r="AI225" s="13"/>
      <c r="AJ225" s="13"/>
      <c r="AK225" s="24"/>
      <c r="AM225" s="24"/>
      <c r="AN225" s="13"/>
      <c r="AO225" s="13"/>
      <c r="AP225" s="24"/>
      <c r="AR225" s="24"/>
      <c r="AS225" s="13"/>
      <c r="AT225" s="13"/>
      <c r="AU225" s="24"/>
      <c r="AW225" s="24"/>
      <c r="AX225" s="13"/>
      <c r="AY225" s="13"/>
      <c r="AZ225" s="24"/>
      <c r="BB225" s="24"/>
      <c r="BC225" s="13"/>
      <c r="BD225" s="13"/>
      <c r="BE225" s="24"/>
      <c r="BG225" s="24"/>
      <c r="BH225" s="13"/>
      <c r="BI225" s="13"/>
      <c r="BJ225" s="24"/>
      <c r="BL225" s="24"/>
      <c r="BM225" s="13"/>
      <c r="BN225" s="13"/>
    </row>
    <row r="226" spans="1:66" s="11" customFormat="1" ht="21">
      <c r="A226" s="24"/>
      <c r="B226" s="24"/>
      <c r="C226" s="24"/>
      <c r="E226" s="13"/>
      <c r="F226" s="24"/>
      <c r="G226" s="24"/>
      <c r="I226" s="24"/>
      <c r="J226" s="13"/>
      <c r="K226" s="13"/>
      <c r="L226" s="24"/>
      <c r="N226" s="24"/>
      <c r="O226" s="13"/>
      <c r="P226" s="13"/>
      <c r="Q226" s="24"/>
      <c r="S226" s="24"/>
      <c r="T226" s="13"/>
      <c r="U226" s="13"/>
      <c r="V226" s="24"/>
      <c r="X226" s="24"/>
      <c r="Y226" s="13"/>
      <c r="Z226" s="13"/>
      <c r="AA226" s="24"/>
      <c r="AC226" s="24"/>
      <c r="AD226" s="13"/>
      <c r="AE226" s="13"/>
      <c r="AF226" s="24"/>
      <c r="AH226" s="24"/>
      <c r="AI226" s="13"/>
      <c r="AJ226" s="13"/>
      <c r="AK226" s="24"/>
      <c r="AM226" s="24"/>
      <c r="AN226" s="13"/>
      <c r="AO226" s="13"/>
      <c r="AP226" s="24"/>
      <c r="AR226" s="24"/>
      <c r="AS226" s="13"/>
      <c r="AT226" s="13"/>
      <c r="AU226" s="24"/>
      <c r="AW226" s="24"/>
      <c r="AX226" s="13"/>
      <c r="AY226" s="13"/>
      <c r="AZ226" s="24"/>
      <c r="BB226" s="24"/>
      <c r="BC226" s="13"/>
      <c r="BD226" s="13"/>
      <c r="BE226" s="24"/>
      <c r="BG226" s="24"/>
      <c r="BH226" s="13"/>
      <c r="BI226" s="13"/>
      <c r="BJ226" s="24"/>
      <c r="BL226" s="24"/>
      <c r="BM226" s="13"/>
      <c r="BN226" s="13"/>
    </row>
    <row r="227" spans="1:66" s="11" customFormat="1" ht="21">
      <c r="A227" s="24"/>
      <c r="B227" s="24"/>
      <c r="C227" s="24"/>
      <c r="E227" s="13"/>
      <c r="F227" s="24"/>
      <c r="G227" s="24"/>
      <c r="I227" s="24"/>
      <c r="J227" s="13"/>
      <c r="K227" s="13"/>
      <c r="L227" s="24"/>
      <c r="N227" s="24"/>
      <c r="O227" s="13"/>
      <c r="P227" s="13"/>
      <c r="Q227" s="24"/>
      <c r="S227" s="24"/>
      <c r="T227" s="13"/>
      <c r="U227" s="13"/>
      <c r="V227" s="24"/>
      <c r="X227" s="24"/>
      <c r="Y227" s="13"/>
      <c r="Z227" s="13"/>
      <c r="AA227" s="24"/>
      <c r="AC227" s="24"/>
      <c r="AD227" s="13"/>
      <c r="AE227" s="13"/>
      <c r="AF227" s="24"/>
      <c r="AH227" s="24"/>
      <c r="AI227" s="13"/>
      <c r="AJ227" s="13"/>
      <c r="AK227" s="24"/>
      <c r="AM227" s="24"/>
      <c r="AN227" s="13"/>
      <c r="AO227" s="13"/>
      <c r="AP227" s="24"/>
      <c r="AR227" s="24"/>
      <c r="AS227" s="13"/>
      <c r="AT227" s="13"/>
      <c r="AU227" s="24"/>
      <c r="AW227" s="24"/>
      <c r="AX227" s="13"/>
      <c r="AY227" s="13"/>
      <c r="AZ227" s="24"/>
      <c r="BB227" s="24"/>
      <c r="BC227" s="13"/>
      <c r="BD227" s="13"/>
      <c r="BE227" s="24"/>
      <c r="BG227" s="24"/>
      <c r="BH227" s="13"/>
      <c r="BI227" s="13"/>
      <c r="BJ227" s="24"/>
      <c r="BL227" s="24"/>
      <c r="BM227" s="13"/>
      <c r="BN227" s="13"/>
    </row>
    <row r="228" spans="1:66" s="11" customFormat="1" ht="21">
      <c r="A228" s="24"/>
      <c r="B228" s="24"/>
      <c r="C228" s="24"/>
      <c r="E228" s="13"/>
      <c r="F228" s="24"/>
      <c r="G228" s="24"/>
      <c r="I228" s="24"/>
      <c r="J228" s="13"/>
      <c r="K228" s="13"/>
      <c r="L228" s="24"/>
      <c r="N228" s="24"/>
      <c r="O228" s="13"/>
      <c r="P228" s="13"/>
      <c r="Q228" s="24"/>
      <c r="S228" s="24"/>
      <c r="T228" s="13"/>
      <c r="U228" s="13"/>
      <c r="V228" s="24"/>
      <c r="X228" s="24"/>
      <c r="Y228" s="13"/>
      <c r="Z228" s="13"/>
      <c r="AA228" s="24"/>
      <c r="AC228" s="24"/>
      <c r="AD228" s="13"/>
      <c r="AE228" s="13"/>
      <c r="AF228" s="24"/>
      <c r="AH228" s="24"/>
      <c r="AI228" s="13"/>
      <c r="AJ228" s="13"/>
      <c r="AK228" s="24"/>
      <c r="AM228" s="24"/>
      <c r="AN228" s="13"/>
      <c r="AO228" s="13"/>
      <c r="AP228" s="24"/>
      <c r="AR228" s="24"/>
      <c r="AS228" s="13"/>
      <c r="AT228" s="13"/>
      <c r="AU228" s="24"/>
      <c r="AW228" s="24"/>
      <c r="AX228" s="13"/>
      <c r="AY228" s="13"/>
      <c r="AZ228" s="24"/>
      <c r="BB228" s="24"/>
      <c r="BC228" s="13"/>
      <c r="BD228" s="13"/>
      <c r="BE228" s="24"/>
      <c r="BG228" s="24"/>
      <c r="BH228" s="13"/>
      <c r="BI228" s="13"/>
      <c r="BJ228" s="24"/>
      <c r="BL228" s="24"/>
      <c r="BM228" s="13"/>
      <c r="BN228" s="13"/>
    </row>
    <row r="229" spans="1:66" s="11" customFormat="1" ht="21">
      <c r="A229" s="24"/>
      <c r="B229" s="24"/>
      <c r="C229" s="24"/>
      <c r="E229" s="13"/>
      <c r="F229" s="24"/>
      <c r="G229" s="24"/>
      <c r="I229" s="24"/>
      <c r="J229" s="13"/>
      <c r="K229" s="13"/>
      <c r="L229" s="24"/>
      <c r="N229" s="24"/>
      <c r="O229" s="13"/>
      <c r="P229" s="13"/>
      <c r="Q229" s="24"/>
      <c r="S229" s="24"/>
      <c r="T229" s="13"/>
      <c r="U229" s="13"/>
      <c r="V229" s="24"/>
      <c r="X229" s="24"/>
      <c r="Y229" s="13"/>
      <c r="Z229" s="13"/>
      <c r="AA229" s="24"/>
      <c r="AC229" s="24"/>
      <c r="AD229" s="13"/>
      <c r="AE229" s="13"/>
      <c r="AF229" s="24"/>
      <c r="AH229" s="24"/>
      <c r="AI229" s="13"/>
      <c r="AJ229" s="13"/>
      <c r="AK229" s="24"/>
      <c r="AM229" s="24"/>
      <c r="AN229" s="13"/>
      <c r="AO229" s="13"/>
      <c r="AP229" s="24"/>
      <c r="AR229" s="24"/>
      <c r="AS229" s="13"/>
      <c r="AT229" s="13"/>
      <c r="AU229" s="24"/>
      <c r="AW229" s="24"/>
      <c r="AX229" s="13"/>
      <c r="AY229" s="13"/>
      <c r="AZ229" s="24"/>
      <c r="BB229" s="24"/>
      <c r="BC229" s="13"/>
      <c r="BD229" s="13"/>
      <c r="BE229" s="24"/>
      <c r="BG229" s="24"/>
      <c r="BH229" s="13"/>
      <c r="BI229" s="13"/>
      <c r="BJ229" s="24"/>
      <c r="BL229" s="24"/>
      <c r="BM229" s="13"/>
      <c r="BN229" s="13"/>
    </row>
    <row r="230" spans="1:66" s="11" customFormat="1" ht="21">
      <c r="A230" s="24"/>
      <c r="B230" s="24"/>
      <c r="C230" s="24"/>
      <c r="E230" s="13"/>
      <c r="F230" s="24"/>
      <c r="G230" s="24"/>
      <c r="I230" s="24"/>
      <c r="J230" s="13"/>
      <c r="K230" s="13"/>
      <c r="L230" s="24"/>
      <c r="N230" s="24"/>
      <c r="O230" s="13"/>
      <c r="P230" s="13"/>
      <c r="Q230" s="24"/>
      <c r="S230" s="24"/>
      <c r="T230" s="13"/>
      <c r="U230" s="13"/>
      <c r="V230" s="24"/>
      <c r="X230" s="24"/>
      <c r="Y230" s="13"/>
      <c r="Z230" s="13"/>
      <c r="AA230" s="24"/>
      <c r="AC230" s="24"/>
      <c r="AD230" s="13"/>
      <c r="AE230" s="13"/>
      <c r="AF230" s="24"/>
      <c r="AH230" s="24"/>
      <c r="AI230" s="13"/>
      <c r="AJ230" s="13"/>
      <c r="AK230" s="24"/>
      <c r="AM230" s="24"/>
      <c r="AN230" s="13"/>
      <c r="AO230" s="13"/>
      <c r="AP230" s="24"/>
      <c r="AR230" s="24"/>
      <c r="AS230" s="13"/>
      <c r="AT230" s="13"/>
      <c r="AU230" s="24"/>
      <c r="AW230" s="24"/>
      <c r="AX230" s="13"/>
      <c r="AY230" s="13"/>
      <c r="AZ230" s="24"/>
      <c r="BB230" s="24"/>
      <c r="BC230" s="13"/>
      <c r="BD230" s="13"/>
      <c r="BE230" s="24"/>
      <c r="BG230" s="24"/>
      <c r="BH230" s="13"/>
      <c r="BI230" s="13"/>
      <c r="BJ230" s="24"/>
      <c r="BL230" s="24"/>
      <c r="BM230" s="13"/>
      <c r="BN230" s="13"/>
    </row>
    <row r="231" spans="1:66" s="11" customFormat="1" ht="21">
      <c r="A231" s="24"/>
      <c r="B231" s="24"/>
      <c r="C231" s="24"/>
      <c r="E231" s="13"/>
      <c r="F231" s="24"/>
      <c r="G231" s="24"/>
      <c r="I231" s="24"/>
      <c r="J231" s="13"/>
      <c r="K231" s="13"/>
      <c r="L231" s="24"/>
      <c r="N231" s="24"/>
      <c r="O231" s="13"/>
      <c r="P231" s="13"/>
      <c r="Q231" s="24"/>
      <c r="S231" s="24"/>
      <c r="T231" s="13"/>
      <c r="U231" s="13"/>
      <c r="V231" s="24"/>
      <c r="X231" s="24"/>
      <c r="Y231" s="13"/>
      <c r="Z231" s="13"/>
      <c r="AA231" s="24"/>
      <c r="AC231" s="24"/>
      <c r="AD231" s="13"/>
      <c r="AE231" s="13"/>
      <c r="AF231" s="24"/>
      <c r="AH231" s="24"/>
      <c r="AI231" s="13"/>
      <c r="AJ231" s="13"/>
      <c r="AK231" s="24"/>
      <c r="AM231" s="24"/>
      <c r="AN231" s="13"/>
      <c r="AO231" s="13"/>
      <c r="AP231" s="24"/>
      <c r="AR231" s="24"/>
      <c r="AS231" s="13"/>
      <c r="AT231" s="13"/>
      <c r="AU231" s="24"/>
      <c r="AW231" s="24"/>
      <c r="AX231" s="13"/>
      <c r="AY231" s="13"/>
      <c r="AZ231" s="24"/>
      <c r="BB231" s="24"/>
      <c r="BC231" s="13"/>
      <c r="BD231" s="13"/>
      <c r="BE231" s="24"/>
      <c r="BG231" s="24"/>
      <c r="BH231" s="13"/>
      <c r="BI231" s="13"/>
      <c r="BJ231" s="24"/>
      <c r="BL231" s="24"/>
      <c r="BM231" s="13"/>
      <c r="BN231" s="13"/>
    </row>
    <row r="232" spans="1:66" s="11" customFormat="1" ht="21">
      <c r="A232" s="24"/>
      <c r="B232" s="24"/>
      <c r="C232" s="24"/>
      <c r="E232" s="13"/>
      <c r="F232" s="24"/>
      <c r="G232" s="24"/>
      <c r="I232" s="24"/>
      <c r="J232" s="13"/>
      <c r="K232" s="13"/>
      <c r="L232" s="24"/>
      <c r="N232" s="24"/>
      <c r="O232" s="13"/>
      <c r="P232" s="13"/>
      <c r="Q232" s="24"/>
      <c r="S232" s="24"/>
      <c r="T232" s="13"/>
      <c r="U232" s="13"/>
      <c r="V232" s="24"/>
      <c r="X232" s="24"/>
      <c r="Y232" s="13"/>
      <c r="Z232" s="13"/>
      <c r="AA232" s="24"/>
      <c r="AC232" s="24"/>
      <c r="AD232" s="13"/>
      <c r="AE232" s="13"/>
      <c r="AF232" s="24"/>
      <c r="AH232" s="24"/>
      <c r="AI232" s="13"/>
      <c r="AJ232" s="13"/>
      <c r="AK232" s="24"/>
      <c r="AM232" s="24"/>
      <c r="AN232" s="13"/>
      <c r="AO232" s="13"/>
      <c r="AP232" s="24"/>
      <c r="AR232" s="24"/>
      <c r="AS232" s="13"/>
      <c r="AT232" s="13"/>
      <c r="AU232" s="24"/>
      <c r="AW232" s="24"/>
      <c r="AX232" s="13"/>
      <c r="AY232" s="13"/>
      <c r="AZ232" s="24"/>
      <c r="BB232" s="24"/>
      <c r="BC232" s="13"/>
      <c r="BD232" s="13"/>
      <c r="BE232" s="24"/>
      <c r="BG232" s="24"/>
      <c r="BH232" s="13"/>
      <c r="BI232" s="13"/>
      <c r="BJ232" s="24"/>
      <c r="BL232" s="24"/>
      <c r="BM232" s="13"/>
      <c r="BN232" s="13"/>
    </row>
    <row r="233" spans="1:66" s="11" customFormat="1" ht="21">
      <c r="A233" s="24"/>
      <c r="B233" s="24"/>
      <c r="C233" s="24"/>
      <c r="E233" s="13"/>
      <c r="F233" s="24"/>
      <c r="G233" s="24"/>
      <c r="I233" s="24"/>
      <c r="J233" s="13"/>
      <c r="K233" s="13"/>
      <c r="L233" s="24"/>
      <c r="N233" s="24"/>
      <c r="O233" s="13"/>
      <c r="P233" s="13"/>
      <c r="Q233" s="24"/>
      <c r="S233" s="24"/>
      <c r="T233" s="13"/>
      <c r="U233" s="13"/>
      <c r="V233" s="24"/>
      <c r="X233" s="24"/>
      <c r="Y233" s="13"/>
      <c r="Z233" s="13"/>
      <c r="AA233" s="24"/>
      <c r="AC233" s="24"/>
      <c r="AD233" s="13"/>
      <c r="AE233" s="13"/>
      <c r="AF233" s="24"/>
      <c r="AH233" s="24"/>
      <c r="AI233" s="13"/>
      <c r="AJ233" s="13"/>
      <c r="AK233" s="24"/>
      <c r="AM233" s="24"/>
      <c r="AN233" s="13"/>
      <c r="AO233" s="13"/>
      <c r="AP233" s="24"/>
      <c r="AR233" s="24"/>
      <c r="AS233" s="13"/>
      <c r="AT233" s="13"/>
      <c r="AU233" s="24"/>
      <c r="AW233" s="24"/>
      <c r="AX233" s="13"/>
      <c r="AY233" s="13"/>
      <c r="AZ233" s="24"/>
      <c r="BB233" s="24"/>
      <c r="BC233" s="13"/>
      <c r="BD233" s="13"/>
      <c r="BE233" s="24"/>
      <c r="BG233" s="24"/>
      <c r="BH233" s="13"/>
      <c r="BI233" s="13"/>
      <c r="BJ233" s="24"/>
      <c r="BL233" s="24"/>
      <c r="BM233" s="13"/>
      <c r="BN233" s="13"/>
    </row>
    <row r="234" spans="1:66" s="11" customFormat="1" ht="21">
      <c r="A234" s="24"/>
      <c r="B234" s="24"/>
      <c r="C234" s="24"/>
      <c r="E234" s="13"/>
      <c r="F234" s="24"/>
      <c r="G234" s="24"/>
      <c r="I234" s="24"/>
      <c r="J234" s="13"/>
      <c r="K234" s="13"/>
      <c r="L234" s="24"/>
      <c r="N234" s="24"/>
      <c r="O234" s="13"/>
      <c r="P234" s="13"/>
      <c r="Q234" s="24"/>
      <c r="S234" s="24"/>
      <c r="T234" s="13"/>
      <c r="U234" s="13"/>
      <c r="V234" s="24"/>
      <c r="X234" s="24"/>
      <c r="Y234" s="13"/>
      <c r="Z234" s="13"/>
      <c r="AA234" s="24"/>
      <c r="AC234" s="24"/>
      <c r="AD234" s="13"/>
      <c r="AE234" s="13"/>
      <c r="AF234" s="24"/>
      <c r="AH234" s="24"/>
      <c r="AI234" s="13"/>
      <c r="AJ234" s="13"/>
      <c r="AK234" s="24"/>
      <c r="AM234" s="24"/>
      <c r="AN234" s="13"/>
      <c r="AO234" s="13"/>
      <c r="AP234" s="24"/>
      <c r="AR234" s="24"/>
      <c r="AS234" s="13"/>
      <c r="AT234" s="13"/>
      <c r="AU234" s="24"/>
      <c r="AW234" s="24"/>
      <c r="AX234" s="13"/>
      <c r="AY234" s="13"/>
      <c r="AZ234" s="24"/>
      <c r="BB234" s="24"/>
      <c r="BC234" s="13"/>
      <c r="BD234" s="13"/>
      <c r="BE234" s="24"/>
      <c r="BG234" s="24"/>
      <c r="BH234" s="13"/>
      <c r="BI234" s="13"/>
      <c r="BJ234" s="24"/>
      <c r="BL234" s="24"/>
      <c r="BM234" s="13"/>
      <c r="BN234" s="13"/>
    </row>
    <row r="235" spans="1:66" s="11" customFormat="1" ht="21">
      <c r="A235" s="24"/>
      <c r="B235" s="24"/>
      <c r="C235" s="24"/>
      <c r="E235" s="13"/>
      <c r="F235" s="24"/>
      <c r="G235" s="24"/>
      <c r="I235" s="24"/>
      <c r="J235" s="13"/>
      <c r="K235" s="13"/>
      <c r="L235" s="24"/>
      <c r="N235" s="24"/>
      <c r="O235" s="13"/>
      <c r="P235" s="13"/>
      <c r="Q235" s="24"/>
      <c r="S235" s="24"/>
      <c r="T235" s="13"/>
      <c r="U235" s="13"/>
      <c r="V235" s="24"/>
      <c r="X235" s="24"/>
      <c r="Y235" s="13"/>
      <c r="Z235" s="13"/>
      <c r="AA235" s="24"/>
      <c r="AC235" s="24"/>
      <c r="AD235" s="13"/>
      <c r="AE235" s="13"/>
      <c r="AF235" s="24"/>
      <c r="AH235" s="24"/>
      <c r="AI235" s="13"/>
      <c r="AJ235" s="13"/>
      <c r="AK235" s="24"/>
      <c r="AM235" s="24"/>
      <c r="AN235" s="13"/>
      <c r="AO235" s="13"/>
      <c r="AP235" s="24"/>
      <c r="AR235" s="24"/>
      <c r="AS235" s="13"/>
      <c r="AT235" s="13"/>
      <c r="AU235" s="24"/>
      <c r="AW235" s="24"/>
      <c r="AX235" s="13"/>
      <c r="AY235" s="13"/>
      <c r="AZ235" s="24"/>
      <c r="BB235" s="24"/>
      <c r="BC235" s="13"/>
      <c r="BD235" s="13"/>
      <c r="BE235" s="24"/>
      <c r="BG235" s="24"/>
      <c r="BH235" s="13"/>
      <c r="BI235" s="13"/>
      <c r="BJ235" s="24"/>
      <c r="BL235" s="24"/>
      <c r="BM235" s="13"/>
      <c r="BN235" s="13"/>
    </row>
    <row r="236" spans="1:66" s="11" customFormat="1" ht="21">
      <c r="A236" s="24"/>
      <c r="B236" s="24"/>
      <c r="C236" s="24"/>
      <c r="E236" s="13"/>
      <c r="F236" s="24"/>
      <c r="G236" s="24"/>
      <c r="I236" s="24"/>
      <c r="J236" s="13"/>
      <c r="K236" s="13"/>
      <c r="L236" s="24"/>
      <c r="N236" s="24"/>
      <c r="O236" s="13"/>
      <c r="P236" s="13"/>
      <c r="Q236" s="24"/>
      <c r="S236" s="24"/>
      <c r="T236" s="13"/>
      <c r="U236" s="13"/>
      <c r="V236" s="24"/>
      <c r="X236" s="24"/>
      <c r="Y236" s="13"/>
      <c r="Z236" s="13"/>
      <c r="AA236" s="24"/>
      <c r="AC236" s="24"/>
      <c r="AD236" s="13"/>
      <c r="AE236" s="13"/>
      <c r="AF236" s="24"/>
      <c r="AH236" s="24"/>
      <c r="AI236" s="13"/>
      <c r="AJ236" s="13"/>
      <c r="AK236" s="24"/>
      <c r="AM236" s="24"/>
      <c r="AN236" s="13"/>
      <c r="AO236" s="13"/>
      <c r="AP236" s="24"/>
      <c r="AR236" s="24"/>
      <c r="AS236" s="13"/>
      <c r="AT236" s="13"/>
      <c r="AU236" s="24"/>
      <c r="AW236" s="24"/>
      <c r="AX236" s="13"/>
      <c r="AY236" s="13"/>
      <c r="AZ236" s="24"/>
      <c r="BB236" s="24"/>
      <c r="BC236" s="13"/>
      <c r="BD236" s="13"/>
      <c r="BE236" s="24"/>
      <c r="BG236" s="24"/>
      <c r="BH236" s="13"/>
      <c r="BI236" s="13"/>
      <c r="BJ236" s="24"/>
      <c r="BL236" s="24"/>
      <c r="BM236" s="13"/>
      <c r="BN236" s="13"/>
    </row>
    <row r="237" spans="1:66" s="11" customFormat="1" ht="21">
      <c r="A237" s="24"/>
      <c r="B237" s="24"/>
      <c r="C237" s="24"/>
      <c r="E237" s="13"/>
      <c r="F237" s="24"/>
      <c r="G237" s="24"/>
      <c r="I237" s="24"/>
      <c r="J237" s="13"/>
      <c r="K237" s="13"/>
      <c r="L237" s="24"/>
      <c r="N237" s="24"/>
      <c r="O237" s="13"/>
      <c r="P237" s="13"/>
      <c r="Q237" s="24"/>
      <c r="S237" s="24"/>
      <c r="T237" s="13"/>
      <c r="U237" s="13"/>
      <c r="V237" s="24"/>
      <c r="X237" s="24"/>
      <c r="Y237" s="13"/>
      <c r="Z237" s="13"/>
      <c r="AA237" s="24"/>
      <c r="AC237" s="24"/>
      <c r="AD237" s="13"/>
      <c r="AE237" s="13"/>
      <c r="AF237" s="24"/>
      <c r="AH237" s="24"/>
      <c r="AI237" s="13"/>
      <c r="AJ237" s="13"/>
      <c r="AK237" s="24"/>
      <c r="AM237" s="24"/>
      <c r="AN237" s="13"/>
      <c r="AO237" s="13"/>
      <c r="AP237" s="24"/>
      <c r="AR237" s="24"/>
      <c r="AS237" s="13"/>
      <c r="AT237" s="13"/>
      <c r="AU237" s="24"/>
      <c r="AW237" s="24"/>
      <c r="AX237" s="13"/>
      <c r="AY237" s="13"/>
      <c r="AZ237" s="24"/>
      <c r="BB237" s="24"/>
      <c r="BC237" s="13"/>
      <c r="BD237" s="13"/>
      <c r="BE237" s="24"/>
      <c r="BG237" s="24"/>
      <c r="BH237" s="13"/>
      <c r="BI237" s="13"/>
      <c r="BJ237" s="24"/>
      <c r="BL237" s="24"/>
      <c r="BM237" s="13"/>
      <c r="BN237" s="13"/>
    </row>
    <row r="238" spans="1:66" s="11" customFormat="1" ht="21">
      <c r="A238" s="24"/>
      <c r="B238" s="24"/>
      <c r="C238" s="24"/>
      <c r="E238" s="13"/>
      <c r="F238" s="24"/>
      <c r="G238" s="24"/>
      <c r="I238" s="24"/>
      <c r="J238" s="13"/>
      <c r="K238" s="13"/>
      <c r="L238" s="24"/>
      <c r="N238" s="24"/>
      <c r="O238" s="13"/>
      <c r="P238" s="13"/>
      <c r="Q238" s="24"/>
      <c r="S238" s="24"/>
      <c r="T238" s="13"/>
      <c r="U238" s="13"/>
      <c r="V238" s="24"/>
      <c r="X238" s="24"/>
      <c r="Y238" s="13"/>
      <c r="Z238" s="13"/>
      <c r="AA238" s="24"/>
      <c r="AC238" s="24"/>
      <c r="AD238" s="13"/>
      <c r="AE238" s="13"/>
      <c r="AF238" s="24"/>
      <c r="AH238" s="24"/>
      <c r="AI238" s="13"/>
      <c r="AJ238" s="13"/>
      <c r="AK238" s="24"/>
      <c r="AM238" s="24"/>
      <c r="AN238" s="13"/>
      <c r="AO238" s="13"/>
      <c r="AP238" s="24"/>
      <c r="AR238" s="24"/>
      <c r="AS238" s="13"/>
      <c r="AT238" s="13"/>
      <c r="AU238" s="24"/>
      <c r="AW238" s="24"/>
      <c r="AX238" s="13"/>
      <c r="AY238" s="13"/>
      <c r="AZ238" s="24"/>
      <c r="BB238" s="24"/>
      <c r="BC238" s="13"/>
      <c r="BD238" s="13"/>
      <c r="BE238" s="24"/>
      <c r="BG238" s="24"/>
      <c r="BH238" s="13"/>
      <c r="BI238" s="13"/>
      <c r="BJ238" s="24"/>
      <c r="BL238" s="24"/>
      <c r="BM238" s="13"/>
      <c r="BN238" s="13"/>
    </row>
    <row r="239" spans="1:66" s="11" customFormat="1" ht="21">
      <c r="A239" s="24"/>
      <c r="B239" s="24"/>
      <c r="C239" s="24"/>
      <c r="E239" s="13"/>
      <c r="F239" s="24"/>
      <c r="G239" s="24"/>
      <c r="I239" s="24"/>
      <c r="J239" s="13"/>
      <c r="K239" s="13"/>
      <c r="L239" s="24"/>
      <c r="N239" s="24"/>
      <c r="O239" s="13"/>
      <c r="P239" s="13"/>
      <c r="Q239" s="24"/>
      <c r="S239" s="24"/>
      <c r="T239" s="13"/>
      <c r="U239" s="13"/>
      <c r="V239" s="24"/>
      <c r="X239" s="24"/>
      <c r="Y239" s="13"/>
      <c r="Z239" s="13"/>
      <c r="AA239" s="24"/>
      <c r="AC239" s="24"/>
      <c r="AD239" s="13"/>
      <c r="AE239" s="13"/>
      <c r="AF239" s="24"/>
      <c r="AH239" s="24"/>
      <c r="AI239" s="13"/>
      <c r="AJ239" s="13"/>
      <c r="AK239" s="24"/>
      <c r="AM239" s="24"/>
      <c r="AN239" s="13"/>
      <c r="AO239" s="13"/>
      <c r="AP239" s="24"/>
      <c r="AR239" s="24"/>
      <c r="AS239" s="13"/>
      <c r="AT239" s="13"/>
      <c r="AU239" s="24"/>
      <c r="AW239" s="24"/>
      <c r="AX239" s="13"/>
      <c r="AY239" s="13"/>
      <c r="AZ239" s="24"/>
      <c r="BB239" s="24"/>
      <c r="BC239" s="13"/>
      <c r="BD239" s="13"/>
      <c r="BE239" s="24"/>
      <c r="BG239" s="24"/>
      <c r="BH239" s="13"/>
      <c r="BI239" s="13"/>
      <c r="BJ239" s="24"/>
      <c r="BL239" s="24"/>
      <c r="BM239" s="13"/>
      <c r="BN239" s="13"/>
    </row>
    <row r="240" spans="1:66" s="11" customFormat="1" ht="21">
      <c r="A240" s="24"/>
      <c r="B240" s="24"/>
      <c r="C240" s="24"/>
      <c r="E240" s="13"/>
      <c r="F240" s="24"/>
      <c r="G240" s="24"/>
      <c r="I240" s="24"/>
      <c r="J240" s="13"/>
      <c r="K240" s="13"/>
      <c r="L240" s="24"/>
      <c r="N240" s="24"/>
      <c r="O240" s="13"/>
      <c r="P240" s="13"/>
      <c r="Q240" s="24"/>
      <c r="S240" s="24"/>
      <c r="T240" s="13"/>
      <c r="U240" s="13"/>
      <c r="V240" s="24"/>
      <c r="X240" s="24"/>
      <c r="Y240" s="13"/>
      <c r="Z240" s="13"/>
      <c r="AA240" s="24"/>
      <c r="AC240" s="24"/>
      <c r="AD240" s="13"/>
      <c r="AE240" s="13"/>
      <c r="AF240" s="24"/>
      <c r="AH240" s="24"/>
      <c r="AI240" s="13"/>
      <c r="AJ240" s="13"/>
      <c r="AK240" s="24"/>
      <c r="AM240" s="24"/>
      <c r="AN240" s="13"/>
      <c r="AO240" s="13"/>
      <c r="AP240" s="24"/>
      <c r="AR240" s="24"/>
      <c r="AS240" s="13"/>
      <c r="AT240" s="13"/>
      <c r="AU240" s="24"/>
      <c r="AW240" s="24"/>
      <c r="AX240" s="13"/>
      <c r="AY240" s="13"/>
      <c r="AZ240" s="24"/>
      <c r="BB240" s="24"/>
      <c r="BC240" s="13"/>
      <c r="BD240" s="13"/>
      <c r="BE240" s="24"/>
      <c r="BG240" s="24"/>
      <c r="BH240" s="13"/>
      <c r="BI240" s="13"/>
      <c r="BJ240" s="24"/>
      <c r="BL240" s="24"/>
      <c r="BM240" s="13"/>
      <c r="BN240" s="13"/>
    </row>
    <row r="241" spans="1:66" s="11" customFormat="1" ht="21">
      <c r="A241" s="24"/>
      <c r="B241" s="24"/>
      <c r="C241" s="24"/>
      <c r="E241" s="13"/>
      <c r="F241" s="24"/>
      <c r="G241" s="24"/>
      <c r="I241" s="24"/>
      <c r="J241" s="13"/>
      <c r="K241" s="13"/>
      <c r="L241" s="24"/>
      <c r="N241" s="24"/>
      <c r="O241" s="13"/>
      <c r="P241" s="13"/>
      <c r="Q241" s="24"/>
      <c r="S241" s="24"/>
      <c r="T241" s="13"/>
      <c r="U241" s="13"/>
      <c r="V241" s="24"/>
      <c r="X241" s="24"/>
      <c r="Y241" s="13"/>
      <c r="Z241" s="13"/>
      <c r="AA241" s="24"/>
      <c r="AC241" s="24"/>
      <c r="AD241" s="13"/>
      <c r="AE241" s="13"/>
      <c r="AF241" s="24"/>
      <c r="AH241" s="24"/>
      <c r="AI241" s="13"/>
      <c r="AJ241" s="13"/>
      <c r="AK241" s="24"/>
      <c r="AM241" s="24"/>
      <c r="AN241" s="13"/>
      <c r="AO241" s="13"/>
      <c r="AP241" s="24"/>
      <c r="AR241" s="24"/>
      <c r="AS241" s="13"/>
      <c r="AT241" s="13"/>
      <c r="AU241" s="24"/>
      <c r="AW241" s="24"/>
      <c r="AX241" s="13"/>
      <c r="AY241" s="13"/>
      <c r="AZ241" s="24"/>
      <c r="BB241" s="24"/>
      <c r="BC241" s="13"/>
      <c r="BD241" s="13"/>
      <c r="BE241" s="24"/>
      <c r="BG241" s="24"/>
      <c r="BH241" s="13"/>
      <c r="BI241" s="13"/>
      <c r="BJ241" s="24"/>
      <c r="BL241" s="24"/>
      <c r="BM241" s="13"/>
      <c r="BN241" s="13"/>
    </row>
    <row r="242" spans="1:66" s="11" customFormat="1" ht="21">
      <c r="A242" s="24"/>
      <c r="B242" s="24"/>
      <c r="C242" s="24"/>
      <c r="E242" s="13"/>
      <c r="F242" s="24"/>
      <c r="G242" s="24"/>
      <c r="I242" s="24"/>
      <c r="J242" s="13"/>
      <c r="K242" s="13"/>
      <c r="L242" s="24"/>
      <c r="N242" s="24"/>
      <c r="O242" s="13"/>
      <c r="P242" s="13"/>
      <c r="Q242" s="24"/>
      <c r="S242" s="24"/>
      <c r="T242" s="13"/>
      <c r="U242" s="13"/>
      <c r="V242" s="24"/>
      <c r="X242" s="24"/>
      <c r="Y242" s="13"/>
      <c r="Z242" s="13"/>
      <c r="AA242" s="24"/>
      <c r="AC242" s="24"/>
      <c r="AD242" s="13"/>
      <c r="AE242" s="13"/>
      <c r="AF242" s="24"/>
      <c r="AH242" s="24"/>
      <c r="AI242" s="13"/>
      <c r="AJ242" s="13"/>
      <c r="AK242" s="24"/>
      <c r="AM242" s="24"/>
      <c r="AN242" s="13"/>
      <c r="AO242" s="13"/>
      <c r="AP242" s="24"/>
      <c r="AR242" s="24"/>
      <c r="AS242" s="13"/>
      <c r="AT242" s="13"/>
      <c r="AU242" s="24"/>
      <c r="AW242" s="24"/>
      <c r="AX242" s="13"/>
      <c r="AY242" s="13"/>
      <c r="AZ242" s="24"/>
      <c r="BB242" s="24"/>
      <c r="BC242" s="13"/>
      <c r="BD242" s="13"/>
      <c r="BE242" s="24"/>
      <c r="BG242" s="24"/>
      <c r="BH242" s="13"/>
      <c r="BI242" s="13"/>
      <c r="BJ242" s="24"/>
      <c r="BL242" s="24"/>
      <c r="BM242" s="13"/>
      <c r="BN242" s="13"/>
    </row>
    <row r="243" spans="1:66" s="11" customFormat="1" ht="21">
      <c r="A243" s="24"/>
      <c r="B243" s="24"/>
      <c r="C243" s="24"/>
      <c r="E243" s="13"/>
      <c r="F243" s="24"/>
      <c r="G243" s="24"/>
      <c r="I243" s="24"/>
      <c r="J243" s="13"/>
      <c r="K243" s="13"/>
      <c r="L243" s="24"/>
      <c r="N243" s="24"/>
      <c r="O243" s="13"/>
      <c r="P243" s="13"/>
      <c r="Q243" s="24"/>
      <c r="S243" s="24"/>
      <c r="T243" s="13"/>
      <c r="U243" s="13"/>
      <c r="V243" s="24"/>
      <c r="X243" s="24"/>
      <c r="Y243" s="13"/>
      <c r="Z243" s="13"/>
      <c r="AA243" s="24"/>
      <c r="AC243" s="24"/>
      <c r="AD243" s="13"/>
      <c r="AE243" s="13"/>
      <c r="AF243" s="24"/>
      <c r="AH243" s="24"/>
      <c r="AI243" s="13"/>
      <c r="AJ243" s="13"/>
      <c r="AK243" s="24"/>
      <c r="AM243" s="24"/>
      <c r="AN243" s="13"/>
      <c r="AO243" s="13"/>
      <c r="AP243" s="24"/>
      <c r="AR243" s="24"/>
      <c r="AS243" s="13"/>
      <c r="AT243" s="13"/>
      <c r="AU243" s="24"/>
      <c r="AW243" s="24"/>
      <c r="AX243" s="13"/>
      <c r="AY243" s="13"/>
      <c r="AZ243" s="24"/>
      <c r="BB243" s="24"/>
      <c r="BC243" s="13"/>
      <c r="BD243" s="13"/>
      <c r="BE243" s="24"/>
      <c r="BG243" s="24"/>
      <c r="BH243" s="13"/>
      <c r="BI243" s="13"/>
      <c r="BJ243" s="24"/>
      <c r="BL243" s="24"/>
      <c r="BM243" s="13"/>
      <c r="BN243" s="13"/>
    </row>
    <row r="244" spans="1:66" s="11" customFormat="1" ht="21">
      <c r="A244" s="24"/>
      <c r="B244" s="24"/>
      <c r="C244" s="24"/>
      <c r="E244" s="13"/>
      <c r="F244" s="24"/>
      <c r="G244" s="24"/>
      <c r="I244" s="24"/>
      <c r="J244" s="13"/>
      <c r="K244" s="13"/>
      <c r="L244" s="24"/>
      <c r="N244" s="24"/>
      <c r="O244" s="13"/>
      <c r="P244" s="13"/>
      <c r="Q244" s="24"/>
      <c r="S244" s="24"/>
      <c r="T244" s="13"/>
      <c r="U244" s="13"/>
      <c r="V244" s="24"/>
      <c r="X244" s="24"/>
      <c r="Y244" s="13"/>
      <c r="Z244" s="13"/>
      <c r="AA244" s="24"/>
      <c r="AC244" s="24"/>
      <c r="AD244" s="13"/>
      <c r="AE244" s="13"/>
      <c r="AF244" s="24"/>
      <c r="AH244" s="24"/>
      <c r="AI244" s="13"/>
      <c r="AJ244" s="13"/>
      <c r="AK244" s="24"/>
      <c r="AM244" s="24"/>
      <c r="AN244" s="13"/>
      <c r="AO244" s="13"/>
      <c r="AP244" s="24"/>
      <c r="AR244" s="24"/>
      <c r="AS244" s="13"/>
      <c r="AT244" s="13"/>
      <c r="AU244" s="24"/>
      <c r="AW244" s="24"/>
      <c r="AX244" s="13"/>
      <c r="AY244" s="13"/>
      <c r="AZ244" s="24"/>
      <c r="BB244" s="24"/>
      <c r="BC244" s="13"/>
      <c r="BD244" s="13"/>
      <c r="BE244" s="24"/>
      <c r="BG244" s="24"/>
      <c r="BH244" s="13"/>
      <c r="BI244" s="13"/>
      <c r="BJ244" s="24"/>
      <c r="BL244" s="24"/>
      <c r="BM244" s="13"/>
      <c r="BN244" s="13"/>
    </row>
    <row r="245" spans="1:66" s="11" customFormat="1" ht="21">
      <c r="A245" s="24"/>
      <c r="B245" s="24"/>
      <c r="C245" s="24"/>
      <c r="E245" s="13"/>
      <c r="F245" s="24"/>
      <c r="G245" s="24"/>
      <c r="I245" s="24"/>
      <c r="J245" s="13"/>
      <c r="K245" s="13"/>
      <c r="L245" s="24"/>
      <c r="N245" s="24"/>
      <c r="O245" s="13"/>
      <c r="P245" s="13"/>
      <c r="Q245" s="24"/>
      <c r="S245" s="24"/>
      <c r="T245" s="13"/>
      <c r="U245" s="13"/>
      <c r="V245" s="24"/>
      <c r="X245" s="24"/>
      <c r="Y245" s="13"/>
      <c r="Z245" s="13"/>
      <c r="AA245" s="24"/>
      <c r="AC245" s="24"/>
      <c r="AD245" s="13"/>
      <c r="AE245" s="13"/>
      <c r="AF245" s="24"/>
      <c r="AH245" s="24"/>
      <c r="AI245" s="13"/>
      <c r="AJ245" s="13"/>
      <c r="AK245" s="24"/>
      <c r="AM245" s="24"/>
      <c r="AN245" s="13"/>
      <c r="AO245" s="13"/>
      <c r="AP245" s="24"/>
      <c r="AR245" s="24"/>
      <c r="AS245" s="13"/>
      <c r="AT245" s="13"/>
      <c r="AU245" s="24"/>
      <c r="AW245" s="24"/>
      <c r="AX245" s="13"/>
      <c r="AY245" s="13"/>
      <c r="AZ245" s="24"/>
      <c r="BB245" s="24"/>
      <c r="BC245" s="13"/>
      <c r="BD245" s="13"/>
      <c r="BE245" s="24"/>
      <c r="BG245" s="24"/>
      <c r="BH245" s="13"/>
      <c r="BI245" s="13"/>
      <c r="BJ245" s="24"/>
      <c r="BL245" s="24"/>
      <c r="BM245" s="13"/>
      <c r="BN245" s="13"/>
    </row>
    <row r="246" spans="1:66" s="11" customFormat="1" ht="21">
      <c r="A246" s="24"/>
      <c r="B246" s="24"/>
      <c r="C246" s="24"/>
      <c r="E246" s="13"/>
      <c r="F246" s="24"/>
      <c r="G246" s="24"/>
      <c r="I246" s="24"/>
      <c r="J246" s="13"/>
      <c r="K246" s="13"/>
      <c r="L246" s="24"/>
      <c r="N246" s="24"/>
      <c r="O246" s="13"/>
      <c r="P246" s="13"/>
      <c r="Q246" s="24"/>
      <c r="S246" s="24"/>
      <c r="T246" s="13"/>
      <c r="U246" s="13"/>
      <c r="V246" s="24"/>
      <c r="X246" s="24"/>
      <c r="Y246" s="13"/>
      <c r="Z246" s="13"/>
      <c r="AA246" s="24"/>
      <c r="AC246" s="24"/>
      <c r="AD246" s="13"/>
      <c r="AE246" s="13"/>
      <c r="AF246" s="24"/>
      <c r="AH246" s="24"/>
      <c r="AI246" s="13"/>
      <c r="AJ246" s="13"/>
      <c r="AK246" s="24"/>
      <c r="AM246" s="24"/>
      <c r="AN246" s="13"/>
      <c r="AO246" s="13"/>
      <c r="AP246" s="24"/>
      <c r="AR246" s="24"/>
      <c r="AS246" s="13"/>
      <c r="AT246" s="13"/>
      <c r="AU246" s="24"/>
      <c r="AW246" s="24"/>
      <c r="AX246" s="13"/>
      <c r="AY246" s="13"/>
      <c r="AZ246" s="24"/>
      <c r="BB246" s="24"/>
      <c r="BC246" s="13"/>
      <c r="BD246" s="13"/>
      <c r="BE246" s="24"/>
      <c r="BG246" s="24"/>
      <c r="BH246" s="13"/>
      <c r="BI246" s="13"/>
      <c r="BJ246" s="24"/>
      <c r="BL246" s="24"/>
      <c r="BM246" s="13"/>
      <c r="BN246" s="13"/>
    </row>
    <row r="247" spans="1:66" s="11" customFormat="1" ht="21">
      <c r="A247" s="24"/>
      <c r="B247" s="24"/>
      <c r="C247" s="24"/>
      <c r="E247" s="13"/>
      <c r="F247" s="24"/>
      <c r="G247" s="24"/>
      <c r="I247" s="24"/>
      <c r="J247" s="13"/>
      <c r="K247" s="13"/>
      <c r="L247" s="24"/>
      <c r="N247" s="24"/>
      <c r="O247" s="13"/>
      <c r="P247" s="13"/>
      <c r="Q247" s="24"/>
      <c r="S247" s="24"/>
      <c r="T247" s="13"/>
      <c r="U247" s="13"/>
      <c r="V247" s="24"/>
      <c r="X247" s="24"/>
      <c r="Y247" s="13"/>
      <c r="Z247" s="13"/>
      <c r="AA247" s="24"/>
      <c r="AC247" s="24"/>
      <c r="AD247" s="13"/>
      <c r="AE247" s="13"/>
      <c r="AF247" s="24"/>
      <c r="AH247" s="24"/>
      <c r="AI247" s="13"/>
      <c r="AJ247" s="13"/>
      <c r="AK247" s="24"/>
      <c r="AM247" s="24"/>
      <c r="AN247" s="13"/>
      <c r="AO247" s="13"/>
      <c r="AP247" s="24"/>
      <c r="AR247" s="24"/>
      <c r="AS247" s="13"/>
      <c r="AT247" s="13"/>
      <c r="AU247" s="24"/>
      <c r="AW247" s="24"/>
      <c r="AX247" s="13"/>
      <c r="AY247" s="13"/>
      <c r="AZ247" s="24"/>
      <c r="BB247" s="24"/>
      <c r="BC247" s="13"/>
      <c r="BD247" s="13"/>
      <c r="BE247" s="24"/>
      <c r="BG247" s="24"/>
      <c r="BH247" s="13"/>
      <c r="BI247" s="13"/>
      <c r="BJ247" s="24"/>
      <c r="BL247" s="24"/>
      <c r="BM247" s="13"/>
      <c r="BN247" s="13"/>
    </row>
    <row r="248" spans="1:66" s="11" customFormat="1" ht="21">
      <c r="A248" s="24"/>
      <c r="B248" s="24"/>
      <c r="C248" s="24"/>
      <c r="E248" s="13"/>
      <c r="F248" s="24"/>
      <c r="G248" s="24"/>
      <c r="I248" s="24"/>
      <c r="J248" s="13"/>
      <c r="K248" s="13"/>
      <c r="L248" s="24"/>
      <c r="N248" s="24"/>
      <c r="O248" s="13"/>
      <c r="P248" s="13"/>
      <c r="Q248" s="24"/>
      <c r="S248" s="24"/>
      <c r="T248" s="13"/>
      <c r="U248" s="13"/>
      <c r="V248" s="24"/>
      <c r="X248" s="24"/>
      <c r="Y248" s="13"/>
      <c r="Z248" s="13"/>
      <c r="AA248" s="24"/>
      <c r="AC248" s="24"/>
      <c r="AD248" s="13"/>
      <c r="AE248" s="13"/>
      <c r="AF248" s="24"/>
      <c r="AH248" s="24"/>
      <c r="AI248" s="13"/>
      <c r="AJ248" s="13"/>
      <c r="AK248" s="24"/>
      <c r="AM248" s="24"/>
      <c r="AN248" s="13"/>
      <c r="AO248" s="13"/>
      <c r="AP248" s="24"/>
      <c r="AR248" s="24"/>
      <c r="AS248" s="13"/>
      <c r="AT248" s="13"/>
      <c r="AU248" s="24"/>
      <c r="AW248" s="24"/>
      <c r="AX248" s="13"/>
      <c r="AY248" s="13"/>
      <c r="AZ248" s="24"/>
      <c r="BB248" s="24"/>
      <c r="BC248" s="13"/>
      <c r="BD248" s="13"/>
      <c r="BE248" s="24"/>
      <c r="BG248" s="24"/>
      <c r="BH248" s="13"/>
      <c r="BI248" s="13"/>
      <c r="BJ248" s="24"/>
      <c r="BL248" s="24"/>
      <c r="BM248" s="13"/>
      <c r="BN248" s="13"/>
    </row>
    <row r="249" spans="1:66" s="11" customFormat="1" ht="21">
      <c r="A249" s="24"/>
      <c r="B249" s="24"/>
      <c r="C249" s="24"/>
      <c r="E249" s="13"/>
      <c r="F249" s="24"/>
      <c r="G249" s="24"/>
      <c r="I249" s="24"/>
      <c r="J249" s="13"/>
      <c r="K249" s="13"/>
      <c r="L249" s="24"/>
      <c r="N249" s="24"/>
      <c r="O249" s="13"/>
      <c r="P249" s="13"/>
      <c r="Q249" s="24"/>
      <c r="S249" s="24"/>
      <c r="T249" s="13"/>
      <c r="U249" s="13"/>
      <c r="V249" s="24"/>
      <c r="X249" s="24"/>
      <c r="Y249" s="13"/>
      <c r="Z249" s="13"/>
      <c r="AA249" s="24"/>
      <c r="AC249" s="24"/>
      <c r="AD249" s="13"/>
      <c r="AE249" s="13"/>
      <c r="AF249" s="24"/>
      <c r="AH249" s="24"/>
      <c r="AI249" s="13"/>
      <c r="AJ249" s="13"/>
      <c r="AK249" s="24"/>
      <c r="AM249" s="24"/>
      <c r="AN249" s="13"/>
      <c r="AO249" s="13"/>
      <c r="AP249" s="24"/>
      <c r="AR249" s="24"/>
      <c r="AS249" s="13"/>
      <c r="AT249" s="13"/>
      <c r="AU249" s="24"/>
      <c r="AW249" s="24"/>
      <c r="AX249" s="13"/>
      <c r="AY249" s="13"/>
      <c r="AZ249" s="24"/>
      <c r="BB249" s="24"/>
      <c r="BC249" s="13"/>
      <c r="BD249" s="13"/>
      <c r="BE249" s="24"/>
      <c r="BG249" s="24"/>
      <c r="BH249" s="13"/>
      <c r="BI249" s="13"/>
      <c r="BJ249" s="24"/>
      <c r="BL249" s="24"/>
      <c r="BM249" s="13"/>
      <c r="BN249" s="13"/>
    </row>
    <row r="250" spans="1:66" s="11" customFormat="1" ht="21">
      <c r="A250" s="24"/>
      <c r="B250" s="24"/>
      <c r="C250" s="24"/>
      <c r="E250" s="13"/>
      <c r="F250" s="24"/>
      <c r="G250" s="24"/>
      <c r="I250" s="24"/>
      <c r="J250" s="13"/>
      <c r="K250" s="13"/>
      <c r="L250" s="24"/>
      <c r="N250" s="24"/>
      <c r="O250" s="13"/>
      <c r="P250" s="13"/>
      <c r="Q250" s="24"/>
      <c r="S250" s="24"/>
      <c r="T250" s="13"/>
      <c r="U250" s="13"/>
      <c r="V250" s="24"/>
      <c r="X250" s="24"/>
      <c r="Y250" s="13"/>
      <c r="Z250" s="13"/>
      <c r="AA250" s="24"/>
      <c r="AC250" s="24"/>
      <c r="AD250" s="13"/>
      <c r="AE250" s="13"/>
      <c r="AF250" s="24"/>
      <c r="AH250" s="24"/>
      <c r="AI250" s="13"/>
      <c r="AJ250" s="13"/>
      <c r="AK250" s="24"/>
      <c r="AM250" s="24"/>
      <c r="AN250" s="13"/>
      <c r="AO250" s="13"/>
      <c r="AP250" s="24"/>
      <c r="AR250" s="24"/>
      <c r="AS250" s="13"/>
      <c r="AT250" s="13"/>
      <c r="AU250" s="24"/>
      <c r="AW250" s="24"/>
      <c r="AX250" s="13"/>
      <c r="AY250" s="13"/>
      <c r="AZ250" s="24"/>
      <c r="BB250" s="24"/>
      <c r="BC250" s="13"/>
      <c r="BD250" s="13"/>
      <c r="BE250" s="24"/>
      <c r="BG250" s="24"/>
      <c r="BH250" s="13"/>
      <c r="BI250" s="13"/>
      <c r="BJ250" s="24"/>
      <c r="BL250" s="24"/>
      <c r="BM250" s="13"/>
      <c r="BN250" s="13"/>
    </row>
    <row r="251" spans="1:66" s="11" customFormat="1" ht="21">
      <c r="A251" s="24"/>
      <c r="B251" s="24"/>
      <c r="C251" s="24"/>
      <c r="E251" s="13"/>
      <c r="F251" s="24"/>
      <c r="G251" s="24"/>
      <c r="I251" s="24"/>
      <c r="J251" s="13"/>
      <c r="K251" s="13"/>
      <c r="L251" s="24"/>
      <c r="N251" s="24"/>
      <c r="O251" s="13"/>
      <c r="P251" s="13"/>
      <c r="Q251" s="24"/>
      <c r="S251" s="24"/>
      <c r="T251" s="13"/>
      <c r="U251" s="13"/>
      <c r="V251" s="24"/>
      <c r="X251" s="24"/>
      <c r="Y251" s="13"/>
      <c r="Z251" s="13"/>
      <c r="AA251" s="24"/>
      <c r="AC251" s="24"/>
      <c r="AD251" s="13"/>
      <c r="AE251" s="13"/>
      <c r="AF251" s="24"/>
      <c r="AH251" s="24"/>
      <c r="AI251" s="13"/>
      <c r="AJ251" s="13"/>
      <c r="AK251" s="24"/>
      <c r="AM251" s="24"/>
      <c r="AN251" s="13"/>
      <c r="AO251" s="13"/>
      <c r="AP251" s="24"/>
      <c r="AR251" s="24"/>
      <c r="AS251" s="13"/>
      <c r="AT251" s="13"/>
      <c r="AU251" s="24"/>
      <c r="AW251" s="24"/>
      <c r="AX251" s="13"/>
      <c r="AY251" s="13"/>
      <c r="AZ251" s="24"/>
      <c r="BB251" s="24"/>
      <c r="BC251" s="13"/>
      <c r="BD251" s="13"/>
      <c r="BE251" s="24"/>
      <c r="BG251" s="24"/>
      <c r="BH251" s="13"/>
      <c r="BI251" s="13"/>
      <c r="BJ251" s="24"/>
      <c r="BL251" s="24"/>
      <c r="BM251" s="13"/>
      <c r="BN251" s="13"/>
    </row>
    <row r="252" spans="1:66" s="11" customFormat="1" ht="21">
      <c r="A252" s="24"/>
      <c r="B252" s="24"/>
      <c r="C252" s="24"/>
      <c r="E252" s="13"/>
      <c r="F252" s="24"/>
      <c r="G252" s="24"/>
      <c r="I252" s="24"/>
      <c r="J252" s="13"/>
      <c r="K252" s="13"/>
      <c r="L252" s="24"/>
      <c r="N252" s="24"/>
      <c r="O252" s="13"/>
      <c r="P252" s="13"/>
      <c r="Q252" s="24"/>
      <c r="S252" s="24"/>
      <c r="T252" s="13"/>
      <c r="U252" s="13"/>
      <c r="V252" s="24"/>
      <c r="X252" s="24"/>
      <c r="Y252" s="13"/>
      <c r="Z252" s="13"/>
      <c r="AA252" s="24"/>
      <c r="AC252" s="24"/>
      <c r="AD252" s="13"/>
      <c r="AE252" s="13"/>
      <c r="AF252" s="24"/>
      <c r="AH252" s="24"/>
      <c r="AI252" s="13"/>
      <c r="AJ252" s="13"/>
      <c r="AK252" s="24"/>
      <c r="AM252" s="24"/>
      <c r="AN252" s="13"/>
      <c r="AO252" s="13"/>
      <c r="AP252" s="24"/>
      <c r="AR252" s="24"/>
      <c r="AS252" s="13"/>
      <c r="AT252" s="13"/>
      <c r="AU252" s="24"/>
      <c r="AW252" s="24"/>
      <c r="AX252" s="13"/>
      <c r="AY252" s="13"/>
      <c r="AZ252" s="24"/>
      <c r="BB252" s="24"/>
      <c r="BC252" s="13"/>
      <c r="BD252" s="13"/>
      <c r="BE252" s="24"/>
      <c r="BG252" s="24"/>
      <c r="BH252" s="13"/>
      <c r="BI252" s="13"/>
      <c r="BJ252" s="24"/>
      <c r="BL252" s="24"/>
      <c r="BM252" s="13"/>
      <c r="BN252" s="13"/>
    </row>
    <row r="253" spans="1:66" s="11" customFormat="1" ht="21">
      <c r="A253" s="24"/>
      <c r="B253" s="24"/>
      <c r="C253" s="24"/>
      <c r="E253" s="13"/>
      <c r="F253" s="24"/>
      <c r="G253" s="24"/>
      <c r="I253" s="24"/>
      <c r="J253" s="13"/>
      <c r="K253" s="13"/>
      <c r="L253" s="24"/>
      <c r="N253" s="24"/>
      <c r="O253" s="13"/>
      <c r="P253" s="13"/>
      <c r="Q253" s="24"/>
      <c r="S253" s="24"/>
      <c r="T253" s="13"/>
      <c r="U253" s="13"/>
      <c r="V253" s="24"/>
      <c r="X253" s="24"/>
      <c r="Y253" s="13"/>
      <c r="Z253" s="13"/>
      <c r="AA253" s="24"/>
      <c r="AC253" s="24"/>
      <c r="AD253" s="13"/>
      <c r="AE253" s="13"/>
      <c r="AF253" s="24"/>
      <c r="AH253" s="24"/>
      <c r="AI253" s="13"/>
      <c r="AJ253" s="13"/>
      <c r="AK253" s="24"/>
      <c r="AM253" s="24"/>
      <c r="AN253" s="13"/>
      <c r="AO253" s="13"/>
      <c r="AP253" s="24"/>
      <c r="AR253" s="24"/>
      <c r="AS253" s="13"/>
      <c r="AT253" s="13"/>
      <c r="AU253" s="24"/>
      <c r="AW253" s="24"/>
      <c r="AX253" s="13"/>
      <c r="AY253" s="13"/>
      <c r="AZ253" s="24"/>
      <c r="BB253" s="24"/>
      <c r="BC253" s="13"/>
      <c r="BD253" s="13"/>
      <c r="BE253" s="24"/>
      <c r="BG253" s="24"/>
      <c r="BH253" s="13"/>
      <c r="BI253" s="13"/>
      <c r="BJ253" s="24"/>
      <c r="BL253" s="24"/>
      <c r="BM253" s="13"/>
      <c r="BN253" s="13"/>
    </row>
    <row r="254" spans="1:66" s="11" customFormat="1" ht="21">
      <c r="A254" s="24"/>
      <c r="B254" s="24"/>
      <c r="C254" s="24"/>
      <c r="E254" s="13"/>
      <c r="F254" s="24"/>
      <c r="G254" s="24"/>
      <c r="I254" s="24"/>
      <c r="J254" s="13"/>
      <c r="K254" s="13"/>
      <c r="L254" s="24"/>
      <c r="N254" s="24"/>
      <c r="O254" s="13"/>
      <c r="P254" s="13"/>
      <c r="Q254" s="24"/>
      <c r="S254" s="24"/>
      <c r="T254" s="13"/>
      <c r="U254" s="13"/>
      <c r="V254" s="24"/>
      <c r="X254" s="24"/>
      <c r="Y254" s="13"/>
      <c r="Z254" s="13"/>
      <c r="AA254" s="24"/>
      <c r="AC254" s="24"/>
      <c r="AD254" s="13"/>
      <c r="AE254" s="13"/>
      <c r="AF254" s="24"/>
      <c r="AH254" s="24"/>
      <c r="AI254" s="13"/>
      <c r="AJ254" s="13"/>
      <c r="AK254" s="24"/>
      <c r="AM254" s="24"/>
      <c r="AN254" s="13"/>
      <c r="AO254" s="13"/>
      <c r="AP254" s="24"/>
      <c r="AR254" s="24"/>
      <c r="AS254" s="13"/>
      <c r="AT254" s="13"/>
      <c r="AU254" s="24"/>
      <c r="AW254" s="24"/>
      <c r="AX254" s="13"/>
      <c r="AY254" s="13"/>
      <c r="AZ254" s="24"/>
      <c r="BB254" s="24"/>
      <c r="BC254" s="13"/>
      <c r="BD254" s="13"/>
      <c r="BE254" s="24"/>
      <c r="BG254" s="24"/>
      <c r="BH254" s="13"/>
      <c r="BI254" s="13"/>
      <c r="BJ254" s="24"/>
      <c r="BL254" s="24"/>
      <c r="BM254" s="13"/>
      <c r="BN254" s="13"/>
    </row>
    <row r="255" spans="1:66" s="11" customFormat="1" ht="21">
      <c r="A255" s="24"/>
      <c r="B255" s="24"/>
      <c r="C255" s="24"/>
      <c r="E255" s="13"/>
      <c r="F255" s="24"/>
      <c r="G255" s="24"/>
      <c r="I255" s="24"/>
      <c r="J255" s="13"/>
      <c r="K255" s="13"/>
      <c r="L255" s="24"/>
      <c r="N255" s="24"/>
      <c r="O255" s="13"/>
      <c r="P255" s="13"/>
      <c r="Q255" s="24"/>
      <c r="S255" s="24"/>
      <c r="T255" s="13"/>
      <c r="U255" s="13"/>
      <c r="V255" s="24"/>
      <c r="X255" s="24"/>
      <c r="Y255" s="13"/>
      <c r="Z255" s="13"/>
      <c r="AA255" s="24"/>
      <c r="AC255" s="24"/>
      <c r="AD255" s="13"/>
      <c r="AE255" s="13"/>
      <c r="AF255" s="24"/>
      <c r="AH255" s="24"/>
      <c r="AI255" s="13"/>
      <c r="AJ255" s="13"/>
      <c r="AK255" s="24"/>
      <c r="AM255" s="24"/>
      <c r="AN255" s="13"/>
      <c r="AO255" s="13"/>
      <c r="AP255" s="24"/>
      <c r="AR255" s="24"/>
      <c r="AS255" s="13"/>
      <c r="AT255" s="13"/>
      <c r="AU255" s="24"/>
      <c r="AW255" s="24"/>
      <c r="AX255" s="13"/>
      <c r="AY255" s="13"/>
      <c r="AZ255" s="24"/>
      <c r="BB255" s="24"/>
      <c r="BC255" s="13"/>
      <c r="BD255" s="13"/>
      <c r="BE255" s="24"/>
      <c r="BG255" s="24"/>
      <c r="BH255" s="13"/>
      <c r="BI255" s="13"/>
      <c r="BJ255" s="24"/>
      <c r="BL255" s="24"/>
      <c r="BM255" s="13"/>
      <c r="BN255" s="13"/>
    </row>
    <row r="256" spans="1:66" s="11" customFormat="1" ht="21">
      <c r="A256" s="24"/>
      <c r="B256" s="24"/>
      <c r="C256" s="24"/>
      <c r="E256" s="13"/>
      <c r="F256" s="24"/>
      <c r="G256" s="24"/>
      <c r="I256" s="24"/>
      <c r="J256" s="13"/>
      <c r="K256" s="13"/>
      <c r="L256" s="24"/>
      <c r="N256" s="24"/>
      <c r="O256" s="13"/>
      <c r="P256" s="13"/>
      <c r="Q256" s="24"/>
      <c r="S256" s="24"/>
      <c r="T256" s="13"/>
      <c r="U256" s="13"/>
      <c r="V256" s="24"/>
      <c r="X256" s="24"/>
      <c r="Y256" s="13"/>
      <c r="Z256" s="13"/>
      <c r="AA256" s="24"/>
      <c r="AC256" s="24"/>
      <c r="AD256" s="13"/>
      <c r="AE256" s="13"/>
      <c r="AF256" s="24"/>
      <c r="AH256" s="24"/>
      <c r="AI256" s="13"/>
      <c r="AJ256" s="13"/>
      <c r="AK256" s="24"/>
      <c r="AM256" s="24"/>
      <c r="AN256" s="13"/>
      <c r="AO256" s="13"/>
      <c r="AP256" s="24"/>
      <c r="AR256" s="24"/>
      <c r="AS256" s="13"/>
      <c r="AT256" s="13"/>
      <c r="AU256" s="24"/>
      <c r="AW256" s="24"/>
      <c r="AX256" s="13"/>
      <c r="AY256" s="13"/>
      <c r="AZ256" s="24"/>
      <c r="BB256" s="24"/>
      <c r="BC256" s="13"/>
      <c r="BD256" s="13"/>
      <c r="BE256" s="24"/>
      <c r="BG256" s="24"/>
      <c r="BH256" s="13"/>
      <c r="BI256" s="13"/>
      <c r="BJ256" s="24"/>
      <c r="BL256" s="24"/>
      <c r="BM256" s="13"/>
      <c r="BN256" s="13"/>
    </row>
    <row r="257" spans="1:66" s="11" customFormat="1" ht="21">
      <c r="A257" s="24"/>
      <c r="B257" s="24"/>
      <c r="C257" s="24"/>
      <c r="E257" s="13"/>
      <c r="F257" s="24"/>
      <c r="G257" s="24"/>
      <c r="I257" s="24"/>
      <c r="J257" s="13"/>
      <c r="K257" s="13"/>
      <c r="L257" s="24"/>
      <c r="N257" s="24"/>
      <c r="O257" s="13"/>
      <c r="P257" s="13"/>
      <c r="Q257" s="24"/>
      <c r="S257" s="24"/>
      <c r="T257" s="13"/>
      <c r="U257" s="13"/>
      <c r="V257" s="24"/>
      <c r="X257" s="24"/>
      <c r="Y257" s="13"/>
      <c r="Z257" s="13"/>
      <c r="AA257" s="24"/>
      <c r="AC257" s="24"/>
      <c r="AD257" s="13"/>
      <c r="AE257" s="13"/>
      <c r="AF257" s="24"/>
      <c r="AH257" s="24"/>
      <c r="AI257" s="13"/>
      <c r="AJ257" s="13"/>
      <c r="AK257" s="24"/>
      <c r="AM257" s="24"/>
      <c r="AN257" s="13"/>
      <c r="AO257" s="13"/>
      <c r="AP257" s="24"/>
      <c r="AR257" s="24"/>
      <c r="AS257" s="13"/>
      <c r="AT257" s="13"/>
      <c r="AU257" s="24"/>
      <c r="AW257" s="24"/>
      <c r="AX257" s="13"/>
      <c r="AY257" s="13"/>
      <c r="AZ257" s="24"/>
      <c r="BB257" s="24"/>
      <c r="BC257" s="13"/>
      <c r="BD257" s="13"/>
      <c r="BE257" s="24"/>
      <c r="BG257" s="24"/>
      <c r="BH257" s="13"/>
      <c r="BI257" s="13"/>
      <c r="BJ257" s="24"/>
      <c r="BL257" s="24"/>
      <c r="BM257" s="13"/>
      <c r="BN257" s="13"/>
    </row>
    <row r="258" spans="1:66" s="11" customFormat="1" ht="21">
      <c r="A258" s="24"/>
      <c r="B258" s="24"/>
      <c r="C258" s="24"/>
      <c r="E258" s="13"/>
      <c r="F258" s="24"/>
      <c r="G258" s="24"/>
      <c r="I258" s="24"/>
      <c r="J258" s="13"/>
      <c r="K258" s="13"/>
      <c r="L258" s="24"/>
      <c r="N258" s="24"/>
      <c r="O258" s="13"/>
      <c r="P258" s="13"/>
      <c r="Q258" s="24"/>
      <c r="S258" s="24"/>
      <c r="T258" s="13"/>
      <c r="U258" s="13"/>
      <c r="V258" s="24"/>
      <c r="X258" s="24"/>
      <c r="Y258" s="13"/>
      <c r="Z258" s="13"/>
      <c r="AA258" s="24"/>
      <c r="AC258" s="24"/>
      <c r="AD258" s="13"/>
      <c r="AE258" s="13"/>
      <c r="AF258" s="24"/>
      <c r="AH258" s="24"/>
      <c r="AI258" s="13"/>
      <c r="AJ258" s="13"/>
      <c r="AK258" s="24"/>
      <c r="AM258" s="24"/>
      <c r="AN258" s="13"/>
      <c r="AO258" s="13"/>
      <c r="AP258" s="24"/>
      <c r="AR258" s="24"/>
      <c r="AS258" s="13"/>
      <c r="AT258" s="13"/>
      <c r="AU258" s="24"/>
      <c r="AW258" s="24"/>
      <c r="AX258" s="13"/>
      <c r="AY258" s="13"/>
      <c r="AZ258" s="24"/>
      <c r="BB258" s="24"/>
      <c r="BC258" s="13"/>
      <c r="BD258" s="13"/>
      <c r="BE258" s="24"/>
      <c r="BG258" s="24"/>
      <c r="BH258" s="13"/>
      <c r="BI258" s="13"/>
      <c r="BJ258" s="24"/>
      <c r="BL258" s="24"/>
      <c r="BM258" s="13"/>
      <c r="BN258" s="13"/>
    </row>
    <row r="259" spans="1:66" s="11" customFormat="1" ht="21">
      <c r="A259" s="24"/>
      <c r="B259" s="24"/>
      <c r="C259" s="24"/>
      <c r="E259" s="13"/>
      <c r="F259" s="24"/>
      <c r="G259" s="24"/>
      <c r="I259" s="24"/>
      <c r="J259" s="13"/>
      <c r="K259" s="13"/>
      <c r="L259" s="24"/>
      <c r="N259" s="24"/>
      <c r="O259" s="13"/>
      <c r="P259" s="13"/>
      <c r="Q259" s="24"/>
      <c r="S259" s="24"/>
      <c r="T259" s="13"/>
      <c r="U259" s="13"/>
      <c r="V259" s="24"/>
      <c r="X259" s="24"/>
      <c r="Y259" s="13"/>
      <c r="Z259" s="13"/>
      <c r="AA259" s="24"/>
      <c r="AC259" s="24"/>
      <c r="AD259" s="13"/>
      <c r="AE259" s="13"/>
      <c r="AF259" s="24"/>
      <c r="AH259" s="24"/>
      <c r="AI259" s="13"/>
      <c r="AJ259" s="13"/>
      <c r="AK259" s="24"/>
      <c r="AM259" s="24"/>
      <c r="AN259" s="13"/>
      <c r="AO259" s="13"/>
      <c r="AP259" s="24"/>
      <c r="AR259" s="24"/>
      <c r="AS259" s="13"/>
      <c r="AT259" s="13"/>
      <c r="AU259" s="24"/>
      <c r="AW259" s="24"/>
      <c r="AX259" s="13"/>
      <c r="AY259" s="13"/>
      <c r="AZ259" s="24"/>
      <c r="BB259" s="24"/>
      <c r="BC259" s="13"/>
      <c r="BD259" s="13"/>
      <c r="BE259" s="24"/>
      <c r="BG259" s="24"/>
      <c r="BH259" s="13"/>
      <c r="BI259" s="13"/>
      <c r="BJ259" s="24"/>
      <c r="BL259" s="24"/>
      <c r="BM259" s="13"/>
      <c r="BN259" s="13"/>
    </row>
    <row r="260" spans="1:66" s="11" customFormat="1" ht="21">
      <c r="A260" s="24"/>
      <c r="B260" s="24"/>
      <c r="C260" s="24"/>
      <c r="E260" s="13"/>
      <c r="F260" s="24"/>
      <c r="G260" s="24"/>
      <c r="I260" s="24"/>
      <c r="J260" s="13"/>
      <c r="K260" s="13"/>
      <c r="L260" s="24"/>
      <c r="N260" s="24"/>
      <c r="O260" s="13"/>
      <c r="P260" s="13"/>
      <c r="Q260" s="24"/>
      <c r="S260" s="24"/>
      <c r="T260" s="13"/>
      <c r="U260" s="13"/>
      <c r="V260" s="24"/>
      <c r="X260" s="24"/>
      <c r="Y260" s="13"/>
      <c r="Z260" s="13"/>
      <c r="AA260" s="24"/>
      <c r="AC260" s="24"/>
      <c r="AD260" s="13"/>
      <c r="AE260" s="13"/>
      <c r="AF260" s="24"/>
      <c r="AH260" s="24"/>
      <c r="AI260" s="13"/>
      <c r="AJ260" s="13"/>
      <c r="AK260" s="24"/>
      <c r="AM260" s="24"/>
      <c r="AN260" s="13"/>
      <c r="AO260" s="13"/>
      <c r="AP260" s="24"/>
      <c r="AR260" s="24"/>
      <c r="AS260" s="13"/>
      <c r="AT260" s="13"/>
      <c r="AU260" s="24"/>
      <c r="AW260" s="24"/>
      <c r="AX260" s="13"/>
      <c r="AY260" s="13"/>
      <c r="AZ260" s="24"/>
      <c r="BB260" s="24"/>
      <c r="BC260" s="13"/>
      <c r="BD260" s="13"/>
      <c r="BE260" s="24"/>
      <c r="BG260" s="24"/>
      <c r="BH260" s="13"/>
      <c r="BI260" s="13"/>
      <c r="BJ260" s="24"/>
      <c r="BL260" s="24"/>
      <c r="BM260" s="13"/>
      <c r="BN260" s="13"/>
    </row>
    <row r="261" spans="1:66" s="11" customFormat="1" ht="21">
      <c r="A261" s="24"/>
      <c r="B261" s="24"/>
      <c r="C261" s="24"/>
      <c r="E261" s="13"/>
      <c r="F261" s="24"/>
      <c r="G261" s="24"/>
      <c r="I261" s="24"/>
      <c r="J261" s="13"/>
      <c r="K261" s="13"/>
      <c r="L261" s="24"/>
      <c r="N261" s="24"/>
      <c r="O261" s="13"/>
      <c r="P261" s="13"/>
      <c r="Q261" s="24"/>
      <c r="S261" s="24"/>
      <c r="T261" s="13"/>
      <c r="U261" s="13"/>
      <c r="V261" s="24"/>
      <c r="X261" s="24"/>
      <c r="Y261" s="13"/>
      <c r="Z261" s="13"/>
      <c r="AA261" s="24"/>
      <c r="AC261" s="24"/>
      <c r="AD261" s="13"/>
      <c r="AE261" s="13"/>
      <c r="AF261" s="24"/>
      <c r="AH261" s="24"/>
      <c r="AI261" s="13"/>
      <c r="AJ261" s="13"/>
      <c r="AK261" s="24"/>
      <c r="AM261" s="24"/>
      <c r="AN261" s="13"/>
      <c r="AO261" s="13"/>
      <c r="AP261" s="24"/>
      <c r="AR261" s="24"/>
      <c r="AS261" s="13"/>
      <c r="AT261" s="13"/>
      <c r="AU261" s="24"/>
      <c r="AW261" s="24"/>
      <c r="AX261" s="13"/>
      <c r="AY261" s="13"/>
      <c r="AZ261" s="24"/>
      <c r="BB261" s="24"/>
      <c r="BC261" s="13"/>
      <c r="BD261" s="13"/>
      <c r="BE261" s="24"/>
      <c r="BG261" s="24"/>
      <c r="BH261" s="13"/>
      <c r="BI261" s="13"/>
      <c r="BJ261" s="24"/>
      <c r="BL261" s="24"/>
      <c r="BM261" s="13"/>
      <c r="BN261" s="13"/>
    </row>
    <row r="262" spans="1:66" s="11" customFormat="1" ht="21">
      <c r="A262" s="24"/>
      <c r="B262" s="24"/>
      <c r="C262" s="24"/>
      <c r="E262" s="13"/>
      <c r="F262" s="24"/>
      <c r="G262" s="24"/>
      <c r="I262" s="24"/>
      <c r="J262" s="13"/>
      <c r="K262" s="13"/>
      <c r="L262" s="24"/>
      <c r="N262" s="24"/>
      <c r="O262" s="13"/>
      <c r="P262" s="13"/>
      <c r="Q262" s="24"/>
      <c r="S262" s="24"/>
      <c r="T262" s="13"/>
      <c r="U262" s="13"/>
      <c r="V262" s="24"/>
      <c r="X262" s="24"/>
      <c r="Y262" s="13"/>
      <c r="Z262" s="13"/>
      <c r="AA262" s="24"/>
      <c r="AC262" s="24"/>
      <c r="AD262" s="13"/>
      <c r="AE262" s="13"/>
      <c r="AF262" s="24"/>
      <c r="AH262" s="24"/>
      <c r="AI262" s="13"/>
      <c r="AJ262" s="13"/>
      <c r="AK262" s="24"/>
      <c r="AM262" s="24"/>
      <c r="AN262" s="13"/>
      <c r="AO262" s="13"/>
      <c r="AP262" s="24"/>
      <c r="AR262" s="24"/>
      <c r="AS262" s="13"/>
      <c r="AT262" s="13"/>
      <c r="AU262" s="24"/>
      <c r="AW262" s="24"/>
      <c r="AX262" s="13"/>
      <c r="AY262" s="13"/>
      <c r="AZ262" s="24"/>
      <c r="BB262" s="24"/>
      <c r="BC262" s="13"/>
      <c r="BD262" s="13"/>
      <c r="BE262" s="24"/>
      <c r="BG262" s="24"/>
      <c r="BH262" s="13"/>
      <c r="BI262" s="13"/>
      <c r="BJ262" s="24"/>
      <c r="BL262" s="24"/>
      <c r="BM262" s="13"/>
      <c r="BN262" s="13"/>
    </row>
    <row r="263" spans="1:66" s="11" customFormat="1" ht="21">
      <c r="A263" s="24"/>
      <c r="B263" s="24"/>
      <c r="C263" s="24"/>
      <c r="E263" s="13"/>
      <c r="F263" s="24"/>
      <c r="G263" s="24"/>
      <c r="I263" s="24"/>
      <c r="J263" s="13"/>
      <c r="K263" s="13"/>
      <c r="L263" s="24"/>
      <c r="N263" s="24"/>
      <c r="O263" s="13"/>
      <c r="P263" s="13"/>
      <c r="Q263" s="24"/>
      <c r="S263" s="24"/>
      <c r="T263" s="13"/>
      <c r="U263" s="13"/>
      <c r="V263" s="24"/>
      <c r="X263" s="24"/>
      <c r="Y263" s="13"/>
      <c r="Z263" s="13"/>
      <c r="AA263" s="24"/>
      <c r="AC263" s="24"/>
      <c r="AD263" s="13"/>
      <c r="AE263" s="13"/>
      <c r="AF263" s="24"/>
      <c r="AH263" s="24"/>
      <c r="AI263" s="13"/>
      <c r="AJ263" s="13"/>
      <c r="AK263" s="24"/>
      <c r="AM263" s="24"/>
      <c r="AN263" s="13"/>
      <c r="AO263" s="13"/>
      <c r="AP263" s="24"/>
      <c r="AR263" s="24"/>
      <c r="AS263" s="13"/>
      <c r="AT263" s="13"/>
      <c r="AU263" s="24"/>
      <c r="AW263" s="24"/>
      <c r="AX263" s="13"/>
      <c r="AY263" s="13"/>
      <c r="AZ263" s="24"/>
      <c r="BB263" s="24"/>
      <c r="BC263" s="13"/>
      <c r="BD263" s="13"/>
      <c r="BE263" s="24"/>
      <c r="BG263" s="24"/>
      <c r="BH263" s="13"/>
      <c r="BI263" s="13"/>
      <c r="BJ263" s="24"/>
      <c r="BL263" s="24"/>
      <c r="BM263" s="13"/>
      <c r="BN263" s="13"/>
    </row>
    <row r="264" spans="1:66" s="11" customFormat="1" ht="21">
      <c r="A264" s="24"/>
      <c r="B264" s="24"/>
      <c r="C264" s="24"/>
      <c r="E264" s="13"/>
      <c r="F264" s="24"/>
      <c r="G264" s="24"/>
      <c r="I264" s="24"/>
      <c r="J264" s="13"/>
      <c r="K264" s="13"/>
      <c r="L264" s="24"/>
      <c r="N264" s="24"/>
      <c r="O264" s="13"/>
      <c r="P264" s="13"/>
      <c r="Q264" s="24"/>
      <c r="S264" s="24"/>
      <c r="T264" s="13"/>
      <c r="U264" s="13"/>
      <c r="V264" s="24"/>
      <c r="X264" s="24"/>
      <c r="Y264" s="13"/>
      <c r="Z264" s="13"/>
      <c r="AA264" s="24"/>
      <c r="AC264" s="24"/>
      <c r="AD264" s="13"/>
      <c r="AE264" s="13"/>
      <c r="AF264" s="24"/>
      <c r="AH264" s="24"/>
      <c r="AI264" s="13"/>
      <c r="AJ264" s="13"/>
      <c r="AK264" s="24"/>
      <c r="AM264" s="24"/>
      <c r="AN264" s="13"/>
      <c r="AO264" s="13"/>
      <c r="AP264" s="24"/>
      <c r="AR264" s="24"/>
      <c r="AS264" s="13"/>
      <c r="AT264" s="13"/>
      <c r="AU264" s="24"/>
      <c r="AW264" s="24"/>
      <c r="AX264" s="13"/>
      <c r="AY264" s="13"/>
      <c r="AZ264" s="24"/>
      <c r="BB264" s="24"/>
      <c r="BC264" s="13"/>
      <c r="BD264" s="13"/>
      <c r="BE264" s="24"/>
      <c r="BG264" s="24"/>
      <c r="BH264" s="13"/>
      <c r="BI264" s="13"/>
      <c r="BJ264" s="24"/>
      <c r="BL264" s="24"/>
      <c r="BM264" s="13"/>
      <c r="BN264" s="13"/>
    </row>
    <row r="265" spans="1:66" s="11" customFormat="1" ht="21">
      <c r="A265" s="24"/>
      <c r="B265" s="24"/>
      <c r="C265" s="24"/>
      <c r="E265" s="13"/>
      <c r="F265" s="24"/>
      <c r="G265" s="24"/>
      <c r="I265" s="24"/>
      <c r="J265" s="13"/>
      <c r="K265" s="13"/>
      <c r="L265" s="24"/>
      <c r="N265" s="24"/>
      <c r="O265" s="13"/>
      <c r="P265" s="13"/>
      <c r="Q265" s="24"/>
      <c r="S265" s="24"/>
      <c r="T265" s="13"/>
      <c r="U265" s="13"/>
      <c r="V265" s="24"/>
      <c r="X265" s="24"/>
      <c r="Y265" s="13"/>
      <c r="Z265" s="13"/>
      <c r="AA265" s="24"/>
      <c r="AC265" s="24"/>
      <c r="AD265" s="13"/>
      <c r="AE265" s="13"/>
      <c r="AF265" s="24"/>
      <c r="AH265" s="24"/>
      <c r="AI265" s="13"/>
      <c r="AJ265" s="13"/>
      <c r="AK265" s="24"/>
      <c r="AM265" s="24"/>
      <c r="AN265" s="13"/>
      <c r="AO265" s="13"/>
      <c r="AP265" s="24"/>
      <c r="AR265" s="24"/>
      <c r="AS265" s="13"/>
      <c r="AT265" s="13"/>
      <c r="AU265" s="24"/>
      <c r="AW265" s="24"/>
      <c r="AX265" s="13"/>
      <c r="AY265" s="13"/>
      <c r="AZ265" s="24"/>
      <c r="BB265" s="24"/>
      <c r="BC265" s="13"/>
      <c r="BD265" s="13"/>
      <c r="BE265" s="24"/>
      <c r="BG265" s="24"/>
      <c r="BH265" s="13"/>
      <c r="BI265" s="13"/>
      <c r="BJ265" s="24"/>
      <c r="BL265" s="24"/>
      <c r="BM265" s="13"/>
      <c r="BN265" s="13"/>
    </row>
    <row r="266" spans="1:66" s="11" customFormat="1" ht="21">
      <c r="A266" s="24"/>
      <c r="B266" s="24"/>
      <c r="C266" s="24"/>
      <c r="E266" s="13"/>
      <c r="F266" s="24"/>
      <c r="G266" s="24"/>
      <c r="I266" s="24"/>
      <c r="J266" s="13"/>
      <c r="K266" s="13"/>
      <c r="L266" s="24"/>
      <c r="N266" s="24"/>
      <c r="O266" s="13"/>
      <c r="P266" s="13"/>
      <c r="Q266" s="24"/>
      <c r="S266" s="24"/>
      <c r="T266" s="13"/>
      <c r="U266" s="13"/>
      <c r="V266" s="24"/>
      <c r="X266" s="24"/>
      <c r="Y266" s="13"/>
      <c r="Z266" s="13"/>
      <c r="AA266" s="24"/>
      <c r="AC266" s="24"/>
      <c r="AD266" s="13"/>
      <c r="AE266" s="13"/>
      <c r="AF266" s="24"/>
      <c r="AH266" s="24"/>
      <c r="AI266" s="13"/>
      <c r="AJ266" s="13"/>
      <c r="AK266" s="24"/>
      <c r="AM266" s="24"/>
      <c r="AN266" s="13"/>
      <c r="AO266" s="13"/>
      <c r="AP266" s="24"/>
      <c r="AR266" s="24"/>
      <c r="AS266" s="13"/>
      <c r="AT266" s="13"/>
      <c r="AU266" s="24"/>
      <c r="AW266" s="24"/>
      <c r="AX266" s="13"/>
      <c r="AY266" s="13"/>
      <c r="AZ266" s="24"/>
      <c r="BB266" s="24"/>
      <c r="BC266" s="13"/>
      <c r="BD266" s="13"/>
      <c r="BE266" s="24"/>
      <c r="BG266" s="24"/>
      <c r="BH266" s="13"/>
      <c r="BI266" s="13"/>
      <c r="BJ266" s="24"/>
      <c r="BL266" s="24"/>
      <c r="BM266" s="13"/>
      <c r="BN266" s="13"/>
    </row>
    <row r="267" spans="1:66" s="11" customFormat="1" ht="21">
      <c r="A267" s="24"/>
      <c r="B267" s="24"/>
      <c r="C267" s="24"/>
      <c r="E267" s="13"/>
      <c r="F267" s="24"/>
      <c r="G267" s="24"/>
      <c r="I267" s="24"/>
      <c r="J267" s="13"/>
      <c r="K267" s="13"/>
      <c r="L267" s="24"/>
      <c r="N267" s="24"/>
      <c r="O267" s="13"/>
      <c r="P267" s="13"/>
      <c r="Q267" s="24"/>
      <c r="S267" s="24"/>
      <c r="T267" s="13"/>
      <c r="U267" s="13"/>
      <c r="V267" s="24"/>
      <c r="X267" s="24"/>
      <c r="Y267" s="13"/>
      <c r="Z267" s="13"/>
      <c r="AA267" s="24"/>
      <c r="AC267" s="24"/>
      <c r="AD267" s="13"/>
      <c r="AE267" s="13"/>
      <c r="AF267" s="24"/>
      <c r="AH267" s="24"/>
      <c r="AI267" s="13"/>
      <c r="AJ267" s="13"/>
      <c r="AK267" s="24"/>
      <c r="AM267" s="24"/>
      <c r="AN267" s="13"/>
      <c r="AO267" s="13"/>
      <c r="AP267" s="24"/>
      <c r="AR267" s="24"/>
      <c r="AS267" s="13"/>
      <c r="AT267" s="13"/>
      <c r="AU267" s="24"/>
      <c r="AW267" s="24"/>
      <c r="AX267" s="13"/>
      <c r="AY267" s="13"/>
      <c r="AZ267" s="24"/>
      <c r="BB267" s="24"/>
      <c r="BC267" s="13"/>
      <c r="BD267" s="13"/>
      <c r="BE267" s="24"/>
      <c r="BG267" s="24"/>
      <c r="BH267" s="13"/>
      <c r="BI267" s="13"/>
      <c r="BJ267" s="24"/>
      <c r="BL267" s="24"/>
      <c r="BM267" s="13"/>
      <c r="BN267" s="13"/>
    </row>
    <row r="268" spans="1:66" s="11" customFormat="1" ht="21">
      <c r="A268" s="24"/>
      <c r="B268" s="24"/>
      <c r="C268" s="24"/>
      <c r="E268" s="13"/>
      <c r="F268" s="24"/>
      <c r="G268" s="24"/>
      <c r="I268" s="24"/>
      <c r="J268" s="13"/>
      <c r="K268" s="13"/>
      <c r="L268" s="24"/>
      <c r="N268" s="24"/>
      <c r="O268" s="13"/>
      <c r="P268" s="13"/>
      <c r="Q268" s="24"/>
      <c r="S268" s="24"/>
      <c r="T268" s="13"/>
      <c r="U268" s="13"/>
      <c r="V268" s="24"/>
      <c r="X268" s="24"/>
      <c r="Y268" s="13"/>
      <c r="Z268" s="13"/>
      <c r="AA268" s="24"/>
      <c r="AC268" s="24"/>
      <c r="AD268" s="13"/>
      <c r="AE268" s="13"/>
      <c r="AF268" s="24"/>
      <c r="AH268" s="24"/>
      <c r="AI268" s="13"/>
      <c r="AJ268" s="13"/>
      <c r="AK268" s="24"/>
      <c r="AM268" s="24"/>
      <c r="AN268" s="13"/>
      <c r="AO268" s="13"/>
      <c r="AP268" s="24"/>
      <c r="AR268" s="24"/>
      <c r="AS268" s="13"/>
      <c r="AT268" s="13"/>
      <c r="AU268" s="24"/>
      <c r="AW268" s="24"/>
      <c r="AX268" s="13"/>
      <c r="AY268" s="13"/>
      <c r="AZ268" s="24"/>
      <c r="BB268" s="24"/>
      <c r="BC268" s="13"/>
      <c r="BD268" s="13"/>
      <c r="BE268" s="24"/>
      <c r="BG268" s="24"/>
      <c r="BH268" s="13"/>
      <c r="BI268" s="13"/>
      <c r="BJ268" s="24"/>
      <c r="BL268" s="24"/>
      <c r="BM268" s="13"/>
      <c r="BN268" s="13"/>
    </row>
    <row r="269" spans="1:66" s="11" customFormat="1" ht="21">
      <c r="A269" s="24"/>
      <c r="B269" s="24"/>
      <c r="C269" s="24"/>
      <c r="E269" s="13"/>
      <c r="F269" s="24"/>
      <c r="G269" s="24"/>
      <c r="I269" s="24"/>
      <c r="J269" s="13"/>
      <c r="K269" s="13"/>
      <c r="L269" s="24"/>
      <c r="N269" s="24"/>
      <c r="O269" s="13"/>
      <c r="P269" s="13"/>
      <c r="Q269" s="24"/>
      <c r="S269" s="24"/>
      <c r="T269" s="13"/>
      <c r="U269" s="13"/>
      <c r="V269" s="24"/>
      <c r="X269" s="24"/>
      <c r="Y269" s="13"/>
      <c r="Z269" s="13"/>
      <c r="AA269" s="24"/>
      <c r="AC269" s="24"/>
      <c r="AD269" s="13"/>
      <c r="AE269" s="13"/>
      <c r="AF269" s="24"/>
      <c r="AH269" s="24"/>
      <c r="AI269" s="13"/>
      <c r="AJ269" s="13"/>
      <c r="AK269" s="24"/>
      <c r="AM269" s="24"/>
      <c r="AN269" s="13"/>
      <c r="AO269" s="13"/>
      <c r="AP269" s="24"/>
      <c r="AR269" s="24"/>
      <c r="AS269" s="13"/>
      <c r="AT269" s="13"/>
      <c r="AU269" s="24"/>
      <c r="AW269" s="24"/>
      <c r="AX269" s="13"/>
      <c r="AY269" s="13"/>
      <c r="AZ269" s="24"/>
      <c r="BB269" s="24"/>
      <c r="BC269" s="13"/>
      <c r="BD269" s="13"/>
      <c r="BE269" s="24"/>
      <c r="BG269" s="24"/>
      <c r="BH269" s="13"/>
      <c r="BI269" s="13"/>
      <c r="BJ269" s="24"/>
      <c r="BL269" s="24"/>
      <c r="BM269" s="13"/>
      <c r="BN269" s="13"/>
    </row>
    <row r="270" spans="1:66" s="11" customFormat="1" ht="21">
      <c r="A270" s="24"/>
      <c r="B270" s="24"/>
      <c r="C270" s="24"/>
      <c r="E270" s="13"/>
      <c r="F270" s="24"/>
      <c r="G270" s="24"/>
      <c r="I270" s="24"/>
      <c r="J270" s="13"/>
      <c r="K270" s="13"/>
      <c r="L270" s="24"/>
      <c r="N270" s="24"/>
      <c r="O270" s="13"/>
      <c r="P270" s="13"/>
      <c r="Q270" s="24"/>
      <c r="S270" s="24"/>
      <c r="T270" s="13"/>
      <c r="U270" s="13"/>
      <c r="V270" s="24"/>
      <c r="X270" s="24"/>
      <c r="Y270" s="13"/>
      <c r="Z270" s="13"/>
      <c r="AA270" s="24"/>
      <c r="AC270" s="24"/>
      <c r="AD270" s="13"/>
      <c r="AE270" s="13"/>
      <c r="AF270" s="24"/>
      <c r="AH270" s="24"/>
      <c r="AI270" s="13"/>
      <c r="AJ270" s="13"/>
      <c r="AK270" s="24"/>
      <c r="AM270" s="24"/>
      <c r="AN270" s="13"/>
      <c r="AO270" s="13"/>
      <c r="AP270" s="24"/>
      <c r="AR270" s="24"/>
      <c r="AS270" s="13"/>
      <c r="AT270" s="13"/>
      <c r="AU270" s="24"/>
      <c r="AW270" s="24"/>
      <c r="AX270" s="13"/>
      <c r="AY270" s="13"/>
      <c r="AZ270" s="24"/>
      <c r="BB270" s="24"/>
      <c r="BC270" s="13"/>
      <c r="BD270" s="13"/>
      <c r="BE270" s="24"/>
      <c r="BG270" s="24"/>
      <c r="BH270" s="13"/>
      <c r="BI270" s="13"/>
      <c r="BJ270" s="24"/>
      <c r="BL270" s="24"/>
      <c r="BM270" s="13"/>
      <c r="BN270" s="13"/>
    </row>
    <row r="271" spans="1:66" s="11" customFormat="1" ht="21">
      <c r="A271" s="24"/>
      <c r="B271" s="24"/>
      <c r="C271" s="24"/>
      <c r="E271" s="13"/>
      <c r="F271" s="24"/>
      <c r="G271" s="24"/>
      <c r="I271" s="24"/>
      <c r="J271" s="13"/>
      <c r="K271" s="13"/>
      <c r="L271" s="24"/>
      <c r="N271" s="24"/>
      <c r="O271" s="13"/>
      <c r="P271" s="13"/>
      <c r="Q271" s="24"/>
      <c r="S271" s="24"/>
      <c r="T271" s="13"/>
      <c r="U271" s="13"/>
      <c r="V271" s="24"/>
      <c r="X271" s="24"/>
      <c r="Y271" s="13"/>
      <c r="Z271" s="13"/>
      <c r="AA271" s="24"/>
      <c r="AC271" s="24"/>
      <c r="AD271" s="13"/>
      <c r="AE271" s="13"/>
      <c r="AF271" s="24"/>
      <c r="AH271" s="24"/>
      <c r="AI271" s="13"/>
      <c r="AJ271" s="13"/>
      <c r="AK271" s="24"/>
      <c r="AM271" s="24"/>
      <c r="AN271" s="13"/>
      <c r="AO271" s="13"/>
      <c r="AP271" s="24"/>
      <c r="AR271" s="24"/>
      <c r="AS271" s="13"/>
      <c r="AT271" s="13"/>
      <c r="AU271" s="24"/>
      <c r="AW271" s="24"/>
      <c r="AX271" s="13"/>
      <c r="AY271" s="13"/>
      <c r="AZ271" s="24"/>
      <c r="BB271" s="24"/>
      <c r="BC271" s="13"/>
      <c r="BD271" s="13"/>
      <c r="BE271" s="24"/>
      <c r="BG271" s="24"/>
      <c r="BH271" s="13"/>
      <c r="BI271" s="13"/>
      <c r="BJ271" s="24"/>
      <c r="BL271" s="24"/>
      <c r="BM271" s="13"/>
      <c r="BN271" s="13"/>
    </row>
    <row r="272" spans="1:66" s="11" customFormat="1" ht="21">
      <c r="A272" s="24"/>
      <c r="B272" s="24"/>
      <c r="C272" s="24"/>
      <c r="E272" s="13"/>
      <c r="F272" s="24"/>
      <c r="G272" s="24"/>
      <c r="I272" s="24"/>
      <c r="J272" s="13"/>
      <c r="K272" s="13"/>
      <c r="L272" s="24"/>
      <c r="N272" s="24"/>
      <c r="O272" s="13"/>
      <c r="P272" s="13"/>
      <c r="Q272" s="24"/>
      <c r="S272" s="24"/>
      <c r="T272" s="13"/>
      <c r="U272" s="13"/>
      <c r="V272" s="24"/>
      <c r="X272" s="24"/>
      <c r="Y272" s="13"/>
      <c r="Z272" s="13"/>
      <c r="AA272" s="24"/>
      <c r="AC272" s="24"/>
      <c r="AD272" s="13"/>
      <c r="AE272" s="13"/>
      <c r="AF272" s="24"/>
      <c r="AH272" s="24"/>
      <c r="AI272" s="13"/>
      <c r="AJ272" s="13"/>
      <c r="AK272" s="24"/>
      <c r="AM272" s="24"/>
      <c r="AN272" s="13"/>
      <c r="AO272" s="13"/>
      <c r="AP272" s="24"/>
      <c r="AR272" s="24"/>
      <c r="AS272" s="13"/>
      <c r="AT272" s="13"/>
      <c r="AU272" s="24"/>
      <c r="AW272" s="24"/>
      <c r="AX272" s="13"/>
      <c r="AY272" s="13"/>
      <c r="AZ272" s="24"/>
      <c r="BB272" s="24"/>
      <c r="BC272" s="13"/>
      <c r="BD272" s="13"/>
      <c r="BE272" s="24"/>
      <c r="BG272" s="24"/>
      <c r="BH272" s="13"/>
      <c r="BI272" s="13"/>
      <c r="BJ272" s="24"/>
      <c r="BL272" s="24"/>
      <c r="BM272" s="13"/>
      <c r="BN272" s="13"/>
    </row>
    <row r="273" spans="1:66" s="11" customFormat="1" ht="21">
      <c r="A273" s="24"/>
      <c r="B273" s="24"/>
      <c r="C273" s="24"/>
      <c r="E273" s="13"/>
      <c r="F273" s="24"/>
      <c r="G273" s="24"/>
      <c r="I273" s="24"/>
      <c r="J273" s="13"/>
      <c r="K273" s="13"/>
      <c r="L273" s="24"/>
      <c r="N273" s="24"/>
      <c r="O273" s="13"/>
      <c r="P273" s="13"/>
      <c r="Q273" s="24"/>
      <c r="S273" s="24"/>
      <c r="T273" s="13"/>
      <c r="U273" s="13"/>
      <c r="V273" s="24"/>
      <c r="X273" s="24"/>
      <c r="Y273" s="13"/>
      <c r="Z273" s="13"/>
      <c r="AA273" s="24"/>
      <c r="AC273" s="24"/>
      <c r="AD273" s="13"/>
      <c r="AE273" s="13"/>
      <c r="AF273" s="24"/>
      <c r="AH273" s="24"/>
      <c r="AI273" s="13"/>
      <c r="AJ273" s="13"/>
      <c r="AK273" s="24"/>
      <c r="AM273" s="24"/>
      <c r="AN273" s="13"/>
      <c r="AO273" s="13"/>
      <c r="AP273" s="24"/>
      <c r="AR273" s="24"/>
      <c r="AS273" s="13"/>
      <c r="AT273" s="13"/>
      <c r="AU273" s="24"/>
      <c r="AW273" s="24"/>
      <c r="AX273" s="13"/>
      <c r="AY273" s="13"/>
      <c r="AZ273" s="24"/>
      <c r="BB273" s="24"/>
      <c r="BC273" s="13"/>
      <c r="BD273" s="13"/>
      <c r="BE273" s="24"/>
      <c r="BG273" s="24"/>
      <c r="BH273" s="13"/>
      <c r="BI273" s="13"/>
      <c r="BJ273" s="24"/>
      <c r="BL273" s="24"/>
      <c r="BM273" s="13"/>
      <c r="BN273" s="13"/>
    </row>
    <row r="274" spans="1:66" s="11" customFormat="1" ht="21">
      <c r="A274" s="24"/>
      <c r="B274" s="24"/>
      <c r="C274" s="24"/>
      <c r="E274" s="13"/>
      <c r="F274" s="24"/>
      <c r="G274" s="24"/>
      <c r="I274" s="24"/>
      <c r="J274" s="13"/>
      <c r="K274" s="13"/>
      <c r="L274" s="24"/>
      <c r="N274" s="24"/>
      <c r="O274" s="13"/>
      <c r="P274" s="13"/>
      <c r="Q274" s="24"/>
      <c r="S274" s="24"/>
      <c r="T274" s="13"/>
      <c r="U274" s="13"/>
      <c r="V274" s="24"/>
      <c r="X274" s="24"/>
      <c r="Y274" s="13"/>
      <c r="Z274" s="13"/>
      <c r="AA274" s="24"/>
      <c r="AC274" s="24"/>
      <c r="AD274" s="13"/>
      <c r="AE274" s="13"/>
      <c r="AF274" s="24"/>
      <c r="AH274" s="24"/>
      <c r="AI274" s="13"/>
      <c r="AJ274" s="13"/>
      <c r="AK274" s="24"/>
      <c r="AM274" s="24"/>
      <c r="AN274" s="13"/>
      <c r="AO274" s="13"/>
      <c r="AP274" s="24"/>
      <c r="AR274" s="24"/>
      <c r="AS274" s="13"/>
      <c r="AT274" s="13"/>
      <c r="AU274" s="24"/>
      <c r="AW274" s="24"/>
      <c r="AX274" s="13"/>
      <c r="AY274" s="13"/>
      <c r="AZ274" s="24"/>
      <c r="BB274" s="24"/>
      <c r="BC274" s="13"/>
      <c r="BD274" s="13"/>
      <c r="BE274" s="24"/>
      <c r="BG274" s="24"/>
      <c r="BH274" s="13"/>
      <c r="BI274" s="13"/>
      <c r="BJ274" s="24"/>
      <c r="BL274" s="24"/>
      <c r="BM274" s="13"/>
      <c r="BN274" s="13"/>
    </row>
    <row r="275" spans="1:66" s="11" customFormat="1" ht="21">
      <c r="A275" s="24"/>
      <c r="B275" s="24"/>
      <c r="C275" s="24"/>
      <c r="E275" s="13"/>
      <c r="F275" s="24"/>
      <c r="G275" s="24"/>
      <c r="I275" s="24"/>
      <c r="J275" s="13"/>
      <c r="K275" s="13"/>
      <c r="L275" s="24"/>
      <c r="N275" s="24"/>
      <c r="O275" s="13"/>
      <c r="P275" s="13"/>
      <c r="Q275" s="24"/>
      <c r="S275" s="24"/>
      <c r="T275" s="13"/>
      <c r="U275" s="13"/>
      <c r="V275" s="24"/>
      <c r="X275" s="24"/>
      <c r="Y275" s="13"/>
      <c r="Z275" s="13"/>
      <c r="AA275" s="24"/>
      <c r="AC275" s="24"/>
      <c r="AD275" s="13"/>
      <c r="AE275" s="13"/>
      <c r="AF275" s="24"/>
      <c r="AH275" s="24"/>
      <c r="AI275" s="13"/>
      <c r="AJ275" s="13"/>
      <c r="AK275" s="24"/>
      <c r="AM275" s="24"/>
      <c r="AN275" s="13"/>
      <c r="AO275" s="13"/>
      <c r="AP275" s="24"/>
      <c r="AR275" s="24"/>
      <c r="AS275" s="13"/>
      <c r="AT275" s="13"/>
      <c r="AU275" s="24"/>
      <c r="AW275" s="24"/>
      <c r="AX275" s="13"/>
      <c r="AY275" s="13"/>
      <c r="AZ275" s="24"/>
      <c r="BB275" s="24"/>
      <c r="BC275" s="13"/>
      <c r="BD275" s="13"/>
      <c r="BE275" s="24"/>
      <c r="BG275" s="24"/>
      <c r="BH275" s="13"/>
      <c r="BI275" s="13"/>
      <c r="BJ275" s="24"/>
      <c r="BL275" s="24"/>
      <c r="BM275" s="13"/>
      <c r="BN275" s="13"/>
    </row>
    <row r="276" spans="1:66" s="11" customFormat="1" ht="21">
      <c r="A276" s="24"/>
      <c r="B276" s="24"/>
      <c r="C276" s="24"/>
      <c r="E276" s="13"/>
      <c r="F276" s="24"/>
      <c r="G276" s="24"/>
      <c r="I276" s="24"/>
      <c r="J276" s="13"/>
      <c r="K276" s="13"/>
      <c r="L276" s="24"/>
      <c r="N276" s="24"/>
      <c r="O276" s="13"/>
      <c r="P276" s="13"/>
      <c r="Q276" s="24"/>
      <c r="S276" s="24"/>
      <c r="T276" s="13"/>
      <c r="U276" s="13"/>
      <c r="V276" s="24"/>
      <c r="X276" s="24"/>
      <c r="Y276" s="13"/>
      <c r="Z276" s="13"/>
      <c r="AA276" s="24"/>
      <c r="AC276" s="24"/>
      <c r="AD276" s="13"/>
      <c r="AE276" s="13"/>
      <c r="AF276" s="24"/>
      <c r="AH276" s="24"/>
      <c r="AI276" s="13"/>
      <c r="AJ276" s="13"/>
      <c r="AK276" s="24"/>
      <c r="AM276" s="24"/>
      <c r="AN276" s="13"/>
      <c r="AO276" s="13"/>
      <c r="AP276" s="24"/>
      <c r="AR276" s="24"/>
      <c r="AS276" s="13"/>
      <c r="AT276" s="13"/>
      <c r="AU276" s="24"/>
      <c r="AW276" s="24"/>
      <c r="AX276" s="13"/>
      <c r="AY276" s="13"/>
      <c r="AZ276" s="24"/>
      <c r="BB276" s="24"/>
      <c r="BC276" s="13"/>
      <c r="BD276" s="13"/>
      <c r="BE276" s="24"/>
      <c r="BG276" s="24"/>
      <c r="BH276" s="13"/>
      <c r="BI276" s="13"/>
      <c r="BJ276" s="24"/>
      <c r="BL276" s="24"/>
      <c r="BM276" s="13"/>
      <c r="BN276" s="13"/>
    </row>
    <row r="277" spans="1:66" s="11" customFormat="1" ht="21">
      <c r="A277" s="24"/>
      <c r="B277" s="24"/>
      <c r="C277" s="24"/>
      <c r="E277" s="13"/>
      <c r="F277" s="24"/>
      <c r="G277" s="24"/>
      <c r="I277" s="24"/>
      <c r="J277" s="13"/>
      <c r="K277" s="13"/>
      <c r="L277" s="24"/>
      <c r="N277" s="24"/>
      <c r="O277" s="13"/>
      <c r="P277" s="13"/>
      <c r="Q277" s="24"/>
      <c r="S277" s="24"/>
      <c r="T277" s="13"/>
      <c r="U277" s="13"/>
      <c r="V277" s="24"/>
      <c r="X277" s="24"/>
      <c r="Y277" s="13"/>
      <c r="Z277" s="13"/>
      <c r="AA277" s="24"/>
      <c r="AC277" s="24"/>
      <c r="AD277" s="13"/>
      <c r="AE277" s="13"/>
      <c r="AF277" s="24"/>
      <c r="AH277" s="24"/>
      <c r="AI277" s="13"/>
      <c r="AJ277" s="13"/>
      <c r="AK277" s="24"/>
      <c r="AM277" s="24"/>
      <c r="AN277" s="13"/>
      <c r="AO277" s="13"/>
      <c r="AP277" s="24"/>
      <c r="AR277" s="24"/>
      <c r="AS277" s="13"/>
      <c r="AT277" s="13"/>
      <c r="AU277" s="24"/>
      <c r="AW277" s="24"/>
      <c r="AX277" s="13"/>
      <c r="AY277" s="13"/>
      <c r="AZ277" s="24"/>
      <c r="BB277" s="24"/>
      <c r="BC277" s="13"/>
      <c r="BD277" s="13"/>
      <c r="BE277" s="24"/>
      <c r="BG277" s="24"/>
      <c r="BH277" s="13"/>
      <c r="BI277" s="13"/>
      <c r="BJ277" s="24"/>
      <c r="BL277" s="24"/>
      <c r="BM277" s="13"/>
      <c r="BN277" s="13"/>
    </row>
    <row r="278" spans="1:66" s="11" customFormat="1" ht="21">
      <c r="A278" s="24"/>
      <c r="B278" s="24"/>
      <c r="C278" s="24"/>
      <c r="E278" s="13"/>
      <c r="F278" s="24"/>
      <c r="G278" s="24"/>
      <c r="I278" s="24"/>
      <c r="J278" s="13"/>
      <c r="K278" s="13"/>
      <c r="L278" s="24"/>
      <c r="N278" s="24"/>
      <c r="O278" s="13"/>
      <c r="P278" s="13"/>
      <c r="Q278" s="24"/>
      <c r="S278" s="24"/>
      <c r="T278" s="13"/>
      <c r="U278" s="13"/>
      <c r="V278" s="24"/>
      <c r="X278" s="24"/>
      <c r="Y278" s="13"/>
      <c r="Z278" s="13"/>
      <c r="AA278" s="24"/>
      <c r="AC278" s="24"/>
      <c r="AD278" s="13"/>
      <c r="AE278" s="13"/>
      <c r="AF278" s="24"/>
      <c r="AH278" s="24"/>
      <c r="AI278" s="13"/>
      <c r="AJ278" s="13"/>
      <c r="AK278" s="24"/>
      <c r="AM278" s="24"/>
      <c r="AN278" s="13"/>
      <c r="AO278" s="13"/>
      <c r="AP278" s="24"/>
      <c r="AR278" s="24"/>
      <c r="AS278" s="13"/>
      <c r="AT278" s="13"/>
      <c r="AU278" s="24"/>
      <c r="AW278" s="24"/>
      <c r="AX278" s="13"/>
      <c r="AY278" s="13"/>
      <c r="AZ278" s="24"/>
      <c r="BB278" s="24"/>
      <c r="BC278" s="13"/>
      <c r="BD278" s="13"/>
      <c r="BE278" s="24"/>
      <c r="BG278" s="24"/>
      <c r="BH278" s="13"/>
      <c r="BI278" s="13"/>
      <c r="BJ278" s="24"/>
      <c r="BL278" s="24"/>
      <c r="BM278" s="13"/>
      <c r="BN278" s="13"/>
    </row>
    <row r="279" spans="1:66" s="11" customFormat="1" ht="21">
      <c r="A279" s="24"/>
      <c r="B279" s="24"/>
      <c r="C279" s="24"/>
      <c r="E279" s="13"/>
      <c r="F279" s="24"/>
      <c r="G279" s="24"/>
      <c r="I279" s="24"/>
      <c r="J279" s="13"/>
      <c r="K279" s="13"/>
      <c r="L279" s="24"/>
      <c r="N279" s="24"/>
      <c r="O279" s="13"/>
      <c r="P279" s="13"/>
      <c r="Q279" s="24"/>
      <c r="S279" s="24"/>
      <c r="T279" s="13"/>
      <c r="U279" s="13"/>
      <c r="V279" s="24"/>
      <c r="X279" s="24"/>
      <c r="Y279" s="13"/>
      <c r="Z279" s="13"/>
      <c r="AA279" s="24"/>
      <c r="AC279" s="24"/>
      <c r="AD279" s="13"/>
      <c r="AE279" s="13"/>
      <c r="AF279" s="24"/>
      <c r="AH279" s="24"/>
      <c r="AI279" s="13"/>
      <c r="AJ279" s="13"/>
      <c r="AK279" s="24"/>
      <c r="AM279" s="24"/>
      <c r="AN279" s="13"/>
      <c r="AO279" s="13"/>
      <c r="AP279" s="24"/>
      <c r="AR279" s="24"/>
      <c r="AS279" s="13"/>
      <c r="AT279" s="13"/>
      <c r="AU279" s="24"/>
      <c r="AW279" s="24"/>
      <c r="AX279" s="13"/>
      <c r="AY279" s="13"/>
      <c r="AZ279" s="24"/>
      <c r="BB279" s="24"/>
      <c r="BC279" s="13"/>
      <c r="BD279" s="13"/>
      <c r="BE279" s="24"/>
      <c r="BG279" s="24"/>
      <c r="BH279" s="13"/>
      <c r="BI279" s="13"/>
      <c r="BJ279" s="24"/>
      <c r="BL279" s="24"/>
      <c r="BM279" s="13"/>
      <c r="BN279" s="13"/>
    </row>
    <row r="280" spans="1:66" s="11" customFormat="1" ht="21">
      <c r="A280" s="24"/>
      <c r="B280" s="24"/>
      <c r="C280" s="24"/>
      <c r="E280" s="13"/>
      <c r="F280" s="24"/>
      <c r="G280" s="24"/>
      <c r="I280" s="24"/>
      <c r="J280" s="13"/>
      <c r="K280" s="13"/>
      <c r="L280" s="24"/>
      <c r="N280" s="24"/>
      <c r="O280" s="13"/>
      <c r="P280" s="13"/>
      <c r="Q280" s="24"/>
      <c r="S280" s="24"/>
      <c r="T280" s="13"/>
      <c r="U280" s="13"/>
      <c r="V280" s="24"/>
      <c r="X280" s="24"/>
      <c r="Y280" s="13"/>
      <c r="Z280" s="13"/>
      <c r="AA280" s="24"/>
      <c r="AC280" s="24"/>
      <c r="AD280" s="13"/>
      <c r="AE280" s="13"/>
      <c r="AF280" s="24"/>
      <c r="AH280" s="24"/>
      <c r="AI280" s="13"/>
      <c r="AJ280" s="13"/>
      <c r="AK280" s="24"/>
      <c r="AM280" s="24"/>
      <c r="AN280" s="13"/>
      <c r="AO280" s="13"/>
      <c r="AP280" s="24"/>
      <c r="AR280" s="24"/>
      <c r="AS280" s="13"/>
      <c r="AT280" s="13"/>
      <c r="AU280" s="24"/>
      <c r="AW280" s="24"/>
      <c r="AX280" s="13"/>
      <c r="AY280" s="13"/>
      <c r="AZ280" s="24"/>
      <c r="BB280" s="24"/>
      <c r="BC280" s="13"/>
      <c r="BD280" s="13"/>
      <c r="BE280" s="24"/>
      <c r="BG280" s="24"/>
      <c r="BH280" s="13"/>
      <c r="BI280" s="13"/>
      <c r="BJ280" s="24"/>
      <c r="BL280" s="24"/>
      <c r="BM280" s="13"/>
      <c r="BN280" s="13"/>
    </row>
    <row r="281" spans="1:66" s="11" customFormat="1" ht="21">
      <c r="A281" s="24"/>
      <c r="B281" s="24"/>
      <c r="C281" s="24"/>
      <c r="E281" s="13"/>
      <c r="F281" s="24"/>
      <c r="G281" s="24"/>
      <c r="I281" s="24"/>
      <c r="J281" s="13"/>
      <c r="K281" s="13"/>
      <c r="L281" s="24"/>
      <c r="N281" s="24"/>
      <c r="O281" s="13"/>
      <c r="P281" s="13"/>
      <c r="Q281" s="24"/>
      <c r="S281" s="24"/>
      <c r="T281" s="13"/>
      <c r="U281" s="13"/>
      <c r="V281" s="24"/>
      <c r="X281" s="24"/>
      <c r="Y281" s="13"/>
      <c r="Z281" s="13"/>
      <c r="AA281" s="24"/>
      <c r="AC281" s="24"/>
      <c r="AD281" s="13"/>
      <c r="AE281" s="13"/>
      <c r="AF281" s="24"/>
      <c r="AH281" s="24"/>
      <c r="AI281" s="13"/>
      <c r="AJ281" s="13"/>
      <c r="AK281" s="24"/>
      <c r="AM281" s="24"/>
      <c r="AN281" s="13"/>
      <c r="AO281" s="13"/>
      <c r="AP281" s="24"/>
      <c r="AR281" s="24"/>
      <c r="AS281" s="13"/>
      <c r="AT281" s="13"/>
      <c r="AU281" s="24"/>
      <c r="AW281" s="24"/>
      <c r="AX281" s="13"/>
      <c r="AY281" s="13"/>
      <c r="AZ281" s="24"/>
      <c r="BB281" s="24"/>
      <c r="BC281" s="13"/>
      <c r="BD281" s="13"/>
      <c r="BE281" s="24"/>
      <c r="BG281" s="24"/>
      <c r="BH281" s="13"/>
      <c r="BI281" s="13"/>
      <c r="BJ281" s="24"/>
      <c r="BL281" s="24"/>
      <c r="BM281" s="13"/>
      <c r="BN281" s="13"/>
    </row>
    <row r="282" spans="1:66" s="11" customFormat="1" ht="21">
      <c r="A282" s="24"/>
      <c r="B282" s="24"/>
      <c r="C282" s="24"/>
      <c r="E282" s="13"/>
      <c r="F282" s="24"/>
      <c r="G282" s="24"/>
      <c r="I282" s="24"/>
      <c r="J282" s="13"/>
      <c r="K282" s="13"/>
      <c r="L282" s="24"/>
      <c r="N282" s="24"/>
      <c r="O282" s="13"/>
      <c r="P282" s="13"/>
      <c r="Q282" s="24"/>
      <c r="S282" s="24"/>
      <c r="T282" s="13"/>
      <c r="U282" s="13"/>
      <c r="V282" s="24"/>
      <c r="X282" s="24"/>
      <c r="Y282" s="13"/>
      <c r="Z282" s="13"/>
      <c r="AA282" s="24"/>
      <c r="AC282" s="24"/>
      <c r="AD282" s="13"/>
      <c r="AE282" s="13"/>
      <c r="AF282" s="24"/>
      <c r="AH282" s="24"/>
      <c r="AI282" s="13"/>
      <c r="AJ282" s="13"/>
      <c r="AK282" s="24"/>
      <c r="AM282" s="24"/>
      <c r="AN282" s="13"/>
      <c r="AO282" s="13"/>
      <c r="AP282" s="24"/>
      <c r="AR282" s="24"/>
      <c r="AS282" s="13"/>
      <c r="AT282" s="13"/>
      <c r="AU282" s="24"/>
      <c r="AW282" s="24"/>
      <c r="AX282" s="13"/>
      <c r="AY282" s="13"/>
      <c r="AZ282" s="24"/>
      <c r="BB282" s="24"/>
      <c r="BC282" s="13"/>
      <c r="BD282" s="13"/>
      <c r="BE282" s="24"/>
      <c r="BG282" s="24"/>
      <c r="BH282" s="13"/>
      <c r="BI282" s="13"/>
      <c r="BJ282" s="24"/>
      <c r="BL282" s="24"/>
      <c r="BM282" s="13"/>
      <c r="BN282" s="13"/>
    </row>
    <row r="283" spans="1:66" s="11" customFormat="1" ht="21">
      <c r="A283" s="24"/>
      <c r="B283" s="24"/>
      <c r="C283" s="24"/>
      <c r="E283" s="13"/>
      <c r="F283" s="24"/>
      <c r="G283" s="24"/>
      <c r="I283" s="24"/>
      <c r="J283" s="13"/>
      <c r="K283" s="13"/>
      <c r="L283" s="24"/>
      <c r="N283" s="24"/>
      <c r="O283" s="13"/>
      <c r="P283" s="13"/>
      <c r="Q283" s="24"/>
      <c r="S283" s="24"/>
      <c r="T283" s="13"/>
      <c r="U283" s="13"/>
      <c r="V283" s="24"/>
      <c r="X283" s="24"/>
      <c r="Y283" s="13"/>
      <c r="Z283" s="13"/>
      <c r="AA283" s="24"/>
      <c r="AC283" s="24"/>
      <c r="AD283" s="13"/>
      <c r="AE283" s="13"/>
      <c r="AF283" s="24"/>
      <c r="AH283" s="24"/>
      <c r="AI283" s="13"/>
      <c r="AJ283" s="13"/>
      <c r="AK283" s="24"/>
      <c r="AM283" s="24"/>
      <c r="AN283" s="13"/>
      <c r="AO283" s="13"/>
      <c r="AP283" s="24"/>
      <c r="AR283" s="24"/>
      <c r="AS283" s="13"/>
      <c r="AT283" s="13"/>
      <c r="AU283" s="24"/>
      <c r="AW283" s="24"/>
      <c r="AX283" s="13"/>
      <c r="AY283" s="13"/>
      <c r="AZ283" s="24"/>
      <c r="BB283" s="24"/>
      <c r="BC283" s="13"/>
      <c r="BD283" s="13"/>
      <c r="BE283" s="24"/>
      <c r="BG283" s="24"/>
      <c r="BH283" s="13"/>
      <c r="BI283" s="13"/>
      <c r="BJ283" s="24"/>
      <c r="BL283" s="24"/>
      <c r="BM283" s="13"/>
      <c r="BN283" s="13"/>
    </row>
    <row r="284" spans="1:66" s="11" customFormat="1" ht="21">
      <c r="A284" s="24"/>
      <c r="B284" s="24"/>
      <c r="C284" s="24"/>
      <c r="E284" s="13"/>
      <c r="F284" s="24"/>
      <c r="G284" s="24"/>
      <c r="I284" s="24"/>
      <c r="J284" s="13"/>
      <c r="K284" s="13"/>
      <c r="L284" s="24"/>
      <c r="N284" s="24"/>
      <c r="O284" s="13"/>
      <c r="P284" s="13"/>
      <c r="Q284" s="24"/>
      <c r="S284" s="24"/>
      <c r="T284" s="13"/>
      <c r="U284" s="13"/>
      <c r="V284" s="24"/>
      <c r="X284" s="24"/>
      <c r="Y284" s="13"/>
      <c r="Z284" s="13"/>
      <c r="AA284" s="24"/>
      <c r="AC284" s="24"/>
      <c r="AD284" s="13"/>
      <c r="AE284" s="13"/>
      <c r="AF284" s="24"/>
      <c r="AH284" s="24"/>
      <c r="AI284" s="13"/>
      <c r="AJ284" s="13"/>
      <c r="AK284" s="24"/>
      <c r="AM284" s="24"/>
      <c r="AN284" s="13"/>
      <c r="AO284" s="13"/>
      <c r="AP284" s="24"/>
      <c r="AR284" s="24"/>
      <c r="AS284" s="13"/>
      <c r="AT284" s="13"/>
      <c r="AU284" s="24"/>
      <c r="AW284" s="24"/>
      <c r="AX284" s="13"/>
      <c r="AY284" s="13"/>
      <c r="AZ284" s="24"/>
      <c r="BB284" s="24"/>
      <c r="BC284" s="13"/>
      <c r="BD284" s="13"/>
      <c r="BE284" s="24"/>
      <c r="BG284" s="24"/>
      <c r="BH284" s="13"/>
      <c r="BI284" s="13"/>
      <c r="BJ284" s="24"/>
      <c r="BL284" s="24"/>
      <c r="BM284" s="13"/>
      <c r="BN284" s="13"/>
    </row>
    <row r="285" spans="1:66" s="11" customFormat="1" ht="21">
      <c r="A285" s="24"/>
      <c r="B285" s="24"/>
      <c r="C285" s="24"/>
      <c r="E285" s="13"/>
      <c r="F285" s="24"/>
      <c r="G285" s="24"/>
      <c r="I285" s="24"/>
      <c r="J285" s="13"/>
      <c r="K285" s="13"/>
      <c r="L285" s="24"/>
      <c r="N285" s="24"/>
      <c r="O285" s="13"/>
      <c r="P285" s="13"/>
      <c r="Q285" s="24"/>
      <c r="S285" s="24"/>
      <c r="T285" s="13"/>
      <c r="U285" s="13"/>
      <c r="V285" s="24"/>
      <c r="X285" s="24"/>
      <c r="Y285" s="13"/>
      <c r="Z285" s="13"/>
      <c r="AA285" s="24"/>
      <c r="AC285" s="24"/>
      <c r="AD285" s="13"/>
      <c r="AE285" s="13"/>
      <c r="AF285" s="24"/>
      <c r="AH285" s="24"/>
      <c r="AI285" s="13"/>
      <c r="AJ285" s="13"/>
      <c r="AK285" s="24"/>
      <c r="AM285" s="24"/>
      <c r="AN285" s="13"/>
      <c r="AO285" s="13"/>
      <c r="AP285" s="24"/>
      <c r="AR285" s="24"/>
      <c r="AS285" s="13"/>
      <c r="AT285" s="13"/>
      <c r="AU285" s="24"/>
      <c r="AW285" s="24"/>
      <c r="AX285" s="13"/>
      <c r="AY285" s="13"/>
      <c r="AZ285" s="24"/>
      <c r="BB285" s="24"/>
      <c r="BC285" s="13"/>
      <c r="BD285" s="13"/>
      <c r="BE285" s="24"/>
      <c r="BG285" s="24"/>
      <c r="BH285" s="13"/>
      <c r="BI285" s="13"/>
      <c r="BJ285" s="24"/>
      <c r="BL285" s="24"/>
      <c r="BM285" s="13"/>
      <c r="BN285" s="13"/>
    </row>
    <row r="286" spans="1:66" s="11" customFormat="1" ht="21">
      <c r="A286" s="24"/>
      <c r="B286" s="24"/>
      <c r="C286" s="24"/>
      <c r="E286" s="13"/>
      <c r="F286" s="24"/>
      <c r="G286" s="24"/>
      <c r="I286" s="24"/>
      <c r="J286" s="13"/>
      <c r="K286" s="13"/>
      <c r="L286" s="24"/>
      <c r="N286" s="24"/>
      <c r="O286" s="13"/>
      <c r="P286" s="13"/>
      <c r="Q286" s="24"/>
      <c r="S286" s="24"/>
      <c r="T286" s="13"/>
      <c r="U286" s="13"/>
      <c r="V286" s="24"/>
      <c r="X286" s="24"/>
      <c r="Y286" s="13"/>
      <c r="Z286" s="13"/>
      <c r="AA286" s="24"/>
      <c r="AC286" s="24"/>
      <c r="AD286" s="13"/>
      <c r="AE286" s="13"/>
      <c r="AF286" s="24"/>
      <c r="AH286" s="24"/>
      <c r="AI286" s="13"/>
      <c r="AJ286" s="13"/>
      <c r="AK286" s="24"/>
      <c r="AM286" s="24"/>
      <c r="AN286" s="13"/>
      <c r="AO286" s="13"/>
      <c r="AP286" s="24"/>
      <c r="AR286" s="24"/>
      <c r="AS286" s="13"/>
      <c r="AT286" s="13"/>
      <c r="AU286" s="24"/>
      <c r="AW286" s="24"/>
      <c r="AX286" s="13"/>
      <c r="AY286" s="13"/>
      <c r="AZ286" s="24"/>
      <c r="BB286" s="24"/>
      <c r="BC286" s="13"/>
      <c r="BD286" s="13"/>
      <c r="BE286" s="24"/>
      <c r="BG286" s="24"/>
      <c r="BH286" s="13"/>
      <c r="BI286" s="13"/>
      <c r="BJ286" s="24"/>
      <c r="BL286" s="24"/>
      <c r="BM286" s="13"/>
      <c r="BN286" s="13"/>
    </row>
    <row r="287" spans="1:66" s="11" customFormat="1" ht="21">
      <c r="A287" s="24"/>
      <c r="B287" s="24"/>
      <c r="C287" s="24"/>
      <c r="E287" s="13"/>
      <c r="F287" s="24"/>
      <c r="G287" s="24"/>
      <c r="I287" s="24"/>
      <c r="J287" s="13"/>
      <c r="K287" s="13"/>
      <c r="L287" s="24"/>
      <c r="N287" s="24"/>
      <c r="O287" s="13"/>
      <c r="P287" s="13"/>
      <c r="Q287" s="24"/>
      <c r="S287" s="24"/>
      <c r="T287" s="13"/>
      <c r="U287" s="13"/>
      <c r="V287" s="24"/>
      <c r="X287" s="24"/>
      <c r="Y287" s="13"/>
      <c r="Z287" s="13"/>
      <c r="AA287" s="24"/>
      <c r="AC287" s="24"/>
      <c r="AD287" s="13"/>
      <c r="AE287" s="13"/>
      <c r="AF287" s="24"/>
      <c r="AH287" s="24"/>
      <c r="AI287" s="13"/>
      <c r="AJ287" s="13"/>
      <c r="AK287" s="24"/>
      <c r="AM287" s="24"/>
      <c r="AN287" s="13"/>
      <c r="AO287" s="13"/>
      <c r="AP287" s="24"/>
      <c r="AR287" s="24"/>
      <c r="AS287" s="13"/>
      <c r="AT287" s="13"/>
      <c r="AU287" s="24"/>
      <c r="AW287" s="24"/>
      <c r="AX287" s="13"/>
      <c r="AY287" s="13"/>
      <c r="AZ287" s="24"/>
      <c r="BB287" s="24"/>
      <c r="BC287" s="13"/>
      <c r="BD287" s="13"/>
      <c r="BE287" s="24"/>
      <c r="BG287" s="24"/>
      <c r="BH287" s="13"/>
      <c r="BI287" s="13"/>
      <c r="BJ287" s="24"/>
      <c r="BL287" s="24"/>
      <c r="BM287" s="13"/>
      <c r="BN287" s="13"/>
    </row>
    <row r="288" spans="1:66" s="11" customFormat="1" ht="21">
      <c r="A288" s="24"/>
      <c r="B288" s="24"/>
      <c r="C288" s="24"/>
      <c r="E288" s="13"/>
      <c r="F288" s="24"/>
      <c r="G288" s="24"/>
      <c r="I288" s="24"/>
      <c r="J288" s="13"/>
      <c r="K288" s="13"/>
      <c r="L288" s="24"/>
      <c r="N288" s="24"/>
      <c r="O288" s="13"/>
      <c r="P288" s="13"/>
      <c r="Q288" s="24"/>
      <c r="S288" s="24"/>
      <c r="T288" s="13"/>
      <c r="U288" s="13"/>
      <c r="V288" s="24"/>
      <c r="X288" s="24"/>
      <c r="Y288" s="13"/>
      <c r="Z288" s="13"/>
      <c r="AA288" s="24"/>
      <c r="AC288" s="24"/>
      <c r="AD288" s="13"/>
      <c r="AE288" s="13"/>
      <c r="AF288" s="24"/>
      <c r="AH288" s="24"/>
      <c r="AI288" s="13"/>
      <c r="AJ288" s="13"/>
      <c r="AK288" s="24"/>
      <c r="AM288" s="24"/>
      <c r="AN288" s="13"/>
      <c r="AO288" s="13"/>
      <c r="AP288" s="24"/>
      <c r="AR288" s="24"/>
      <c r="AS288" s="13"/>
      <c r="AT288" s="13"/>
      <c r="AU288" s="24"/>
      <c r="AW288" s="24"/>
      <c r="AX288" s="13"/>
      <c r="AY288" s="13"/>
      <c r="AZ288" s="24"/>
      <c r="BB288" s="24"/>
      <c r="BC288" s="13"/>
      <c r="BD288" s="13"/>
      <c r="BE288" s="24"/>
      <c r="BG288" s="24"/>
      <c r="BH288" s="13"/>
      <c r="BI288" s="13"/>
      <c r="BJ288" s="24"/>
      <c r="BL288" s="24"/>
      <c r="BM288" s="13"/>
      <c r="BN288" s="13"/>
    </row>
    <row r="289" spans="1:66" s="11" customFormat="1" ht="21">
      <c r="A289" s="24"/>
      <c r="B289" s="24"/>
      <c r="C289" s="24"/>
      <c r="E289" s="13"/>
      <c r="F289" s="24"/>
      <c r="G289" s="24"/>
      <c r="I289" s="24"/>
      <c r="J289" s="13"/>
      <c r="K289" s="13"/>
      <c r="L289" s="24"/>
      <c r="N289" s="24"/>
      <c r="O289" s="13"/>
      <c r="P289" s="13"/>
      <c r="Q289" s="24"/>
      <c r="S289" s="24"/>
      <c r="T289" s="13"/>
      <c r="U289" s="13"/>
      <c r="V289" s="24"/>
      <c r="X289" s="24"/>
      <c r="Y289" s="13"/>
      <c r="Z289" s="13"/>
      <c r="AA289" s="24"/>
      <c r="AC289" s="24"/>
      <c r="AD289" s="13"/>
      <c r="AE289" s="13"/>
      <c r="AF289" s="24"/>
      <c r="AH289" s="24"/>
      <c r="AI289" s="13"/>
      <c r="AJ289" s="13"/>
      <c r="AK289" s="24"/>
      <c r="AM289" s="24"/>
      <c r="AN289" s="13"/>
      <c r="AO289" s="13"/>
      <c r="AP289" s="24"/>
      <c r="AR289" s="24"/>
      <c r="AS289" s="13"/>
      <c r="AT289" s="13"/>
      <c r="AU289" s="24"/>
      <c r="AW289" s="24"/>
      <c r="AX289" s="13"/>
      <c r="AY289" s="13"/>
      <c r="AZ289" s="24"/>
      <c r="BB289" s="24"/>
      <c r="BC289" s="13"/>
      <c r="BD289" s="13"/>
      <c r="BE289" s="24"/>
      <c r="BG289" s="24"/>
      <c r="BH289" s="13"/>
      <c r="BI289" s="13"/>
      <c r="BJ289" s="24"/>
      <c r="BL289" s="24"/>
      <c r="BM289" s="13"/>
      <c r="BN289" s="13"/>
    </row>
    <row r="290" spans="1:66" s="11" customFormat="1" ht="21">
      <c r="A290" s="24"/>
      <c r="B290" s="24"/>
      <c r="C290" s="24"/>
      <c r="E290" s="13"/>
      <c r="F290" s="24"/>
      <c r="G290" s="24"/>
      <c r="I290" s="24"/>
      <c r="J290" s="13"/>
      <c r="K290" s="13"/>
      <c r="L290" s="24"/>
      <c r="N290" s="24"/>
      <c r="O290" s="13"/>
      <c r="P290" s="13"/>
      <c r="Q290" s="24"/>
      <c r="S290" s="24"/>
      <c r="T290" s="13"/>
      <c r="U290" s="13"/>
      <c r="V290" s="24"/>
      <c r="X290" s="24"/>
      <c r="Y290" s="13"/>
      <c r="Z290" s="13"/>
      <c r="AA290" s="24"/>
      <c r="AC290" s="24"/>
      <c r="AD290" s="13"/>
      <c r="AE290" s="13"/>
      <c r="AF290" s="24"/>
      <c r="AH290" s="24"/>
      <c r="AI290" s="13"/>
      <c r="AJ290" s="13"/>
      <c r="AK290" s="24"/>
      <c r="AM290" s="24"/>
      <c r="AN290" s="13"/>
      <c r="AO290" s="13"/>
      <c r="AP290" s="24"/>
      <c r="AR290" s="24"/>
      <c r="AS290" s="13"/>
      <c r="AT290" s="13"/>
      <c r="AU290" s="24"/>
      <c r="AW290" s="24"/>
      <c r="AX290" s="13"/>
      <c r="AY290" s="13"/>
      <c r="AZ290" s="24"/>
      <c r="BB290" s="24"/>
      <c r="BC290" s="13"/>
      <c r="BD290" s="13"/>
      <c r="BE290" s="24"/>
      <c r="BG290" s="24"/>
      <c r="BH290" s="13"/>
      <c r="BI290" s="13"/>
      <c r="BJ290" s="24"/>
      <c r="BL290" s="24"/>
      <c r="BM290" s="13"/>
      <c r="BN290" s="13"/>
    </row>
    <row r="291" spans="1:66" s="11" customFormat="1" ht="21">
      <c r="A291" s="24"/>
      <c r="B291" s="24"/>
      <c r="C291" s="24"/>
      <c r="E291" s="13"/>
      <c r="F291" s="24"/>
      <c r="G291" s="24"/>
      <c r="I291" s="24"/>
      <c r="J291" s="13"/>
      <c r="K291" s="13"/>
      <c r="L291" s="24"/>
      <c r="N291" s="24"/>
      <c r="O291" s="13"/>
      <c r="P291" s="13"/>
      <c r="Q291" s="24"/>
      <c r="S291" s="24"/>
      <c r="T291" s="13"/>
      <c r="U291" s="13"/>
      <c r="V291" s="24"/>
      <c r="X291" s="24"/>
      <c r="Y291" s="13"/>
      <c r="Z291" s="13"/>
      <c r="AA291" s="24"/>
      <c r="AC291" s="24"/>
      <c r="AD291" s="13"/>
      <c r="AE291" s="13"/>
      <c r="AF291" s="24"/>
      <c r="AH291" s="24"/>
      <c r="AI291" s="13"/>
      <c r="AJ291" s="13"/>
      <c r="AK291" s="24"/>
      <c r="AM291" s="24"/>
      <c r="AN291" s="13"/>
      <c r="AO291" s="13"/>
      <c r="AP291" s="24"/>
      <c r="AR291" s="24"/>
      <c r="AS291" s="13"/>
      <c r="AT291" s="13"/>
      <c r="AU291" s="24"/>
      <c r="AW291" s="24"/>
      <c r="AX291" s="13"/>
      <c r="AY291" s="13"/>
      <c r="AZ291" s="24"/>
      <c r="BB291" s="24"/>
      <c r="BC291" s="13"/>
      <c r="BD291" s="13"/>
      <c r="BE291" s="24"/>
      <c r="BG291" s="24"/>
      <c r="BH291" s="13"/>
      <c r="BI291" s="13"/>
      <c r="BJ291" s="24"/>
      <c r="BL291" s="24"/>
      <c r="BM291" s="13"/>
      <c r="BN291" s="13"/>
    </row>
    <row r="292" spans="1:66" s="11" customFormat="1" ht="21">
      <c r="A292" s="24"/>
      <c r="B292" s="24"/>
      <c r="C292" s="24"/>
      <c r="E292" s="13"/>
      <c r="F292" s="24"/>
      <c r="G292" s="24"/>
      <c r="I292" s="24"/>
      <c r="J292" s="13"/>
      <c r="K292" s="13"/>
      <c r="L292" s="24"/>
      <c r="N292" s="24"/>
      <c r="O292" s="13"/>
      <c r="P292" s="13"/>
      <c r="Q292" s="24"/>
      <c r="S292" s="24"/>
      <c r="T292" s="13"/>
      <c r="U292" s="13"/>
      <c r="V292" s="24"/>
      <c r="X292" s="24"/>
      <c r="Y292" s="13"/>
      <c r="Z292" s="13"/>
      <c r="AA292" s="24"/>
      <c r="AC292" s="24"/>
      <c r="AD292" s="13"/>
      <c r="AE292" s="13"/>
      <c r="AF292" s="24"/>
      <c r="AH292" s="24"/>
      <c r="AI292" s="13"/>
      <c r="AJ292" s="13"/>
      <c r="AK292" s="24"/>
      <c r="AM292" s="24"/>
      <c r="AN292" s="13"/>
      <c r="AO292" s="13"/>
      <c r="AP292" s="24"/>
      <c r="AR292" s="24"/>
      <c r="AS292" s="13"/>
      <c r="AT292" s="13"/>
      <c r="AU292" s="24"/>
      <c r="AW292" s="24"/>
      <c r="AX292" s="13"/>
      <c r="AY292" s="13"/>
      <c r="AZ292" s="24"/>
      <c r="BB292" s="24"/>
      <c r="BC292" s="13"/>
      <c r="BD292" s="13"/>
      <c r="BE292" s="24"/>
      <c r="BG292" s="24"/>
      <c r="BH292" s="13"/>
      <c r="BI292" s="13"/>
      <c r="BJ292" s="24"/>
      <c r="BL292" s="24"/>
      <c r="BM292" s="13"/>
      <c r="BN292" s="13"/>
    </row>
    <row r="293" spans="1:66" s="11" customFormat="1" ht="21">
      <c r="A293" s="24"/>
      <c r="B293" s="24"/>
      <c r="C293" s="24"/>
      <c r="E293" s="13"/>
      <c r="F293" s="24"/>
      <c r="G293" s="24"/>
      <c r="I293" s="24"/>
      <c r="J293" s="13"/>
      <c r="K293" s="13"/>
      <c r="L293" s="24"/>
      <c r="N293" s="24"/>
      <c r="O293" s="13"/>
      <c r="P293" s="13"/>
      <c r="Q293" s="24"/>
      <c r="S293" s="24"/>
      <c r="T293" s="13"/>
      <c r="U293" s="13"/>
      <c r="V293" s="24"/>
      <c r="X293" s="24"/>
      <c r="Y293" s="13"/>
      <c r="Z293" s="13"/>
      <c r="AA293" s="24"/>
      <c r="AC293" s="24"/>
      <c r="AD293" s="13"/>
      <c r="AE293" s="13"/>
      <c r="AF293" s="24"/>
      <c r="AH293" s="24"/>
      <c r="AI293" s="13"/>
      <c r="AJ293" s="13"/>
      <c r="AK293" s="24"/>
      <c r="AM293" s="24"/>
      <c r="AN293" s="13"/>
      <c r="AO293" s="13"/>
      <c r="AP293" s="24"/>
      <c r="AR293" s="24"/>
      <c r="AS293" s="13"/>
      <c r="AT293" s="13"/>
      <c r="AU293" s="24"/>
      <c r="AW293" s="24"/>
      <c r="AX293" s="13"/>
      <c r="AY293" s="13"/>
      <c r="AZ293" s="24"/>
      <c r="BB293" s="24"/>
      <c r="BC293" s="13"/>
      <c r="BD293" s="13"/>
      <c r="BE293" s="24"/>
      <c r="BG293" s="24"/>
      <c r="BH293" s="13"/>
      <c r="BI293" s="13"/>
      <c r="BJ293" s="24"/>
      <c r="BL293" s="24"/>
      <c r="BM293" s="13"/>
      <c r="BN293" s="13"/>
    </row>
    <row r="294" spans="1:66" s="11" customFormat="1" ht="21">
      <c r="A294" s="24"/>
      <c r="B294" s="24"/>
      <c r="C294" s="24"/>
      <c r="E294" s="13"/>
      <c r="F294" s="24"/>
      <c r="G294" s="24"/>
      <c r="I294" s="24"/>
      <c r="J294" s="13"/>
      <c r="K294" s="13"/>
      <c r="L294" s="24"/>
      <c r="N294" s="24"/>
      <c r="O294" s="13"/>
      <c r="P294" s="13"/>
      <c r="Q294" s="24"/>
      <c r="S294" s="24"/>
      <c r="T294" s="13"/>
      <c r="U294" s="13"/>
      <c r="V294" s="24"/>
      <c r="X294" s="24"/>
      <c r="Y294" s="13"/>
      <c r="Z294" s="13"/>
      <c r="AA294" s="24"/>
      <c r="AC294" s="24"/>
      <c r="AD294" s="13"/>
      <c r="AE294" s="13"/>
      <c r="AF294" s="24"/>
      <c r="AH294" s="24"/>
      <c r="AI294" s="13"/>
      <c r="AJ294" s="13"/>
      <c r="AK294" s="24"/>
      <c r="AM294" s="24"/>
      <c r="AN294" s="13"/>
      <c r="AO294" s="13"/>
      <c r="AP294" s="24"/>
      <c r="AR294" s="24"/>
      <c r="AS294" s="13"/>
      <c r="AT294" s="13"/>
      <c r="AU294" s="24"/>
      <c r="AW294" s="24"/>
      <c r="AX294" s="13"/>
      <c r="AY294" s="13"/>
      <c r="AZ294" s="24"/>
      <c r="BB294" s="24"/>
      <c r="BC294" s="13"/>
      <c r="BD294" s="13"/>
      <c r="BE294" s="24"/>
      <c r="BG294" s="24"/>
      <c r="BH294" s="13"/>
      <c r="BI294" s="13"/>
      <c r="BJ294" s="24"/>
      <c r="BL294" s="24"/>
      <c r="BM294" s="13"/>
      <c r="BN294" s="13"/>
    </row>
    <row r="295" spans="1:66" s="11" customFormat="1" ht="21">
      <c r="A295" s="24"/>
      <c r="B295" s="24"/>
      <c r="C295" s="24"/>
      <c r="E295" s="13"/>
      <c r="F295" s="24"/>
      <c r="G295" s="24"/>
      <c r="I295" s="24"/>
      <c r="J295" s="13"/>
      <c r="K295" s="13"/>
      <c r="L295" s="24"/>
      <c r="N295" s="24"/>
      <c r="O295" s="13"/>
      <c r="P295" s="13"/>
      <c r="Q295" s="24"/>
      <c r="S295" s="24"/>
      <c r="T295" s="13"/>
      <c r="U295" s="13"/>
      <c r="V295" s="24"/>
      <c r="X295" s="24"/>
      <c r="Y295" s="13"/>
      <c r="Z295" s="13"/>
      <c r="AA295" s="24"/>
      <c r="AC295" s="24"/>
      <c r="AD295" s="13"/>
      <c r="AE295" s="13"/>
      <c r="AF295" s="24"/>
      <c r="AH295" s="24"/>
      <c r="AI295" s="13"/>
      <c r="AJ295" s="13"/>
      <c r="AK295" s="24"/>
      <c r="AM295" s="24"/>
      <c r="AN295" s="13"/>
      <c r="AO295" s="13"/>
      <c r="AP295" s="24"/>
      <c r="AR295" s="24"/>
      <c r="AS295" s="13"/>
      <c r="AT295" s="13"/>
      <c r="AU295" s="24"/>
      <c r="AW295" s="24"/>
      <c r="AX295" s="13"/>
      <c r="AY295" s="13"/>
      <c r="AZ295" s="24"/>
      <c r="BB295" s="24"/>
      <c r="BC295" s="13"/>
      <c r="BD295" s="13"/>
      <c r="BE295" s="24"/>
      <c r="BG295" s="24"/>
      <c r="BH295" s="13"/>
      <c r="BI295" s="13"/>
      <c r="BJ295" s="24"/>
      <c r="BL295" s="24"/>
      <c r="BM295" s="13"/>
      <c r="BN295" s="13"/>
    </row>
    <row r="296" spans="1:66" s="11" customFormat="1" ht="21">
      <c r="A296" s="24"/>
      <c r="B296" s="24"/>
      <c r="C296" s="24"/>
      <c r="E296" s="13"/>
      <c r="F296" s="24"/>
      <c r="G296" s="24"/>
      <c r="I296" s="24"/>
      <c r="J296" s="13"/>
      <c r="K296" s="13"/>
      <c r="L296" s="24"/>
      <c r="N296" s="24"/>
      <c r="O296" s="13"/>
      <c r="P296" s="13"/>
      <c r="Q296" s="24"/>
      <c r="S296" s="24"/>
      <c r="T296" s="13"/>
      <c r="U296" s="13"/>
      <c r="V296" s="24"/>
      <c r="X296" s="24"/>
      <c r="Y296" s="13"/>
      <c r="Z296" s="13"/>
      <c r="AA296" s="24"/>
      <c r="AC296" s="24"/>
      <c r="AD296" s="13"/>
      <c r="AE296" s="13"/>
      <c r="AF296" s="24"/>
      <c r="AH296" s="24"/>
      <c r="AI296" s="13"/>
      <c r="AJ296" s="13"/>
      <c r="AK296" s="24"/>
      <c r="AM296" s="24"/>
      <c r="AN296" s="13"/>
      <c r="AO296" s="13"/>
      <c r="AP296" s="24"/>
      <c r="AR296" s="24"/>
      <c r="AS296" s="13"/>
      <c r="AT296" s="13"/>
      <c r="AU296" s="24"/>
      <c r="AW296" s="24"/>
      <c r="AX296" s="13"/>
      <c r="AY296" s="13"/>
      <c r="AZ296" s="24"/>
      <c r="BB296" s="24"/>
      <c r="BC296" s="13"/>
      <c r="BD296" s="13"/>
      <c r="BE296" s="24"/>
      <c r="BG296" s="24"/>
      <c r="BH296" s="13"/>
      <c r="BI296" s="13"/>
      <c r="BJ296" s="24"/>
      <c r="BL296" s="24"/>
      <c r="BM296" s="13"/>
      <c r="BN296" s="13"/>
    </row>
    <row r="297" spans="1:66" s="11" customFormat="1" ht="21">
      <c r="A297" s="24"/>
      <c r="B297" s="24"/>
      <c r="C297" s="24"/>
      <c r="E297" s="13"/>
      <c r="F297" s="24"/>
      <c r="G297" s="24"/>
      <c r="I297" s="24"/>
      <c r="J297" s="13"/>
      <c r="K297" s="13"/>
      <c r="L297" s="24"/>
      <c r="N297" s="24"/>
      <c r="O297" s="13"/>
      <c r="P297" s="13"/>
      <c r="Q297" s="24"/>
      <c r="S297" s="24"/>
      <c r="T297" s="13"/>
      <c r="U297" s="13"/>
      <c r="V297" s="24"/>
      <c r="X297" s="24"/>
      <c r="Y297" s="13"/>
      <c r="Z297" s="13"/>
      <c r="AA297" s="24"/>
      <c r="AC297" s="24"/>
      <c r="AD297" s="13"/>
      <c r="AE297" s="13"/>
      <c r="AF297" s="24"/>
      <c r="AH297" s="24"/>
      <c r="AI297" s="13"/>
      <c r="AJ297" s="13"/>
      <c r="AK297" s="24"/>
      <c r="AM297" s="24"/>
      <c r="AN297" s="13"/>
      <c r="AO297" s="13"/>
      <c r="AP297" s="24"/>
      <c r="AR297" s="24"/>
      <c r="AS297" s="13"/>
      <c r="AT297" s="13"/>
      <c r="AU297" s="24"/>
      <c r="AW297" s="24"/>
      <c r="AX297" s="13"/>
      <c r="AY297" s="13"/>
      <c r="AZ297" s="24"/>
      <c r="BB297" s="24"/>
      <c r="BC297" s="13"/>
      <c r="BD297" s="13"/>
      <c r="BE297" s="24"/>
      <c r="BG297" s="24"/>
      <c r="BH297" s="13"/>
      <c r="BI297" s="13"/>
      <c r="BJ297" s="24"/>
      <c r="BL297" s="24"/>
      <c r="BM297" s="13"/>
      <c r="BN297" s="13"/>
    </row>
    <row r="298" spans="1:66" s="11" customFormat="1" ht="21">
      <c r="A298" s="24"/>
      <c r="B298" s="24"/>
      <c r="C298" s="24"/>
      <c r="E298" s="13"/>
      <c r="F298" s="24"/>
      <c r="G298" s="24"/>
      <c r="I298" s="24"/>
      <c r="J298" s="13"/>
      <c r="K298" s="13"/>
      <c r="L298" s="24"/>
      <c r="N298" s="24"/>
      <c r="O298" s="13"/>
      <c r="P298" s="13"/>
      <c r="Q298" s="24"/>
      <c r="S298" s="24"/>
      <c r="T298" s="13"/>
      <c r="U298" s="13"/>
      <c r="V298" s="24"/>
      <c r="X298" s="24"/>
      <c r="Y298" s="13"/>
      <c r="Z298" s="13"/>
      <c r="AA298" s="24"/>
      <c r="AC298" s="24"/>
      <c r="AD298" s="13"/>
      <c r="AE298" s="13"/>
      <c r="AF298" s="24"/>
      <c r="AH298" s="24"/>
      <c r="AI298" s="13"/>
      <c r="AJ298" s="13"/>
      <c r="AK298" s="24"/>
      <c r="AM298" s="24"/>
      <c r="AN298" s="13"/>
      <c r="AO298" s="13"/>
      <c r="AP298" s="24"/>
      <c r="AR298" s="24"/>
      <c r="AS298" s="13"/>
      <c r="AT298" s="13"/>
      <c r="AU298" s="24"/>
      <c r="AW298" s="24"/>
      <c r="AX298" s="13"/>
      <c r="AY298" s="13"/>
      <c r="AZ298" s="24"/>
      <c r="BB298" s="24"/>
      <c r="BC298" s="13"/>
      <c r="BD298" s="13"/>
      <c r="BE298" s="24"/>
      <c r="BG298" s="24"/>
      <c r="BH298" s="13"/>
      <c r="BI298" s="13"/>
      <c r="BJ298" s="24"/>
      <c r="BL298" s="24"/>
      <c r="BM298" s="13"/>
      <c r="BN298" s="13"/>
    </row>
    <row r="299" spans="1:66" s="11" customFormat="1" ht="21">
      <c r="A299" s="24"/>
      <c r="B299" s="24"/>
      <c r="C299" s="24"/>
      <c r="E299" s="13"/>
      <c r="F299" s="24"/>
      <c r="G299" s="24"/>
      <c r="I299" s="24"/>
      <c r="J299" s="13"/>
      <c r="K299" s="13"/>
      <c r="L299" s="24"/>
      <c r="N299" s="24"/>
      <c r="O299" s="13"/>
      <c r="P299" s="13"/>
      <c r="Q299" s="24"/>
      <c r="S299" s="24"/>
      <c r="T299" s="13"/>
      <c r="U299" s="13"/>
      <c r="V299" s="24"/>
      <c r="X299" s="24"/>
      <c r="Y299" s="13"/>
      <c r="Z299" s="13"/>
      <c r="AA299" s="24"/>
      <c r="AC299" s="24"/>
      <c r="AD299" s="13"/>
      <c r="AE299" s="13"/>
      <c r="AF299" s="24"/>
      <c r="AH299" s="24"/>
      <c r="AI299" s="13"/>
      <c r="AJ299" s="13"/>
      <c r="AK299" s="24"/>
      <c r="AM299" s="24"/>
      <c r="AN299" s="13"/>
      <c r="AO299" s="13"/>
      <c r="AP299" s="24"/>
      <c r="AR299" s="24"/>
      <c r="AS299" s="13"/>
      <c r="AT299" s="13"/>
      <c r="AU299" s="24"/>
      <c r="AW299" s="24"/>
      <c r="AX299" s="13"/>
      <c r="AY299" s="13"/>
      <c r="AZ299" s="24"/>
      <c r="BB299" s="24"/>
      <c r="BC299" s="13"/>
      <c r="BD299" s="13"/>
      <c r="BE299" s="24"/>
      <c r="BG299" s="24"/>
      <c r="BH299" s="13"/>
      <c r="BI299" s="13"/>
      <c r="BJ299" s="24"/>
      <c r="BL299" s="24"/>
      <c r="BM299" s="13"/>
      <c r="BN299" s="13"/>
    </row>
    <row r="300" spans="1:66" s="11" customFormat="1" ht="21">
      <c r="A300" s="24"/>
      <c r="B300" s="24"/>
      <c r="C300" s="24"/>
      <c r="E300" s="13"/>
      <c r="F300" s="24"/>
      <c r="G300" s="24"/>
      <c r="I300" s="24"/>
      <c r="J300" s="13"/>
      <c r="K300" s="13"/>
      <c r="L300" s="24"/>
      <c r="N300" s="24"/>
      <c r="O300" s="13"/>
      <c r="P300" s="13"/>
      <c r="Q300" s="24"/>
      <c r="S300" s="24"/>
      <c r="T300" s="13"/>
      <c r="U300" s="13"/>
      <c r="V300" s="24"/>
      <c r="X300" s="24"/>
      <c r="Y300" s="13"/>
      <c r="Z300" s="13"/>
      <c r="AA300" s="24"/>
      <c r="AC300" s="24"/>
      <c r="AD300" s="13"/>
      <c r="AE300" s="13"/>
      <c r="AF300" s="24"/>
      <c r="AH300" s="24"/>
      <c r="AI300" s="13"/>
      <c r="AJ300" s="13"/>
      <c r="AK300" s="24"/>
      <c r="AM300" s="24"/>
      <c r="AN300" s="13"/>
      <c r="AO300" s="13"/>
      <c r="AP300" s="24"/>
      <c r="AR300" s="24"/>
      <c r="AS300" s="13"/>
      <c r="AT300" s="13"/>
      <c r="AU300" s="24"/>
      <c r="AW300" s="24"/>
      <c r="AX300" s="13"/>
      <c r="AY300" s="13"/>
      <c r="AZ300" s="24"/>
      <c r="BB300" s="24"/>
      <c r="BC300" s="13"/>
      <c r="BD300" s="13"/>
      <c r="BE300" s="24"/>
      <c r="BG300" s="24"/>
      <c r="BH300" s="13"/>
      <c r="BI300" s="13"/>
      <c r="BJ300" s="24"/>
      <c r="BL300" s="24"/>
      <c r="BM300" s="13"/>
      <c r="BN300" s="13"/>
    </row>
    <row r="301" spans="1:66" s="11" customFormat="1" ht="21">
      <c r="A301" s="24"/>
      <c r="B301" s="24"/>
      <c r="C301" s="24"/>
      <c r="E301" s="13"/>
      <c r="F301" s="24"/>
      <c r="G301" s="24"/>
      <c r="I301" s="24"/>
      <c r="J301" s="13"/>
      <c r="K301" s="13"/>
      <c r="L301" s="24"/>
      <c r="N301" s="24"/>
      <c r="O301" s="13"/>
      <c r="P301" s="13"/>
      <c r="Q301" s="24"/>
      <c r="S301" s="24"/>
      <c r="T301" s="13"/>
      <c r="U301" s="13"/>
      <c r="V301" s="24"/>
      <c r="X301" s="24"/>
      <c r="Y301" s="13"/>
      <c r="Z301" s="13"/>
      <c r="AA301" s="24"/>
      <c r="AC301" s="24"/>
      <c r="AD301" s="13"/>
      <c r="AE301" s="13"/>
      <c r="AF301" s="24"/>
      <c r="AH301" s="24"/>
      <c r="AI301" s="13"/>
      <c r="AJ301" s="13"/>
      <c r="AK301" s="24"/>
      <c r="AM301" s="24"/>
      <c r="AN301" s="13"/>
      <c r="AO301" s="13"/>
      <c r="AP301" s="24"/>
      <c r="AR301" s="24"/>
      <c r="AS301" s="13"/>
      <c r="AT301" s="13"/>
      <c r="AU301" s="24"/>
      <c r="AW301" s="24"/>
      <c r="AX301" s="13"/>
      <c r="AY301" s="13"/>
      <c r="AZ301" s="24"/>
      <c r="BB301" s="24"/>
      <c r="BC301" s="13"/>
      <c r="BD301" s="13"/>
      <c r="BE301" s="24"/>
      <c r="BG301" s="24"/>
      <c r="BH301" s="13"/>
      <c r="BI301" s="13"/>
      <c r="BJ301" s="24"/>
      <c r="BL301" s="24"/>
      <c r="BM301" s="13"/>
      <c r="BN301" s="13"/>
    </row>
    <row r="302" spans="1:66" s="11" customFormat="1" ht="21">
      <c r="A302" s="24"/>
      <c r="B302" s="24"/>
      <c r="C302" s="24"/>
      <c r="E302" s="13"/>
      <c r="F302" s="24"/>
      <c r="G302" s="24"/>
      <c r="I302" s="24"/>
      <c r="J302" s="13"/>
      <c r="K302" s="13"/>
      <c r="L302" s="24"/>
      <c r="N302" s="24"/>
      <c r="O302" s="13"/>
      <c r="P302" s="13"/>
      <c r="Q302" s="24"/>
      <c r="S302" s="24"/>
      <c r="T302" s="13"/>
      <c r="U302" s="13"/>
      <c r="V302" s="24"/>
      <c r="X302" s="24"/>
      <c r="Y302" s="13"/>
      <c r="Z302" s="13"/>
      <c r="AA302" s="24"/>
      <c r="AC302" s="24"/>
      <c r="AD302" s="13"/>
      <c r="AE302" s="13"/>
      <c r="AF302" s="24"/>
      <c r="AH302" s="24"/>
      <c r="AI302" s="13"/>
      <c r="AJ302" s="13"/>
      <c r="AK302" s="24"/>
      <c r="AM302" s="24"/>
      <c r="AN302" s="13"/>
      <c r="AO302" s="13"/>
      <c r="AP302" s="24"/>
      <c r="AR302" s="24"/>
      <c r="AS302" s="13"/>
      <c r="AT302" s="13"/>
      <c r="AU302" s="24"/>
      <c r="AW302" s="24"/>
      <c r="AX302" s="13"/>
      <c r="AY302" s="13"/>
      <c r="AZ302" s="24"/>
      <c r="BB302" s="24"/>
      <c r="BC302" s="13"/>
      <c r="BD302" s="13"/>
      <c r="BE302" s="24"/>
      <c r="BG302" s="24"/>
      <c r="BH302" s="13"/>
      <c r="BI302" s="13"/>
      <c r="BJ302" s="24"/>
      <c r="BL302" s="24"/>
      <c r="BM302" s="13"/>
      <c r="BN302" s="13"/>
    </row>
    <row r="303" spans="1:66" s="11" customFormat="1" ht="21">
      <c r="A303" s="24"/>
      <c r="B303" s="24"/>
      <c r="C303" s="24"/>
      <c r="E303" s="13"/>
      <c r="F303" s="24"/>
      <c r="G303" s="24"/>
      <c r="I303" s="24"/>
      <c r="J303" s="13"/>
      <c r="K303" s="13"/>
      <c r="L303" s="24"/>
      <c r="N303" s="24"/>
      <c r="O303" s="13"/>
      <c r="P303" s="13"/>
      <c r="Q303" s="24"/>
      <c r="S303" s="24"/>
      <c r="T303" s="13"/>
      <c r="U303" s="13"/>
      <c r="V303" s="24"/>
      <c r="X303" s="24"/>
      <c r="Y303" s="13"/>
      <c r="Z303" s="13"/>
      <c r="AA303" s="24"/>
      <c r="AC303" s="24"/>
      <c r="AD303" s="13"/>
      <c r="AE303" s="13"/>
      <c r="AF303" s="24"/>
      <c r="AH303" s="24"/>
      <c r="AI303" s="13"/>
      <c r="AJ303" s="13"/>
      <c r="AK303" s="24"/>
      <c r="AM303" s="24"/>
      <c r="AN303" s="13"/>
      <c r="AO303" s="13"/>
      <c r="AP303" s="24"/>
      <c r="AR303" s="24"/>
      <c r="AS303" s="13"/>
      <c r="AT303" s="13"/>
      <c r="AU303" s="24"/>
      <c r="AW303" s="24"/>
      <c r="AX303" s="13"/>
      <c r="AY303" s="13"/>
      <c r="AZ303" s="24"/>
      <c r="BB303" s="24"/>
      <c r="BC303" s="13"/>
      <c r="BD303" s="13"/>
      <c r="BE303" s="24"/>
      <c r="BG303" s="24"/>
      <c r="BH303" s="13"/>
      <c r="BI303" s="13"/>
      <c r="BJ303" s="24"/>
      <c r="BL303" s="24"/>
      <c r="BM303" s="13"/>
      <c r="BN303" s="13"/>
    </row>
    <row r="304" spans="1:66" s="11" customFormat="1" ht="21">
      <c r="A304" s="24"/>
      <c r="B304" s="24"/>
      <c r="C304" s="24"/>
      <c r="E304" s="13"/>
      <c r="F304" s="24"/>
      <c r="G304" s="24"/>
      <c r="I304" s="24"/>
      <c r="J304" s="13"/>
      <c r="K304" s="13"/>
      <c r="L304" s="24"/>
      <c r="N304" s="24"/>
      <c r="O304" s="13"/>
      <c r="P304" s="13"/>
      <c r="Q304" s="24"/>
      <c r="S304" s="24"/>
      <c r="T304" s="13"/>
      <c r="U304" s="13"/>
      <c r="V304" s="24"/>
      <c r="X304" s="24"/>
      <c r="Y304" s="13"/>
      <c r="Z304" s="13"/>
      <c r="AA304" s="24"/>
      <c r="AC304" s="24"/>
      <c r="AD304" s="13"/>
      <c r="AE304" s="13"/>
      <c r="AF304" s="24"/>
      <c r="AH304" s="24"/>
      <c r="AI304" s="13"/>
      <c r="AJ304" s="13"/>
      <c r="AK304" s="24"/>
      <c r="AM304" s="24"/>
      <c r="AN304" s="13"/>
      <c r="AO304" s="13"/>
      <c r="AP304" s="24"/>
      <c r="AR304" s="24"/>
      <c r="AS304" s="13"/>
      <c r="AT304" s="13"/>
      <c r="AU304" s="24"/>
      <c r="AW304" s="24"/>
      <c r="AX304" s="13"/>
      <c r="AY304" s="13"/>
      <c r="AZ304" s="24"/>
      <c r="BB304" s="24"/>
      <c r="BC304" s="13"/>
      <c r="BD304" s="13"/>
      <c r="BE304" s="24"/>
      <c r="BG304" s="24"/>
      <c r="BH304" s="13"/>
      <c r="BI304" s="13"/>
      <c r="BJ304" s="24"/>
      <c r="BL304" s="24"/>
      <c r="BM304" s="13"/>
      <c r="BN304" s="13"/>
    </row>
    <row r="305" spans="1:66" s="11" customFormat="1" ht="21">
      <c r="A305" s="24"/>
      <c r="B305" s="24"/>
      <c r="C305" s="24"/>
      <c r="E305" s="13"/>
      <c r="F305" s="24"/>
      <c r="G305" s="24"/>
      <c r="I305" s="24"/>
      <c r="J305" s="13"/>
      <c r="K305" s="13"/>
      <c r="L305" s="24"/>
      <c r="N305" s="24"/>
      <c r="O305" s="13"/>
      <c r="P305" s="13"/>
      <c r="Q305" s="24"/>
      <c r="S305" s="24"/>
      <c r="T305" s="13"/>
      <c r="U305" s="13"/>
      <c r="V305" s="24"/>
      <c r="X305" s="24"/>
      <c r="Y305" s="13"/>
      <c r="Z305" s="13"/>
      <c r="AA305" s="24"/>
      <c r="AC305" s="24"/>
      <c r="AD305" s="13"/>
      <c r="AE305" s="13"/>
      <c r="AF305" s="24"/>
      <c r="AH305" s="24"/>
      <c r="AI305" s="13"/>
      <c r="AJ305" s="13"/>
      <c r="AK305" s="24"/>
      <c r="AM305" s="24"/>
      <c r="AN305" s="13"/>
      <c r="AO305" s="13"/>
      <c r="AP305" s="24"/>
      <c r="AR305" s="24"/>
      <c r="AS305" s="13"/>
      <c r="AT305" s="13"/>
      <c r="AU305" s="24"/>
      <c r="AW305" s="24"/>
      <c r="AX305" s="13"/>
      <c r="AY305" s="13"/>
      <c r="AZ305" s="24"/>
      <c r="BB305" s="24"/>
      <c r="BC305" s="13"/>
      <c r="BD305" s="13"/>
      <c r="BE305" s="24"/>
      <c r="BG305" s="24"/>
      <c r="BH305" s="13"/>
      <c r="BI305" s="13"/>
      <c r="BJ305" s="24"/>
      <c r="BL305" s="24"/>
      <c r="BM305" s="13"/>
      <c r="BN305" s="13"/>
    </row>
    <row r="306" spans="1:66" s="11" customFormat="1" ht="21">
      <c r="A306" s="24"/>
      <c r="B306" s="24"/>
      <c r="C306" s="24"/>
      <c r="E306" s="13"/>
      <c r="F306" s="24"/>
      <c r="G306" s="24"/>
      <c r="I306" s="24"/>
      <c r="J306" s="13"/>
      <c r="K306" s="13"/>
      <c r="L306" s="24"/>
      <c r="N306" s="24"/>
      <c r="O306" s="13"/>
      <c r="P306" s="13"/>
      <c r="Q306" s="24"/>
      <c r="S306" s="24"/>
      <c r="T306" s="13"/>
      <c r="U306" s="13"/>
      <c r="V306" s="24"/>
      <c r="X306" s="24"/>
      <c r="Y306" s="13"/>
      <c r="Z306" s="13"/>
      <c r="AA306" s="24"/>
      <c r="AC306" s="24"/>
      <c r="AD306" s="13"/>
      <c r="AE306" s="13"/>
      <c r="AF306" s="24"/>
      <c r="AH306" s="24"/>
      <c r="AI306" s="13"/>
      <c r="AJ306" s="13"/>
      <c r="AK306" s="24"/>
      <c r="AM306" s="24"/>
      <c r="AN306" s="13"/>
      <c r="AO306" s="13"/>
      <c r="AP306" s="24"/>
      <c r="AR306" s="24"/>
      <c r="AS306" s="13"/>
      <c r="AT306" s="13"/>
      <c r="AU306" s="24"/>
      <c r="AW306" s="24"/>
      <c r="AX306" s="13"/>
      <c r="AY306" s="13"/>
      <c r="AZ306" s="24"/>
      <c r="BB306" s="24"/>
      <c r="BC306" s="13"/>
      <c r="BD306" s="13"/>
      <c r="BE306" s="24"/>
      <c r="BG306" s="24"/>
      <c r="BH306" s="13"/>
      <c r="BI306" s="13"/>
      <c r="BJ306" s="24"/>
      <c r="BL306" s="24"/>
      <c r="BM306" s="13"/>
      <c r="BN306" s="13"/>
    </row>
    <row r="307" spans="1:66" s="11" customFormat="1" ht="21">
      <c r="A307" s="24"/>
      <c r="B307" s="24"/>
      <c r="C307" s="24"/>
      <c r="E307" s="13"/>
      <c r="F307" s="24"/>
      <c r="G307" s="24"/>
      <c r="I307" s="24"/>
      <c r="J307" s="13"/>
      <c r="K307" s="13"/>
      <c r="L307" s="24"/>
      <c r="N307" s="24"/>
      <c r="O307" s="13"/>
      <c r="P307" s="13"/>
      <c r="Q307" s="24"/>
      <c r="S307" s="24"/>
      <c r="T307" s="13"/>
      <c r="U307" s="13"/>
      <c r="V307" s="24"/>
      <c r="X307" s="24"/>
      <c r="Y307" s="13"/>
      <c r="Z307" s="13"/>
      <c r="AA307" s="24"/>
      <c r="AC307" s="24"/>
      <c r="AD307" s="13"/>
      <c r="AE307" s="13"/>
      <c r="AF307" s="24"/>
      <c r="AH307" s="24"/>
      <c r="AI307" s="13"/>
      <c r="AJ307" s="13"/>
      <c r="AK307" s="24"/>
      <c r="AM307" s="24"/>
      <c r="AN307" s="13"/>
      <c r="AO307" s="13"/>
      <c r="AP307" s="24"/>
      <c r="AR307" s="24"/>
      <c r="AS307" s="13"/>
      <c r="AT307" s="13"/>
      <c r="AU307" s="24"/>
      <c r="AW307" s="24"/>
      <c r="AX307" s="13"/>
      <c r="AY307" s="13"/>
      <c r="AZ307" s="24"/>
      <c r="BB307" s="24"/>
      <c r="BC307" s="13"/>
      <c r="BD307" s="13"/>
      <c r="BE307" s="24"/>
      <c r="BG307" s="24"/>
      <c r="BH307" s="13"/>
      <c r="BI307" s="13"/>
      <c r="BJ307" s="24"/>
      <c r="BL307" s="24"/>
      <c r="BM307" s="13"/>
      <c r="BN307" s="13"/>
    </row>
    <row r="308" spans="1:66" s="11" customFormat="1" ht="21">
      <c r="A308" s="24"/>
      <c r="B308" s="24"/>
      <c r="C308" s="24"/>
      <c r="E308" s="13"/>
      <c r="F308" s="24"/>
      <c r="G308" s="24"/>
      <c r="I308" s="24"/>
      <c r="J308" s="13"/>
      <c r="K308" s="13"/>
      <c r="L308" s="24"/>
      <c r="N308" s="24"/>
      <c r="O308" s="13"/>
      <c r="P308" s="13"/>
      <c r="Q308" s="24"/>
      <c r="S308" s="24"/>
      <c r="T308" s="13"/>
      <c r="U308" s="13"/>
      <c r="V308" s="24"/>
      <c r="X308" s="24"/>
      <c r="Y308" s="13"/>
      <c r="Z308" s="13"/>
      <c r="AA308" s="24"/>
      <c r="AC308" s="24"/>
      <c r="AD308" s="13"/>
      <c r="AE308" s="13"/>
      <c r="AF308" s="24"/>
      <c r="AH308" s="24"/>
      <c r="AI308" s="13"/>
      <c r="AJ308" s="13"/>
      <c r="AK308" s="24"/>
      <c r="AM308" s="24"/>
      <c r="AN308" s="13"/>
      <c r="AO308" s="13"/>
      <c r="AP308" s="24"/>
      <c r="AR308" s="24"/>
      <c r="AS308" s="13"/>
      <c r="AT308" s="13"/>
      <c r="AU308" s="24"/>
      <c r="AW308" s="24"/>
      <c r="AX308" s="13"/>
      <c r="AY308" s="13"/>
      <c r="AZ308" s="24"/>
      <c r="BB308" s="24"/>
      <c r="BC308" s="13"/>
      <c r="BD308" s="13"/>
      <c r="BE308" s="24"/>
      <c r="BG308" s="24"/>
      <c r="BH308" s="13"/>
      <c r="BI308" s="13"/>
      <c r="BJ308" s="24"/>
      <c r="BL308" s="24"/>
      <c r="BM308" s="13"/>
      <c r="BN308" s="13"/>
    </row>
    <row r="309" spans="1:66" s="11" customFormat="1" ht="21">
      <c r="A309" s="24"/>
      <c r="B309" s="24"/>
      <c r="C309" s="24"/>
      <c r="E309" s="13"/>
      <c r="F309" s="24"/>
      <c r="G309" s="24"/>
      <c r="I309" s="24"/>
      <c r="J309" s="13"/>
      <c r="K309" s="13"/>
      <c r="L309" s="24"/>
      <c r="N309" s="24"/>
      <c r="O309" s="13"/>
      <c r="P309" s="13"/>
      <c r="Q309" s="24"/>
      <c r="S309" s="24"/>
      <c r="T309" s="13"/>
      <c r="U309" s="13"/>
      <c r="V309" s="24"/>
      <c r="X309" s="24"/>
      <c r="Y309" s="13"/>
      <c r="Z309" s="13"/>
      <c r="AA309" s="24"/>
      <c r="AC309" s="24"/>
      <c r="AD309" s="13"/>
      <c r="AE309" s="13"/>
      <c r="AF309" s="24"/>
      <c r="AH309" s="24"/>
      <c r="AI309" s="13"/>
      <c r="AJ309" s="13"/>
      <c r="AK309" s="24"/>
      <c r="AM309" s="24"/>
      <c r="AN309" s="13"/>
      <c r="AO309" s="13"/>
      <c r="AP309" s="24"/>
      <c r="AR309" s="24"/>
      <c r="AS309" s="13"/>
      <c r="AT309" s="13"/>
      <c r="AU309" s="24"/>
      <c r="AW309" s="24"/>
      <c r="AX309" s="13"/>
      <c r="AY309" s="13"/>
      <c r="AZ309" s="24"/>
      <c r="BB309" s="24"/>
      <c r="BC309" s="13"/>
      <c r="BD309" s="13"/>
      <c r="BE309" s="24"/>
      <c r="BG309" s="24"/>
      <c r="BH309" s="13"/>
      <c r="BI309" s="13"/>
      <c r="BJ309" s="24"/>
      <c r="BL309" s="24"/>
      <c r="BM309" s="13"/>
      <c r="BN309" s="13"/>
    </row>
    <row r="310" spans="1:66" s="11" customFormat="1" ht="21">
      <c r="A310" s="24"/>
      <c r="B310" s="24"/>
      <c r="C310" s="24"/>
      <c r="E310" s="13"/>
      <c r="F310" s="24"/>
      <c r="G310" s="24"/>
      <c r="I310" s="24"/>
      <c r="J310" s="13"/>
      <c r="K310" s="13"/>
      <c r="L310" s="24"/>
      <c r="N310" s="24"/>
      <c r="O310" s="13"/>
      <c r="P310" s="13"/>
      <c r="Q310" s="24"/>
      <c r="S310" s="24"/>
      <c r="T310" s="13"/>
      <c r="U310" s="13"/>
      <c r="V310" s="24"/>
      <c r="X310" s="24"/>
      <c r="Y310" s="13"/>
      <c r="Z310" s="13"/>
      <c r="AA310" s="24"/>
      <c r="AC310" s="24"/>
      <c r="AD310" s="13"/>
      <c r="AE310" s="13"/>
      <c r="AF310" s="24"/>
      <c r="AH310" s="24"/>
      <c r="AI310" s="13"/>
      <c r="AJ310" s="13"/>
      <c r="AK310" s="24"/>
      <c r="AM310" s="24"/>
      <c r="AN310" s="13"/>
      <c r="AO310" s="13"/>
      <c r="AP310" s="24"/>
      <c r="AR310" s="24"/>
      <c r="AS310" s="13"/>
      <c r="AT310" s="13"/>
      <c r="AU310" s="24"/>
      <c r="AW310" s="24"/>
      <c r="AX310" s="13"/>
      <c r="AY310" s="13"/>
      <c r="AZ310" s="24"/>
      <c r="BB310" s="24"/>
      <c r="BC310" s="13"/>
      <c r="BD310" s="13"/>
      <c r="BE310" s="24"/>
      <c r="BG310" s="24"/>
      <c r="BH310" s="13"/>
      <c r="BI310" s="13"/>
      <c r="BJ310" s="24"/>
      <c r="BL310" s="24"/>
      <c r="BM310" s="13"/>
      <c r="BN310" s="13"/>
    </row>
    <row r="311" spans="1:66" s="11" customFormat="1" ht="21">
      <c r="A311" s="24"/>
      <c r="B311" s="24"/>
      <c r="C311" s="24"/>
      <c r="E311" s="13"/>
      <c r="F311" s="24"/>
      <c r="G311" s="24"/>
      <c r="I311" s="24"/>
      <c r="J311" s="13"/>
      <c r="K311" s="13"/>
      <c r="L311" s="24"/>
      <c r="N311" s="24"/>
      <c r="O311" s="13"/>
      <c r="P311" s="13"/>
      <c r="Q311" s="24"/>
      <c r="S311" s="24"/>
      <c r="T311" s="13"/>
      <c r="U311" s="13"/>
      <c r="V311" s="24"/>
      <c r="X311" s="24"/>
      <c r="Y311" s="13"/>
      <c r="Z311" s="13"/>
      <c r="AA311" s="24"/>
      <c r="AC311" s="24"/>
      <c r="AD311" s="13"/>
      <c r="AE311" s="13"/>
      <c r="AF311" s="24"/>
      <c r="AH311" s="24"/>
      <c r="AI311" s="13"/>
      <c r="AJ311" s="13"/>
      <c r="AK311" s="24"/>
      <c r="AM311" s="24"/>
      <c r="AN311" s="13"/>
      <c r="AO311" s="13"/>
      <c r="AP311" s="24"/>
      <c r="AR311" s="24"/>
      <c r="AS311" s="13"/>
      <c r="AT311" s="13"/>
      <c r="AU311" s="24"/>
      <c r="AW311" s="24"/>
      <c r="AX311" s="13"/>
      <c r="AY311" s="13"/>
      <c r="AZ311" s="24"/>
      <c r="BB311" s="24"/>
      <c r="BC311" s="13"/>
      <c r="BD311" s="13"/>
      <c r="BE311" s="24"/>
      <c r="BG311" s="24"/>
      <c r="BH311" s="13"/>
      <c r="BI311" s="13"/>
      <c r="BJ311" s="24"/>
      <c r="BL311" s="24"/>
      <c r="BM311" s="13"/>
      <c r="BN311" s="13"/>
    </row>
    <row r="312" spans="1:66" s="11" customFormat="1" ht="21">
      <c r="A312" s="24"/>
      <c r="B312" s="24"/>
      <c r="C312" s="24"/>
      <c r="E312" s="13"/>
      <c r="F312" s="24"/>
      <c r="G312" s="24"/>
      <c r="I312" s="24"/>
      <c r="J312" s="13"/>
      <c r="K312" s="13"/>
      <c r="L312" s="24"/>
      <c r="N312" s="24"/>
      <c r="O312" s="13"/>
      <c r="P312" s="13"/>
      <c r="Q312" s="24"/>
      <c r="S312" s="24"/>
      <c r="T312" s="13"/>
      <c r="U312" s="13"/>
      <c r="V312" s="24"/>
      <c r="X312" s="24"/>
      <c r="Y312" s="13"/>
      <c r="Z312" s="13"/>
      <c r="AA312" s="24"/>
      <c r="AC312" s="24"/>
      <c r="AD312" s="13"/>
      <c r="AE312" s="13"/>
      <c r="AF312" s="24"/>
      <c r="AH312" s="24"/>
      <c r="AI312" s="13"/>
      <c r="AJ312" s="13"/>
      <c r="AK312" s="24"/>
      <c r="AM312" s="24"/>
      <c r="AN312" s="13"/>
      <c r="AO312" s="13"/>
      <c r="AP312" s="24"/>
      <c r="AR312" s="24"/>
      <c r="AS312" s="13"/>
      <c r="AT312" s="13"/>
      <c r="AU312" s="24"/>
      <c r="AW312" s="24"/>
      <c r="AX312" s="13"/>
      <c r="AY312" s="13"/>
      <c r="AZ312" s="24"/>
      <c r="BB312" s="24"/>
      <c r="BC312" s="13"/>
      <c r="BD312" s="13"/>
      <c r="BE312" s="24"/>
      <c r="BG312" s="24"/>
      <c r="BH312" s="13"/>
      <c r="BI312" s="13"/>
      <c r="BJ312" s="24"/>
      <c r="BL312" s="24"/>
      <c r="BM312" s="13"/>
      <c r="BN312" s="13"/>
    </row>
    <row r="313" spans="1:66" s="11" customFormat="1" ht="21">
      <c r="A313" s="24"/>
      <c r="B313" s="24"/>
      <c r="C313" s="24"/>
      <c r="E313" s="13"/>
      <c r="F313" s="24"/>
      <c r="G313" s="24"/>
      <c r="I313" s="24"/>
      <c r="J313" s="13"/>
      <c r="K313" s="13"/>
      <c r="L313" s="24"/>
      <c r="N313" s="24"/>
      <c r="O313" s="13"/>
      <c r="P313" s="13"/>
      <c r="Q313" s="24"/>
      <c r="S313" s="24"/>
      <c r="T313" s="13"/>
      <c r="U313" s="13"/>
      <c r="V313" s="24"/>
      <c r="X313" s="24"/>
      <c r="Y313" s="13"/>
      <c r="Z313" s="13"/>
      <c r="AA313" s="24"/>
      <c r="AC313" s="24"/>
      <c r="AD313" s="13"/>
      <c r="AE313" s="13"/>
      <c r="AF313" s="24"/>
      <c r="AH313" s="24"/>
      <c r="AI313" s="13"/>
      <c r="AJ313" s="13"/>
      <c r="AK313" s="24"/>
      <c r="AM313" s="24"/>
      <c r="AN313" s="13"/>
      <c r="AO313" s="13"/>
      <c r="AP313" s="24"/>
      <c r="AR313" s="24"/>
      <c r="AS313" s="13"/>
      <c r="AT313" s="13"/>
      <c r="AU313" s="24"/>
      <c r="AW313" s="24"/>
      <c r="AX313" s="13"/>
      <c r="AY313" s="13"/>
      <c r="AZ313" s="24"/>
      <c r="BB313" s="24"/>
      <c r="BC313" s="13"/>
      <c r="BD313" s="13"/>
      <c r="BE313" s="24"/>
      <c r="BG313" s="24"/>
      <c r="BH313" s="13"/>
      <c r="BI313" s="13"/>
      <c r="BJ313" s="24"/>
      <c r="BL313" s="24"/>
      <c r="BM313" s="13"/>
      <c r="BN313" s="13"/>
    </row>
    <row r="314" spans="1:66" s="11" customFormat="1" ht="21">
      <c r="A314" s="24"/>
      <c r="B314" s="24"/>
      <c r="C314" s="24"/>
      <c r="E314" s="13"/>
      <c r="F314" s="24"/>
      <c r="G314" s="24"/>
      <c r="I314" s="24"/>
      <c r="J314" s="13"/>
      <c r="K314" s="13"/>
      <c r="L314" s="24"/>
      <c r="N314" s="24"/>
      <c r="O314" s="13"/>
      <c r="P314" s="13"/>
      <c r="Q314" s="24"/>
      <c r="S314" s="24"/>
      <c r="T314" s="13"/>
      <c r="U314" s="13"/>
      <c r="V314" s="24"/>
      <c r="X314" s="24"/>
      <c r="Y314" s="13"/>
      <c r="Z314" s="13"/>
      <c r="AA314" s="24"/>
      <c r="AC314" s="24"/>
      <c r="AD314" s="13"/>
      <c r="AE314" s="13"/>
      <c r="AF314" s="24"/>
      <c r="AH314" s="24"/>
      <c r="AI314" s="13"/>
      <c r="AJ314" s="13"/>
      <c r="AK314" s="24"/>
      <c r="AM314" s="24"/>
      <c r="AN314" s="13"/>
      <c r="AO314" s="13"/>
      <c r="AP314" s="24"/>
      <c r="AR314" s="24"/>
      <c r="AS314" s="13"/>
      <c r="AT314" s="13"/>
      <c r="AU314" s="24"/>
      <c r="AW314" s="24"/>
      <c r="AX314" s="13"/>
      <c r="AY314" s="13"/>
      <c r="AZ314" s="24"/>
      <c r="BB314" s="24"/>
      <c r="BC314" s="13"/>
      <c r="BD314" s="13"/>
      <c r="BE314" s="24"/>
      <c r="BG314" s="24"/>
      <c r="BH314" s="13"/>
      <c r="BI314" s="13"/>
      <c r="BJ314" s="24"/>
      <c r="BL314" s="24"/>
      <c r="BM314" s="13"/>
      <c r="BN314" s="13"/>
    </row>
    <row r="315" spans="1:66" s="11" customFormat="1" ht="21">
      <c r="A315" s="24"/>
      <c r="B315" s="24"/>
      <c r="C315" s="24"/>
      <c r="E315" s="13"/>
      <c r="F315" s="24"/>
      <c r="G315" s="24"/>
      <c r="I315" s="24"/>
      <c r="J315" s="13"/>
      <c r="K315" s="13"/>
      <c r="L315" s="24"/>
      <c r="N315" s="24"/>
      <c r="O315" s="13"/>
      <c r="P315" s="13"/>
      <c r="Q315" s="24"/>
      <c r="S315" s="24"/>
      <c r="T315" s="13"/>
      <c r="U315" s="13"/>
      <c r="V315" s="24"/>
      <c r="X315" s="24"/>
      <c r="Y315" s="13"/>
      <c r="Z315" s="13"/>
      <c r="AA315" s="24"/>
      <c r="AC315" s="24"/>
      <c r="AD315" s="13"/>
      <c r="AE315" s="13"/>
      <c r="AF315" s="24"/>
      <c r="AH315" s="24"/>
      <c r="AI315" s="13"/>
      <c r="AJ315" s="13"/>
      <c r="AK315" s="24"/>
      <c r="AM315" s="24"/>
      <c r="AN315" s="13"/>
      <c r="AO315" s="13"/>
      <c r="AP315" s="24"/>
      <c r="AR315" s="24"/>
      <c r="AS315" s="13"/>
      <c r="AT315" s="13"/>
      <c r="AU315" s="24"/>
      <c r="AW315" s="24"/>
      <c r="AX315" s="13"/>
      <c r="AY315" s="13"/>
      <c r="AZ315" s="24"/>
      <c r="BB315" s="24"/>
      <c r="BC315" s="13"/>
      <c r="BD315" s="13"/>
      <c r="BE315" s="24"/>
      <c r="BG315" s="24"/>
      <c r="BH315" s="13"/>
      <c r="BI315" s="13"/>
      <c r="BJ315" s="24"/>
      <c r="BL315" s="24"/>
      <c r="BM315" s="13"/>
      <c r="BN315" s="13"/>
    </row>
    <row r="316" spans="1:66" s="11" customFormat="1" ht="21">
      <c r="A316" s="24"/>
      <c r="B316" s="24"/>
      <c r="C316" s="24"/>
      <c r="E316" s="13"/>
      <c r="F316" s="24"/>
      <c r="G316" s="24"/>
      <c r="I316" s="24"/>
      <c r="J316" s="13"/>
      <c r="K316" s="13"/>
      <c r="L316" s="24"/>
      <c r="N316" s="24"/>
      <c r="O316" s="13"/>
      <c r="P316" s="13"/>
      <c r="Q316" s="24"/>
      <c r="S316" s="24"/>
      <c r="T316" s="13"/>
      <c r="U316" s="13"/>
      <c r="V316" s="24"/>
      <c r="X316" s="24"/>
      <c r="Y316" s="13"/>
      <c r="Z316" s="13"/>
      <c r="AA316" s="24"/>
      <c r="AC316" s="24"/>
      <c r="AD316" s="13"/>
      <c r="AE316" s="13"/>
      <c r="AF316" s="24"/>
      <c r="AH316" s="24"/>
      <c r="AI316" s="13"/>
      <c r="AJ316" s="13"/>
      <c r="AK316" s="24"/>
      <c r="AM316" s="24"/>
      <c r="AN316" s="13"/>
      <c r="AO316" s="13"/>
      <c r="AP316" s="24"/>
      <c r="AR316" s="24"/>
      <c r="AS316" s="13"/>
      <c r="AT316" s="13"/>
      <c r="AU316" s="24"/>
      <c r="AW316" s="24"/>
      <c r="AX316" s="13"/>
      <c r="AY316" s="13"/>
      <c r="AZ316" s="24"/>
      <c r="BB316" s="24"/>
      <c r="BC316" s="13"/>
      <c r="BD316" s="13"/>
      <c r="BE316" s="24"/>
      <c r="BG316" s="24"/>
      <c r="BH316" s="13"/>
      <c r="BI316" s="13"/>
      <c r="BJ316" s="24"/>
      <c r="BL316" s="24"/>
      <c r="BM316" s="13"/>
      <c r="BN316" s="13"/>
    </row>
    <row r="317" spans="1:66" s="11" customFormat="1" ht="21">
      <c r="A317" s="24"/>
      <c r="B317" s="24"/>
      <c r="C317" s="24"/>
      <c r="E317" s="13"/>
      <c r="F317" s="24"/>
      <c r="G317" s="24"/>
      <c r="I317" s="24"/>
      <c r="J317" s="13"/>
      <c r="K317" s="13"/>
      <c r="L317" s="24"/>
      <c r="N317" s="24"/>
      <c r="O317" s="13"/>
      <c r="P317" s="13"/>
      <c r="Q317" s="24"/>
      <c r="S317" s="24"/>
      <c r="T317" s="13"/>
      <c r="U317" s="13"/>
      <c r="V317" s="24"/>
      <c r="X317" s="24"/>
      <c r="Y317" s="13"/>
      <c r="Z317" s="13"/>
      <c r="AA317" s="24"/>
      <c r="AC317" s="24"/>
      <c r="AD317" s="13"/>
      <c r="AE317" s="13"/>
      <c r="AF317" s="24"/>
      <c r="AH317" s="24"/>
      <c r="AI317" s="13"/>
      <c r="AJ317" s="13"/>
      <c r="AK317" s="24"/>
      <c r="AM317" s="24"/>
      <c r="AN317" s="13"/>
      <c r="AO317" s="13"/>
      <c r="AP317" s="24"/>
      <c r="AR317" s="24"/>
      <c r="AS317" s="13"/>
      <c r="AT317" s="13"/>
      <c r="AU317" s="24"/>
      <c r="AW317" s="24"/>
      <c r="AX317" s="13"/>
      <c r="AY317" s="13"/>
      <c r="AZ317" s="24"/>
      <c r="BB317" s="24"/>
      <c r="BC317" s="13"/>
      <c r="BD317" s="13"/>
      <c r="BE317" s="24"/>
      <c r="BG317" s="24"/>
      <c r="BH317" s="13"/>
      <c r="BI317" s="13"/>
      <c r="BJ317" s="24"/>
      <c r="BL317" s="24"/>
      <c r="BM317" s="13"/>
      <c r="BN317" s="13"/>
    </row>
    <row r="318" spans="1:66" s="11" customFormat="1" ht="21">
      <c r="A318" s="24"/>
      <c r="B318" s="24"/>
      <c r="C318" s="24"/>
      <c r="E318" s="13"/>
      <c r="F318" s="24"/>
      <c r="G318" s="24"/>
      <c r="I318" s="24"/>
      <c r="J318" s="13"/>
      <c r="K318" s="13"/>
      <c r="L318" s="24"/>
      <c r="N318" s="24"/>
      <c r="O318" s="13"/>
      <c r="P318" s="13"/>
      <c r="Q318" s="24"/>
      <c r="S318" s="24"/>
      <c r="T318" s="13"/>
      <c r="U318" s="13"/>
      <c r="V318" s="24"/>
      <c r="X318" s="24"/>
      <c r="Y318" s="13"/>
      <c r="Z318" s="13"/>
      <c r="AA318" s="24"/>
      <c r="AC318" s="24"/>
      <c r="AD318" s="13"/>
      <c r="AE318" s="13"/>
      <c r="AF318" s="24"/>
      <c r="AH318" s="24"/>
      <c r="AI318" s="13"/>
      <c r="AJ318" s="13"/>
      <c r="AK318" s="24"/>
      <c r="AM318" s="24"/>
      <c r="AN318" s="13"/>
      <c r="AO318" s="13"/>
      <c r="AP318" s="24"/>
      <c r="AR318" s="24"/>
      <c r="AS318" s="13"/>
      <c r="AT318" s="13"/>
      <c r="AU318" s="24"/>
      <c r="AW318" s="24"/>
      <c r="AX318" s="13"/>
      <c r="AY318" s="13"/>
      <c r="AZ318" s="24"/>
      <c r="BB318" s="24"/>
      <c r="BC318" s="13"/>
      <c r="BD318" s="13"/>
      <c r="BE318" s="24"/>
      <c r="BG318" s="24"/>
      <c r="BH318" s="13"/>
      <c r="BI318" s="13"/>
      <c r="BJ318" s="24"/>
      <c r="BL318" s="24"/>
      <c r="BM318" s="13"/>
      <c r="BN318" s="13"/>
    </row>
    <row r="319" spans="1:66" s="11" customFormat="1" ht="21">
      <c r="A319" s="24"/>
      <c r="B319" s="24"/>
      <c r="C319" s="24"/>
      <c r="E319" s="13"/>
      <c r="F319" s="24"/>
      <c r="G319" s="24"/>
      <c r="I319" s="24"/>
      <c r="J319" s="13"/>
      <c r="K319" s="13"/>
      <c r="L319" s="24"/>
      <c r="N319" s="24"/>
      <c r="O319" s="13"/>
      <c r="P319" s="13"/>
      <c r="Q319" s="24"/>
      <c r="S319" s="24"/>
      <c r="T319" s="13"/>
      <c r="U319" s="13"/>
      <c r="V319" s="24"/>
      <c r="X319" s="24"/>
      <c r="Y319" s="13"/>
      <c r="Z319" s="13"/>
      <c r="AA319" s="24"/>
      <c r="AC319" s="24"/>
      <c r="AD319" s="13"/>
      <c r="AE319" s="13"/>
      <c r="AF319" s="24"/>
      <c r="AH319" s="24"/>
      <c r="AI319" s="13"/>
      <c r="AJ319" s="13"/>
      <c r="AK319" s="24"/>
      <c r="AM319" s="24"/>
      <c r="AN319" s="13"/>
      <c r="AO319" s="13"/>
      <c r="AP319" s="24"/>
      <c r="AR319" s="24"/>
      <c r="AS319" s="13"/>
      <c r="AT319" s="13"/>
      <c r="AU319" s="24"/>
      <c r="AW319" s="24"/>
      <c r="AX319" s="13"/>
      <c r="AY319" s="13"/>
      <c r="AZ319" s="24"/>
      <c r="BB319" s="24"/>
      <c r="BC319" s="13"/>
      <c r="BD319" s="13"/>
      <c r="BE319" s="24"/>
      <c r="BG319" s="24"/>
      <c r="BH319" s="13"/>
      <c r="BI319" s="13"/>
      <c r="BJ319" s="24"/>
      <c r="BL319" s="24"/>
      <c r="BM319" s="13"/>
      <c r="BN319" s="13"/>
    </row>
    <row r="320" spans="1:66" s="11" customFormat="1" ht="21">
      <c r="A320" s="24"/>
      <c r="B320" s="24"/>
      <c r="C320" s="24"/>
      <c r="E320" s="13"/>
      <c r="F320" s="24"/>
      <c r="G320" s="24"/>
      <c r="I320" s="24"/>
      <c r="J320" s="13"/>
      <c r="K320" s="13"/>
      <c r="L320" s="24"/>
      <c r="N320" s="24"/>
      <c r="O320" s="13"/>
      <c r="P320" s="13"/>
      <c r="Q320" s="24"/>
      <c r="S320" s="24"/>
      <c r="T320" s="13"/>
      <c r="U320" s="13"/>
      <c r="V320" s="24"/>
      <c r="X320" s="24"/>
      <c r="Y320" s="13"/>
      <c r="Z320" s="13"/>
      <c r="AA320" s="24"/>
      <c r="AC320" s="24"/>
      <c r="AD320" s="13"/>
      <c r="AE320" s="13"/>
      <c r="AF320" s="24"/>
      <c r="AH320" s="24"/>
      <c r="AI320" s="13"/>
      <c r="AJ320" s="13"/>
      <c r="AK320" s="24"/>
      <c r="AM320" s="24"/>
      <c r="AN320" s="13"/>
      <c r="AO320" s="13"/>
      <c r="AP320" s="24"/>
      <c r="AR320" s="24"/>
      <c r="AS320" s="13"/>
      <c r="AT320" s="13"/>
      <c r="AU320" s="24"/>
      <c r="AW320" s="24"/>
      <c r="AX320" s="13"/>
      <c r="AY320" s="13"/>
      <c r="AZ320" s="24"/>
      <c r="BB320" s="24"/>
      <c r="BC320" s="13"/>
      <c r="BD320" s="13"/>
      <c r="BE320" s="24"/>
      <c r="BG320" s="24"/>
      <c r="BH320" s="13"/>
      <c r="BI320" s="13"/>
      <c r="BJ320" s="24"/>
      <c r="BL320" s="24"/>
      <c r="BM320" s="13"/>
      <c r="BN320" s="13"/>
    </row>
    <row r="321" spans="1:66" s="11" customFormat="1" ht="21">
      <c r="A321" s="24"/>
      <c r="B321" s="24"/>
      <c r="C321" s="24"/>
      <c r="E321" s="13"/>
      <c r="F321" s="24"/>
      <c r="G321" s="24"/>
      <c r="I321" s="24"/>
      <c r="J321" s="13"/>
      <c r="K321" s="13"/>
      <c r="L321" s="24"/>
      <c r="N321" s="24"/>
      <c r="O321" s="13"/>
      <c r="P321" s="13"/>
      <c r="Q321" s="24"/>
      <c r="S321" s="24"/>
      <c r="T321" s="13"/>
      <c r="U321" s="13"/>
      <c r="V321" s="24"/>
      <c r="X321" s="24"/>
      <c r="Y321" s="13"/>
      <c r="Z321" s="13"/>
      <c r="AA321" s="24"/>
      <c r="AC321" s="24"/>
      <c r="AD321" s="13"/>
      <c r="AE321" s="13"/>
      <c r="AF321" s="24"/>
      <c r="AH321" s="24"/>
      <c r="AI321" s="13"/>
      <c r="AJ321" s="13"/>
      <c r="AK321" s="24"/>
      <c r="AM321" s="24"/>
      <c r="AN321" s="13"/>
      <c r="AO321" s="13"/>
      <c r="AP321" s="24"/>
      <c r="AR321" s="24"/>
      <c r="AS321" s="13"/>
      <c r="AT321" s="13"/>
      <c r="AU321" s="24"/>
      <c r="AW321" s="24"/>
      <c r="AX321" s="13"/>
      <c r="AY321" s="13"/>
      <c r="AZ321" s="24"/>
      <c r="BB321" s="24"/>
      <c r="BC321" s="13"/>
      <c r="BD321" s="13"/>
      <c r="BE321" s="24"/>
      <c r="BG321" s="24"/>
      <c r="BH321" s="13"/>
      <c r="BI321" s="13"/>
      <c r="BJ321" s="24"/>
      <c r="BL321" s="24"/>
      <c r="BM321" s="13"/>
      <c r="BN321" s="13"/>
    </row>
    <row r="322" spans="1:66" s="11" customFormat="1" ht="21">
      <c r="A322" s="24"/>
      <c r="B322" s="24"/>
      <c r="C322" s="24"/>
      <c r="E322" s="13"/>
      <c r="F322" s="24"/>
      <c r="G322" s="24"/>
      <c r="I322" s="24"/>
      <c r="J322" s="13"/>
      <c r="K322" s="13"/>
      <c r="L322" s="24"/>
      <c r="N322" s="24"/>
      <c r="O322" s="13"/>
      <c r="P322" s="13"/>
      <c r="Q322" s="24"/>
      <c r="S322" s="24"/>
      <c r="T322" s="13"/>
      <c r="U322" s="13"/>
      <c r="V322" s="24"/>
      <c r="X322" s="24"/>
      <c r="Y322" s="13"/>
      <c r="Z322" s="13"/>
      <c r="AA322" s="24"/>
      <c r="AC322" s="24"/>
      <c r="AD322" s="13"/>
      <c r="AE322" s="13"/>
      <c r="AF322" s="24"/>
      <c r="AH322" s="24"/>
      <c r="AI322" s="13"/>
      <c r="AJ322" s="13"/>
      <c r="AK322" s="24"/>
      <c r="AM322" s="24"/>
      <c r="AN322" s="13"/>
      <c r="AO322" s="13"/>
      <c r="AP322" s="24"/>
      <c r="AR322" s="24"/>
      <c r="AS322" s="13"/>
      <c r="AT322" s="13"/>
      <c r="AU322" s="24"/>
      <c r="AW322" s="24"/>
      <c r="AX322" s="13"/>
      <c r="AY322" s="13"/>
      <c r="AZ322" s="24"/>
      <c r="BB322" s="24"/>
      <c r="BC322" s="13"/>
      <c r="BD322" s="13"/>
      <c r="BE322" s="24"/>
      <c r="BG322" s="24"/>
      <c r="BH322" s="13"/>
      <c r="BI322" s="13"/>
      <c r="BJ322" s="24"/>
      <c r="BL322" s="24"/>
      <c r="BM322" s="13"/>
      <c r="BN322" s="13"/>
    </row>
    <row r="323" spans="1:66" s="11" customFormat="1" ht="21">
      <c r="A323" s="24"/>
      <c r="B323" s="24"/>
      <c r="C323" s="24"/>
      <c r="E323" s="13"/>
      <c r="F323" s="24"/>
      <c r="G323" s="24"/>
      <c r="I323" s="24"/>
      <c r="J323" s="13"/>
      <c r="K323" s="13"/>
      <c r="L323" s="24"/>
      <c r="N323" s="24"/>
      <c r="O323" s="13"/>
      <c r="P323" s="13"/>
      <c r="Q323" s="24"/>
      <c r="S323" s="24"/>
      <c r="T323" s="13"/>
      <c r="U323" s="13"/>
      <c r="V323" s="24"/>
      <c r="X323" s="24"/>
      <c r="Y323" s="13"/>
      <c r="Z323" s="13"/>
      <c r="AA323" s="24"/>
      <c r="AC323" s="24"/>
      <c r="AD323" s="13"/>
      <c r="AE323" s="13"/>
      <c r="AF323" s="24"/>
      <c r="AH323" s="24"/>
      <c r="AI323" s="13"/>
      <c r="AJ323" s="13"/>
      <c r="AK323" s="24"/>
      <c r="AM323" s="24"/>
      <c r="AN323" s="13"/>
      <c r="AO323" s="13"/>
      <c r="AP323" s="24"/>
      <c r="AR323" s="24"/>
      <c r="AS323" s="13"/>
      <c r="AT323" s="13"/>
      <c r="AU323" s="24"/>
      <c r="AW323" s="24"/>
      <c r="AX323" s="13"/>
      <c r="AY323" s="13"/>
      <c r="AZ323" s="24"/>
      <c r="BB323" s="24"/>
      <c r="BC323" s="13"/>
      <c r="BD323" s="13"/>
      <c r="BE323" s="24"/>
      <c r="BG323" s="24"/>
      <c r="BH323" s="13"/>
      <c r="BI323" s="13"/>
      <c r="BJ323" s="24"/>
      <c r="BL323" s="24"/>
      <c r="BM323" s="13"/>
      <c r="BN323" s="13"/>
    </row>
    <row r="324" spans="1:66" s="11" customFormat="1" ht="21">
      <c r="A324" s="24"/>
      <c r="B324" s="24"/>
      <c r="C324" s="24"/>
      <c r="E324" s="13"/>
      <c r="F324" s="24"/>
      <c r="G324" s="24"/>
      <c r="I324" s="24"/>
      <c r="J324" s="13"/>
      <c r="K324" s="13"/>
      <c r="L324" s="24"/>
      <c r="N324" s="24"/>
      <c r="O324" s="13"/>
      <c r="P324" s="13"/>
      <c r="Q324" s="24"/>
      <c r="S324" s="24"/>
      <c r="T324" s="13"/>
      <c r="U324" s="13"/>
      <c r="V324" s="24"/>
      <c r="X324" s="24"/>
      <c r="Y324" s="13"/>
      <c r="Z324" s="13"/>
      <c r="AA324" s="24"/>
      <c r="AC324" s="24"/>
      <c r="AD324" s="13"/>
      <c r="AE324" s="13"/>
      <c r="AF324" s="24"/>
      <c r="AH324" s="24"/>
      <c r="AI324" s="13"/>
      <c r="AJ324" s="13"/>
      <c r="AK324" s="24"/>
      <c r="AM324" s="24"/>
      <c r="AN324" s="13"/>
      <c r="AO324" s="13"/>
      <c r="AP324" s="24"/>
      <c r="AR324" s="24"/>
      <c r="AS324" s="13"/>
      <c r="AT324" s="13"/>
      <c r="AU324" s="24"/>
      <c r="AW324" s="24"/>
      <c r="AX324" s="13"/>
      <c r="AY324" s="13"/>
      <c r="AZ324" s="24"/>
      <c r="BB324" s="24"/>
      <c r="BC324" s="13"/>
      <c r="BD324" s="13"/>
      <c r="BE324" s="24"/>
      <c r="BG324" s="24"/>
      <c r="BH324" s="13"/>
      <c r="BI324" s="13"/>
      <c r="BJ324" s="24"/>
      <c r="BL324" s="24"/>
      <c r="BM324" s="13"/>
      <c r="BN324" s="13"/>
    </row>
    <row r="325" spans="1:66" s="11" customFormat="1" ht="21">
      <c r="A325" s="24"/>
      <c r="B325" s="24"/>
      <c r="C325" s="24"/>
      <c r="E325" s="13"/>
      <c r="F325" s="24"/>
      <c r="G325" s="24"/>
      <c r="I325" s="24"/>
      <c r="J325" s="13"/>
      <c r="K325" s="13"/>
      <c r="L325" s="24"/>
      <c r="N325" s="24"/>
      <c r="O325" s="13"/>
      <c r="P325" s="13"/>
      <c r="Q325" s="24"/>
      <c r="S325" s="24"/>
      <c r="T325" s="13"/>
      <c r="U325" s="13"/>
      <c r="V325" s="24"/>
      <c r="X325" s="24"/>
      <c r="Y325" s="13"/>
      <c r="Z325" s="13"/>
      <c r="AA325" s="24"/>
      <c r="AC325" s="24"/>
      <c r="AD325" s="13"/>
      <c r="AE325" s="13"/>
      <c r="AF325" s="24"/>
      <c r="AH325" s="24"/>
      <c r="AI325" s="13"/>
      <c r="AJ325" s="13"/>
      <c r="AK325" s="24"/>
      <c r="AM325" s="24"/>
      <c r="AN325" s="13"/>
      <c r="AO325" s="13"/>
      <c r="AP325" s="24"/>
      <c r="AR325" s="24"/>
      <c r="AS325" s="13"/>
      <c r="AT325" s="13"/>
      <c r="AU325" s="24"/>
      <c r="AW325" s="24"/>
      <c r="AX325" s="13"/>
      <c r="AY325" s="13"/>
      <c r="AZ325" s="24"/>
      <c r="BB325" s="24"/>
      <c r="BC325" s="13"/>
      <c r="BD325" s="13"/>
      <c r="BE325" s="24"/>
      <c r="BG325" s="24"/>
      <c r="BH325" s="13"/>
      <c r="BI325" s="13"/>
      <c r="BJ325" s="24"/>
      <c r="BL325" s="24"/>
      <c r="BM325" s="13"/>
      <c r="BN325" s="13"/>
    </row>
    <row r="326" spans="1:66" s="11" customFormat="1" ht="21">
      <c r="A326" s="24"/>
      <c r="B326" s="24"/>
      <c r="C326" s="24"/>
      <c r="E326" s="13"/>
      <c r="F326" s="24"/>
      <c r="G326" s="24"/>
      <c r="I326" s="24"/>
      <c r="J326" s="13"/>
      <c r="K326" s="13"/>
      <c r="L326" s="24"/>
      <c r="N326" s="24"/>
      <c r="O326" s="13"/>
      <c r="P326" s="13"/>
      <c r="Q326" s="24"/>
      <c r="S326" s="24"/>
      <c r="T326" s="13"/>
      <c r="U326" s="13"/>
      <c r="V326" s="24"/>
      <c r="X326" s="24"/>
      <c r="Y326" s="13"/>
      <c r="Z326" s="13"/>
      <c r="AA326" s="24"/>
      <c r="AC326" s="24"/>
      <c r="AD326" s="13"/>
      <c r="AE326" s="13"/>
      <c r="AF326" s="24"/>
      <c r="AH326" s="24"/>
      <c r="AI326" s="13"/>
      <c r="AJ326" s="13"/>
      <c r="AK326" s="24"/>
      <c r="AM326" s="24"/>
      <c r="AN326" s="13"/>
      <c r="AO326" s="13"/>
      <c r="AP326" s="24"/>
      <c r="AR326" s="24"/>
      <c r="AS326" s="13"/>
      <c r="AT326" s="13"/>
      <c r="AU326" s="24"/>
      <c r="AW326" s="24"/>
      <c r="AX326" s="13"/>
      <c r="AY326" s="13"/>
      <c r="AZ326" s="24"/>
      <c r="BB326" s="24"/>
      <c r="BC326" s="13"/>
      <c r="BD326" s="13"/>
      <c r="BE326" s="24"/>
      <c r="BG326" s="24"/>
      <c r="BH326" s="13"/>
      <c r="BI326" s="13"/>
      <c r="BJ326" s="24"/>
      <c r="BL326" s="24"/>
      <c r="BM326" s="13"/>
      <c r="BN326" s="13"/>
    </row>
    <row r="327" spans="1:66" s="11" customFormat="1" ht="21">
      <c r="A327" s="24"/>
      <c r="B327" s="24"/>
      <c r="C327" s="24"/>
      <c r="E327" s="13"/>
      <c r="F327" s="24"/>
      <c r="G327" s="24"/>
      <c r="I327" s="24"/>
      <c r="J327" s="13"/>
      <c r="K327" s="13"/>
      <c r="L327" s="24"/>
      <c r="N327" s="24"/>
      <c r="O327" s="13"/>
      <c r="P327" s="13"/>
      <c r="Q327" s="24"/>
      <c r="S327" s="24"/>
      <c r="T327" s="13"/>
      <c r="U327" s="13"/>
      <c r="V327" s="24"/>
      <c r="X327" s="24"/>
      <c r="Y327" s="13"/>
      <c r="Z327" s="13"/>
      <c r="AA327" s="24"/>
      <c r="AC327" s="24"/>
      <c r="AD327" s="13"/>
      <c r="AE327" s="13"/>
      <c r="AF327" s="24"/>
      <c r="AH327" s="24"/>
      <c r="AI327" s="13"/>
      <c r="AJ327" s="13"/>
      <c r="AK327" s="24"/>
      <c r="AM327" s="24"/>
      <c r="AN327" s="13"/>
      <c r="AO327" s="13"/>
      <c r="AP327" s="24"/>
      <c r="AR327" s="24"/>
      <c r="AS327" s="13"/>
      <c r="AT327" s="13"/>
      <c r="AU327" s="24"/>
      <c r="AW327" s="24"/>
      <c r="AX327" s="13"/>
      <c r="AY327" s="13"/>
      <c r="AZ327" s="24"/>
      <c r="BB327" s="24"/>
      <c r="BC327" s="13"/>
      <c r="BD327" s="13"/>
      <c r="BE327" s="24"/>
      <c r="BG327" s="24"/>
      <c r="BH327" s="13"/>
      <c r="BI327" s="13"/>
      <c r="BJ327" s="24"/>
      <c r="BL327" s="24"/>
      <c r="BM327" s="13"/>
      <c r="BN327" s="13"/>
    </row>
    <row r="328" spans="1:66" s="11" customFormat="1" ht="21">
      <c r="A328" s="24"/>
      <c r="B328" s="24"/>
      <c r="C328" s="24"/>
      <c r="E328" s="13"/>
      <c r="F328" s="24"/>
      <c r="G328" s="24"/>
      <c r="I328" s="24"/>
      <c r="J328" s="13"/>
      <c r="K328" s="13"/>
      <c r="L328" s="24"/>
      <c r="N328" s="24"/>
      <c r="O328" s="13"/>
      <c r="P328" s="13"/>
      <c r="Q328" s="24"/>
      <c r="S328" s="24"/>
      <c r="T328" s="13"/>
      <c r="U328" s="13"/>
      <c r="V328" s="24"/>
      <c r="X328" s="24"/>
      <c r="Y328" s="13"/>
      <c r="Z328" s="13"/>
      <c r="AA328" s="24"/>
      <c r="AC328" s="24"/>
      <c r="AD328" s="13"/>
      <c r="AE328" s="13"/>
      <c r="AF328" s="24"/>
      <c r="AH328" s="24"/>
      <c r="AI328" s="13"/>
      <c r="AJ328" s="13"/>
      <c r="AK328" s="24"/>
      <c r="AM328" s="24"/>
      <c r="AN328" s="13"/>
      <c r="AO328" s="13"/>
      <c r="AP328" s="24"/>
      <c r="AR328" s="24"/>
      <c r="AS328" s="13"/>
      <c r="AT328" s="13"/>
      <c r="AU328" s="24"/>
      <c r="AW328" s="24"/>
      <c r="AX328" s="13"/>
      <c r="AY328" s="13"/>
      <c r="AZ328" s="24"/>
      <c r="BB328" s="24"/>
      <c r="BC328" s="13"/>
      <c r="BD328" s="13"/>
      <c r="BE328" s="24"/>
      <c r="BG328" s="24"/>
      <c r="BH328" s="13"/>
      <c r="BI328" s="13"/>
      <c r="BJ328" s="24"/>
      <c r="BL328" s="24"/>
      <c r="BM328" s="13"/>
      <c r="BN328" s="13"/>
    </row>
    <row r="329" spans="1:66" s="11" customFormat="1" ht="21">
      <c r="A329" s="24"/>
      <c r="B329" s="24"/>
      <c r="C329" s="24"/>
      <c r="E329" s="13"/>
      <c r="F329" s="24"/>
      <c r="G329" s="24"/>
      <c r="I329" s="24"/>
      <c r="J329" s="13"/>
      <c r="K329" s="13"/>
      <c r="L329" s="24"/>
      <c r="N329" s="24"/>
      <c r="O329" s="13"/>
      <c r="P329" s="13"/>
      <c r="Q329" s="24"/>
      <c r="S329" s="24"/>
      <c r="T329" s="13"/>
      <c r="U329" s="13"/>
      <c r="V329" s="24"/>
      <c r="X329" s="24"/>
      <c r="Y329" s="13"/>
      <c r="Z329" s="13"/>
      <c r="AA329" s="24"/>
      <c r="AC329" s="24"/>
      <c r="AD329" s="13"/>
      <c r="AE329" s="13"/>
      <c r="AF329" s="24"/>
      <c r="AH329" s="24"/>
      <c r="AI329" s="13"/>
      <c r="AJ329" s="13"/>
      <c r="AK329" s="24"/>
      <c r="AM329" s="24"/>
      <c r="AN329" s="13"/>
      <c r="AO329" s="13"/>
      <c r="AP329" s="24"/>
      <c r="AR329" s="24"/>
      <c r="AS329" s="13"/>
      <c r="AT329" s="13"/>
      <c r="AU329" s="24"/>
      <c r="AW329" s="24"/>
      <c r="AX329" s="13"/>
      <c r="AY329" s="13"/>
      <c r="AZ329" s="24"/>
      <c r="BB329" s="24"/>
      <c r="BC329" s="13"/>
      <c r="BD329" s="13"/>
      <c r="BE329" s="24"/>
      <c r="BG329" s="24"/>
      <c r="BH329" s="13"/>
      <c r="BI329" s="13"/>
      <c r="BJ329" s="24"/>
      <c r="BL329" s="24"/>
      <c r="BM329" s="13"/>
      <c r="BN329" s="13"/>
    </row>
    <row r="330" spans="1:66" s="11" customFormat="1" ht="21">
      <c r="A330" s="24"/>
      <c r="B330" s="24"/>
      <c r="C330" s="24"/>
      <c r="E330" s="13"/>
      <c r="F330" s="24"/>
      <c r="G330" s="24"/>
      <c r="I330" s="24"/>
      <c r="J330" s="13"/>
      <c r="K330" s="13"/>
      <c r="L330" s="24"/>
      <c r="N330" s="24"/>
      <c r="O330" s="13"/>
      <c r="P330" s="13"/>
      <c r="Q330" s="24"/>
      <c r="S330" s="24"/>
      <c r="T330" s="13"/>
      <c r="U330" s="13"/>
      <c r="V330" s="24"/>
      <c r="X330" s="24"/>
      <c r="Y330" s="13"/>
      <c r="Z330" s="13"/>
      <c r="AA330" s="24"/>
      <c r="AC330" s="24"/>
      <c r="AD330" s="13"/>
      <c r="AE330" s="13"/>
      <c r="AF330" s="24"/>
      <c r="AH330" s="24"/>
      <c r="AI330" s="13"/>
      <c r="AJ330" s="13"/>
      <c r="AK330" s="24"/>
      <c r="AM330" s="24"/>
      <c r="AN330" s="13"/>
      <c r="AO330" s="13"/>
      <c r="AP330" s="24"/>
      <c r="AR330" s="24"/>
      <c r="AS330" s="13"/>
      <c r="AT330" s="13"/>
      <c r="AU330" s="24"/>
      <c r="AW330" s="24"/>
      <c r="AX330" s="13"/>
      <c r="AY330" s="13"/>
      <c r="AZ330" s="24"/>
      <c r="BB330" s="24"/>
      <c r="BC330" s="13"/>
      <c r="BD330" s="13"/>
      <c r="BE330" s="24"/>
      <c r="BG330" s="24"/>
      <c r="BH330" s="13"/>
      <c r="BI330" s="13"/>
      <c r="BJ330" s="24"/>
      <c r="BL330" s="24"/>
      <c r="BM330" s="13"/>
      <c r="BN330" s="13"/>
    </row>
    <row r="331" spans="1:66" s="11" customFormat="1" ht="21">
      <c r="A331" s="24"/>
      <c r="B331" s="24"/>
      <c r="C331" s="24"/>
      <c r="E331" s="13"/>
      <c r="F331" s="24"/>
      <c r="G331" s="24"/>
      <c r="I331" s="24"/>
      <c r="J331" s="13"/>
      <c r="K331" s="13"/>
      <c r="L331" s="24"/>
      <c r="N331" s="24"/>
      <c r="O331" s="13"/>
      <c r="P331" s="13"/>
      <c r="Q331" s="24"/>
      <c r="S331" s="24"/>
      <c r="T331" s="13"/>
      <c r="U331" s="13"/>
      <c r="V331" s="24"/>
      <c r="X331" s="24"/>
      <c r="Y331" s="13"/>
      <c r="Z331" s="13"/>
      <c r="AA331" s="24"/>
      <c r="AC331" s="24"/>
      <c r="AD331" s="13"/>
      <c r="AE331" s="13"/>
      <c r="AF331" s="24"/>
      <c r="AH331" s="24"/>
      <c r="AI331" s="13"/>
      <c r="AJ331" s="13"/>
      <c r="AK331" s="24"/>
      <c r="AM331" s="24"/>
      <c r="AN331" s="13"/>
      <c r="AO331" s="13"/>
      <c r="AP331" s="24"/>
      <c r="AR331" s="24"/>
      <c r="AS331" s="13"/>
      <c r="AT331" s="13"/>
      <c r="AU331" s="24"/>
      <c r="AW331" s="24"/>
      <c r="AX331" s="13"/>
      <c r="AY331" s="13"/>
      <c r="AZ331" s="24"/>
      <c r="BB331" s="24"/>
      <c r="BC331" s="13"/>
      <c r="BD331" s="13"/>
      <c r="BE331" s="24"/>
      <c r="BG331" s="24"/>
      <c r="BH331" s="13"/>
      <c r="BI331" s="13"/>
      <c r="BJ331" s="24"/>
      <c r="BL331" s="24"/>
      <c r="BM331" s="13"/>
      <c r="BN331" s="13"/>
    </row>
    <row r="332" spans="1:66" s="11" customFormat="1" ht="21">
      <c r="A332" s="24"/>
      <c r="B332" s="24"/>
      <c r="C332" s="24"/>
      <c r="E332" s="13"/>
      <c r="F332" s="24"/>
      <c r="G332" s="24"/>
      <c r="I332" s="24"/>
      <c r="J332" s="13"/>
      <c r="K332" s="13"/>
      <c r="L332" s="24"/>
      <c r="N332" s="24"/>
      <c r="O332" s="13"/>
      <c r="P332" s="13"/>
      <c r="Q332" s="24"/>
      <c r="S332" s="24"/>
      <c r="T332" s="13"/>
      <c r="U332" s="13"/>
      <c r="V332" s="24"/>
      <c r="X332" s="24"/>
      <c r="Y332" s="13"/>
      <c r="Z332" s="13"/>
      <c r="AA332" s="24"/>
      <c r="AC332" s="24"/>
      <c r="AD332" s="13"/>
      <c r="AE332" s="13"/>
      <c r="AF332" s="24"/>
      <c r="AH332" s="24"/>
      <c r="AI332" s="13"/>
      <c r="AJ332" s="13"/>
      <c r="AK332" s="24"/>
      <c r="AM332" s="24"/>
      <c r="AN332" s="13"/>
      <c r="AO332" s="13"/>
      <c r="AP332" s="24"/>
      <c r="AR332" s="24"/>
      <c r="AS332" s="13"/>
      <c r="AT332" s="13"/>
      <c r="AU332" s="24"/>
      <c r="AW332" s="24"/>
      <c r="AX332" s="13"/>
      <c r="AY332" s="13"/>
      <c r="AZ332" s="24"/>
      <c r="BB332" s="24"/>
      <c r="BC332" s="13"/>
      <c r="BD332" s="13"/>
      <c r="BE332" s="24"/>
      <c r="BG332" s="24"/>
      <c r="BH332" s="13"/>
      <c r="BI332" s="13"/>
      <c r="BJ332" s="24"/>
      <c r="BL332" s="24"/>
      <c r="BM332" s="13"/>
      <c r="BN332" s="13"/>
    </row>
    <row r="333" spans="1:66" s="11" customFormat="1" ht="21">
      <c r="A333" s="24"/>
      <c r="B333" s="24"/>
      <c r="C333" s="24"/>
      <c r="E333" s="13"/>
      <c r="F333" s="24"/>
      <c r="G333" s="24"/>
      <c r="I333" s="24"/>
      <c r="J333" s="13"/>
      <c r="K333" s="13"/>
      <c r="L333" s="24"/>
      <c r="N333" s="24"/>
      <c r="O333" s="13"/>
      <c r="P333" s="13"/>
      <c r="Q333" s="24"/>
      <c r="S333" s="24"/>
      <c r="T333" s="13"/>
      <c r="U333" s="13"/>
      <c r="V333" s="24"/>
      <c r="X333" s="24"/>
      <c r="Y333" s="13"/>
      <c r="Z333" s="13"/>
      <c r="AA333" s="24"/>
      <c r="AC333" s="24"/>
      <c r="AD333" s="13"/>
      <c r="AE333" s="13"/>
      <c r="AF333" s="24"/>
      <c r="AH333" s="24"/>
      <c r="AI333" s="13"/>
      <c r="AJ333" s="13"/>
      <c r="AK333" s="24"/>
      <c r="AM333" s="24"/>
      <c r="AN333" s="13"/>
      <c r="AO333" s="13"/>
      <c r="AP333" s="24"/>
      <c r="AR333" s="24"/>
      <c r="AS333" s="13"/>
      <c r="AT333" s="13"/>
      <c r="AU333" s="24"/>
      <c r="AW333" s="24"/>
      <c r="AX333" s="13"/>
      <c r="AY333" s="13"/>
      <c r="AZ333" s="24"/>
      <c r="BB333" s="24"/>
      <c r="BC333" s="13"/>
      <c r="BD333" s="13"/>
      <c r="BE333" s="24"/>
      <c r="BG333" s="24"/>
      <c r="BH333" s="13"/>
      <c r="BI333" s="13"/>
      <c r="BJ333" s="24"/>
      <c r="BL333" s="24"/>
      <c r="BM333" s="13"/>
      <c r="BN333" s="13"/>
    </row>
    <row r="334" spans="1:66" s="11" customFormat="1" ht="21">
      <c r="A334" s="24"/>
      <c r="B334" s="24"/>
      <c r="C334" s="24"/>
      <c r="E334" s="13"/>
      <c r="F334" s="24"/>
      <c r="G334" s="24"/>
      <c r="I334" s="24"/>
      <c r="J334" s="13"/>
      <c r="K334" s="13"/>
      <c r="L334" s="24"/>
      <c r="N334" s="24"/>
      <c r="O334" s="13"/>
      <c r="P334" s="13"/>
      <c r="Q334" s="24"/>
      <c r="S334" s="24"/>
      <c r="T334" s="13"/>
      <c r="U334" s="13"/>
      <c r="V334" s="24"/>
      <c r="X334" s="24"/>
      <c r="Y334" s="13"/>
      <c r="Z334" s="13"/>
      <c r="AA334" s="24"/>
      <c r="AC334" s="24"/>
      <c r="AD334" s="13"/>
      <c r="AE334" s="13"/>
      <c r="AF334" s="24"/>
      <c r="AH334" s="24"/>
      <c r="AI334" s="13"/>
      <c r="AJ334" s="13"/>
      <c r="AK334" s="24"/>
      <c r="AM334" s="24"/>
      <c r="AN334" s="13"/>
      <c r="AO334" s="13"/>
      <c r="AP334" s="24"/>
      <c r="AR334" s="24"/>
      <c r="AS334" s="13"/>
      <c r="AT334" s="13"/>
      <c r="AU334" s="24"/>
      <c r="AW334" s="24"/>
      <c r="AX334" s="13"/>
      <c r="AY334" s="13"/>
      <c r="AZ334" s="24"/>
      <c r="BB334" s="24"/>
      <c r="BC334" s="13"/>
      <c r="BD334" s="13"/>
      <c r="BE334" s="24"/>
      <c r="BG334" s="24"/>
      <c r="BH334" s="13"/>
      <c r="BI334" s="13"/>
      <c r="BJ334" s="24"/>
      <c r="BL334" s="24"/>
      <c r="BM334" s="13"/>
      <c r="BN334" s="13"/>
    </row>
    <row r="335" spans="1:66" s="11" customFormat="1" ht="21">
      <c r="A335" s="24"/>
      <c r="B335" s="24"/>
      <c r="C335" s="24"/>
      <c r="E335" s="13"/>
      <c r="F335" s="24"/>
      <c r="G335" s="24"/>
      <c r="I335" s="24"/>
      <c r="J335" s="13"/>
      <c r="K335" s="13"/>
      <c r="L335" s="24"/>
      <c r="N335" s="24"/>
      <c r="O335" s="13"/>
      <c r="P335" s="13"/>
      <c r="Q335" s="24"/>
      <c r="S335" s="24"/>
      <c r="T335" s="13"/>
      <c r="U335" s="13"/>
      <c r="V335" s="24"/>
      <c r="X335" s="24"/>
      <c r="Y335" s="13"/>
      <c r="Z335" s="13"/>
      <c r="AA335" s="24"/>
      <c r="AC335" s="24"/>
      <c r="AD335" s="13"/>
      <c r="AE335" s="13"/>
      <c r="AF335" s="24"/>
      <c r="AH335" s="24"/>
      <c r="AI335" s="13"/>
      <c r="AJ335" s="13"/>
      <c r="AK335" s="24"/>
      <c r="AM335" s="24"/>
      <c r="AN335" s="13"/>
      <c r="AO335" s="13"/>
      <c r="AP335" s="24"/>
      <c r="AR335" s="24"/>
      <c r="AS335" s="13"/>
      <c r="AT335" s="13"/>
      <c r="AU335" s="24"/>
      <c r="AW335" s="24"/>
      <c r="AX335" s="13"/>
      <c r="AY335" s="13"/>
      <c r="AZ335" s="24"/>
      <c r="BB335" s="24"/>
      <c r="BC335" s="13"/>
      <c r="BD335" s="13"/>
      <c r="BE335" s="24"/>
      <c r="BG335" s="24"/>
      <c r="BH335" s="13"/>
      <c r="BI335" s="13"/>
      <c r="BJ335" s="24"/>
      <c r="BL335" s="24"/>
      <c r="BM335" s="13"/>
      <c r="BN335" s="13"/>
    </row>
    <row r="336" spans="1:66" s="11" customFormat="1" ht="21">
      <c r="A336" s="24"/>
      <c r="B336" s="24"/>
      <c r="C336" s="24"/>
      <c r="E336" s="13"/>
      <c r="F336" s="24"/>
      <c r="G336" s="24"/>
      <c r="I336" s="24"/>
      <c r="J336" s="13"/>
      <c r="K336" s="13"/>
      <c r="L336" s="24"/>
      <c r="N336" s="24"/>
      <c r="O336" s="13"/>
      <c r="P336" s="13"/>
      <c r="Q336" s="24"/>
      <c r="S336" s="24"/>
      <c r="T336" s="13"/>
      <c r="U336" s="13"/>
      <c r="V336" s="24"/>
      <c r="X336" s="24"/>
      <c r="Y336" s="13"/>
      <c r="Z336" s="13"/>
      <c r="AA336" s="24"/>
      <c r="AC336" s="24"/>
      <c r="AD336" s="13"/>
      <c r="AE336" s="13"/>
      <c r="AF336" s="24"/>
      <c r="AH336" s="24"/>
      <c r="AI336" s="13"/>
      <c r="AJ336" s="13"/>
      <c r="AK336" s="24"/>
      <c r="AM336" s="24"/>
      <c r="AN336" s="13"/>
      <c r="AO336" s="13"/>
      <c r="AP336" s="24"/>
      <c r="AR336" s="24"/>
      <c r="AS336" s="13"/>
      <c r="AT336" s="13"/>
      <c r="AU336" s="24"/>
      <c r="AW336" s="24"/>
      <c r="AX336" s="13"/>
      <c r="AY336" s="13"/>
      <c r="AZ336" s="24"/>
      <c r="BB336" s="24"/>
      <c r="BC336" s="13"/>
      <c r="BD336" s="13"/>
      <c r="BE336" s="24"/>
      <c r="BG336" s="24"/>
      <c r="BH336" s="13"/>
      <c r="BI336" s="13"/>
      <c r="BJ336" s="24"/>
      <c r="BL336" s="24"/>
      <c r="BM336" s="13"/>
      <c r="BN336" s="13"/>
    </row>
    <row r="337" spans="1:66" s="11" customFormat="1" ht="21">
      <c r="A337" s="24"/>
      <c r="B337" s="24"/>
      <c r="C337" s="24"/>
      <c r="E337" s="13"/>
      <c r="F337" s="24"/>
      <c r="G337" s="24"/>
      <c r="I337" s="24"/>
      <c r="J337" s="13"/>
      <c r="K337" s="13"/>
      <c r="L337" s="24"/>
      <c r="N337" s="24"/>
      <c r="O337" s="13"/>
      <c r="P337" s="13"/>
      <c r="Q337" s="24"/>
      <c r="S337" s="24"/>
      <c r="T337" s="13"/>
      <c r="U337" s="13"/>
      <c r="V337" s="24"/>
      <c r="X337" s="24"/>
      <c r="Y337" s="13"/>
      <c r="Z337" s="13"/>
      <c r="AA337" s="24"/>
      <c r="AC337" s="24"/>
      <c r="AD337" s="13"/>
      <c r="AE337" s="13"/>
      <c r="AF337" s="24"/>
      <c r="AH337" s="24"/>
      <c r="AI337" s="13"/>
      <c r="AJ337" s="13"/>
      <c r="AK337" s="24"/>
      <c r="AM337" s="24"/>
      <c r="AN337" s="13"/>
      <c r="AO337" s="13"/>
      <c r="AP337" s="24"/>
      <c r="AR337" s="24"/>
      <c r="AS337" s="13"/>
      <c r="AT337" s="13"/>
      <c r="AU337" s="24"/>
      <c r="AW337" s="24"/>
      <c r="AX337" s="13"/>
      <c r="AY337" s="13"/>
      <c r="AZ337" s="24"/>
      <c r="BB337" s="24"/>
      <c r="BC337" s="13"/>
      <c r="BD337" s="13"/>
      <c r="BE337" s="24"/>
      <c r="BG337" s="24"/>
      <c r="BH337" s="13"/>
      <c r="BI337" s="13"/>
      <c r="BJ337" s="24"/>
      <c r="BL337" s="24"/>
      <c r="BM337" s="13"/>
      <c r="BN337" s="13"/>
    </row>
    <row r="338" spans="1:66" s="11" customFormat="1" ht="21">
      <c r="A338" s="24"/>
      <c r="B338" s="24"/>
      <c r="C338" s="24"/>
      <c r="E338" s="13"/>
      <c r="F338" s="24"/>
      <c r="G338" s="24"/>
      <c r="I338" s="24"/>
      <c r="J338" s="13"/>
      <c r="K338" s="13"/>
      <c r="L338" s="24"/>
      <c r="N338" s="24"/>
      <c r="O338" s="13"/>
      <c r="P338" s="13"/>
      <c r="Q338" s="24"/>
      <c r="S338" s="24"/>
      <c r="T338" s="13"/>
      <c r="U338" s="13"/>
      <c r="V338" s="24"/>
      <c r="X338" s="24"/>
      <c r="Y338" s="13"/>
      <c r="Z338" s="13"/>
      <c r="AA338" s="24"/>
      <c r="AC338" s="24"/>
      <c r="AD338" s="13"/>
      <c r="AE338" s="13"/>
      <c r="AF338" s="24"/>
      <c r="AH338" s="24"/>
      <c r="AI338" s="13"/>
      <c r="AJ338" s="13"/>
      <c r="AK338" s="24"/>
      <c r="AM338" s="24"/>
      <c r="AN338" s="13"/>
      <c r="AO338" s="13"/>
      <c r="AP338" s="24"/>
      <c r="AR338" s="24"/>
      <c r="AS338" s="13"/>
      <c r="AT338" s="13"/>
      <c r="AU338" s="24"/>
      <c r="AW338" s="24"/>
      <c r="AX338" s="13"/>
      <c r="AY338" s="13"/>
      <c r="AZ338" s="24"/>
      <c r="BB338" s="24"/>
      <c r="BC338" s="13"/>
      <c r="BD338" s="13"/>
      <c r="BE338" s="24"/>
      <c r="BG338" s="24"/>
      <c r="BH338" s="13"/>
      <c r="BI338" s="13"/>
      <c r="BJ338" s="24"/>
      <c r="BL338" s="24"/>
      <c r="BM338" s="13"/>
      <c r="BN338" s="13"/>
    </row>
    <row r="339" spans="1:66" s="11" customFormat="1" ht="21">
      <c r="A339" s="24"/>
      <c r="B339" s="24"/>
      <c r="C339" s="24"/>
      <c r="E339" s="13"/>
      <c r="F339" s="24"/>
      <c r="G339" s="24"/>
      <c r="I339" s="24"/>
      <c r="J339" s="13"/>
      <c r="K339" s="13"/>
      <c r="L339" s="24"/>
      <c r="N339" s="24"/>
      <c r="O339" s="13"/>
      <c r="P339" s="13"/>
      <c r="Q339" s="24"/>
      <c r="S339" s="24"/>
      <c r="T339" s="13"/>
      <c r="U339" s="13"/>
      <c r="V339" s="24"/>
      <c r="X339" s="24"/>
      <c r="Y339" s="13"/>
      <c r="Z339" s="13"/>
      <c r="AA339" s="24"/>
      <c r="AC339" s="24"/>
      <c r="AD339" s="13"/>
      <c r="AE339" s="13"/>
      <c r="AF339" s="24"/>
      <c r="AH339" s="24"/>
      <c r="AI339" s="13"/>
      <c r="AJ339" s="13"/>
      <c r="AK339" s="24"/>
      <c r="AM339" s="24"/>
      <c r="AN339" s="13"/>
      <c r="AO339" s="13"/>
      <c r="AP339" s="24"/>
      <c r="AR339" s="24"/>
      <c r="AS339" s="13"/>
      <c r="AT339" s="13"/>
      <c r="AU339" s="24"/>
      <c r="AW339" s="24"/>
      <c r="AX339" s="13"/>
      <c r="AY339" s="13"/>
      <c r="AZ339" s="24"/>
      <c r="BB339" s="24"/>
      <c r="BC339" s="13"/>
      <c r="BD339" s="13"/>
      <c r="BE339" s="24"/>
      <c r="BG339" s="24"/>
      <c r="BH339" s="13"/>
      <c r="BI339" s="13"/>
      <c r="BJ339" s="24"/>
      <c r="BL339" s="24"/>
      <c r="BM339" s="13"/>
      <c r="BN339" s="13"/>
    </row>
    <row r="340" spans="1:66" s="11" customFormat="1" ht="21">
      <c r="A340" s="24"/>
      <c r="B340" s="24"/>
      <c r="C340" s="24"/>
      <c r="E340" s="13"/>
      <c r="F340" s="24"/>
      <c r="G340" s="24"/>
      <c r="I340" s="24"/>
      <c r="J340" s="13"/>
      <c r="K340" s="13"/>
      <c r="L340" s="24"/>
      <c r="N340" s="24"/>
      <c r="O340" s="13"/>
      <c r="P340" s="13"/>
      <c r="Q340" s="24"/>
      <c r="S340" s="24"/>
      <c r="T340" s="13"/>
      <c r="U340" s="13"/>
      <c r="V340" s="24"/>
      <c r="X340" s="24"/>
      <c r="Y340" s="13"/>
      <c r="Z340" s="13"/>
      <c r="AA340" s="24"/>
      <c r="AC340" s="24"/>
      <c r="AD340" s="13"/>
      <c r="AE340" s="13"/>
      <c r="AF340" s="24"/>
      <c r="AH340" s="24"/>
      <c r="AI340" s="13"/>
      <c r="AJ340" s="13"/>
      <c r="AK340" s="24"/>
      <c r="AM340" s="24"/>
      <c r="AN340" s="13"/>
      <c r="AO340" s="13"/>
      <c r="AP340" s="24"/>
      <c r="AR340" s="24"/>
      <c r="AS340" s="13"/>
      <c r="AT340" s="13"/>
      <c r="AU340" s="24"/>
      <c r="AW340" s="24"/>
      <c r="AX340" s="13"/>
      <c r="AY340" s="13"/>
      <c r="AZ340" s="24"/>
      <c r="BB340" s="24"/>
      <c r="BC340" s="13"/>
      <c r="BD340" s="13"/>
      <c r="BE340" s="24"/>
      <c r="BG340" s="24"/>
      <c r="BH340" s="13"/>
      <c r="BI340" s="13"/>
      <c r="BJ340" s="24"/>
      <c r="BL340" s="24"/>
      <c r="BM340" s="13"/>
      <c r="BN340" s="13"/>
    </row>
    <row r="341" spans="1:66" s="11" customFormat="1" ht="21">
      <c r="A341" s="24"/>
      <c r="B341" s="24"/>
      <c r="C341" s="24"/>
      <c r="E341" s="13"/>
      <c r="F341" s="24"/>
      <c r="G341" s="24"/>
      <c r="I341" s="24"/>
      <c r="J341" s="13"/>
      <c r="K341" s="13"/>
      <c r="L341" s="24"/>
      <c r="N341" s="24"/>
      <c r="O341" s="13"/>
      <c r="P341" s="13"/>
      <c r="Q341" s="24"/>
      <c r="S341" s="24"/>
      <c r="T341" s="13"/>
      <c r="U341" s="13"/>
      <c r="V341" s="24"/>
      <c r="X341" s="24"/>
      <c r="Y341" s="13"/>
      <c r="Z341" s="13"/>
      <c r="AA341" s="24"/>
      <c r="AC341" s="24"/>
      <c r="AD341" s="13"/>
      <c r="AE341" s="13"/>
      <c r="AF341" s="24"/>
      <c r="AH341" s="24"/>
      <c r="AI341" s="13"/>
      <c r="AJ341" s="13"/>
      <c r="AK341" s="24"/>
      <c r="AM341" s="24"/>
      <c r="AN341" s="13"/>
      <c r="AO341" s="13"/>
      <c r="AP341" s="24"/>
      <c r="AR341" s="24"/>
      <c r="AS341" s="13"/>
      <c r="AT341" s="13"/>
      <c r="AU341" s="24"/>
      <c r="AW341" s="24"/>
      <c r="AX341" s="13"/>
      <c r="AY341" s="13"/>
      <c r="AZ341" s="24"/>
      <c r="BB341" s="24"/>
      <c r="BC341" s="13"/>
      <c r="BD341" s="13"/>
      <c r="BE341" s="24"/>
      <c r="BG341" s="24"/>
      <c r="BH341" s="13"/>
      <c r="BI341" s="13"/>
      <c r="BJ341" s="24"/>
      <c r="BL341" s="24"/>
      <c r="BM341" s="13"/>
      <c r="BN341" s="13"/>
    </row>
    <row r="342" spans="1:66" s="11" customFormat="1" ht="21">
      <c r="A342" s="24"/>
      <c r="B342" s="24"/>
      <c r="C342" s="24"/>
      <c r="E342" s="13"/>
      <c r="F342" s="24"/>
      <c r="G342" s="24"/>
      <c r="I342" s="24"/>
      <c r="J342" s="13"/>
      <c r="K342" s="13"/>
      <c r="L342" s="24"/>
      <c r="N342" s="24"/>
      <c r="O342" s="13"/>
      <c r="P342" s="13"/>
      <c r="Q342" s="24"/>
      <c r="S342" s="24"/>
      <c r="T342" s="13"/>
      <c r="U342" s="13"/>
      <c r="V342" s="24"/>
      <c r="X342" s="24"/>
      <c r="Y342" s="13"/>
      <c r="Z342" s="13"/>
      <c r="AA342" s="24"/>
      <c r="AC342" s="24"/>
      <c r="AD342" s="13"/>
      <c r="AE342" s="13"/>
      <c r="AF342" s="24"/>
      <c r="AH342" s="24"/>
      <c r="AI342" s="13"/>
      <c r="AJ342" s="13"/>
      <c r="AK342" s="24"/>
      <c r="AM342" s="24"/>
      <c r="AN342" s="13"/>
      <c r="AO342" s="13"/>
      <c r="AP342" s="24"/>
      <c r="AR342" s="24"/>
      <c r="AS342" s="13"/>
      <c r="AT342" s="13"/>
      <c r="AU342" s="24"/>
      <c r="AW342" s="24"/>
      <c r="AX342" s="13"/>
      <c r="AY342" s="13"/>
      <c r="AZ342" s="24"/>
      <c r="BB342" s="24"/>
      <c r="BC342" s="13"/>
      <c r="BD342" s="13"/>
      <c r="BE342" s="24"/>
      <c r="BG342" s="24"/>
      <c r="BH342" s="13"/>
      <c r="BI342" s="13"/>
      <c r="BJ342" s="24"/>
      <c r="BL342" s="24"/>
      <c r="BM342" s="13"/>
      <c r="BN342" s="13"/>
    </row>
    <row r="343" spans="1:66" s="11" customFormat="1" ht="21">
      <c r="A343" s="24"/>
      <c r="B343" s="24"/>
      <c r="C343" s="24"/>
      <c r="E343" s="13"/>
      <c r="F343" s="24"/>
      <c r="G343" s="24"/>
      <c r="I343" s="24"/>
      <c r="J343" s="13"/>
      <c r="K343" s="13"/>
      <c r="L343" s="24"/>
      <c r="N343" s="24"/>
      <c r="O343" s="13"/>
      <c r="P343" s="13"/>
      <c r="Q343" s="24"/>
      <c r="S343" s="24"/>
      <c r="T343" s="13"/>
      <c r="U343" s="13"/>
      <c r="V343" s="24"/>
      <c r="X343" s="24"/>
      <c r="Y343" s="13"/>
      <c r="Z343" s="13"/>
      <c r="AA343" s="24"/>
      <c r="AC343" s="24"/>
      <c r="AD343" s="13"/>
      <c r="AE343" s="13"/>
      <c r="AF343" s="24"/>
      <c r="AH343" s="24"/>
      <c r="AI343" s="13"/>
      <c r="AJ343" s="13"/>
      <c r="AK343" s="24"/>
      <c r="AM343" s="24"/>
      <c r="AN343" s="13"/>
      <c r="AO343" s="13"/>
      <c r="AP343" s="24"/>
      <c r="AR343" s="24"/>
      <c r="AS343" s="13"/>
      <c r="AT343" s="13"/>
      <c r="AU343" s="24"/>
      <c r="AW343" s="24"/>
      <c r="AX343" s="13"/>
      <c r="AY343" s="13"/>
      <c r="AZ343" s="24"/>
      <c r="BB343" s="24"/>
      <c r="BC343" s="13"/>
      <c r="BD343" s="13"/>
      <c r="BE343" s="24"/>
      <c r="BG343" s="24"/>
      <c r="BH343" s="13"/>
      <c r="BI343" s="13"/>
      <c r="BJ343" s="24"/>
      <c r="BL343" s="24"/>
      <c r="BM343" s="13"/>
      <c r="BN343" s="13"/>
    </row>
    <row r="344" spans="1:66" s="11" customFormat="1" ht="21">
      <c r="A344" s="24"/>
      <c r="B344" s="24"/>
      <c r="C344" s="24"/>
      <c r="E344" s="13"/>
      <c r="F344" s="24"/>
      <c r="G344" s="24"/>
      <c r="I344" s="24"/>
      <c r="J344" s="13"/>
      <c r="K344" s="13"/>
      <c r="L344" s="24"/>
      <c r="N344" s="24"/>
      <c r="O344" s="13"/>
      <c r="P344" s="13"/>
      <c r="Q344" s="24"/>
      <c r="S344" s="24"/>
      <c r="T344" s="13"/>
      <c r="U344" s="13"/>
      <c r="V344" s="24"/>
      <c r="X344" s="24"/>
      <c r="Y344" s="13"/>
      <c r="Z344" s="13"/>
      <c r="AA344" s="24"/>
      <c r="AC344" s="24"/>
      <c r="AD344" s="13"/>
      <c r="AE344" s="13"/>
      <c r="AF344" s="24"/>
      <c r="AH344" s="24"/>
      <c r="AI344" s="13"/>
      <c r="AJ344" s="13"/>
      <c r="AK344" s="24"/>
      <c r="AM344" s="24"/>
      <c r="AN344" s="13"/>
      <c r="AO344" s="13"/>
      <c r="AP344" s="24"/>
      <c r="AR344" s="24"/>
      <c r="AS344" s="13"/>
      <c r="AT344" s="13"/>
      <c r="AU344" s="24"/>
      <c r="AW344" s="24"/>
      <c r="AX344" s="13"/>
      <c r="AY344" s="13"/>
      <c r="AZ344" s="24"/>
      <c r="BB344" s="24"/>
      <c r="BC344" s="13"/>
      <c r="BD344" s="13"/>
      <c r="BE344" s="24"/>
      <c r="BG344" s="24"/>
      <c r="BH344" s="13"/>
      <c r="BI344" s="13"/>
      <c r="BJ344" s="24"/>
      <c r="BL344" s="24"/>
      <c r="BM344" s="13"/>
      <c r="BN344" s="13"/>
    </row>
    <row r="345" spans="1:66" s="11" customFormat="1" ht="21">
      <c r="A345" s="24"/>
      <c r="B345" s="24"/>
      <c r="C345" s="24"/>
      <c r="E345" s="13"/>
      <c r="F345" s="24"/>
      <c r="G345" s="24"/>
      <c r="I345" s="24"/>
      <c r="J345" s="13"/>
      <c r="K345" s="13"/>
      <c r="L345" s="24"/>
      <c r="N345" s="24"/>
      <c r="O345" s="13"/>
      <c r="P345" s="13"/>
      <c r="Q345" s="24"/>
      <c r="S345" s="24"/>
      <c r="T345" s="13"/>
      <c r="U345" s="13"/>
      <c r="V345" s="24"/>
      <c r="X345" s="24"/>
      <c r="Y345" s="13"/>
      <c r="Z345" s="13"/>
      <c r="AA345" s="24"/>
      <c r="AC345" s="24"/>
      <c r="AD345" s="13"/>
      <c r="AE345" s="13"/>
      <c r="AF345" s="24"/>
      <c r="AH345" s="24"/>
      <c r="AI345" s="13"/>
      <c r="AJ345" s="13"/>
      <c r="AK345" s="24"/>
      <c r="AM345" s="24"/>
      <c r="AN345" s="13"/>
      <c r="AO345" s="13"/>
      <c r="AP345" s="24"/>
      <c r="AR345" s="24"/>
      <c r="AS345" s="13"/>
      <c r="AT345" s="13"/>
      <c r="AU345" s="24"/>
      <c r="AW345" s="24"/>
      <c r="AX345" s="13"/>
      <c r="AY345" s="13"/>
      <c r="AZ345" s="24"/>
      <c r="BB345" s="24"/>
      <c r="BC345" s="13"/>
      <c r="BD345" s="13"/>
      <c r="BE345" s="24"/>
      <c r="BG345" s="24"/>
      <c r="BH345" s="13"/>
      <c r="BI345" s="13"/>
      <c r="BJ345" s="24"/>
      <c r="BL345" s="24"/>
      <c r="BM345" s="13"/>
      <c r="BN345" s="13"/>
    </row>
    <row r="346" spans="1:66" s="11" customFormat="1" ht="21">
      <c r="A346" s="24"/>
      <c r="B346" s="24"/>
      <c r="C346" s="24"/>
      <c r="E346" s="13"/>
      <c r="F346" s="24"/>
      <c r="G346" s="24"/>
      <c r="I346" s="24"/>
      <c r="J346" s="13"/>
      <c r="K346" s="13"/>
      <c r="L346" s="24"/>
      <c r="N346" s="24"/>
      <c r="O346" s="13"/>
      <c r="P346" s="13"/>
      <c r="Q346" s="24"/>
      <c r="S346" s="24"/>
      <c r="T346" s="13"/>
      <c r="U346" s="13"/>
      <c r="V346" s="24"/>
      <c r="X346" s="24"/>
      <c r="Y346" s="13"/>
      <c r="Z346" s="13"/>
      <c r="AA346" s="24"/>
      <c r="AC346" s="24"/>
      <c r="AD346" s="13"/>
      <c r="AE346" s="13"/>
      <c r="AF346" s="24"/>
      <c r="AH346" s="24"/>
      <c r="AI346" s="13"/>
      <c r="AJ346" s="13"/>
      <c r="AK346" s="24"/>
      <c r="AM346" s="24"/>
      <c r="AN346" s="13"/>
      <c r="AO346" s="13"/>
      <c r="AP346" s="24"/>
      <c r="AR346" s="24"/>
      <c r="AS346" s="13"/>
      <c r="AT346" s="13"/>
      <c r="AU346" s="24"/>
      <c r="AW346" s="24"/>
      <c r="AX346" s="13"/>
      <c r="AY346" s="13"/>
      <c r="AZ346" s="24"/>
      <c r="BB346" s="24"/>
      <c r="BC346" s="13"/>
      <c r="BD346" s="13"/>
      <c r="BE346" s="24"/>
      <c r="BG346" s="24"/>
      <c r="BH346" s="13"/>
      <c r="BI346" s="13"/>
      <c r="BJ346" s="24"/>
      <c r="BL346" s="24"/>
      <c r="BM346" s="13"/>
      <c r="BN346" s="13"/>
    </row>
    <row r="347" spans="1:66" s="11" customFormat="1" ht="21">
      <c r="A347" s="24"/>
      <c r="B347" s="24"/>
      <c r="C347" s="24"/>
      <c r="E347" s="13"/>
      <c r="F347" s="24"/>
      <c r="G347" s="24"/>
      <c r="I347" s="24"/>
      <c r="J347" s="13"/>
      <c r="K347" s="13"/>
      <c r="L347" s="24"/>
      <c r="N347" s="24"/>
      <c r="O347" s="13"/>
      <c r="P347" s="13"/>
      <c r="Q347" s="24"/>
      <c r="S347" s="24"/>
      <c r="T347" s="13"/>
      <c r="U347" s="13"/>
      <c r="V347" s="24"/>
      <c r="X347" s="24"/>
      <c r="Y347" s="13"/>
      <c r="Z347" s="13"/>
      <c r="AA347" s="24"/>
      <c r="AC347" s="24"/>
      <c r="AD347" s="13"/>
      <c r="AE347" s="13"/>
      <c r="AF347" s="24"/>
      <c r="AH347" s="24"/>
      <c r="AI347" s="13"/>
      <c r="AJ347" s="13"/>
      <c r="AK347" s="24"/>
      <c r="AM347" s="24"/>
      <c r="AN347" s="13"/>
      <c r="AO347" s="13"/>
      <c r="AP347" s="24"/>
      <c r="AR347" s="24"/>
      <c r="AS347" s="13"/>
      <c r="AT347" s="13"/>
      <c r="AU347" s="24"/>
      <c r="AW347" s="24"/>
      <c r="AX347" s="13"/>
      <c r="AY347" s="13"/>
      <c r="AZ347" s="24"/>
      <c r="BB347" s="24"/>
      <c r="BC347" s="13"/>
      <c r="BD347" s="13"/>
      <c r="BE347" s="24"/>
      <c r="BG347" s="24"/>
      <c r="BH347" s="13"/>
      <c r="BI347" s="13"/>
      <c r="BJ347" s="24"/>
      <c r="BL347" s="24"/>
      <c r="BM347" s="13"/>
      <c r="BN347" s="13"/>
    </row>
    <row r="348" spans="1:66" s="11" customFormat="1" ht="21">
      <c r="A348" s="24"/>
      <c r="B348" s="24"/>
      <c r="C348" s="24"/>
      <c r="E348" s="13"/>
      <c r="F348" s="24"/>
      <c r="G348" s="24"/>
      <c r="I348" s="24"/>
      <c r="J348" s="13"/>
      <c r="K348" s="13"/>
      <c r="L348" s="24"/>
      <c r="N348" s="24"/>
      <c r="O348" s="13"/>
      <c r="P348" s="13"/>
      <c r="Q348" s="24"/>
      <c r="S348" s="24"/>
      <c r="T348" s="13"/>
      <c r="U348" s="13"/>
      <c r="V348" s="24"/>
      <c r="X348" s="24"/>
      <c r="Y348" s="13"/>
      <c r="Z348" s="13"/>
      <c r="AA348" s="24"/>
      <c r="AC348" s="24"/>
      <c r="AD348" s="13"/>
      <c r="AE348" s="13"/>
      <c r="AF348" s="24"/>
      <c r="AH348" s="24"/>
      <c r="AI348" s="13"/>
      <c r="AJ348" s="13"/>
      <c r="AK348" s="24"/>
      <c r="AM348" s="24"/>
      <c r="AN348" s="13"/>
      <c r="AO348" s="13"/>
      <c r="AP348" s="24"/>
      <c r="AR348" s="24"/>
      <c r="AS348" s="13"/>
      <c r="AT348" s="13"/>
      <c r="AU348" s="24"/>
      <c r="AW348" s="24"/>
      <c r="AX348" s="13"/>
      <c r="AY348" s="13"/>
      <c r="AZ348" s="24"/>
      <c r="BB348" s="24"/>
      <c r="BC348" s="13"/>
      <c r="BD348" s="13"/>
      <c r="BE348" s="24"/>
      <c r="BG348" s="24"/>
      <c r="BH348" s="13"/>
      <c r="BI348" s="13"/>
      <c r="BJ348" s="24"/>
      <c r="BL348" s="24"/>
      <c r="BM348" s="13"/>
      <c r="BN348" s="13"/>
    </row>
    <row r="349" spans="1:66" s="11" customFormat="1" ht="21">
      <c r="A349" s="24"/>
      <c r="B349" s="24"/>
      <c r="C349" s="24"/>
      <c r="E349" s="13"/>
      <c r="F349" s="24"/>
      <c r="G349" s="24"/>
      <c r="I349" s="24"/>
      <c r="J349" s="13"/>
      <c r="K349" s="13"/>
      <c r="L349" s="24"/>
      <c r="N349" s="24"/>
      <c r="O349" s="13"/>
      <c r="P349" s="13"/>
      <c r="Q349" s="24"/>
      <c r="S349" s="24"/>
      <c r="T349" s="13"/>
      <c r="U349" s="13"/>
      <c r="V349" s="24"/>
      <c r="X349" s="24"/>
      <c r="Y349" s="13"/>
      <c r="Z349" s="13"/>
      <c r="AA349" s="24"/>
      <c r="AC349" s="24"/>
      <c r="AD349" s="13"/>
      <c r="AE349" s="13"/>
      <c r="AF349" s="24"/>
      <c r="AH349" s="24"/>
      <c r="AI349" s="13"/>
      <c r="AJ349" s="13"/>
      <c r="AK349" s="24"/>
      <c r="AM349" s="24"/>
      <c r="AN349" s="13"/>
      <c r="AO349" s="13"/>
      <c r="AP349" s="24"/>
      <c r="AR349" s="24"/>
      <c r="AS349" s="13"/>
      <c r="AT349" s="13"/>
      <c r="AU349" s="24"/>
      <c r="AW349" s="24"/>
      <c r="AX349" s="13"/>
      <c r="AY349" s="13"/>
      <c r="AZ349" s="24"/>
      <c r="BB349" s="24"/>
      <c r="BC349" s="13"/>
      <c r="BD349" s="13"/>
      <c r="BE349" s="24"/>
      <c r="BG349" s="24"/>
      <c r="BH349" s="13"/>
      <c r="BI349" s="13"/>
      <c r="BJ349" s="24"/>
      <c r="BL349" s="24"/>
      <c r="BM349" s="13"/>
      <c r="BN349" s="13"/>
    </row>
    <row r="350" spans="1:66" s="11" customFormat="1" ht="21">
      <c r="A350" s="24"/>
      <c r="B350" s="24"/>
      <c r="C350" s="24"/>
      <c r="E350" s="13"/>
      <c r="F350" s="24"/>
      <c r="G350" s="24"/>
      <c r="I350" s="24"/>
      <c r="J350" s="13"/>
      <c r="K350" s="13"/>
      <c r="L350" s="24"/>
      <c r="N350" s="24"/>
      <c r="O350" s="13"/>
      <c r="P350" s="13"/>
      <c r="Q350" s="24"/>
      <c r="S350" s="24"/>
      <c r="T350" s="13"/>
      <c r="U350" s="13"/>
      <c r="V350" s="24"/>
      <c r="X350" s="24"/>
      <c r="Y350" s="13"/>
      <c r="Z350" s="13"/>
      <c r="AA350" s="24"/>
      <c r="AC350" s="24"/>
      <c r="AD350" s="13"/>
      <c r="AE350" s="13"/>
      <c r="AF350" s="24"/>
      <c r="AH350" s="24"/>
      <c r="AI350" s="13"/>
      <c r="AJ350" s="13"/>
      <c r="AK350" s="24"/>
      <c r="AM350" s="24"/>
      <c r="AN350" s="13"/>
      <c r="AO350" s="13"/>
      <c r="AP350" s="24"/>
      <c r="AR350" s="24"/>
      <c r="AS350" s="13"/>
      <c r="AT350" s="13"/>
      <c r="AU350" s="24"/>
      <c r="AW350" s="24"/>
      <c r="AX350" s="13"/>
      <c r="AY350" s="13"/>
      <c r="AZ350" s="24"/>
      <c r="BB350" s="24"/>
      <c r="BC350" s="13"/>
      <c r="BD350" s="13"/>
      <c r="BE350" s="24"/>
      <c r="BG350" s="24"/>
      <c r="BH350" s="13"/>
      <c r="BI350" s="13"/>
      <c r="BJ350" s="24"/>
      <c r="BL350" s="24"/>
      <c r="BM350" s="13"/>
      <c r="BN350" s="13"/>
    </row>
    <row r="351" spans="1:66" s="11" customFormat="1" ht="21">
      <c r="A351" s="24"/>
      <c r="B351" s="24"/>
      <c r="C351" s="24"/>
      <c r="E351" s="13"/>
      <c r="F351" s="24"/>
      <c r="G351" s="24"/>
      <c r="I351" s="24"/>
      <c r="J351" s="13"/>
      <c r="K351" s="13"/>
      <c r="L351" s="24"/>
      <c r="N351" s="24"/>
      <c r="O351" s="13"/>
      <c r="P351" s="13"/>
      <c r="Q351" s="24"/>
      <c r="S351" s="24"/>
      <c r="T351" s="13"/>
      <c r="U351" s="13"/>
      <c r="V351" s="24"/>
      <c r="X351" s="24"/>
      <c r="Y351" s="13"/>
      <c r="Z351" s="13"/>
      <c r="AA351" s="24"/>
      <c r="AC351" s="24"/>
      <c r="AD351" s="13"/>
      <c r="AE351" s="13"/>
      <c r="AF351" s="24"/>
      <c r="AH351" s="24"/>
      <c r="AI351" s="13"/>
      <c r="AJ351" s="13"/>
      <c r="AK351" s="24"/>
      <c r="AM351" s="24"/>
      <c r="AN351" s="13"/>
      <c r="AO351" s="13"/>
      <c r="AP351" s="24"/>
      <c r="AR351" s="24"/>
      <c r="AS351" s="13"/>
      <c r="AT351" s="13"/>
      <c r="AU351" s="24"/>
      <c r="AW351" s="24"/>
      <c r="AX351" s="13"/>
      <c r="AY351" s="13"/>
      <c r="AZ351" s="24"/>
      <c r="BB351" s="24"/>
      <c r="BC351" s="13"/>
      <c r="BD351" s="13"/>
      <c r="BE351" s="24"/>
      <c r="BG351" s="24"/>
      <c r="BH351" s="13"/>
      <c r="BI351" s="13"/>
      <c r="BJ351" s="24"/>
      <c r="BL351" s="24"/>
      <c r="BM351" s="13"/>
      <c r="BN351" s="13"/>
    </row>
    <row r="352" spans="1:66" s="11" customFormat="1" ht="21">
      <c r="A352" s="24"/>
      <c r="B352" s="24"/>
      <c r="C352" s="24"/>
      <c r="E352" s="13"/>
      <c r="F352" s="24"/>
      <c r="G352" s="24"/>
      <c r="I352" s="24"/>
      <c r="J352" s="13"/>
      <c r="K352" s="13"/>
      <c r="L352" s="24"/>
      <c r="N352" s="24"/>
      <c r="O352" s="13"/>
      <c r="P352" s="13"/>
      <c r="Q352" s="24"/>
      <c r="S352" s="24"/>
      <c r="T352" s="13"/>
      <c r="U352" s="13"/>
      <c r="V352" s="24"/>
      <c r="X352" s="24"/>
      <c r="Y352" s="13"/>
      <c r="Z352" s="13"/>
      <c r="AA352" s="24"/>
      <c r="AC352" s="24"/>
      <c r="AD352" s="13"/>
      <c r="AE352" s="13"/>
      <c r="AF352" s="24"/>
      <c r="AH352" s="24"/>
      <c r="AI352" s="13"/>
      <c r="AJ352" s="13"/>
      <c r="AK352" s="24"/>
      <c r="AM352" s="24"/>
      <c r="AN352" s="13"/>
      <c r="AO352" s="13"/>
      <c r="AP352" s="24"/>
      <c r="AR352" s="24"/>
      <c r="AS352" s="13"/>
      <c r="AT352" s="13"/>
      <c r="AU352" s="24"/>
      <c r="AW352" s="24"/>
      <c r="AX352" s="13"/>
      <c r="AY352" s="13"/>
      <c r="AZ352" s="24"/>
      <c r="BB352" s="24"/>
      <c r="BC352" s="13"/>
      <c r="BD352" s="13"/>
      <c r="BE352" s="24"/>
      <c r="BG352" s="24"/>
      <c r="BH352" s="13"/>
      <c r="BI352" s="13"/>
      <c r="BJ352" s="24"/>
      <c r="BL352" s="24"/>
      <c r="BM352" s="13"/>
      <c r="BN352" s="13"/>
    </row>
    <row r="353" spans="1:66" s="11" customFormat="1" ht="21">
      <c r="A353" s="24"/>
      <c r="B353" s="24"/>
      <c r="C353" s="24"/>
      <c r="E353" s="13"/>
      <c r="F353" s="24"/>
      <c r="G353" s="24"/>
      <c r="I353" s="24"/>
      <c r="J353" s="13"/>
      <c r="K353" s="13"/>
      <c r="L353" s="24"/>
      <c r="N353" s="24"/>
      <c r="O353" s="13"/>
      <c r="P353" s="13"/>
      <c r="Q353" s="24"/>
      <c r="S353" s="24"/>
      <c r="T353" s="13"/>
      <c r="U353" s="13"/>
      <c r="V353" s="24"/>
      <c r="X353" s="24"/>
      <c r="Y353" s="13"/>
      <c r="Z353" s="13"/>
      <c r="AA353" s="24"/>
      <c r="AC353" s="24"/>
      <c r="AD353" s="13"/>
      <c r="AE353" s="13"/>
      <c r="AF353" s="24"/>
      <c r="AH353" s="24"/>
      <c r="AI353" s="13"/>
      <c r="AJ353" s="13"/>
      <c r="AK353" s="24"/>
      <c r="AM353" s="24"/>
      <c r="AN353" s="13"/>
      <c r="AO353" s="13"/>
      <c r="AP353" s="24"/>
      <c r="AR353" s="24"/>
      <c r="AS353" s="13"/>
      <c r="AT353" s="13"/>
      <c r="AU353" s="24"/>
      <c r="AW353" s="24"/>
      <c r="AX353" s="13"/>
      <c r="AY353" s="13"/>
      <c r="AZ353" s="24"/>
      <c r="BB353" s="24"/>
      <c r="BC353" s="13"/>
      <c r="BD353" s="13"/>
      <c r="BE353" s="24"/>
      <c r="BG353" s="24"/>
      <c r="BH353" s="13"/>
      <c r="BI353" s="13"/>
      <c r="BJ353" s="24"/>
      <c r="BL353" s="24"/>
      <c r="BM353" s="13"/>
      <c r="BN353" s="13"/>
    </row>
    <row r="354" spans="1:66" s="11" customFormat="1" ht="21">
      <c r="A354" s="24"/>
      <c r="B354" s="24"/>
      <c r="C354" s="24"/>
      <c r="E354" s="13"/>
      <c r="F354" s="24"/>
      <c r="G354" s="24"/>
      <c r="I354" s="24"/>
      <c r="J354" s="13"/>
      <c r="K354" s="13"/>
      <c r="L354" s="24"/>
      <c r="N354" s="24"/>
      <c r="O354" s="13"/>
      <c r="P354" s="13"/>
      <c r="Q354" s="24"/>
      <c r="S354" s="24"/>
      <c r="T354" s="13"/>
      <c r="U354" s="13"/>
      <c r="V354" s="24"/>
      <c r="X354" s="24"/>
      <c r="Y354" s="13"/>
      <c r="Z354" s="13"/>
      <c r="AA354" s="24"/>
      <c r="AC354" s="24"/>
      <c r="AD354" s="13"/>
      <c r="AE354" s="13"/>
      <c r="AF354" s="24"/>
      <c r="AH354" s="24"/>
      <c r="AI354" s="13"/>
      <c r="AJ354" s="13"/>
      <c r="AK354" s="24"/>
      <c r="AM354" s="24"/>
      <c r="AN354" s="13"/>
      <c r="AO354" s="13"/>
      <c r="AP354" s="24"/>
      <c r="AR354" s="24"/>
      <c r="AS354" s="13"/>
      <c r="AT354" s="13"/>
      <c r="AU354" s="24"/>
      <c r="AW354" s="24"/>
      <c r="AX354" s="13"/>
      <c r="AY354" s="13"/>
      <c r="AZ354" s="24"/>
      <c r="BB354" s="24"/>
      <c r="BC354" s="13"/>
      <c r="BD354" s="13"/>
      <c r="BE354" s="24"/>
      <c r="BG354" s="24"/>
      <c r="BH354" s="13"/>
      <c r="BI354" s="13"/>
      <c r="BJ354" s="24"/>
      <c r="BL354" s="24"/>
      <c r="BM354" s="13"/>
      <c r="BN354" s="13"/>
    </row>
    <row r="355" spans="1:66" s="11" customFormat="1" ht="21">
      <c r="A355" s="24"/>
      <c r="B355" s="24"/>
      <c r="C355" s="24"/>
      <c r="E355" s="13"/>
      <c r="F355" s="24"/>
      <c r="G355" s="24"/>
      <c r="I355" s="24"/>
      <c r="J355" s="13"/>
      <c r="K355" s="13"/>
      <c r="L355" s="24"/>
      <c r="N355" s="24"/>
      <c r="O355" s="13"/>
      <c r="P355" s="13"/>
      <c r="Q355" s="24"/>
      <c r="S355" s="24"/>
      <c r="T355" s="13"/>
      <c r="U355" s="13"/>
      <c r="V355" s="24"/>
      <c r="X355" s="24"/>
      <c r="Y355" s="13"/>
      <c r="Z355" s="13"/>
      <c r="AA355" s="24"/>
      <c r="AC355" s="24"/>
      <c r="AD355" s="13"/>
      <c r="AE355" s="13"/>
      <c r="AF355" s="24"/>
      <c r="AH355" s="24"/>
      <c r="AI355" s="13"/>
      <c r="AJ355" s="13"/>
      <c r="AK355" s="24"/>
      <c r="AM355" s="24"/>
      <c r="AN355" s="13"/>
      <c r="AO355" s="13"/>
      <c r="AP355" s="24"/>
      <c r="AR355" s="24"/>
      <c r="AS355" s="13"/>
      <c r="AT355" s="13"/>
      <c r="AU355" s="24"/>
      <c r="AW355" s="24"/>
      <c r="AX355" s="13"/>
      <c r="AY355" s="13"/>
      <c r="AZ355" s="24"/>
      <c r="BB355" s="24"/>
      <c r="BC355" s="13"/>
      <c r="BD355" s="13"/>
      <c r="BE355" s="24"/>
      <c r="BG355" s="24"/>
      <c r="BH355" s="13"/>
      <c r="BI355" s="13"/>
      <c r="BJ355" s="24"/>
      <c r="BL355" s="24"/>
      <c r="BM355" s="13"/>
      <c r="BN355" s="13"/>
    </row>
    <row r="356" spans="1:66" s="11" customFormat="1" ht="21">
      <c r="A356" s="24"/>
      <c r="B356" s="24"/>
      <c r="C356" s="24"/>
      <c r="E356" s="13"/>
      <c r="F356" s="24"/>
      <c r="G356" s="24"/>
      <c r="I356" s="24"/>
      <c r="J356" s="13"/>
      <c r="K356" s="13"/>
      <c r="L356" s="24"/>
      <c r="N356" s="24"/>
      <c r="O356" s="13"/>
      <c r="P356" s="13"/>
      <c r="Q356" s="24"/>
      <c r="S356" s="24"/>
      <c r="T356" s="13"/>
      <c r="U356" s="13"/>
      <c r="V356" s="24"/>
      <c r="X356" s="24"/>
      <c r="Y356" s="13"/>
      <c r="Z356" s="13"/>
      <c r="AA356" s="24"/>
      <c r="AC356" s="24"/>
      <c r="AD356" s="13"/>
      <c r="AE356" s="13"/>
      <c r="AF356" s="24"/>
      <c r="AH356" s="24"/>
      <c r="AI356" s="13"/>
      <c r="AJ356" s="13"/>
      <c r="AK356" s="24"/>
      <c r="AM356" s="24"/>
      <c r="AN356" s="13"/>
      <c r="AO356" s="13"/>
      <c r="AP356" s="24"/>
      <c r="AR356" s="24"/>
      <c r="AS356" s="13"/>
      <c r="AT356" s="13"/>
      <c r="AU356" s="24"/>
      <c r="AW356" s="24"/>
      <c r="AX356" s="13"/>
      <c r="AY356" s="13"/>
      <c r="AZ356" s="24"/>
      <c r="BB356" s="24"/>
      <c r="BC356" s="13"/>
      <c r="BD356" s="13"/>
      <c r="BE356" s="24"/>
      <c r="BG356" s="24"/>
      <c r="BH356" s="13"/>
      <c r="BI356" s="13"/>
      <c r="BJ356" s="24"/>
      <c r="BL356" s="24"/>
      <c r="BM356" s="13"/>
      <c r="BN356" s="13"/>
    </row>
    <row r="357" spans="1:66" s="11" customFormat="1" ht="21">
      <c r="A357" s="24"/>
      <c r="B357" s="24"/>
      <c r="C357" s="24"/>
      <c r="E357" s="13"/>
      <c r="F357" s="24"/>
      <c r="G357" s="24"/>
      <c r="I357" s="24"/>
      <c r="J357" s="13"/>
      <c r="K357" s="13"/>
      <c r="L357" s="24"/>
      <c r="N357" s="24"/>
      <c r="O357" s="13"/>
      <c r="P357" s="13"/>
      <c r="Q357" s="24"/>
      <c r="S357" s="24"/>
      <c r="T357" s="13"/>
      <c r="U357" s="13"/>
      <c r="V357" s="24"/>
      <c r="X357" s="24"/>
      <c r="Y357" s="13"/>
      <c r="Z357" s="13"/>
      <c r="AA357" s="24"/>
      <c r="AC357" s="24"/>
      <c r="AD357" s="13"/>
      <c r="AE357" s="13"/>
      <c r="AF357" s="24"/>
      <c r="AH357" s="24"/>
      <c r="AI357" s="13"/>
      <c r="AJ357" s="13"/>
      <c r="AK357" s="24"/>
      <c r="AM357" s="24"/>
      <c r="AN357" s="13"/>
      <c r="AO357" s="13"/>
      <c r="AP357" s="24"/>
      <c r="AR357" s="24"/>
      <c r="AS357" s="13"/>
      <c r="AT357" s="13"/>
      <c r="AU357" s="24"/>
      <c r="AW357" s="24"/>
      <c r="AX357" s="13"/>
      <c r="AY357" s="13"/>
      <c r="AZ357" s="24"/>
      <c r="BB357" s="24"/>
      <c r="BC357" s="13"/>
      <c r="BD357" s="13"/>
      <c r="BE357" s="24"/>
      <c r="BG357" s="24"/>
      <c r="BH357" s="13"/>
      <c r="BI357" s="13"/>
      <c r="BJ357" s="24"/>
      <c r="BL357" s="24"/>
      <c r="BM357" s="13"/>
      <c r="BN357" s="13"/>
    </row>
    <row r="358" spans="1:66" s="11" customFormat="1" ht="21">
      <c r="A358" s="24"/>
      <c r="B358" s="24"/>
      <c r="C358" s="24"/>
      <c r="E358" s="13"/>
      <c r="F358" s="24"/>
      <c r="G358" s="24"/>
      <c r="I358" s="24"/>
      <c r="J358" s="13"/>
      <c r="K358" s="13"/>
      <c r="L358" s="24"/>
      <c r="N358" s="24"/>
      <c r="O358" s="13"/>
      <c r="P358" s="13"/>
      <c r="Q358" s="24"/>
      <c r="S358" s="24"/>
      <c r="T358" s="13"/>
      <c r="U358" s="13"/>
      <c r="V358" s="24"/>
      <c r="X358" s="24"/>
      <c r="Y358" s="13"/>
      <c r="Z358" s="13"/>
      <c r="AA358" s="24"/>
      <c r="AC358" s="24"/>
      <c r="AD358" s="13"/>
      <c r="AE358" s="13"/>
      <c r="AF358" s="24"/>
      <c r="AH358" s="24"/>
      <c r="AI358" s="13"/>
      <c r="AJ358" s="13"/>
      <c r="AK358" s="24"/>
      <c r="AM358" s="24"/>
      <c r="AN358" s="13"/>
      <c r="AO358" s="13"/>
      <c r="AP358" s="24"/>
      <c r="AR358" s="24"/>
      <c r="AS358" s="13"/>
      <c r="AT358" s="13"/>
      <c r="AU358" s="24"/>
      <c r="AW358" s="24"/>
      <c r="AX358" s="13"/>
      <c r="AY358" s="13"/>
      <c r="AZ358" s="24"/>
      <c r="BB358" s="24"/>
      <c r="BC358" s="13"/>
      <c r="BD358" s="13"/>
      <c r="BE358" s="24"/>
      <c r="BG358" s="24"/>
      <c r="BH358" s="13"/>
      <c r="BI358" s="13"/>
      <c r="BJ358" s="24"/>
      <c r="BL358" s="24"/>
      <c r="BM358" s="13"/>
      <c r="BN358" s="13"/>
    </row>
    <row r="359" spans="1:66" s="11" customFormat="1" ht="21">
      <c r="A359" s="24"/>
      <c r="B359" s="24"/>
      <c r="C359" s="24"/>
      <c r="E359" s="13"/>
      <c r="F359" s="24"/>
      <c r="G359" s="24"/>
      <c r="I359" s="24"/>
      <c r="J359" s="13"/>
      <c r="K359" s="13"/>
      <c r="L359" s="24"/>
      <c r="N359" s="24"/>
      <c r="O359" s="13"/>
      <c r="P359" s="13"/>
      <c r="Q359" s="24"/>
      <c r="S359" s="24"/>
      <c r="T359" s="13"/>
      <c r="U359" s="13"/>
      <c r="V359" s="24"/>
      <c r="X359" s="24"/>
      <c r="Y359" s="13"/>
      <c r="Z359" s="13"/>
      <c r="AA359" s="24"/>
      <c r="AC359" s="24"/>
      <c r="AD359" s="13"/>
      <c r="AE359" s="13"/>
      <c r="AF359" s="24"/>
      <c r="AH359" s="24"/>
      <c r="AI359" s="13"/>
      <c r="AJ359" s="13"/>
      <c r="AK359" s="24"/>
      <c r="AM359" s="24"/>
      <c r="AN359" s="13"/>
      <c r="AO359" s="13"/>
      <c r="AP359" s="24"/>
      <c r="AR359" s="24"/>
      <c r="AS359" s="13"/>
      <c r="AT359" s="13"/>
      <c r="AU359" s="24"/>
      <c r="AW359" s="24"/>
      <c r="AX359" s="13"/>
      <c r="AY359" s="13"/>
      <c r="AZ359" s="24"/>
      <c r="BB359" s="24"/>
      <c r="BC359" s="13"/>
      <c r="BD359" s="13"/>
      <c r="BE359" s="24"/>
      <c r="BG359" s="24"/>
      <c r="BH359" s="13"/>
      <c r="BI359" s="13"/>
      <c r="BJ359" s="24"/>
      <c r="BL359" s="24"/>
      <c r="BM359" s="13"/>
      <c r="BN359" s="13"/>
    </row>
    <row r="360" spans="1:66" s="11" customFormat="1" ht="21">
      <c r="A360" s="24"/>
      <c r="B360" s="24"/>
      <c r="C360" s="24"/>
      <c r="E360" s="13"/>
      <c r="F360" s="24"/>
      <c r="G360" s="24"/>
      <c r="I360" s="24"/>
      <c r="J360" s="13"/>
      <c r="K360" s="13"/>
      <c r="L360" s="24"/>
      <c r="N360" s="24"/>
      <c r="O360" s="13"/>
      <c r="P360" s="13"/>
      <c r="Q360" s="24"/>
      <c r="S360" s="24"/>
      <c r="T360" s="13"/>
      <c r="U360" s="13"/>
      <c r="V360" s="24"/>
      <c r="X360" s="24"/>
      <c r="Y360" s="13"/>
      <c r="Z360" s="13"/>
      <c r="AA360" s="24"/>
      <c r="AC360" s="24"/>
      <c r="AD360" s="13"/>
      <c r="AE360" s="13"/>
      <c r="AF360" s="24"/>
      <c r="AH360" s="24"/>
      <c r="AI360" s="13"/>
      <c r="AJ360" s="13"/>
      <c r="AK360" s="24"/>
      <c r="AM360" s="24"/>
      <c r="AN360" s="13"/>
      <c r="AO360" s="13"/>
      <c r="AP360" s="24"/>
      <c r="AR360" s="24"/>
      <c r="AS360" s="13"/>
      <c r="AT360" s="13"/>
      <c r="AU360" s="24"/>
      <c r="AW360" s="24"/>
      <c r="AX360" s="13"/>
      <c r="AY360" s="13"/>
      <c r="AZ360" s="24"/>
      <c r="BB360" s="24"/>
      <c r="BC360" s="13"/>
      <c r="BD360" s="13"/>
      <c r="BE360" s="24"/>
      <c r="BG360" s="24"/>
      <c r="BH360" s="13"/>
      <c r="BI360" s="13"/>
      <c r="BJ360" s="24"/>
      <c r="BL360" s="24"/>
      <c r="BM360" s="13"/>
      <c r="BN360" s="13"/>
    </row>
    <row r="361" spans="1:66" s="11" customFormat="1" ht="21">
      <c r="A361" s="24"/>
      <c r="B361" s="24"/>
      <c r="C361" s="24"/>
      <c r="E361" s="13"/>
      <c r="F361" s="24"/>
      <c r="G361" s="24"/>
      <c r="I361" s="24"/>
      <c r="J361" s="13"/>
      <c r="K361" s="13"/>
      <c r="L361" s="24"/>
      <c r="N361" s="24"/>
      <c r="O361" s="13"/>
      <c r="P361" s="13"/>
      <c r="Q361" s="24"/>
      <c r="S361" s="24"/>
      <c r="T361" s="13"/>
      <c r="U361" s="13"/>
      <c r="V361" s="24"/>
      <c r="X361" s="24"/>
      <c r="Y361" s="13"/>
      <c r="Z361" s="13"/>
      <c r="AA361" s="24"/>
      <c r="AC361" s="24"/>
      <c r="AD361" s="13"/>
      <c r="AE361" s="13"/>
      <c r="AF361" s="24"/>
      <c r="AH361" s="24"/>
      <c r="AI361" s="13"/>
      <c r="AJ361" s="13"/>
      <c r="AK361" s="24"/>
      <c r="AM361" s="24"/>
      <c r="AN361" s="13"/>
      <c r="AO361" s="13"/>
      <c r="AP361" s="24"/>
      <c r="AR361" s="24"/>
      <c r="AS361" s="13"/>
      <c r="AT361" s="13"/>
      <c r="AU361" s="24"/>
      <c r="AW361" s="24"/>
      <c r="AX361" s="13"/>
      <c r="AY361" s="13"/>
      <c r="AZ361" s="24"/>
      <c r="BB361" s="24"/>
      <c r="BC361" s="13"/>
      <c r="BD361" s="13"/>
      <c r="BE361" s="24"/>
      <c r="BG361" s="24"/>
      <c r="BH361" s="13"/>
      <c r="BI361" s="13"/>
      <c r="BJ361" s="24"/>
      <c r="BL361" s="24"/>
      <c r="BM361" s="13"/>
      <c r="BN361" s="13"/>
    </row>
    <row r="362" spans="1:66" s="11" customFormat="1" ht="21">
      <c r="A362" s="24"/>
      <c r="B362" s="24"/>
      <c r="C362" s="24"/>
      <c r="E362" s="13"/>
      <c r="F362" s="24"/>
      <c r="G362" s="24"/>
      <c r="I362" s="24"/>
      <c r="J362" s="13"/>
      <c r="K362" s="13"/>
      <c r="L362" s="24"/>
      <c r="N362" s="24"/>
      <c r="O362" s="13"/>
      <c r="P362" s="13"/>
      <c r="Q362" s="24"/>
      <c r="S362" s="24"/>
      <c r="T362" s="13"/>
      <c r="U362" s="13"/>
      <c r="V362" s="24"/>
      <c r="X362" s="24"/>
      <c r="Y362" s="13"/>
      <c r="Z362" s="13"/>
      <c r="AA362" s="24"/>
      <c r="AC362" s="24"/>
      <c r="AD362" s="13"/>
      <c r="AE362" s="13"/>
      <c r="AF362" s="24"/>
      <c r="AH362" s="24"/>
      <c r="AI362" s="13"/>
      <c r="AJ362" s="13"/>
      <c r="AK362" s="24"/>
      <c r="AM362" s="24"/>
      <c r="AN362" s="13"/>
      <c r="AO362" s="13"/>
      <c r="AP362" s="24"/>
      <c r="AR362" s="24"/>
      <c r="AS362" s="13"/>
      <c r="AT362" s="13"/>
      <c r="AU362" s="24"/>
      <c r="AW362" s="24"/>
      <c r="AX362" s="13"/>
      <c r="AY362" s="13"/>
      <c r="AZ362" s="24"/>
      <c r="BB362" s="24"/>
      <c r="BC362" s="13"/>
      <c r="BD362" s="13"/>
      <c r="BE362" s="24"/>
      <c r="BG362" s="24"/>
      <c r="BH362" s="13"/>
      <c r="BI362" s="13"/>
      <c r="BJ362" s="24"/>
      <c r="BL362" s="24"/>
      <c r="BM362" s="13"/>
      <c r="BN362" s="13"/>
    </row>
    <row r="363" spans="1:66" s="11" customFormat="1" ht="21">
      <c r="A363" s="24"/>
      <c r="B363" s="24"/>
      <c r="C363" s="24"/>
      <c r="E363" s="13"/>
      <c r="F363" s="24"/>
      <c r="G363" s="24"/>
      <c r="I363" s="24"/>
      <c r="J363" s="13"/>
      <c r="K363" s="13"/>
      <c r="L363" s="24"/>
      <c r="N363" s="24"/>
      <c r="O363" s="13"/>
      <c r="P363" s="13"/>
      <c r="Q363" s="24"/>
      <c r="S363" s="24"/>
      <c r="T363" s="13"/>
      <c r="U363" s="13"/>
      <c r="V363" s="24"/>
      <c r="X363" s="24"/>
      <c r="Y363" s="13"/>
      <c r="Z363" s="13"/>
      <c r="AA363" s="24"/>
      <c r="AC363" s="24"/>
      <c r="AD363" s="13"/>
      <c r="AE363" s="13"/>
      <c r="AF363" s="24"/>
      <c r="AH363" s="24"/>
      <c r="AI363" s="13"/>
      <c r="AJ363" s="13"/>
      <c r="AK363" s="24"/>
      <c r="AM363" s="24"/>
      <c r="AN363" s="13"/>
      <c r="AO363" s="13"/>
      <c r="AP363" s="24"/>
      <c r="AR363" s="24"/>
      <c r="AS363" s="13"/>
      <c r="AT363" s="13"/>
      <c r="AU363" s="24"/>
      <c r="AW363" s="24"/>
      <c r="AX363" s="13"/>
      <c r="AY363" s="13"/>
      <c r="AZ363" s="24"/>
      <c r="BB363" s="24"/>
      <c r="BC363" s="13"/>
      <c r="BD363" s="13"/>
      <c r="BE363" s="24"/>
      <c r="BG363" s="24"/>
      <c r="BH363" s="13"/>
      <c r="BI363" s="13"/>
      <c r="BJ363" s="24"/>
      <c r="BL363" s="24"/>
      <c r="BM363" s="13"/>
      <c r="BN363" s="13"/>
    </row>
    <row r="364" spans="1:66" s="11" customFormat="1" ht="21">
      <c r="A364" s="24"/>
      <c r="B364" s="24"/>
      <c r="C364" s="24"/>
      <c r="E364" s="13"/>
      <c r="F364" s="24"/>
      <c r="G364" s="24"/>
      <c r="I364" s="24"/>
      <c r="J364" s="13"/>
      <c r="K364" s="13"/>
      <c r="L364" s="24"/>
      <c r="N364" s="24"/>
      <c r="O364" s="13"/>
      <c r="P364" s="13"/>
      <c r="Q364" s="24"/>
      <c r="S364" s="24"/>
      <c r="T364" s="13"/>
      <c r="U364" s="13"/>
      <c r="V364" s="24"/>
      <c r="X364" s="24"/>
      <c r="Y364" s="13"/>
      <c r="Z364" s="13"/>
      <c r="AA364" s="24"/>
      <c r="AC364" s="24"/>
      <c r="AD364" s="13"/>
      <c r="AE364" s="13"/>
      <c r="AF364" s="24"/>
      <c r="AH364" s="24"/>
      <c r="AI364" s="13"/>
      <c r="AJ364" s="13"/>
      <c r="AK364" s="24"/>
      <c r="AM364" s="24"/>
      <c r="AN364" s="13"/>
      <c r="AO364" s="13"/>
      <c r="AP364" s="24"/>
      <c r="AR364" s="24"/>
      <c r="AS364" s="13"/>
      <c r="AT364" s="13"/>
      <c r="AU364" s="24"/>
      <c r="AW364" s="24"/>
      <c r="AX364" s="13"/>
      <c r="AY364" s="13"/>
      <c r="AZ364" s="24"/>
      <c r="BB364" s="24"/>
      <c r="BC364" s="13"/>
      <c r="BD364" s="13"/>
      <c r="BE364" s="24"/>
      <c r="BG364" s="24"/>
      <c r="BH364" s="13"/>
      <c r="BI364" s="13"/>
      <c r="BJ364" s="24"/>
      <c r="BL364" s="24"/>
      <c r="BM364" s="13"/>
      <c r="BN364" s="13"/>
    </row>
    <row r="365" spans="1:66" s="11" customFormat="1" ht="21">
      <c r="A365" s="24"/>
      <c r="B365" s="24"/>
      <c r="C365" s="24"/>
      <c r="E365" s="13"/>
      <c r="F365" s="24"/>
      <c r="G365" s="24"/>
      <c r="I365" s="24"/>
      <c r="J365" s="13"/>
      <c r="K365" s="13"/>
      <c r="L365" s="24"/>
      <c r="N365" s="24"/>
      <c r="O365" s="13"/>
      <c r="P365" s="13"/>
      <c r="Q365" s="24"/>
      <c r="S365" s="24"/>
      <c r="T365" s="13"/>
      <c r="U365" s="13"/>
      <c r="V365" s="24"/>
      <c r="X365" s="24"/>
      <c r="Y365" s="13"/>
      <c r="Z365" s="13"/>
      <c r="AA365" s="24"/>
      <c r="AC365" s="24"/>
      <c r="AD365" s="13"/>
      <c r="AE365" s="13"/>
      <c r="AF365" s="24"/>
      <c r="AH365" s="24"/>
      <c r="AI365" s="13"/>
      <c r="AJ365" s="13"/>
      <c r="AK365" s="24"/>
      <c r="AM365" s="24"/>
      <c r="AN365" s="13"/>
      <c r="AO365" s="13"/>
      <c r="AP365" s="24"/>
      <c r="AR365" s="24"/>
      <c r="AS365" s="13"/>
      <c r="AT365" s="13"/>
      <c r="AU365" s="24"/>
      <c r="AW365" s="24"/>
      <c r="AX365" s="13"/>
      <c r="AY365" s="13"/>
      <c r="AZ365" s="24"/>
      <c r="BB365" s="24"/>
      <c r="BC365" s="13"/>
      <c r="BD365" s="13"/>
      <c r="BE365" s="24"/>
      <c r="BG365" s="24"/>
      <c r="BH365" s="13"/>
      <c r="BI365" s="13"/>
      <c r="BJ365" s="24"/>
      <c r="BL365" s="24"/>
      <c r="BM365" s="13"/>
      <c r="BN365" s="13"/>
    </row>
    <row r="366" spans="1:66" s="11" customFormat="1" ht="21">
      <c r="A366" s="24"/>
      <c r="B366" s="24"/>
      <c r="C366" s="24"/>
      <c r="E366" s="13"/>
      <c r="F366" s="24"/>
      <c r="G366" s="24"/>
      <c r="I366" s="24"/>
      <c r="J366" s="13"/>
      <c r="K366" s="13"/>
      <c r="L366" s="24"/>
      <c r="N366" s="24"/>
      <c r="O366" s="13"/>
      <c r="P366" s="13"/>
      <c r="Q366" s="24"/>
      <c r="S366" s="24"/>
      <c r="T366" s="13"/>
      <c r="U366" s="13"/>
      <c r="V366" s="24"/>
      <c r="X366" s="24"/>
      <c r="Y366" s="13"/>
      <c r="Z366" s="13"/>
      <c r="AA366" s="24"/>
      <c r="AC366" s="24"/>
      <c r="AD366" s="13"/>
      <c r="AE366" s="13"/>
      <c r="AF366" s="24"/>
      <c r="AH366" s="24"/>
      <c r="AI366" s="13"/>
      <c r="AJ366" s="13"/>
      <c r="AK366" s="24"/>
      <c r="AM366" s="24"/>
      <c r="AN366" s="13"/>
      <c r="AO366" s="13"/>
      <c r="AP366" s="24"/>
      <c r="AR366" s="24"/>
      <c r="AS366" s="13"/>
      <c r="AT366" s="13"/>
      <c r="AU366" s="24"/>
      <c r="AW366" s="24"/>
      <c r="AX366" s="13"/>
      <c r="AY366" s="13"/>
      <c r="AZ366" s="24"/>
      <c r="BB366" s="24"/>
      <c r="BC366" s="13"/>
      <c r="BD366" s="13"/>
      <c r="BE366" s="24"/>
      <c r="BG366" s="24"/>
      <c r="BH366" s="13"/>
      <c r="BI366" s="13"/>
      <c r="BJ366" s="24"/>
      <c r="BL366" s="24"/>
      <c r="BM366" s="13"/>
      <c r="BN366" s="13"/>
    </row>
    <row r="367" spans="1:66" s="11" customFormat="1" ht="21">
      <c r="A367" s="24"/>
      <c r="B367" s="24"/>
      <c r="C367" s="24"/>
      <c r="E367" s="13"/>
      <c r="F367" s="24"/>
      <c r="G367" s="24"/>
      <c r="I367" s="24"/>
      <c r="J367" s="13"/>
      <c r="K367" s="13"/>
      <c r="L367" s="24"/>
      <c r="N367" s="24"/>
      <c r="O367" s="13"/>
      <c r="P367" s="13"/>
      <c r="Q367" s="24"/>
      <c r="S367" s="24"/>
      <c r="T367" s="13"/>
      <c r="U367" s="13"/>
      <c r="V367" s="24"/>
      <c r="X367" s="24"/>
      <c r="Y367" s="13"/>
      <c r="Z367" s="13"/>
      <c r="AA367" s="24"/>
      <c r="AC367" s="24"/>
      <c r="AD367" s="13"/>
      <c r="AE367" s="13"/>
      <c r="AF367" s="24"/>
      <c r="AH367" s="24"/>
      <c r="AI367" s="13"/>
      <c r="AJ367" s="13"/>
      <c r="AK367" s="24"/>
      <c r="AM367" s="24"/>
      <c r="AN367" s="13"/>
      <c r="AO367" s="13"/>
      <c r="AP367" s="24"/>
      <c r="AR367" s="24"/>
      <c r="AS367" s="13"/>
      <c r="AT367" s="13"/>
      <c r="AU367" s="24"/>
      <c r="AW367" s="24"/>
      <c r="AX367" s="13"/>
      <c r="AY367" s="13"/>
      <c r="AZ367" s="24"/>
      <c r="BB367" s="24"/>
      <c r="BC367" s="13"/>
      <c r="BD367" s="13"/>
      <c r="BE367" s="24"/>
      <c r="BG367" s="24"/>
      <c r="BH367" s="13"/>
      <c r="BI367" s="13"/>
      <c r="BJ367" s="24"/>
      <c r="BL367" s="24"/>
      <c r="BM367" s="13"/>
      <c r="BN367" s="13"/>
    </row>
    <row r="368" spans="1:66" s="11" customFormat="1" ht="21">
      <c r="A368" s="24"/>
      <c r="B368" s="24"/>
      <c r="C368" s="24"/>
      <c r="E368" s="13"/>
      <c r="F368" s="24"/>
      <c r="G368" s="24"/>
      <c r="I368" s="24"/>
      <c r="J368" s="13"/>
      <c r="K368" s="13"/>
      <c r="L368" s="24"/>
      <c r="N368" s="24"/>
      <c r="O368" s="13"/>
      <c r="P368" s="13"/>
      <c r="Q368" s="24"/>
      <c r="S368" s="24"/>
      <c r="T368" s="13"/>
      <c r="U368" s="13"/>
      <c r="V368" s="24"/>
      <c r="X368" s="24"/>
      <c r="Y368" s="13"/>
      <c r="Z368" s="13"/>
      <c r="AA368" s="24"/>
      <c r="AC368" s="24"/>
      <c r="AD368" s="13"/>
      <c r="AE368" s="13"/>
      <c r="AF368" s="24"/>
      <c r="AH368" s="24"/>
      <c r="AI368" s="13"/>
      <c r="AJ368" s="13"/>
      <c r="AK368" s="24"/>
      <c r="AM368" s="24"/>
      <c r="AN368" s="13"/>
      <c r="AO368" s="13"/>
      <c r="AP368" s="24"/>
      <c r="AR368" s="24"/>
      <c r="AS368" s="13"/>
      <c r="AT368" s="13"/>
      <c r="AU368" s="24"/>
      <c r="AW368" s="24"/>
      <c r="AX368" s="13"/>
      <c r="AY368" s="13"/>
      <c r="AZ368" s="24"/>
      <c r="BB368" s="24"/>
      <c r="BC368" s="13"/>
      <c r="BD368" s="13"/>
      <c r="BE368" s="24"/>
      <c r="BG368" s="24"/>
      <c r="BH368" s="13"/>
      <c r="BI368" s="13"/>
      <c r="BJ368" s="24"/>
      <c r="BL368" s="24"/>
      <c r="BM368" s="13"/>
      <c r="BN368" s="13"/>
    </row>
    <row r="369" spans="1:66" s="11" customFormat="1" ht="21">
      <c r="A369" s="24"/>
      <c r="B369" s="24"/>
      <c r="C369" s="24"/>
      <c r="E369" s="13"/>
      <c r="F369" s="24"/>
      <c r="G369" s="24"/>
      <c r="I369" s="24"/>
      <c r="J369" s="13"/>
      <c r="K369" s="13"/>
      <c r="L369" s="24"/>
      <c r="N369" s="24"/>
      <c r="O369" s="13"/>
      <c r="P369" s="13"/>
      <c r="Q369" s="24"/>
      <c r="S369" s="24"/>
      <c r="T369" s="13"/>
      <c r="U369" s="13"/>
      <c r="V369" s="24"/>
      <c r="X369" s="24"/>
      <c r="Y369" s="13"/>
      <c r="Z369" s="13"/>
      <c r="AA369" s="24"/>
      <c r="AC369" s="24"/>
      <c r="AD369" s="13"/>
      <c r="AE369" s="13"/>
      <c r="AF369" s="24"/>
      <c r="AH369" s="24"/>
      <c r="AI369" s="13"/>
      <c r="AJ369" s="13"/>
      <c r="AK369" s="24"/>
      <c r="AM369" s="24"/>
      <c r="AN369" s="13"/>
      <c r="AO369" s="13"/>
      <c r="AP369" s="24"/>
      <c r="AR369" s="24"/>
      <c r="AS369" s="13"/>
      <c r="AT369" s="13"/>
      <c r="AU369" s="24"/>
      <c r="AW369" s="24"/>
      <c r="AX369" s="13"/>
      <c r="AY369" s="13"/>
      <c r="AZ369" s="24"/>
      <c r="BB369" s="24"/>
      <c r="BC369" s="13"/>
      <c r="BD369" s="13"/>
      <c r="BE369" s="24"/>
      <c r="BG369" s="24"/>
      <c r="BH369" s="13"/>
      <c r="BI369" s="13"/>
      <c r="BJ369" s="24"/>
      <c r="BL369" s="24"/>
      <c r="BM369" s="13"/>
      <c r="BN369" s="13"/>
    </row>
    <row r="370" spans="1:66" s="11" customFormat="1" ht="21">
      <c r="A370" s="24"/>
      <c r="B370" s="24"/>
      <c r="C370" s="24"/>
      <c r="E370" s="13"/>
      <c r="F370" s="24"/>
      <c r="G370" s="24"/>
      <c r="I370" s="24"/>
      <c r="J370" s="13"/>
      <c r="K370" s="13"/>
      <c r="L370" s="24"/>
      <c r="N370" s="24"/>
      <c r="O370" s="13"/>
      <c r="P370" s="13"/>
      <c r="Q370" s="24"/>
      <c r="S370" s="24"/>
      <c r="T370" s="13"/>
      <c r="U370" s="13"/>
      <c r="V370" s="24"/>
      <c r="X370" s="24"/>
      <c r="Y370" s="13"/>
      <c r="Z370" s="13"/>
      <c r="AA370" s="24"/>
      <c r="AC370" s="24"/>
      <c r="AD370" s="13"/>
      <c r="AE370" s="13"/>
      <c r="AF370" s="24"/>
      <c r="AH370" s="24"/>
      <c r="AI370" s="13"/>
      <c r="AJ370" s="13"/>
      <c r="AK370" s="24"/>
      <c r="AM370" s="24"/>
      <c r="AN370" s="13"/>
      <c r="AO370" s="13"/>
      <c r="AP370" s="24"/>
      <c r="AR370" s="24"/>
      <c r="AS370" s="13"/>
      <c r="AT370" s="13"/>
      <c r="AU370" s="24"/>
      <c r="AW370" s="24"/>
      <c r="AX370" s="13"/>
      <c r="AY370" s="13"/>
      <c r="AZ370" s="24"/>
      <c r="BB370" s="24"/>
      <c r="BC370" s="13"/>
      <c r="BD370" s="13"/>
      <c r="BE370" s="24"/>
      <c r="BG370" s="24"/>
      <c r="BH370" s="13"/>
      <c r="BI370" s="13"/>
      <c r="BJ370" s="24"/>
      <c r="BL370" s="24"/>
      <c r="BM370" s="13"/>
      <c r="BN370" s="13"/>
    </row>
    <row r="371" spans="1:66" s="11" customFormat="1" ht="21">
      <c r="A371" s="24"/>
      <c r="B371" s="24"/>
      <c r="C371" s="24"/>
      <c r="E371" s="13"/>
      <c r="F371" s="24"/>
      <c r="G371" s="24"/>
      <c r="I371" s="24"/>
      <c r="J371" s="13"/>
      <c r="K371" s="13"/>
      <c r="L371" s="24"/>
      <c r="N371" s="24"/>
      <c r="O371" s="13"/>
      <c r="P371" s="13"/>
      <c r="Q371" s="24"/>
      <c r="S371" s="24"/>
      <c r="T371" s="13"/>
      <c r="U371" s="13"/>
      <c r="V371" s="24"/>
      <c r="X371" s="24"/>
      <c r="Y371" s="13"/>
      <c r="Z371" s="13"/>
      <c r="AA371" s="24"/>
      <c r="AC371" s="24"/>
      <c r="AD371" s="13"/>
      <c r="AE371" s="13"/>
      <c r="AF371" s="24"/>
      <c r="AH371" s="24"/>
      <c r="AI371" s="13"/>
      <c r="AJ371" s="13"/>
      <c r="AK371" s="24"/>
      <c r="AM371" s="24"/>
      <c r="AN371" s="13"/>
      <c r="AO371" s="13"/>
      <c r="AP371" s="24"/>
      <c r="AR371" s="24"/>
      <c r="AS371" s="13"/>
      <c r="AT371" s="13"/>
      <c r="AU371" s="24"/>
      <c r="AW371" s="24"/>
      <c r="AX371" s="13"/>
      <c r="AY371" s="13"/>
      <c r="AZ371" s="24"/>
      <c r="BB371" s="24"/>
      <c r="BC371" s="13"/>
      <c r="BD371" s="13"/>
      <c r="BE371" s="24"/>
      <c r="BG371" s="24"/>
      <c r="BH371" s="13"/>
      <c r="BI371" s="13"/>
      <c r="BJ371" s="24"/>
      <c r="BL371" s="24"/>
      <c r="BM371" s="13"/>
      <c r="BN371" s="13"/>
    </row>
    <row r="372" spans="1:66" s="11" customFormat="1" ht="21">
      <c r="A372" s="24"/>
      <c r="B372" s="24"/>
      <c r="C372" s="24"/>
      <c r="E372" s="13"/>
      <c r="F372" s="24"/>
      <c r="G372" s="24"/>
      <c r="I372" s="24"/>
      <c r="J372" s="13"/>
      <c r="K372" s="13"/>
      <c r="L372" s="24"/>
      <c r="N372" s="24"/>
      <c r="O372" s="13"/>
      <c r="P372" s="13"/>
      <c r="Q372" s="24"/>
      <c r="S372" s="24"/>
      <c r="T372" s="13"/>
      <c r="U372" s="13"/>
      <c r="V372" s="24"/>
      <c r="X372" s="24"/>
      <c r="Y372" s="13"/>
      <c r="Z372" s="13"/>
      <c r="AA372" s="24"/>
      <c r="AC372" s="24"/>
      <c r="AD372" s="13"/>
      <c r="AE372" s="13"/>
      <c r="AF372" s="24"/>
      <c r="AH372" s="24"/>
      <c r="AI372" s="13"/>
      <c r="AJ372" s="13"/>
      <c r="AK372" s="24"/>
      <c r="AM372" s="24"/>
      <c r="AN372" s="13"/>
      <c r="AO372" s="13"/>
      <c r="AP372" s="24"/>
      <c r="AR372" s="24"/>
      <c r="AS372" s="13"/>
      <c r="AT372" s="13"/>
      <c r="AU372" s="24"/>
      <c r="AW372" s="24"/>
      <c r="AX372" s="13"/>
      <c r="AY372" s="13"/>
      <c r="AZ372" s="24"/>
      <c r="BB372" s="24"/>
      <c r="BC372" s="13"/>
      <c r="BD372" s="13"/>
      <c r="BE372" s="24"/>
      <c r="BG372" s="24"/>
      <c r="BH372" s="13"/>
      <c r="BI372" s="13"/>
      <c r="BJ372" s="24"/>
      <c r="BL372" s="24"/>
      <c r="BM372" s="13"/>
      <c r="BN372" s="13"/>
    </row>
    <row r="373" spans="1:66" s="11" customFormat="1" ht="21">
      <c r="A373" s="24"/>
      <c r="B373" s="24"/>
      <c r="C373" s="24"/>
      <c r="E373" s="13"/>
      <c r="F373" s="24"/>
      <c r="G373" s="24"/>
      <c r="I373" s="24"/>
      <c r="J373" s="13"/>
      <c r="K373" s="13"/>
      <c r="L373" s="24"/>
      <c r="N373" s="24"/>
      <c r="O373" s="13"/>
      <c r="P373" s="13"/>
      <c r="Q373" s="24"/>
      <c r="S373" s="24"/>
      <c r="T373" s="13"/>
      <c r="U373" s="13"/>
      <c r="V373" s="24"/>
      <c r="X373" s="24"/>
      <c r="Y373" s="13"/>
      <c r="Z373" s="13"/>
      <c r="AA373" s="24"/>
      <c r="AC373" s="24"/>
      <c r="AD373" s="13"/>
      <c r="AE373" s="13"/>
      <c r="AF373" s="24"/>
      <c r="AH373" s="24"/>
      <c r="AI373" s="13"/>
      <c r="AJ373" s="13"/>
      <c r="AK373" s="24"/>
      <c r="AM373" s="24"/>
      <c r="AN373" s="13"/>
      <c r="AO373" s="13"/>
      <c r="AP373" s="24"/>
      <c r="AR373" s="24"/>
      <c r="AS373" s="13"/>
      <c r="AT373" s="13"/>
      <c r="AU373" s="24"/>
      <c r="AW373" s="24"/>
      <c r="AX373" s="13"/>
      <c r="AY373" s="13"/>
      <c r="AZ373" s="24"/>
      <c r="BB373" s="24"/>
      <c r="BC373" s="13"/>
      <c r="BD373" s="13"/>
      <c r="BE373" s="24"/>
      <c r="BG373" s="24"/>
      <c r="BH373" s="13"/>
      <c r="BI373" s="13"/>
      <c r="BJ373" s="24"/>
      <c r="BL373" s="24"/>
      <c r="BM373" s="13"/>
      <c r="BN373" s="13"/>
    </row>
    <row r="374" spans="1:66" s="11" customFormat="1" ht="21">
      <c r="A374" s="24"/>
      <c r="B374" s="24"/>
      <c r="C374" s="24"/>
      <c r="E374" s="13"/>
      <c r="F374" s="24"/>
      <c r="G374" s="24"/>
      <c r="I374" s="24"/>
      <c r="J374" s="13"/>
      <c r="K374" s="13"/>
      <c r="L374" s="24"/>
      <c r="N374" s="24"/>
      <c r="O374" s="13"/>
      <c r="P374" s="13"/>
      <c r="Q374" s="24"/>
      <c r="S374" s="24"/>
      <c r="T374" s="13"/>
      <c r="U374" s="13"/>
      <c r="V374" s="24"/>
      <c r="X374" s="24"/>
      <c r="Y374" s="13"/>
      <c r="Z374" s="13"/>
      <c r="AA374" s="24"/>
      <c r="AC374" s="24"/>
      <c r="AD374" s="13"/>
      <c r="AE374" s="13"/>
      <c r="AF374" s="24"/>
      <c r="AH374" s="24"/>
      <c r="AI374" s="13"/>
      <c r="AJ374" s="13"/>
      <c r="AK374" s="24"/>
      <c r="AM374" s="24"/>
      <c r="AN374" s="13"/>
      <c r="AO374" s="13"/>
      <c r="AP374" s="24"/>
      <c r="AR374" s="24"/>
      <c r="AS374" s="13"/>
      <c r="AT374" s="13"/>
      <c r="AU374" s="24"/>
      <c r="AW374" s="24"/>
      <c r="AX374" s="13"/>
      <c r="AY374" s="13"/>
      <c r="AZ374" s="24"/>
      <c r="BB374" s="24"/>
      <c r="BC374" s="13"/>
      <c r="BD374" s="13"/>
      <c r="BE374" s="24"/>
      <c r="BG374" s="24"/>
      <c r="BH374" s="13"/>
      <c r="BI374" s="13"/>
      <c r="BJ374" s="24"/>
      <c r="BL374" s="24"/>
      <c r="BM374" s="13"/>
      <c r="BN374" s="13"/>
    </row>
    <row r="375" spans="1:66" s="11" customFormat="1" ht="21">
      <c r="A375" s="24"/>
      <c r="B375" s="24"/>
      <c r="C375" s="24"/>
      <c r="E375" s="13"/>
      <c r="F375" s="24"/>
      <c r="G375" s="24"/>
      <c r="I375" s="24"/>
      <c r="J375" s="13"/>
      <c r="K375" s="13"/>
      <c r="L375" s="24"/>
      <c r="N375" s="24"/>
      <c r="O375" s="13"/>
      <c r="P375" s="13"/>
      <c r="Q375" s="24"/>
      <c r="S375" s="24"/>
      <c r="T375" s="13"/>
      <c r="U375" s="13"/>
      <c r="V375" s="24"/>
      <c r="X375" s="24"/>
      <c r="Y375" s="13"/>
      <c r="Z375" s="13"/>
      <c r="AA375" s="24"/>
      <c r="AC375" s="24"/>
      <c r="AD375" s="13"/>
      <c r="AE375" s="13"/>
      <c r="AF375" s="24"/>
      <c r="AH375" s="24"/>
      <c r="AI375" s="13"/>
      <c r="AJ375" s="13"/>
      <c r="AK375" s="24"/>
      <c r="AM375" s="24"/>
      <c r="AN375" s="13"/>
      <c r="AO375" s="13"/>
      <c r="AP375" s="24"/>
      <c r="AR375" s="24"/>
      <c r="AS375" s="13"/>
      <c r="AT375" s="13"/>
      <c r="AU375" s="24"/>
      <c r="AW375" s="24"/>
      <c r="AX375" s="13"/>
      <c r="AY375" s="13"/>
      <c r="AZ375" s="24"/>
      <c r="BB375" s="24"/>
      <c r="BC375" s="13"/>
      <c r="BD375" s="13"/>
      <c r="BE375" s="24"/>
      <c r="BG375" s="24"/>
      <c r="BH375" s="13"/>
      <c r="BI375" s="13"/>
      <c r="BJ375" s="24"/>
      <c r="BL375" s="24"/>
      <c r="BM375" s="13"/>
      <c r="BN375" s="13"/>
    </row>
    <row r="376" spans="1:66" s="11" customFormat="1" ht="21">
      <c r="A376" s="24"/>
      <c r="B376" s="24"/>
      <c r="C376" s="24"/>
      <c r="E376" s="13"/>
      <c r="F376" s="24"/>
      <c r="G376" s="24"/>
      <c r="I376" s="24"/>
      <c r="J376" s="13"/>
      <c r="K376" s="13"/>
      <c r="L376" s="24"/>
      <c r="N376" s="24"/>
      <c r="O376" s="13"/>
      <c r="P376" s="13"/>
      <c r="Q376" s="24"/>
      <c r="S376" s="24"/>
      <c r="T376" s="13"/>
      <c r="U376" s="13"/>
      <c r="V376" s="24"/>
      <c r="X376" s="24"/>
      <c r="Y376" s="13"/>
      <c r="Z376" s="13"/>
      <c r="AA376" s="24"/>
      <c r="AC376" s="24"/>
      <c r="AD376" s="13"/>
      <c r="AE376" s="13"/>
      <c r="AF376" s="24"/>
      <c r="AH376" s="24"/>
      <c r="AI376" s="13"/>
      <c r="AJ376" s="13"/>
      <c r="AK376" s="24"/>
      <c r="AM376" s="24"/>
      <c r="AN376" s="13"/>
      <c r="AO376" s="13"/>
      <c r="AP376" s="24"/>
      <c r="AR376" s="24"/>
      <c r="AS376" s="13"/>
      <c r="AT376" s="13"/>
      <c r="AU376" s="24"/>
      <c r="AW376" s="24"/>
      <c r="AX376" s="13"/>
      <c r="AY376" s="13"/>
      <c r="AZ376" s="24"/>
      <c r="BB376" s="24"/>
      <c r="BC376" s="13"/>
      <c r="BD376" s="13"/>
      <c r="BE376" s="24"/>
      <c r="BG376" s="24"/>
      <c r="BH376" s="13"/>
      <c r="BI376" s="13"/>
      <c r="BJ376" s="24"/>
      <c r="BL376" s="24"/>
      <c r="BM376" s="13"/>
      <c r="BN376" s="13"/>
    </row>
    <row r="377" spans="1:66" s="11" customFormat="1" ht="21">
      <c r="A377" s="24"/>
      <c r="B377" s="24"/>
      <c r="C377" s="24"/>
      <c r="E377" s="13"/>
      <c r="F377" s="24"/>
      <c r="G377" s="24"/>
      <c r="I377" s="24"/>
      <c r="J377" s="13"/>
      <c r="K377" s="13"/>
      <c r="L377" s="24"/>
      <c r="N377" s="24"/>
      <c r="O377" s="13"/>
      <c r="P377" s="13"/>
      <c r="Q377" s="24"/>
      <c r="S377" s="24"/>
      <c r="T377" s="13"/>
      <c r="U377" s="13"/>
      <c r="V377" s="24"/>
      <c r="X377" s="24"/>
      <c r="Y377" s="13"/>
      <c r="Z377" s="13"/>
      <c r="AA377" s="24"/>
      <c r="AC377" s="24"/>
      <c r="AD377" s="13"/>
      <c r="AE377" s="13"/>
      <c r="AF377" s="24"/>
      <c r="AH377" s="24"/>
      <c r="AI377" s="13"/>
      <c r="AJ377" s="13"/>
      <c r="AK377" s="24"/>
      <c r="AM377" s="24"/>
      <c r="AN377" s="13"/>
      <c r="AO377" s="13"/>
      <c r="AP377" s="24"/>
      <c r="AR377" s="24"/>
      <c r="AS377" s="13"/>
      <c r="AT377" s="13"/>
      <c r="AU377" s="24"/>
      <c r="AW377" s="24"/>
      <c r="AX377" s="13"/>
      <c r="AY377" s="13"/>
      <c r="AZ377" s="24"/>
      <c r="BB377" s="24"/>
      <c r="BC377" s="13"/>
      <c r="BD377" s="13"/>
      <c r="BE377" s="24"/>
      <c r="BG377" s="24"/>
      <c r="BH377" s="13"/>
      <c r="BI377" s="13"/>
      <c r="BJ377" s="24"/>
      <c r="BL377" s="24"/>
      <c r="BM377" s="13"/>
      <c r="BN377" s="13"/>
    </row>
    <row r="378" spans="1:66" s="11" customFormat="1" ht="21">
      <c r="A378" s="24"/>
      <c r="B378" s="24"/>
      <c r="C378" s="24"/>
      <c r="E378" s="13"/>
      <c r="F378" s="24"/>
      <c r="G378" s="24"/>
      <c r="I378" s="24"/>
      <c r="J378" s="13"/>
      <c r="K378" s="13"/>
      <c r="L378" s="24"/>
      <c r="N378" s="24"/>
      <c r="O378" s="13"/>
      <c r="P378" s="13"/>
      <c r="Q378" s="24"/>
      <c r="S378" s="24"/>
      <c r="T378" s="13"/>
      <c r="U378" s="13"/>
      <c r="V378" s="24"/>
      <c r="X378" s="24"/>
      <c r="Y378" s="13"/>
      <c r="Z378" s="13"/>
      <c r="AA378" s="24"/>
      <c r="AC378" s="24"/>
      <c r="AD378" s="13"/>
      <c r="AE378" s="13"/>
      <c r="AF378" s="24"/>
      <c r="AH378" s="24"/>
      <c r="AI378" s="13"/>
      <c r="AJ378" s="13"/>
      <c r="AK378" s="24"/>
      <c r="AM378" s="24"/>
      <c r="AN378" s="13"/>
      <c r="AO378" s="13"/>
      <c r="AP378" s="24"/>
      <c r="AR378" s="24"/>
      <c r="AS378" s="13"/>
      <c r="AT378" s="13"/>
      <c r="AU378" s="24"/>
      <c r="AW378" s="24"/>
      <c r="AX378" s="13"/>
      <c r="AY378" s="13"/>
      <c r="AZ378" s="24"/>
      <c r="BB378" s="24"/>
      <c r="BC378" s="13"/>
      <c r="BD378" s="13"/>
      <c r="BE378" s="24"/>
      <c r="BG378" s="24"/>
      <c r="BH378" s="13"/>
      <c r="BI378" s="13"/>
      <c r="BJ378" s="24"/>
      <c r="BL378" s="24"/>
      <c r="BM378" s="13"/>
      <c r="BN378" s="13"/>
    </row>
    <row r="379" spans="1:66" s="11" customFormat="1" ht="21">
      <c r="A379" s="24"/>
      <c r="B379" s="24"/>
      <c r="C379" s="24"/>
      <c r="E379" s="13"/>
      <c r="F379" s="24"/>
      <c r="G379" s="24"/>
      <c r="I379" s="24"/>
      <c r="J379" s="13"/>
      <c r="K379" s="13"/>
      <c r="L379" s="24"/>
      <c r="N379" s="24"/>
      <c r="O379" s="13"/>
      <c r="P379" s="13"/>
      <c r="Q379" s="24"/>
      <c r="S379" s="24"/>
      <c r="T379" s="13"/>
      <c r="U379" s="13"/>
      <c r="V379" s="24"/>
      <c r="X379" s="24"/>
      <c r="Y379" s="13"/>
      <c r="Z379" s="13"/>
      <c r="AA379" s="24"/>
      <c r="AC379" s="24"/>
      <c r="AD379" s="13"/>
      <c r="AE379" s="13"/>
      <c r="AF379" s="24"/>
      <c r="AH379" s="24"/>
      <c r="AI379" s="13"/>
      <c r="AJ379" s="13"/>
      <c r="AK379" s="24"/>
      <c r="AM379" s="24"/>
      <c r="AN379" s="13"/>
      <c r="AO379" s="13"/>
      <c r="AP379" s="24"/>
      <c r="AR379" s="24"/>
      <c r="AS379" s="13"/>
      <c r="AT379" s="13"/>
      <c r="AU379" s="24"/>
      <c r="AW379" s="24"/>
      <c r="AX379" s="13"/>
      <c r="AY379" s="13"/>
      <c r="AZ379" s="24"/>
      <c r="BB379" s="24"/>
      <c r="BC379" s="13"/>
      <c r="BD379" s="13"/>
      <c r="BE379" s="24"/>
      <c r="BG379" s="24"/>
      <c r="BH379" s="13"/>
      <c r="BI379" s="13"/>
      <c r="BJ379" s="24"/>
      <c r="BL379" s="24"/>
      <c r="BM379" s="13"/>
      <c r="BN379" s="13"/>
    </row>
    <row r="380" spans="1:66" s="11" customFormat="1" ht="21">
      <c r="A380" s="24"/>
      <c r="B380" s="24"/>
      <c r="C380" s="24"/>
      <c r="E380" s="13"/>
      <c r="F380" s="24"/>
      <c r="G380" s="24"/>
      <c r="I380" s="24"/>
      <c r="J380" s="13"/>
      <c r="K380" s="13"/>
      <c r="L380" s="24"/>
      <c r="N380" s="24"/>
      <c r="O380" s="13"/>
      <c r="P380" s="13"/>
      <c r="Q380" s="24"/>
      <c r="S380" s="24"/>
      <c r="T380" s="13"/>
      <c r="U380" s="13"/>
      <c r="V380" s="24"/>
      <c r="X380" s="24"/>
      <c r="Y380" s="13"/>
      <c r="Z380" s="13"/>
      <c r="AA380" s="24"/>
      <c r="AC380" s="24"/>
      <c r="AD380" s="13"/>
      <c r="AE380" s="13"/>
      <c r="AF380" s="24"/>
      <c r="AH380" s="24"/>
      <c r="AI380" s="13"/>
      <c r="AJ380" s="13"/>
      <c r="AK380" s="24"/>
      <c r="AM380" s="24"/>
      <c r="AN380" s="13"/>
      <c r="AO380" s="13"/>
      <c r="AP380" s="24"/>
      <c r="AR380" s="24"/>
      <c r="AS380" s="13"/>
      <c r="AT380" s="13"/>
      <c r="AU380" s="24"/>
      <c r="AW380" s="24"/>
      <c r="AX380" s="13"/>
      <c r="AY380" s="13"/>
      <c r="AZ380" s="24"/>
      <c r="BB380" s="24"/>
      <c r="BC380" s="13"/>
      <c r="BD380" s="13"/>
      <c r="BE380" s="24"/>
      <c r="BG380" s="24"/>
      <c r="BH380" s="13"/>
      <c r="BI380" s="13"/>
      <c r="BJ380" s="24"/>
      <c r="BL380" s="24"/>
      <c r="BM380" s="13"/>
      <c r="BN380" s="13"/>
    </row>
    <row r="381" spans="1:66" s="11" customFormat="1" ht="21">
      <c r="A381" s="24"/>
      <c r="B381" s="24"/>
      <c r="C381" s="24"/>
      <c r="E381" s="13"/>
      <c r="F381" s="24"/>
      <c r="G381" s="24"/>
      <c r="I381" s="24"/>
      <c r="J381" s="13"/>
      <c r="K381" s="13"/>
      <c r="L381" s="24"/>
      <c r="N381" s="24"/>
      <c r="O381" s="13"/>
      <c r="P381" s="13"/>
      <c r="Q381" s="24"/>
      <c r="S381" s="24"/>
      <c r="T381" s="13"/>
      <c r="U381" s="13"/>
      <c r="V381" s="24"/>
      <c r="X381" s="24"/>
      <c r="Y381" s="13"/>
      <c r="Z381" s="13"/>
      <c r="AA381" s="24"/>
      <c r="AC381" s="24"/>
      <c r="AD381" s="13"/>
      <c r="AE381" s="13"/>
      <c r="AF381" s="24"/>
      <c r="AH381" s="24"/>
      <c r="AI381" s="13"/>
      <c r="AJ381" s="13"/>
      <c r="AK381" s="24"/>
      <c r="AM381" s="24"/>
      <c r="AN381" s="13"/>
      <c r="AO381" s="13"/>
      <c r="AP381" s="24"/>
      <c r="AR381" s="24"/>
      <c r="AS381" s="13"/>
      <c r="AT381" s="13"/>
      <c r="AU381" s="24"/>
      <c r="AW381" s="24"/>
      <c r="AX381" s="13"/>
      <c r="AY381" s="13"/>
      <c r="AZ381" s="24"/>
      <c r="BB381" s="24"/>
      <c r="BC381" s="13"/>
      <c r="BD381" s="13"/>
      <c r="BE381" s="24"/>
      <c r="BG381" s="24"/>
      <c r="BH381" s="13"/>
      <c r="BI381" s="13"/>
      <c r="BJ381" s="24"/>
      <c r="BL381" s="24"/>
      <c r="BM381" s="13"/>
      <c r="BN381" s="13"/>
    </row>
    <row r="382" spans="1:66" s="11" customFormat="1" ht="21">
      <c r="A382" s="24"/>
      <c r="B382" s="24"/>
      <c r="C382" s="24"/>
      <c r="E382" s="13"/>
      <c r="F382" s="24"/>
      <c r="G382" s="24"/>
      <c r="I382" s="24"/>
      <c r="J382" s="13"/>
      <c r="K382" s="13"/>
      <c r="L382" s="24"/>
      <c r="N382" s="24"/>
      <c r="O382" s="13"/>
      <c r="P382" s="13"/>
      <c r="Q382" s="24"/>
      <c r="S382" s="24"/>
      <c r="T382" s="13"/>
      <c r="U382" s="13"/>
      <c r="V382" s="24"/>
      <c r="X382" s="24"/>
      <c r="Y382" s="13"/>
      <c r="Z382" s="13"/>
      <c r="AA382" s="24"/>
      <c r="AC382" s="24"/>
      <c r="AD382" s="13"/>
      <c r="AE382" s="13"/>
      <c r="AF382" s="24"/>
      <c r="AH382" s="24"/>
      <c r="AI382" s="13"/>
      <c r="AJ382" s="13"/>
      <c r="AK382" s="24"/>
      <c r="AM382" s="24"/>
      <c r="AN382" s="13"/>
      <c r="AO382" s="13"/>
      <c r="AP382" s="24"/>
      <c r="AR382" s="24"/>
      <c r="AS382" s="13"/>
      <c r="AT382" s="13"/>
      <c r="AU382" s="24"/>
      <c r="AW382" s="24"/>
      <c r="AX382" s="13"/>
      <c r="AY382" s="13"/>
      <c r="AZ382" s="24"/>
      <c r="BB382" s="24"/>
      <c r="BC382" s="13"/>
      <c r="BD382" s="13"/>
      <c r="BE382" s="24"/>
      <c r="BG382" s="24"/>
      <c r="BH382" s="13"/>
      <c r="BI382" s="13"/>
      <c r="BJ382" s="24"/>
      <c r="BL382" s="24"/>
      <c r="BM382" s="13"/>
      <c r="BN382" s="13"/>
    </row>
    <row r="383" spans="1:66" s="11" customFormat="1" ht="21">
      <c r="A383" s="24"/>
      <c r="B383" s="24"/>
      <c r="C383" s="24"/>
      <c r="E383" s="13"/>
      <c r="F383" s="24"/>
      <c r="G383" s="24"/>
      <c r="I383" s="24"/>
      <c r="J383" s="13"/>
      <c r="K383" s="13"/>
      <c r="L383" s="24"/>
      <c r="N383" s="24"/>
      <c r="O383" s="13"/>
      <c r="P383" s="13"/>
      <c r="Q383" s="24"/>
      <c r="S383" s="24"/>
      <c r="T383" s="13"/>
      <c r="U383" s="13"/>
      <c r="V383" s="24"/>
      <c r="X383" s="24"/>
      <c r="Y383" s="13"/>
      <c r="Z383" s="13"/>
      <c r="AA383" s="24"/>
      <c r="AC383" s="24"/>
      <c r="AD383" s="13"/>
      <c r="AE383" s="13"/>
      <c r="AF383" s="24"/>
      <c r="AH383" s="24"/>
      <c r="AI383" s="13"/>
      <c r="AJ383" s="13"/>
      <c r="AK383" s="24"/>
      <c r="AM383" s="24"/>
      <c r="AN383" s="13"/>
      <c r="AO383" s="13"/>
      <c r="AP383" s="24"/>
      <c r="AR383" s="24"/>
      <c r="AS383" s="13"/>
      <c r="AT383" s="13"/>
      <c r="AU383" s="24"/>
      <c r="AW383" s="24"/>
      <c r="AX383" s="13"/>
      <c r="AY383" s="13"/>
      <c r="AZ383" s="24"/>
      <c r="BB383" s="24"/>
      <c r="BC383" s="13"/>
      <c r="BD383" s="13"/>
      <c r="BE383" s="24"/>
      <c r="BG383" s="24"/>
      <c r="BH383" s="13"/>
      <c r="BI383" s="13"/>
      <c r="BJ383" s="24"/>
      <c r="BL383" s="24"/>
      <c r="BM383" s="13"/>
      <c r="BN383" s="13"/>
    </row>
    <row r="384" spans="1:66" s="11" customFormat="1" ht="21">
      <c r="A384" s="24"/>
      <c r="B384" s="24"/>
      <c r="C384" s="24"/>
      <c r="E384" s="13"/>
      <c r="F384" s="24"/>
      <c r="G384" s="24"/>
      <c r="I384" s="24"/>
      <c r="J384" s="13"/>
      <c r="K384" s="13"/>
      <c r="L384" s="24"/>
      <c r="N384" s="24"/>
      <c r="O384" s="13"/>
      <c r="P384" s="13"/>
      <c r="Q384" s="24"/>
      <c r="S384" s="24"/>
      <c r="T384" s="13"/>
      <c r="U384" s="13"/>
      <c r="V384" s="24"/>
      <c r="X384" s="24"/>
      <c r="Y384" s="13"/>
      <c r="Z384" s="13"/>
      <c r="AA384" s="24"/>
      <c r="AC384" s="24"/>
      <c r="AD384" s="13"/>
      <c r="AE384" s="13"/>
      <c r="AF384" s="24"/>
      <c r="AH384" s="24"/>
      <c r="AI384" s="13"/>
      <c r="AJ384" s="13"/>
      <c r="AK384" s="24"/>
      <c r="AM384" s="24"/>
      <c r="AN384" s="13"/>
      <c r="AO384" s="13"/>
      <c r="AP384" s="24"/>
      <c r="AR384" s="24"/>
      <c r="AS384" s="13"/>
      <c r="AT384" s="13"/>
      <c r="AU384" s="24"/>
      <c r="AW384" s="24"/>
      <c r="AX384" s="13"/>
      <c r="AY384" s="13"/>
      <c r="AZ384" s="24"/>
      <c r="BB384" s="24"/>
      <c r="BC384" s="13"/>
      <c r="BD384" s="13"/>
      <c r="BE384" s="24"/>
      <c r="BG384" s="24"/>
      <c r="BH384" s="13"/>
      <c r="BI384" s="13"/>
      <c r="BJ384" s="24"/>
      <c r="BL384" s="24"/>
      <c r="BM384" s="13"/>
      <c r="BN384" s="13"/>
    </row>
    <row r="385" spans="1:66" s="11" customFormat="1" ht="21">
      <c r="A385" s="24"/>
      <c r="B385" s="24"/>
      <c r="C385" s="24"/>
      <c r="E385" s="13"/>
      <c r="F385" s="24"/>
      <c r="G385" s="24"/>
      <c r="I385" s="24"/>
      <c r="J385" s="13"/>
      <c r="K385" s="13"/>
      <c r="L385" s="24"/>
      <c r="N385" s="24"/>
      <c r="O385" s="13"/>
      <c r="P385" s="13"/>
      <c r="Q385" s="24"/>
      <c r="S385" s="24"/>
      <c r="T385" s="13"/>
      <c r="U385" s="13"/>
      <c r="V385" s="24"/>
      <c r="X385" s="24"/>
      <c r="Y385" s="13"/>
      <c r="Z385" s="13"/>
      <c r="AA385" s="24"/>
      <c r="AC385" s="24"/>
      <c r="AD385" s="13"/>
      <c r="AE385" s="13"/>
      <c r="AF385" s="24"/>
      <c r="AH385" s="24"/>
      <c r="AI385" s="13"/>
      <c r="AJ385" s="13"/>
      <c r="AK385" s="24"/>
      <c r="AM385" s="24"/>
      <c r="AN385" s="13"/>
      <c r="AO385" s="13"/>
      <c r="AP385" s="24"/>
      <c r="AR385" s="24"/>
      <c r="AS385" s="13"/>
      <c r="AT385" s="13"/>
      <c r="AU385" s="24"/>
      <c r="AW385" s="24"/>
      <c r="AX385" s="13"/>
      <c r="AY385" s="13"/>
      <c r="AZ385" s="24"/>
      <c r="BB385" s="24"/>
      <c r="BC385" s="13"/>
      <c r="BD385" s="13"/>
      <c r="BE385" s="24"/>
      <c r="BG385" s="24"/>
      <c r="BH385" s="13"/>
      <c r="BI385" s="13"/>
      <c r="BJ385" s="24"/>
      <c r="BL385" s="24"/>
      <c r="BM385" s="13"/>
      <c r="BN385" s="13"/>
    </row>
    <row r="386" spans="1:66" s="11" customFormat="1" ht="21">
      <c r="A386" s="24"/>
      <c r="B386" s="24"/>
      <c r="C386" s="24"/>
      <c r="E386" s="13"/>
      <c r="F386" s="24"/>
      <c r="G386" s="24"/>
      <c r="I386" s="24"/>
      <c r="J386" s="13"/>
      <c r="K386" s="13"/>
      <c r="L386" s="24"/>
      <c r="N386" s="24"/>
      <c r="O386" s="13"/>
      <c r="P386" s="13"/>
      <c r="Q386" s="24"/>
      <c r="S386" s="24"/>
      <c r="T386" s="13"/>
      <c r="U386" s="13"/>
      <c r="V386" s="24"/>
      <c r="X386" s="24"/>
      <c r="Y386" s="13"/>
      <c r="Z386" s="13"/>
      <c r="AA386" s="24"/>
      <c r="AC386" s="24"/>
      <c r="AD386" s="13"/>
      <c r="AE386" s="13"/>
      <c r="AF386" s="24"/>
      <c r="AH386" s="24"/>
      <c r="AI386" s="13"/>
      <c r="AJ386" s="13"/>
      <c r="AK386" s="24"/>
      <c r="AM386" s="24"/>
      <c r="AN386" s="13"/>
      <c r="AO386" s="13"/>
      <c r="AP386" s="24"/>
      <c r="AR386" s="24"/>
      <c r="AS386" s="13"/>
      <c r="AT386" s="13"/>
      <c r="AU386" s="24"/>
      <c r="AW386" s="24"/>
      <c r="AX386" s="13"/>
      <c r="AY386" s="13"/>
      <c r="AZ386" s="24"/>
      <c r="BB386" s="24"/>
      <c r="BC386" s="13"/>
      <c r="BD386" s="13"/>
      <c r="BE386" s="24"/>
      <c r="BG386" s="24"/>
      <c r="BH386" s="13"/>
      <c r="BI386" s="13"/>
      <c r="BJ386" s="24"/>
      <c r="BL386" s="24"/>
      <c r="BM386" s="13"/>
      <c r="BN386" s="13"/>
    </row>
    <row r="387" spans="1:66" s="11" customFormat="1" ht="21">
      <c r="A387" s="24"/>
      <c r="B387" s="24"/>
      <c r="C387" s="24"/>
      <c r="E387" s="13"/>
      <c r="F387" s="24"/>
      <c r="G387" s="24"/>
      <c r="I387" s="24"/>
      <c r="J387" s="13"/>
      <c r="K387" s="13"/>
      <c r="L387" s="24"/>
      <c r="N387" s="24"/>
      <c r="O387" s="13"/>
      <c r="P387" s="13"/>
      <c r="Q387" s="24"/>
      <c r="S387" s="24"/>
      <c r="T387" s="13"/>
      <c r="U387" s="13"/>
      <c r="V387" s="24"/>
      <c r="X387" s="24"/>
      <c r="Y387" s="13"/>
      <c r="Z387" s="13"/>
      <c r="AA387" s="24"/>
      <c r="AC387" s="24"/>
      <c r="AD387" s="13"/>
      <c r="AE387" s="13"/>
      <c r="AF387" s="24"/>
      <c r="AH387" s="24"/>
      <c r="AI387" s="13"/>
      <c r="AJ387" s="13"/>
      <c r="AK387" s="24"/>
      <c r="AM387" s="24"/>
      <c r="AN387" s="13"/>
      <c r="AO387" s="13"/>
      <c r="AP387" s="24"/>
      <c r="AR387" s="24"/>
      <c r="AS387" s="13"/>
      <c r="AT387" s="13"/>
      <c r="AU387" s="24"/>
      <c r="AW387" s="24"/>
      <c r="AX387" s="13"/>
      <c r="AY387" s="13"/>
      <c r="AZ387" s="24"/>
      <c r="BB387" s="24"/>
      <c r="BC387" s="13"/>
      <c r="BD387" s="13"/>
      <c r="BE387" s="24"/>
      <c r="BG387" s="24"/>
      <c r="BH387" s="13"/>
      <c r="BI387" s="13"/>
      <c r="BJ387" s="24"/>
      <c r="BL387" s="24"/>
      <c r="BM387" s="13"/>
      <c r="BN387" s="13"/>
    </row>
    <row r="388" spans="1:66" s="11" customFormat="1" ht="21">
      <c r="A388" s="24"/>
      <c r="B388" s="24"/>
      <c r="C388" s="24"/>
      <c r="E388" s="13"/>
      <c r="F388" s="24"/>
      <c r="G388" s="24"/>
      <c r="I388" s="24"/>
      <c r="J388" s="13"/>
      <c r="K388" s="13"/>
      <c r="L388" s="24"/>
      <c r="N388" s="24"/>
      <c r="O388" s="13"/>
      <c r="P388" s="13"/>
      <c r="Q388" s="24"/>
      <c r="S388" s="24"/>
      <c r="T388" s="13"/>
      <c r="U388" s="13"/>
      <c r="V388" s="24"/>
      <c r="X388" s="24"/>
      <c r="Y388" s="13"/>
      <c r="Z388" s="13"/>
      <c r="AA388" s="24"/>
      <c r="AC388" s="24"/>
      <c r="AD388" s="13"/>
      <c r="AE388" s="13"/>
      <c r="AF388" s="24"/>
      <c r="AH388" s="24"/>
      <c r="AI388" s="13"/>
      <c r="AJ388" s="13"/>
      <c r="AK388" s="24"/>
      <c r="AM388" s="24"/>
      <c r="AN388" s="13"/>
      <c r="AO388" s="13"/>
      <c r="AP388" s="24"/>
      <c r="AR388" s="24"/>
      <c r="AS388" s="13"/>
      <c r="AT388" s="13"/>
      <c r="AU388" s="24"/>
      <c r="AW388" s="24"/>
      <c r="AX388" s="13"/>
      <c r="AY388" s="13"/>
      <c r="AZ388" s="24"/>
      <c r="BB388" s="24"/>
      <c r="BC388" s="13"/>
      <c r="BD388" s="13"/>
      <c r="BE388" s="24"/>
      <c r="BG388" s="24"/>
      <c r="BH388" s="13"/>
      <c r="BI388" s="13"/>
      <c r="BJ388" s="24"/>
      <c r="BL388" s="24"/>
      <c r="BM388" s="13"/>
      <c r="BN388" s="13"/>
    </row>
    <row r="389" spans="1:66" s="11" customFormat="1" ht="21">
      <c r="A389" s="24"/>
      <c r="B389" s="24"/>
      <c r="C389" s="24"/>
      <c r="E389" s="13"/>
      <c r="F389" s="24"/>
      <c r="G389" s="24"/>
      <c r="I389" s="24"/>
      <c r="J389" s="13"/>
      <c r="K389" s="13"/>
      <c r="L389" s="24"/>
      <c r="N389" s="24"/>
      <c r="O389" s="13"/>
      <c r="P389" s="13"/>
      <c r="Q389" s="24"/>
      <c r="S389" s="24"/>
      <c r="T389" s="13"/>
      <c r="U389" s="13"/>
      <c r="V389" s="24"/>
      <c r="X389" s="24"/>
      <c r="Y389" s="13"/>
      <c r="Z389" s="13"/>
      <c r="AA389" s="24"/>
      <c r="AC389" s="24"/>
      <c r="AD389" s="13"/>
      <c r="AE389" s="13"/>
      <c r="AF389" s="24"/>
      <c r="AH389" s="24"/>
      <c r="AI389" s="13"/>
      <c r="AJ389" s="13"/>
      <c r="AK389" s="24"/>
      <c r="AM389" s="24"/>
      <c r="AN389" s="13"/>
      <c r="AO389" s="13"/>
      <c r="AP389" s="24"/>
      <c r="AR389" s="24"/>
      <c r="AS389" s="13"/>
      <c r="AT389" s="13"/>
      <c r="AU389" s="24"/>
      <c r="AW389" s="24"/>
      <c r="AX389" s="13"/>
      <c r="AY389" s="13"/>
      <c r="AZ389" s="24"/>
      <c r="BB389" s="24"/>
      <c r="BC389" s="13"/>
      <c r="BD389" s="13"/>
      <c r="BE389" s="24"/>
      <c r="BG389" s="24"/>
      <c r="BH389" s="13"/>
      <c r="BI389" s="13"/>
      <c r="BJ389" s="24"/>
      <c r="BL389" s="24"/>
      <c r="BM389" s="13"/>
      <c r="BN389" s="13"/>
    </row>
    <row r="390" spans="1:66" s="11" customFormat="1" ht="21">
      <c r="A390" s="24"/>
      <c r="B390" s="24"/>
      <c r="C390" s="24"/>
      <c r="E390" s="13"/>
      <c r="F390" s="24"/>
      <c r="G390" s="24"/>
      <c r="I390" s="24"/>
      <c r="J390" s="13"/>
      <c r="K390" s="13"/>
      <c r="L390" s="24"/>
      <c r="N390" s="24"/>
      <c r="O390" s="13"/>
      <c r="P390" s="13"/>
      <c r="Q390" s="24"/>
      <c r="S390" s="24"/>
      <c r="T390" s="13"/>
      <c r="U390" s="13"/>
      <c r="V390" s="24"/>
      <c r="X390" s="24"/>
      <c r="Y390" s="13"/>
      <c r="Z390" s="13"/>
      <c r="AA390" s="24"/>
      <c r="AC390" s="24"/>
      <c r="AD390" s="13"/>
      <c r="AE390" s="13"/>
      <c r="AF390" s="24"/>
      <c r="AH390" s="24"/>
      <c r="AI390" s="13"/>
      <c r="AJ390" s="13"/>
      <c r="AK390" s="24"/>
      <c r="AM390" s="24"/>
      <c r="AN390" s="13"/>
      <c r="AO390" s="13"/>
      <c r="AP390" s="24"/>
      <c r="AR390" s="24"/>
      <c r="AS390" s="13"/>
      <c r="AT390" s="13"/>
      <c r="AU390" s="24"/>
      <c r="AW390" s="24"/>
      <c r="AX390" s="13"/>
      <c r="AY390" s="13"/>
      <c r="AZ390" s="24"/>
      <c r="BB390" s="24"/>
      <c r="BC390" s="13"/>
      <c r="BD390" s="13"/>
      <c r="BE390" s="24"/>
      <c r="BG390" s="24"/>
      <c r="BH390" s="13"/>
      <c r="BI390" s="13"/>
      <c r="BJ390" s="24"/>
      <c r="BL390" s="24"/>
      <c r="BM390" s="13"/>
      <c r="BN390" s="13"/>
    </row>
    <row r="391" spans="1:66" s="11" customFormat="1" ht="21">
      <c r="A391" s="24"/>
      <c r="B391" s="24"/>
      <c r="C391" s="24"/>
      <c r="E391" s="13"/>
      <c r="F391" s="24"/>
      <c r="G391" s="24"/>
      <c r="I391" s="24"/>
      <c r="J391" s="13"/>
      <c r="K391" s="13"/>
      <c r="L391" s="24"/>
      <c r="N391" s="24"/>
      <c r="O391" s="13"/>
      <c r="P391" s="13"/>
      <c r="Q391" s="24"/>
      <c r="S391" s="24"/>
      <c r="T391" s="13"/>
      <c r="U391" s="13"/>
      <c r="V391" s="24"/>
      <c r="X391" s="24"/>
      <c r="Y391" s="13"/>
      <c r="Z391" s="13"/>
      <c r="AA391" s="24"/>
      <c r="AC391" s="24"/>
      <c r="AD391" s="13"/>
      <c r="AE391" s="13"/>
      <c r="AF391" s="24"/>
      <c r="AH391" s="24"/>
      <c r="AI391" s="13"/>
      <c r="AJ391" s="13"/>
      <c r="AK391" s="24"/>
      <c r="AM391" s="24"/>
      <c r="AN391" s="13"/>
      <c r="AO391" s="13"/>
      <c r="AP391" s="24"/>
      <c r="AR391" s="24"/>
      <c r="AS391" s="13"/>
      <c r="AT391" s="13"/>
      <c r="AU391" s="24"/>
      <c r="AW391" s="24"/>
      <c r="AX391" s="13"/>
      <c r="AY391" s="13"/>
      <c r="AZ391" s="24"/>
      <c r="BB391" s="24"/>
      <c r="BC391" s="13"/>
      <c r="BD391" s="13"/>
      <c r="BE391" s="24"/>
      <c r="BG391" s="24"/>
      <c r="BH391" s="13"/>
      <c r="BI391" s="13"/>
      <c r="BJ391" s="24"/>
      <c r="BL391" s="24"/>
      <c r="BM391" s="13"/>
      <c r="BN391" s="13"/>
    </row>
    <row r="392" spans="1:66" s="11" customFormat="1" ht="21">
      <c r="A392" s="24"/>
      <c r="B392" s="24"/>
      <c r="C392" s="24"/>
      <c r="E392" s="13"/>
      <c r="F392" s="24"/>
      <c r="G392" s="24"/>
      <c r="I392" s="24"/>
      <c r="J392" s="13"/>
      <c r="K392" s="13"/>
      <c r="L392" s="24"/>
      <c r="N392" s="24"/>
      <c r="O392" s="13"/>
      <c r="P392" s="13"/>
      <c r="Q392" s="24"/>
      <c r="S392" s="24"/>
      <c r="T392" s="13"/>
      <c r="U392" s="13"/>
      <c r="V392" s="24"/>
      <c r="X392" s="24"/>
      <c r="Y392" s="13"/>
      <c r="Z392" s="13"/>
      <c r="AA392" s="24"/>
      <c r="AC392" s="24"/>
      <c r="AD392" s="13"/>
      <c r="AE392" s="13"/>
      <c r="AF392" s="24"/>
      <c r="AH392" s="24"/>
      <c r="AI392" s="13"/>
      <c r="AJ392" s="13"/>
      <c r="AK392" s="24"/>
      <c r="AM392" s="24"/>
      <c r="AN392" s="13"/>
      <c r="AO392" s="13"/>
      <c r="AP392" s="24"/>
      <c r="AR392" s="24"/>
      <c r="AS392" s="13"/>
      <c r="AT392" s="13"/>
      <c r="AU392" s="24"/>
      <c r="AW392" s="24"/>
      <c r="AX392" s="13"/>
      <c r="AY392" s="13"/>
      <c r="AZ392" s="24"/>
      <c r="BB392" s="24"/>
      <c r="BC392" s="13"/>
      <c r="BD392" s="13"/>
      <c r="BE392" s="24"/>
      <c r="BG392" s="24"/>
      <c r="BH392" s="13"/>
      <c r="BI392" s="13"/>
      <c r="BJ392" s="24"/>
      <c r="BL392" s="24"/>
      <c r="BM392" s="13"/>
      <c r="BN392" s="13"/>
    </row>
    <row r="393" spans="1:66" s="11" customFormat="1" ht="21">
      <c r="A393" s="24"/>
      <c r="B393" s="24"/>
      <c r="C393" s="24"/>
      <c r="E393" s="13"/>
      <c r="F393" s="24"/>
      <c r="G393" s="24"/>
      <c r="I393" s="24"/>
      <c r="J393" s="13"/>
      <c r="K393" s="13"/>
      <c r="L393" s="24"/>
      <c r="N393" s="24"/>
      <c r="O393" s="13"/>
      <c r="P393" s="13"/>
      <c r="Q393" s="24"/>
      <c r="S393" s="24"/>
      <c r="T393" s="13"/>
      <c r="U393" s="13"/>
      <c r="V393" s="24"/>
      <c r="X393" s="24"/>
      <c r="Y393" s="13"/>
      <c r="Z393" s="13"/>
      <c r="AA393" s="24"/>
      <c r="AC393" s="24"/>
      <c r="AD393" s="13"/>
      <c r="AE393" s="13"/>
      <c r="AF393" s="24"/>
      <c r="AH393" s="24"/>
      <c r="AI393" s="13"/>
      <c r="AJ393" s="13"/>
      <c r="AK393" s="24"/>
      <c r="AM393" s="24"/>
      <c r="AN393" s="13"/>
      <c r="AO393" s="13"/>
      <c r="AP393" s="24"/>
      <c r="AR393" s="24"/>
      <c r="AS393" s="13"/>
      <c r="AT393" s="13"/>
      <c r="AU393" s="24"/>
      <c r="AW393" s="24"/>
      <c r="AX393" s="13"/>
      <c r="AY393" s="13"/>
      <c r="AZ393" s="24"/>
      <c r="BB393" s="24"/>
      <c r="BC393" s="13"/>
      <c r="BD393" s="13"/>
      <c r="BE393" s="24"/>
      <c r="BG393" s="24"/>
      <c r="BH393" s="13"/>
      <c r="BI393" s="13"/>
      <c r="BJ393" s="24"/>
      <c r="BL393" s="24"/>
      <c r="BM393" s="13"/>
      <c r="BN393" s="13"/>
    </row>
    <row r="394" spans="1:66" s="11" customFormat="1" ht="21">
      <c r="A394" s="24"/>
      <c r="B394" s="24"/>
      <c r="C394" s="24"/>
      <c r="E394" s="13"/>
      <c r="F394" s="24"/>
      <c r="G394" s="24"/>
      <c r="I394" s="24"/>
      <c r="J394" s="13"/>
      <c r="K394" s="13"/>
      <c r="L394" s="24"/>
      <c r="N394" s="24"/>
      <c r="O394" s="13"/>
      <c r="P394" s="13"/>
      <c r="Q394" s="24"/>
      <c r="S394" s="24"/>
      <c r="T394" s="13"/>
      <c r="U394" s="13"/>
      <c r="V394" s="24"/>
      <c r="X394" s="24"/>
      <c r="Y394" s="13"/>
      <c r="Z394" s="13"/>
      <c r="AA394" s="24"/>
      <c r="AC394" s="24"/>
      <c r="AD394" s="13"/>
      <c r="AE394" s="13"/>
      <c r="AF394" s="24"/>
      <c r="AH394" s="24"/>
      <c r="AI394" s="13"/>
      <c r="AJ394" s="13"/>
      <c r="AK394" s="24"/>
      <c r="AM394" s="24"/>
      <c r="AN394" s="13"/>
      <c r="AO394" s="13"/>
      <c r="AP394" s="24"/>
      <c r="AR394" s="24"/>
      <c r="AS394" s="13"/>
      <c r="AT394" s="13"/>
      <c r="AU394" s="24"/>
      <c r="AW394" s="24"/>
      <c r="AX394" s="13"/>
      <c r="AY394" s="13"/>
      <c r="AZ394" s="24"/>
      <c r="BB394" s="24"/>
      <c r="BC394" s="13"/>
      <c r="BD394" s="13"/>
      <c r="BE394" s="24"/>
      <c r="BG394" s="24"/>
      <c r="BH394" s="13"/>
      <c r="BI394" s="13"/>
      <c r="BJ394" s="24"/>
      <c r="BL394" s="24"/>
      <c r="BM394" s="13"/>
      <c r="BN394" s="13"/>
    </row>
    <row r="395" spans="1:66" s="11" customFormat="1" ht="21">
      <c r="A395" s="24"/>
      <c r="B395" s="24"/>
      <c r="C395" s="24"/>
      <c r="E395" s="13"/>
      <c r="F395" s="24"/>
      <c r="G395" s="24"/>
      <c r="I395" s="24"/>
      <c r="J395" s="13"/>
      <c r="K395" s="13"/>
      <c r="L395" s="24"/>
      <c r="N395" s="24"/>
      <c r="O395" s="13"/>
      <c r="P395" s="13"/>
      <c r="Q395" s="24"/>
      <c r="S395" s="24"/>
      <c r="T395" s="13"/>
      <c r="U395" s="13"/>
      <c r="V395" s="24"/>
      <c r="X395" s="24"/>
      <c r="Y395" s="13"/>
      <c r="Z395" s="13"/>
      <c r="AA395" s="24"/>
      <c r="AC395" s="24"/>
      <c r="AD395" s="13"/>
      <c r="AE395" s="13"/>
      <c r="AF395" s="24"/>
      <c r="AH395" s="24"/>
      <c r="AI395" s="13"/>
      <c r="AJ395" s="13"/>
      <c r="AK395" s="24"/>
      <c r="AM395" s="24"/>
      <c r="AN395" s="13"/>
      <c r="AO395" s="13"/>
      <c r="AP395" s="24"/>
      <c r="AR395" s="24"/>
      <c r="AS395" s="13"/>
      <c r="AT395" s="13"/>
      <c r="AU395" s="24"/>
      <c r="AW395" s="24"/>
      <c r="AX395" s="13"/>
      <c r="AY395" s="13"/>
      <c r="AZ395" s="24"/>
      <c r="BB395" s="24"/>
      <c r="BC395" s="13"/>
      <c r="BD395" s="13"/>
      <c r="BE395" s="24"/>
      <c r="BG395" s="24"/>
      <c r="BH395" s="13"/>
      <c r="BI395" s="13"/>
      <c r="BJ395" s="24"/>
      <c r="BL395" s="24"/>
      <c r="BM395" s="13"/>
      <c r="BN395" s="13"/>
    </row>
    <row r="396" spans="1:66" s="11" customFormat="1" ht="21">
      <c r="A396" s="24"/>
      <c r="B396" s="24"/>
      <c r="C396" s="24"/>
      <c r="E396" s="13"/>
      <c r="F396" s="24"/>
      <c r="G396" s="24"/>
      <c r="I396" s="24"/>
      <c r="J396" s="13"/>
      <c r="K396" s="13"/>
      <c r="L396" s="24"/>
      <c r="N396" s="24"/>
      <c r="O396" s="13"/>
      <c r="P396" s="13"/>
      <c r="Q396" s="24"/>
      <c r="S396" s="24"/>
      <c r="T396" s="13"/>
      <c r="U396" s="13"/>
      <c r="V396" s="24"/>
      <c r="X396" s="24"/>
      <c r="Y396" s="13"/>
      <c r="Z396" s="13"/>
      <c r="AA396" s="24"/>
      <c r="AC396" s="24"/>
      <c r="AD396" s="13"/>
      <c r="AE396" s="13"/>
      <c r="AF396" s="24"/>
      <c r="AH396" s="24"/>
      <c r="AI396" s="13"/>
      <c r="AJ396" s="13"/>
      <c r="AK396" s="24"/>
      <c r="AM396" s="24"/>
      <c r="AN396" s="13"/>
      <c r="AO396" s="13"/>
      <c r="AP396" s="24"/>
      <c r="AR396" s="24"/>
      <c r="AS396" s="13"/>
      <c r="AT396" s="13"/>
      <c r="AU396" s="24"/>
      <c r="AW396" s="24"/>
      <c r="AX396" s="13"/>
      <c r="AY396" s="13"/>
      <c r="AZ396" s="24"/>
      <c r="BB396" s="24"/>
      <c r="BC396" s="13"/>
      <c r="BD396" s="13"/>
      <c r="BE396" s="24"/>
      <c r="BG396" s="24"/>
      <c r="BH396" s="13"/>
      <c r="BI396" s="13"/>
      <c r="BJ396" s="24"/>
      <c r="BL396" s="24"/>
      <c r="BM396" s="13"/>
      <c r="BN396" s="13"/>
    </row>
    <row r="397" spans="1:66" s="11" customFormat="1" ht="21">
      <c r="A397" s="24"/>
      <c r="B397" s="24"/>
      <c r="C397" s="24"/>
      <c r="E397" s="13"/>
      <c r="F397" s="24"/>
      <c r="G397" s="24"/>
      <c r="I397" s="24"/>
      <c r="J397" s="13"/>
      <c r="K397" s="13"/>
      <c r="L397" s="24"/>
      <c r="N397" s="24"/>
      <c r="O397" s="13"/>
      <c r="P397" s="13"/>
      <c r="Q397" s="24"/>
      <c r="S397" s="24"/>
      <c r="T397" s="13"/>
      <c r="U397" s="13"/>
      <c r="V397" s="24"/>
      <c r="X397" s="24"/>
      <c r="Y397" s="13"/>
      <c r="Z397" s="13"/>
      <c r="AA397" s="24"/>
      <c r="AC397" s="24"/>
      <c r="AD397" s="13"/>
      <c r="AE397" s="13"/>
      <c r="AF397" s="24"/>
      <c r="AH397" s="24"/>
      <c r="AI397" s="13"/>
      <c r="AJ397" s="13"/>
      <c r="AK397" s="24"/>
      <c r="AM397" s="24"/>
      <c r="AN397" s="13"/>
      <c r="AO397" s="13"/>
      <c r="AP397" s="24"/>
      <c r="AR397" s="24"/>
      <c r="AS397" s="13"/>
      <c r="AT397" s="13"/>
      <c r="AU397" s="24"/>
      <c r="AW397" s="24"/>
      <c r="AX397" s="13"/>
      <c r="AY397" s="13"/>
      <c r="AZ397" s="24"/>
      <c r="BB397" s="24"/>
      <c r="BC397" s="13"/>
      <c r="BD397" s="13"/>
      <c r="BE397" s="24"/>
      <c r="BG397" s="24"/>
      <c r="BH397" s="13"/>
      <c r="BI397" s="13"/>
      <c r="BJ397" s="24"/>
      <c r="BL397" s="24"/>
      <c r="BM397" s="13"/>
      <c r="BN397" s="13"/>
    </row>
    <row r="398" spans="1:66" s="11" customFormat="1" ht="21">
      <c r="A398" s="24"/>
      <c r="B398" s="24"/>
      <c r="C398" s="24"/>
      <c r="E398" s="13"/>
      <c r="F398" s="24"/>
      <c r="G398" s="24"/>
      <c r="I398" s="24"/>
      <c r="J398" s="13"/>
      <c r="K398" s="13"/>
      <c r="L398" s="24"/>
      <c r="N398" s="24"/>
      <c r="O398" s="13"/>
      <c r="P398" s="13"/>
      <c r="Q398" s="24"/>
      <c r="S398" s="24"/>
      <c r="T398" s="13"/>
      <c r="U398" s="13"/>
      <c r="V398" s="24"/>
      <c r="X398" s="24"/>
      <c r="Y398" s="13"/>
      <c r="Z398" s="13"/>
      <c r="AA398" s="24"/>
      <c r="AC398" s="24"/>
      <c r="AD398" s="13"/>
      <c r="AE398" s="13"/>
      <c r="AF398" s="24"/>
      <c r="AH398" s="24"/>
      <c r="AI398" s="13"/>
      <c r="AJ398" s="13"/>
      <c r="AK398" s="24"/>
      <c r="AM398" s="24"/>
      <c r="AN398" s="13"/>
      <c r="AO398" s="13"/>
      <c r="AP398" s="24"/>
      <c r="AR398" s="24"/>
      <c r="AS398" s="13"/>
      <c r="AT398" s="13"/>
      <c r="AU398" s="24"/>
      <c r="AW398" s="24"/>
      <c r="AX398" s="13"/>
      <c r="AY398" s="13"/>
      <c r="AZ398" s="24"/>
      <c r="BB398" s="24"/>
      <c r="BC398" s="13"/>
      <c r="BD398" s="13"/>
      <c r="BE398" s="24"/>
      <c r="BG398" s="24"/>
      <c r="BH398" s="13"/>
      <c r="BI398" s="13"/>
      <c r="BJ398" s="24"/>
      <c r="BL398" s="24"/>
      <c r="BM398" s="13"/>
      <c r="BN398" s="13"/>
    </row>
    <row r="399" spans="1:66" s="11" customFormat="1" ht="21">
      <c r="A399" s="24"/>
      <c r="B399" s="24"/>
      <c r="C399" s="24"/>
      <c r="E399" s="13"/>
      <c r="F399" s="24"/>
      <c r="G399" s="24"/>
      <c r="I399" s="24"/>
      <c r="J399" s="13"/>
      <c r="K399" s="13"/>
      <c r="L399" s="24"/>
      <c r="N399" s="24"/>
      <c r="O399" s="13"/>
      <c r="P399" s="13"/>
      <c r="Q399" s="24"/>
      <c r="S399" s="24"/>
      <c r="T399" s="13"/>
      <c r="U399" s="13"/>
      <c r="V399" s="24"/>
      <c r="X399" s="24"/>
      <c r="Y399" s="13"/>
      <c r="Z399" s="13"/>
      <c r="AA399" s="24"/>
      <c r="AC399" s="24"/>
      <c r="AD399" s="13"/>
      <c r="AE399" s="13"/>
      <c r="AF399" s="24"/>
      <c r="AH399" s="24"/>
      <c r="AI399" s="13"/>
      <c r="AJ399" s="13"/>
      <c r="AK399" s="24"/>
      <c r="AM399" s="24"/>
      <c r="AN399" s="13"/>
      <c r="AO399" s="13"/>
      <c r="AP399" s="24"/>
      <c r="AR399" s="24"/>
      <c r="AS399" s="13"/>
      <c r="AT399" s="13"/>
      <c r="AU399" s="24"/>
      <c r="AW399" s="24"/>
      <c r="AX399" s="13"/>
      <c r="AY399" s="13"/>
      <c r="AZ399" s="24"/>
      <c r="BB399" s="24"/>
      <c r="BC399" s="13"/>
      <c r="BD399" s="13"/>
      <c r="BE399" s="24"/>
      <c r="BG399" s="24"/>
      <c r="BH399" s="13"/>
      <c r="BI399" s="13"/>
      <c r="BJ399" s="24"/>
      <c r="BL399" s="24"/>
      <c r="BM399" s="13"/>
      <c r="BN399" s="13"/>
    </row>
    <row r="400" spans="1:66" s="11" customFormat="1" ht="21">
      <c r="A400" s="24"/>
      <c r="B400" s="24"/>
      <c r="C400" s="24"/>
      <c r="E400" s="13"/>
      <c r="F400" s="24"/>
      <c r="G400" s="24"/>
      <c r="I400" s="24"/>
      <c r="J400" s="13"/>
      <c r="K400" s="13"/>
      <c r="L400" s="24"/>
      <c r="N400" s="24"/>
      <c r="O400" s="13"/>
      <c r="P400" s="13"/>
      <c r="Q400" s="24"/>
      <c r="S400" s="24"/>
      <c r="T400" s="13"/>
      <c r="U400" s="13"/>
      <c r="V400" s="24"/>
      <c r="X400" s="24"/>
      <c r="Y400" s="13"/>
      <c r="Z400" s="13"/>
      <c r="AA400" s="24"/>
      <c r="AC400" s="24"/>
      <c r="AD400" s="13"/>
      <c r="AE400" s="13"/>
      <c r="AF400" s="24"/>
      <c r="AH400" s="24"/>
      <c r="AI400" s="13"/>
      <c r="AJ400" s="13"/>
      <c r="AK400" s="24"/>
      <c r="AM400" s="24"/>
      <c r="AN400" s="13"/>
      <c r="AO400" s="13"/>
      <c r="AP400" s="24"/>
      <c r="AR400" s="24"/>
      <c r="AS400" s="13"/>
      <c r="AT400" s="13"/>
      <c r="AU400" s="24"/>
      <c r="AW400" s="24"/>
      <c r="AX400" s="13"/>
      <c r="AY400" s="13"/>
      <c r="AZ400" s="24"/>
      <c r="BB400" s="24"/>
      <c r="BC400" s="13"/>
      <c r="BD400" s="13"/>
      <c r="BE400" s="24"/>
      <c r="BG400" s="24"/>
      <c r="BH400" s="13"/>
      <c r="BI400" s="13"/>
      <c r="BJ400" s="24"/>
      <c r="BL400" s="24"/>
      <c r="BM400" s="13"/>
      <c r="BN400" s="13"/>
    </row>
    <row r="401" spans="1:66" s="11" customFormat="1" ht="21">
      <c r="A401" s="24"/>
      <c r="B401" s="24"/>
      <c r="C401" s="24"/>
      <c r="E401" s="13"/>
      <c r="F401" s="24"/>
      <c r="G401" s="24"/>
      <c r="I401" s="24"/>
      <c r="J401" s="13"/>
      <c r="K401" s="13"/>
      <c r="L401" s="24"/>
      <c r="N401" s="24"/>
      <c r="O401" s="13"/>
      <c r="P401" s="13"/>
      <c r="Q401" s="24"/>
      <c r="S401" s="24"/>
      <c r="T401" s="13"/>
      <c r="U401" s="13"/>
      <c r="V401" s="24"/>
      <c r="X401" s="24"/>
      <c r="Y401" s="13"/>
      <c r="Z401" s="13"/>
      <c r="AA401" s="24"/>
      <c r="AC401" s="24"/>
      <c r="AD401" s="13"/>
      <c r="AE401" s="13"/>
      <c r="AF401" s="24"/>
      <c r="AH401" s="24"/>
      <c r="AI401" s="13"/>
      <c r="AJ401" s="13"/>
      <c r="AK401" s="24"/>
      <c r="AM401" s="24"/>
      <c r="AN401" s="13"/>
      <c r="AO401" s="13"/>
      <c r="AP401" s="24"/>
      <c r="AR401" s="24"/>
      <c r="AS401" s="13"/>
      <c r="AT401" s="13"/>
      <c r="AU401" s="24"/>
      <c r="AW401" s="24"/>
      <c r="AX401" s="13"/>
      <c r="AY401" s="13"/>
      <c r="AZ401" s="24"/>
      <c r="BB401" s="24"/>
      <c r="BC401" s="13"/>
      <c r="BD401" s="13"/>
      <c r="BE401" s="24"/>
      <c r="BG401" s="24"/>
      <c r="BH401" s="13"/>
      <c r="BI401" s="13"/>
      <c r="BJ401" s="24"/>
      <c r="BL401" s="24"/>
      <c r="BM401" s="13"/>
      <c r="BN401" s="13"/>
    </row>
    <row r="402" spans="1:66" s="11" customFormat="1" ht="21">
      <c r="A402" s="24"/>
      <c r="B402" s="24"/>
      <c r="C402" s="24"/>
      <c r="E402" s="13"/>
      <c r="F402" s="24"/>
      <c r="G402" s="24"/>
      <c r="I402" s="24"/>
      <c r="J402" s="13"/>
      <c r="K402" s="13"/>
      <c r="L402" s="24"/>
      <c r="N402" s="24"/>
      <c r="O402" s="13"/>
      <c r="P402" s="13"/>
      <c r="Q402" s="24"/>
      <c r="S402" s="24"/>
      <c r="T402" s="13"/>
      <c r="U402" s="13"/>
      <c r="V402" s="24"/>
      <c r="X402" s="24"/>
      <c r="Y402" s="13"/>
      <c r="Z402" s="13"/>
      <c r="AA402" s="24"/>
      <c r="AC402" s="24"/>
      <c r="AD402" s="13"/>
      <c r="AE402" s="13"/>
      <c r="AF402" s="24"/>
      <c r="AH402" s="24"/>
      <c r="AI402" s="13"/>
      <c r="AJ402" s="13"/>
      <c r="AK402" s="24"/>
      <c r="AM402" s="24"/>
      <c r="AN402" s="13"/>
      <c r="AO402" s="13"/>
      <c r="AP402" s="24"/>
      <c r="AR402" s="24"/>
      <c r="AS402" s="13"/>
      <c r="AT402" s="13"/>
      <c r="AU402" s="24"/>
      <c r="AW402" s="24"/>
      <c r="AX402" s="13"/>
      <c r="AY402" s="13"/>
      <c r="AZ402" s="24"/>
      <c r="BB402" s="24"/>
      <c r="BC402" s="13"/>
      <c r="BD402" s="13"/>
      <c r="BE402" s="24"/>
      <c r="BG402" s="24"/>
      <c r="BH402" s="13"/>
      <c r="BI402" s="13"/>
      <c r="BJ402" s="24"/>
      <c r="BL402" s="24"/>
      <c r="BM402" s="13"/>
      <c r="BN402" s="13"/>
    </row>
    <row r="403" spans="1:66" s="11" customFormat="1" ht="21">
      <c r="A403" s="24"/>
      <c r="B403" s="24"/>
      <c r="C403" s="24"/>
      <c r="E403" s="13"/>
      <c r="F403" s="24"/>
      <c r="G403" s="24"/>
      <c r="I403" s="24"/>
      <c r="J403" s="13"/>
      <c r="K403" s="13"/>
      <c r="L403" s="24"/>
      <c r="N403" s="24"/>
      <c r="O403" s="13"/>
      <c r="P403" s="13"/>
      <c r="Q403" s="24"/>
      <c r="S403" s="24"/>
      <c r="T403" s="13"/>
      <c r="U403" s="13"/>
      <c r="V403" s="24"/>
      <c r="X403" s="24"/>
      <c r="Y403" s="13"/>
      <c r="Z403" s="13"/>
      <c r="AA403" s="24"/>
      <c r="AC403" s="24"/>
      <c r="AD403" s="13"/>
      <c r="AE403" s="13"/>
      <c r="AF403" s="24"/>
      <c r="AH403" s="24"/>
      <c r="AI403" s="13"/>
      <c r="AJ403" s="13"/>
      <c r="AK403" s="24"/>
      <c r="AM403" s="24"/>
      <c r="AN403" s="13"/>
      <c r="AO403" s="13"/>
      <c r="AP403" s="24"/>
      <c r="AR403" s="24"/>
      <c r="AS403" s="13"/>
      <c r="AT403" s="13"/>
      <c r="AU403" s="24"/>
      <c r="AW403" s="24"/>
      <c r="AX403" s="13"/>
      <c r="AY403" s="13"/>
      <c r="AZ403" s="24"/>
      <c r="BB403" s="24"/>
      <c r="BC403" s="13"/>
      <c r="BD403" s="13"/>
      <c r="BE403" s="24"/>
      <c r="BG403" s="24"/>
      <c r="BH403" s="13"/>
      <c r="BI403" s="13"/>
      <c r="BJ403" s="24"/>
      <c r="BL403" s="24"/>
      <c r="BM403" s="13"/>
      <c r="BN403" s="13"/>
    </row>
    <row r="404" spans="1:66" s="11" customFormat="1" ht="21">
      <c r="A404" s="24"/>
      <c r="B404" s="24"/>
      <c r="C404" s="24"/>
      <c r="E404" s="13"/>
      <c r="F404" s="24"/>
      <c r="G404" s="24"/>
      <c r="I404" s="24"/>
      <c r="J404" s="13"/>
      <c r="K404" s="13"/>
      <c r="L404" s="24"/>
      <c r="N404" s="24"/>
      <c r="O404" s="13"/>
      <c r="P404" s="13"/>
      <c r="Q404" s="24"/>
      <c r="S404" s="24"/>
      <c r="T404" s="13"/>
      <c r="U404" s="13"/>
      <c r="V404" s="24"/>
      <c r="X404" s="24"/>
      <c r="Y404" s="13"/>
      <c r="Z404" s="13"/>
      <c r="AA404" s="24"/>
      <c r="AC404" s="24"/>
      <c r="AD404" s="13"/>
      <c r="AE404" s="13"/>
      <c r="AF404" s="24"/>
      <c r="AH404" s="24"/>
      <c r="AI404" s="13"/>
      <c r="AJ404" s="13"/>
      <c r="AK404" s="24"/>
      <c r="AM404" s="24"/>
      <c r="AN404" s="13"/>
      <c r="AO404" s="13"/>
      <c r="AP404" s="24"/>
      <c r="AR404" s="24"/>
      <c r="AS404" s="13"/>
      <c r="AT404" s="13"/>
      <c r="AU404" s="24"/>
      <c r="AW404" s="24"/>
      <c r="AX404" s="13"/>
      <c r="AY404" s="13"/>
      <c r="AZ404" s="24"/>
      <c r="BB404" s="24"/>
      <c r="BC404" s="13"/>
      <c r="BD404" s="13"/>
      <c r="BE404" s="24"/>
      <c r="BG404" s="24"/>
      <c r="BH404" s="13"/>
      <c r="BI404" s="13"/>
      <c r="BJ404" s="24"/>
      <c r="BL404" s="24"/>
      <c r="BM404" s="13"/>
      <c r="BN404" s="13"/>
    </row>
    <row r="405" spans="1:66" s="11" customFormat="1" ht="21">
      <c r="A405" s="24"/>
      <c r="B405" s="24"/>
      <c r="C405" s="24"/>
      <c r="E405" s="13"/>
      <c r="F405" s="24"/>
      <c r="G405" s="24"/>
      <c r="I405" s="24"/>
      <c r="J405" s="13"/>
      <c r="K405" s="13"/>
      <c r="L405" s="24"/>
      <c r="N405" s="24"/>
      <c r="O405" s="13"/>
      <c r="P405" s="13"/>
      <c r="Q405" s="24"/>
      <c r="S405" s="24"/>
      <c r="T405" s="13"/>
      <c r="U405" s="13"/>
      <c r="V405" s="24"/>
      <c r="X405" s="24"/>
      <c r="Y405" s="13"/>
      <c r="Z405" s="13"/>
      <c r="AA405" s="24"/>
      <c r="AC405" s="24"/>
      <c r="AD405" s="13"/>
      <c r="AE405" s="13"/>
      <c r="AF405" s="24"/>
      <c r="AH405" s="24"/>
      <c r="AI405" s="13"/>
      <c r="AJ405" s="13"/>
      <c r="AK405" s="24"/>
      <c r="AM405" s="24"/>
      <c r="AN405" s="13"/>
      <c r="AO405" s="13"/>
      <c r="AP405" s="24"/>
      <c r="AR405" s="24"/>
      <c r="AS405" s="13"/>
      <c r="AT405" s="13"/>
      <c r="AU405" s="24"/>
      <c r="AW405" s="24"/>
      <c r="AX405" s="13"/>
      <c r="AY405" s="13"/>
      <c r="AZ405" s="24"/>
      <c r="BB405" s="24"/>
      <c r="BC405" s="13"/>
      <c r="BD405" s="13"/>
      <c r="BE405" s="24"/>
      <c r="BG405" s="24"/>
      <c r="BH405" s="13"/>
      <c r="BI405" s="13"/>
      <c r="BJ405" s="24"/>
      <c r="BL405" s="24"/>
      <c r="BM405" s="13"/>
      <c r="BN405" s="13"/>
    </row>
    <row r="406" spans="1:66" s="11" customFormat="1" ht="21">
      <c r="A406" s="24"/>
      <c r="B406" s="24"/>
      <c r="C406" s="24"/>
      <c r="E406" s="13"/>
      <c r="F406" s="24"/>
      <c r="G406" s="24"/>
      <c r="I406" s="24"/>
      <c r="J406" s="13"/>
      <c r="K406" s="13"/>
      <c r="L406" s="24"/>
      <c r="N406" s="24"/>
      <c r="O406" s="13"/>
      <c r="P406" s="13"/>
      <c r="Q406" s="24"/>
      <c r="S406" s="24"/>
      <c r="T406" s="13"/>
      <c r="U406" s="13"/>
      <c r="V406" s="24"/>
      <c r="X406" s="24"/>
      <c r="Y406" s="13"/>
      <c r="Z406" s="13"/>
      <c r="AA406" s="24"/>
      <c r="AC406" s="24"/>
      <c r="AD406" s="13"/>
      <c r="AE406" s="13"/>
      <c r="AF406" s="24"/>
      <c r="AH406" s="24"/>
      <c r="AI406" s="13"/>
      <c r="AJ406" s="13"/>
      <c r="AK406" s="24"/>
      <c r="AM406" s="24"/>
      <c r="AN406" s="13"/>
      <c r="AO406" s="13"/>
      <c r="AP406" s="24"/>
      <c r="AR406" s="24"/>
      <c r="AS406" s="13"/>
      <c r="AT406" s="13"/>
      <c r="AU406" s="24"/>
      <c r="AW406" s="24"/>
      <c r="AX406" s="13"/>
      <c r="AY406" s="13"/>
      <c r="AZ406" s="24"/>
      <c r="BB406" s="24"/>
      <c r="BC406" s="13"/>
      <c r="BD406" s="13"/>
      <c r="BE406" s="24"/>
      <c r="BG406" s="24"/>
      <c r="BH406" s="13"/>
      <c r="BI406" s="13"/>
      <c r="BJ406" s="24"/>
      <c r="BL406" s="24"/>
      <c r="BM406" s="13"/>
      <c r="BN406" s="13"/>
    </row>
    <row r="407" spans="1:66" s="11" customFormat="1" ht="21">
      <c r="A407" s="24"/>
      <c r="B407" s="24"/>
      <c r="C407" s="24"/>
      <c r="E407" s="13"/>
      <c r="F407" s="24"/>
      <c r="G407" s="24"/>
      <c r="I407" s="24"/>
      <c r="J407" s="13"/>
      <c r="K407" s="13"/>
      <c r="L407" s="24"/>
      <c r="N407" s="24"/>
      <c r="O407" s="13"/>
      <c r="P407" s="13"/>
      <c r="Q407" s="24"/>
      <c r="S407" s="24"/>
      <c r="T407" s="13"/>
      <c r="U407" s="13"/>
      <c r="V407" s="24"/>
      <c r="X407" s="24"/>
      <c r="Y407" s="13"/>
      <c r="Z407" s="13"/>
      <c r="AA407" s="24"/>
      <c r="AC407" s="24"/>
      <c r="AD407" s="13"/>
      <c r="AE407" s="13"/>
      <c r="AF407" s="24"/>
      <c r="AH407" s="24"/>
      <c r="AI407" s="13"/>
      <c r="AJ407" s="13"/>
      <c r="AK407" s="24"/>
      <c r="AM407" s="24"/>
      <c r="AN407" s="13"/>
      <c r="AO407" s="13"/>
      <c r="AP407" s="24"/>
      <c r="AR407" s="24"/>
      <c r="AS407" s="13"/>
      <c r="AT407" s="13"/>
      <c r="AU407" s="24"/>
      <c r="AW407" s="24"/>
      <c r="AX407" s="13"/>
      <c r="AY407" s="13"/>
      <c r="AZ407" s="24"/>
      <c r="BB407" s="24"/>
      <c r="BC407" s="13"/>
      <c r="BD407" s="13"/>
      <c r="BE407" s="24"/>
      <c r="BG407" s="24"/>
      <c r="BH407" s="13"/>
      <c r="BI407" s="13"/>
      <c r="BJ407" s="24"/>
      <c r="BL407" s="24"/>
      <c r="BM407" s="13"/>
      <c r="BN407" s="13"/>
    </row>
    <row r="408" spans="1:66" s="11" customFormat="1" ht="21">
      <c r="A408" s="24"/>
      <c r="B408" s="24"/>
      <c r="C408" s="24"/>
      <c r="E408" s="13"/>
      <c r="F408" s="24"/>
      <c r="G408" s="24"/>
      <c r="I408" s="24"/>
      <c r="J408" s="13"/>
      <c r="K408" s="13"/>
      <c r="L408" s="24"/>
      <c r="N408" s="24"/>
      <c r="O408" s="13"/>
      <c r="P408" s="13"/>
      <c r="Q408" s="24"/>
      <c r="S408" s="24"/>
      <c r="T408" s="13"/>
      <c r="U408" s="13"/>
      <c r="V408" s="24"/>
      <c r="X408" s="24"/>
      <c r="Y408" s="13"/>
      <c r="Z408" s="13"/>
      <c r="AA408" s="24"/>
      <c r="AC408" s="24"/>
      <c r="AD408" s="13"/>
      <c r="AE408" s="13"/>
      <c r="AF408" s="24"/>
      <c r="AH408" s="24"/>
      <c r="AI408" s="13"/>
      <c r="AJ408" s="13"/>
      <c r="AK408" s="24"/>
      <c r="AM408" s="24"/>
      <c r="AN408" s="13"/>
      <c r="AO408" s="13"/>
      <c r="AP408" s="24"/>
      <c r="AR408" s="24"/>
      <c r="AS408" s="13"/>
      <c r="AT408" s="13"/>
      <c r="AU408" s="24"/>
      <c r="AW408" s="24"/>
      <c r="AX408" s="13"/>
      <c r="AY408" s="13"/>
      <c r="AZ408" s="24"/>
      <c r="BB408" s="24"/>
      <c r="BC408" s="13"/>
      <c r="BD408" s="13"/>
      <c r="BE408" s="24"/>
      <c r="BG408" s="24"/>
      <c r="BH408" s="13"/>
      <c r="BI408" s="13"/>
      <c r="BJ408" s="24"/>
      <c r="BL408" s="24"/>
      <c r="BM408" s="13"/>
      <c r="BN408" s="13"/>
    </row>
    <row r="409" spans="1:66" s="11" customFormat="1" ht="21">
      <c r="A409" s="24"/>
      <c r="B409" s="24"/>
      <c r="C409" s="24"/>
      <c r="E409" s="13"/>
      <c r="F409" s="24"/>
      <c r="G409" s="24"/>
      <c r="I409" s="24"/>
      <c r="J409" s="13"/>
      <c r="K409" s="13"/>
      <c r="L409" s="24"/>
      <c r="N409" s="24"/>
      <c r="O409" s="13"/>
      <c r="P409" s="13"/>
      <c r="Q409" s="24"/>
      <c r="S409" s="24"/>
      <c r="T409" s="13"/>
      <c r="U409" s="13"/>
      <c r="V409" s="24"/>
      <c r="X409" s="24"/>
      <c r="Y409" s="13"/>
      <c r="Z409" s="13"/>
      <c r="AA409" s="24"/>
      <c r="AC409" s="24"/>
      <c r="AD409" s="13"/>
      <c r="AE409" s="13"/>
      <c r="AF409" s="24"/>
      <c r="AH409" s="24"/>
      <c r="AI409" s="13"/>
      <c r="AJ409" s="13"/>
      <c r="AK409" s="24"/>
      <c r="AM409" s="24"/>
      <c r="AN409" s="13"/>
      <c r="AO409" s="13"/>
      <c r="AP409" s="24"/>
      <c r="AR409" s="24"/>
      <c r="AS409" s="13"/>
      <c r="AT409" s="13"/>
      <c r="AU409" s="24"/>
      <c r="AW409" s="24"/>
      <c r="AX409" s="13"/>
      <c r="AY409" s="13"/>
      <c r="AZ409" s="24"/>
      <c r="BB409" s="24"/>
      <c r="BC409" s="13"/>
      <c r="BD409" s="13"/>
      <c r="BE409" s="24"/>
      <c r="BG409" s="24"/>
      <c r="BH409" s="13"/>
      <c r="BI409" s="13"/>
      <c r="BJ409" s="24"/>
      <c r="BL409" s="24"/>
      <c r="BM409" s="13"/>
      <c r="BN409" s="13"/>
    </row>
    <row r="410" spans="1:66" s="11" customFormat="1" ht="21">
      <c r="A410" s="24"/>
      <c r="B410" s="24"/>
      <c r="C410" s="24"/>
      <c r="E410" s="13"/>
      <c r="F410" s="24"/>
      <c r="G410" s="24"/>
      <c r="I410" s="24"/>
      <c r="J410" s="13"/>
      <c r="K410" s="13"/>
      <c r="L410" s="24"/>
      <c r="N410" s="24"/>
      <c r="O410" s="13"/>
      <c r="P410" s="13"/>
      <c r="Q410" s="24"/>
      <c r="S410" s="24"/>
      <c r="T410" s="13"/>
      <c r="U410" s="13"/>
      <c r="V410" s="24"/>
      <c r="X410" s="24"/>
      <c r="Y410" s="13"/>
      <c r="Z410" s="13"/>
      <c r="AA410" s="24"/>
      <c r="AC410" s="24"/>
      <c r="AD410" s="13"/>
      <c r="AE410" s="13"/>
      <c r="AF410" s="24"/>
      <c r="AH410" s="24"/>
      <c r="AI410" s="13"/>
      <c r="AJ410" s="13"/>
      <c r="AK410" s="24"/>
      <c r="AM410" s="24"/>
      <c r="AN410" s="13"/>
      <c r="AO410" s="13"/>
      <c r="AP410" s="24"/>
      <c r="AR410" s="24"/>
      <c r="AS410" s="13"/>
      <c r="AT410" s="13"/>
      <c r="AU410" s="24"/>
      <c r="AW410" s="24"/>
      <c r="AX410" s="13"/>
      <c r="AY410" s="13"/>
      <c r="AZ410" s="24"/>
      <c r="BB410" s="24"/>
      <c r="BC410" s="13"/>
      <c r="BD410" s="13"/>
      <c r="BE410" s="24"/>
      <c r="BG410" s="24"/>
      <c r="BH410" s="13"/>
      <c r="BI410" s="13"/>
      <c r="BJ410" s="24"/>
      <c r="BL410" s="24"/>
      <c r="BM410" s="13"/>
      <c r="BN410" s="13"/>
    </row>
    <row r="411" spans="1:66" s="11" customFormat="1" ht="21">
      <c r="A411" s="24"/>
      <c r="B411" s="24"/>
      <c r="C411" s="24"/>
      <c r="E411" s="13"/>
      <c r="F411" s="24"/>
      <c r="G411" s="24"/>
      <c r="I411" s="24"/>
      <c r="J411" s="13"/>
      <c r="K411" s="13"/>
      <c r="L411" s="24"/>
      <c r="N411" s="24"/>
      <c r="O411" s="13"/>
      <c r="P411" s="13"/>
      <c r="Q411" s="24"/>
      <c r="S411" s="24"/>
      <c r="T411" s="13"/>
      <c r="U411" s="13"/>
      <c r="V411" s="24"/>
      <c r="X411" s="24"/>
      <c r="Y411" s="13"/>
      <c r="Z411" s="13"/>
      <c r="AA411" s="24"/>
      <c r="AC411" s="24"/>
      <c r="AD411" s="13"/>
      <c r="AE411" s="13"/>
      <c r="AF411" s="24"/>
      <c r="AH411" s="24"/>
      <c r="AI411" s="13"/>
      <c r="AJ411" s="13"/>
      <c r="AK411" s="24"/>
      <c r="AM411" s="24"/>
      <c r="AN411" s="13"/>
      <c r="AO411" s="13"/>
      <c r="AP411" s="24"/>
      <c r="AR411" s="24"/>
      <c r="AS411" s="13"/>
      <c r="AT411" s="13"/>
      <c r="AU411" s="24"/>
      <c r="AW411" s="24"/>
      <c r="AX411" s="13"/>
      <c r="AY411" s="13"/>
      <c r="AZ411" s="24"/>
      <c r="BB411" s="24"/>
      <c r="BC411" s="13"/>
      <c r="BD411" s="13"/>
      <c r="BE411" s="24"/>
      <c r="BG411" s="24"/>
      <c r="BH411" s="13"/>
      <c r="BI411" s="13"/>
      <c r="BJ411" s="24"/>
      <c r="BL411" s="24"/>
      <c r="BM411" s="13"/>
      <c r="BN411" s="13"/>
    </row>
    <row r="412" spans="1:66" s="11" customFormat="1" ht="21">
      <c r="A412" s="24"/>
      <c r="B412" s="24"/>
      <c r="C412" s="24"/>
      <c r="E412" s="13"/>
      <c r="F412" s="24"/>
      <c r="G412" s="24"/>
      <c r="I412" s="24"/>
      <c r="J412" s="13"/>
      <c r="K412" s="13"/>
      <c r="L412" s="24"/>
      <c r="N412" s="24"/>
      <c r="O412" s="13"/>
      <c r="P412" s="13"/>
      <c r="Q412" s="24"/>
      <c r="S412" s="24"/>
      <c r="T412" s="13"/>
      <c r="U412" s="13"/>
      <c r="V412" s="24"/>
      <c r="X412" s="24"/>
      <c r="Y412" s="13"/>
      <c r="Z412" s="13"/>
      <c r="AA412" s="24"/>
      <c r="AC412" s="24"/>
      <c r="AD412" s="13"/>
      <c r="AE412" s="13"/>
      <c r="AF412" s="24"/>
      <c r="AH412" s="24"/>
      <c r="AI412" s="13"/>
      <c r="AJ412" s="13"/>
      <c r="AK412" s="24"/>
      <c r="AM412" s="24"/>
      <c r="AN412" s="13"/>
      <c r="AO412" s="13"/>
      <c r="AP412" s="24"/>
      <c r="AR412" s="24"/>
      <c r="AS412" s="13"/>
      <c r="AT412" s="13"/>
      <c r="AU412" s="24"/>
      <c r="AW412" s="24"/>
      <c r="AX412" s="13"/>
      <c r="AY412" s="13"/>
      <c r="AZ412" s="24"/>
      <c r="BB412" s="24"/>
      <c r="BC412" s="13"/>
      <c r="BD412" s="13"/>
      <c r="BE412" s="24"/>
      <c r="BG412" s="24"/>
      <c r="BH412" s="13"/>
      <c r="BI412" s="13"/>
      <c r="BJ412" s="24"/>
      <c r="BL412" s="24"/>
      <c r="BM412" s="13"/>
      <c r="BN412" s="13"/>
    </row>
    <row r="413" spans="1:66" s="11" customFormat="1" ht="21">
      <c r="A413" s="24"/>
      <c r="B413" s="24"/>
      <c r="C413" s="24"/>
      <c r="E413" s="13"/>
      <c r="F413" s="24"/>
      <c r="G413" s="24"/>
      <c r="I413" s="24"/>
      <c r="J413" s="13"/>
      <c r="K413" s="13"/>
      <c r="L413" s="24"/>
      <c r="N413" s="24"/>
      <c r="O413" s="13"/>
      <c r="P413" s="13"/>
      <c r="Q413" s="24"/>
      <c r="S413" s="24"/>
      <c r="T413" s="13"/>
      <c r="U413" s="13"/>
      <c r="V413" s="24"/>
      <c r="X413" s="24"/>
      <c r="Y413" s="13"/>
      <c r="Z413" s="13"/>
      <c r="AA413" s="24"/>
      <c r="AC413" s="24"/>
      <c r="AD413" s="13"/>
      <c r="AE413" s="13"/>
      <c r="AF413" s="24"/>
      <c r="AH413" s="24"/>
      <c r="AI413" s="13"/>
      <c r="AJ413" s="13"/>
      <c r="AK413" s="24"/>
      <c r="AM413" s="24"/>
      <c r="AN413" s="13"/>
      <c r="AO413" s="13"/>
      <c r="AP413" s="24"/>
      <c r="AR413" s="24"/>
      <c r="AS413" s="13"/>
      <c r="AT413" s="13"/>
      <c r="AU413" s="24"/>
      <c r="AW413" s="24"/>
      <c r="AX413" s="13"/>
      <c r="AY413" s="13"/>
      <c r="AZ413" s="24"/>
      <c r="BB413" s="24"/>
      <c r="BC413" s="13"/>
      <c r="BD413" s="13"/>
      <c r="BE413" s="24"/>
      <c r="BG413" s="24"/>
      <c r="BH413" s="13"/>
      <c r="BI413" s="13"/>
      <c r="BJ413" s="24"/>
      <c r="BL413" s="24"/>
      <c r="BM413" s="13"/>
      <c r="BN413" s="13"/>
    </row>
    <row r="414" spans="1:66" s="11" customFormat="1" ht="21">
      <c r="A414" s="24"/>
      <c r="B414" s="24"/>
      <c r="C414" s="24"/>
      <c r="E414" s="13"/>
      <c r="F414" s="24"/>
      <c r="G414" s="24"/>
      <c r="I414" s="24"/>
      <c r="J414" s="13"/>
      <c r="K414" s="13"/>
      <c r="L414" s="24"/>
      <c r="N414" s="24"/>
      <c r="O414" s="13"/>
      <c r="P414" s="13"/>
      <c r="Q414" s="24"/>
      <c r="S414" s="24"/>
      <c r="T414" s="13"/>
      <c r="U414" s="13"/>
      <c r="V414" s="24"/>
      <c r="X414" s="24"/>
      <c r="Y414" s="13"/>
      <c r="Z414" s="13"/>
      <c r="AA414" s="24"/>
      <c r="AC414" s="24"/>
      <c r="AD414" s="13"/>
      <c r="AE414" s="13"/>
      <c r="AF414" s="24"/>
      <c r="AH414" s="24"/>
      <c r="AI414" s="13"/>
      <c r="AJ414" s="13"/>
      <c r="AK414" s="24"/>
      <c r="AM414" s="24"/>
      <c r="AN414" s="13"/>
      <c r="AO414" s="13"/>
      <c r="AP414" s="24"/>
      <c r="AR414" s="24"/>
      <c r="AS414" s="13"/>
      <c r="AT414" s="13"/>
      <c r="AU414" s="24"/>
      <c r="AW414" s="24"/>
      <c r="AX414" s="13"/>
      <c r="AY414" s="13"/>
      <c r="AZ414" s="24"/>
      <c r="BB414" s="24"/>
      <c r="BC414" s="13"/>
      <c r="BD414" s="13"/>
      <c r="BE414" s="24"/>
      <c r="BG414" s="24"/>
      <c r="BH414" s="13"/>
      <c r="BI414" s="13"/>
      <c r="BJ414" s="24"/>
      <c r="BL414" s="24"/>
      <c r="BM414" s="13"/>
      <c r="BN414" s="13"/>
    </row>
    <row r="415" spans="1:66" s="11" customFormat="1" ht="21">
      <c r="A415" s="24"/>
      <c r="B415" s="24"/>
      <c r="C415" s="24"/>
      <c r="E415" s="13"/>
      <c r="F415" s="24"/>
      <c r="G415" s="24"/>
      <c r="I415" s="24"/>
      <c r="J415" s="13"/>
      <c r="K415" s="13"/>
      <c r="L415" s="24"/>
      <c r="N415" s="24"/>
      <c r="O415" s="13"/>
      <c r="P415" s="13"/>
      <c r="Q415" s="24"/>
      <c r="S415" s="24"/>
      <c r="T415" s="13"/>
      <c r="U415" s="13"/>
      <c r="V415" s="24"/>
      <c r="X415" s="24"/>
      <c r="Y415" s="13"/>
      <c r="Z415" s="13"/>
      <c r="AA415" s="24"/>
      <c r="AC415" s="24"/>
      <c r="AD415" s="13"/>
      <c r="AE415" s="13"/>
      <c r="AF415" s="24"/>
      <c r="AH415" s="24"/>
      <c r="AI415" s="13"/>
      <c r="AJ415" s="13"/>
      <c r="AK415" s="24"/>
      <c r="AM415" s="24"/>
      <c r="AN415" s="13"/>
      <c r="AO415" s="13"/>
      <c r="AP415" s="24"/>
      <c r="AR415" s="24"/>
      <c r="AS415" s="13"/>
      <c r="AT415" s="13"/>
      <c r="AU415" s="24"/>
      <c r="AW415" s="24"/>
      <c r="AX415" s="13"/>
      <c r="AY415" s="13"/>
      <c r="AZ415" s="24"/>
      <c r="BB415" s="24"/>
      <c r="BC415" s="13"/>
      <c r="BD415" s="13"/>
      <c r="BE415" s="24"/>
      <c r="BG415" s="24"/>
      <c r="BH415" s="13"/>
      <c r="BI415" s="13"/>
      <c r="BJ415" s="24"/>
      <c r="BL415" s="24"/>
      <c r="BM415" s="13"/>
      <c r="BN415" s="13"/>
    </row>
    <row r="416" spans="1:66" s="11" customFormat="1" ht="21">
      <c r="A416" s="24"/>
      <c r="B416" s="24"/>
      <c r="C416" s="24"/>
      <c r="E416" s="13"/>
      <c r="F416" s="24"/>
      <c r="G416" s="24"/>
      <c r="I416" s="24"/>
      <c r="J416" s="13"/>
      <c r="K416" s="13"/>
      <c r="L416" s="24"/>
      <c r="N416" s="24"/>
      <c r="O416" s="13"/>
      <c r="P416" s="13"/>
      <c r="Q416" s="24"/>
      <c r="S416" s="24"/>
      <c r="T416" s="13"/>
      <c r="U416" s="13"/>
      <c r="V416" s="24"/>
      <c r="X416" s="24"/>
      <c r="Y416" s="13"/>
      <c r="Z416" s="13"/>
      <c r="AA416" s="24"/>
      <c r="AC416" s="24"/>
      <c r="AD416" s="13"/>
      <c r="AE416" s="13"/>
      <c r="AF416" s="24"/>
      <c r="AH416" s="24"/>
      <c r="AI416" s="13"/>
      <c r="AJ416" s="13"/>
      <c r="AK416" s="24"/>
      <c r="AM416" s="24"/>
      <c r="AN416" s="13"/>
      <c r="AO416" s="13"/>
      <c r="AP416" s="24"/>
      <c r="AR416" s="24"/>
      <c r="AS416" s="13"/>
      <c r="AT416" s="13"/>
      <c r="AU416" s="24"/>
      <c r="AW416" s="24"/>
      <c r="AX416" s="13"/>
      <c r="AY416" s="13"/>
      <c r="AZ416" s="24"/>
      <c r="BB416" s="24"/>
      <c r="BC416" s="13"/>
      <c r="BD416" s="13"/>
      <c r="BE416" s="24"/>
      <c r="BG416" s="24"/>
      <c r="BH416" s="13"/>
      <c r="BI416" s="13"/>
      <c r="BJ416" s="24"/>
      <c r="BL416" s="24"/>
      <c r="BM416" s="13"/>
      <c r="BN416" s="13"/>
    </row>
    <row r="417" spans="1:66" s="11" customFormat="1" ht="21">
      <c r="A417" s="24"/>
      <c r="B417" s="24"/>
      <c r="C417" s="24"/>
      <c r="E417" s="13"/>
      <c r="F417" s="24"/>
      <c r="G417" s="24"/>
      <c r="I417" s="24"/>
      <c r="J417" s="13"/>
      <c r="K417" s="13"/>
      <c r="L417" s="24"/>
      <c r="N417" s="24"/>
      <c r="O417" s="13"/>
      <c r="P417" s="13"/>
      <c r="Q417" s="24"/>
      <c r="S417" s="24"/>
      <c r="T417" s="13"/>
      <c r="U417" s="13"/>
      <c r="V417" s="24"/>
      <c r="X417" s="24"/>
      <c r="Y417" s="13"/>
      <c r="Z417" s="13"/>
      <c r="AA417" s="24"/>
      <c r="AC417" s="24"/>
      <c r="AD417" s="13"/>
      <c r="AE417" s="13"/>
      <c r="AF417" s="24"/>
      <c r="AH417" s="24"/>
      <c r="AI417" s="13"/>
      <c r="AJ417" s="13"/>
      <c r="AK417" s="24"/>
      <c r="AM417" s="24"/>
      <c r="AN417" s="13"/>
      <c r="AO417" s="13"/>
      <c r="AP417" s="24"/>
      <c r="AR417" s="24"/>
      <c r="AS417" s="13"/>
      <c r="AT417" s="13"/>
      <c r="AU417" s="24"/>
      <c r="AW417" s="24"/>
      <c r="AX417" s="13"/>
      <c r="AY417" s="13"/>
      <c r="AZ417" s="24"/>
      <c r="BB417" s="24"/>
      <c r="BC417" s="13"/>
      <c r="BD417" s="13"/>
      <c r="BE417" s="24"/>
      <c r="BG417" s="24"/>
      <c r="BH417" s="13"/>
      <c r="BI417" s="13"/>
      <c r="BJ417" s="24"/>
      <c r="BL417" s="24"/>
      <c r="BM417" s="13"/>
      <c r="BN417" s="13"/>
    </row>
    <row r="418" spans="1:66" s="11" customFormat="1" ht="21">
      <c r="A418" s="24"/>
      <c r="B418" s="24"/>
      <c r="C418" s="24"/>
      <c r="E418" s="13"/>
      <c r="F418" s="24"/>
      <c r="G418" s="24"/>
      <c r="I418" s="24"/>
      <c r="J418" s="13"/>
      <c r="K418" s="13"/>
      <c r="L418" s="24"/>
      <c r="N418" s="24"/>
      <c r="O418" s="13"/>
      <c r="P418" s="13"/>
      <c r="Q418" s="24"/>
      <c r="S418" s="24"/>
      <c r="T418" s="13"/>
      <c r="U418" s="13"/>
      <c r="V418" s="24"/>
      <c r="X418" s="24"/>
      <c r="Y418" s="13"/>
      <c r="Z418" s="13"/>
      <c r="AA418" s="24"/>
      <c r="AC418" s="24"/>
      <c r="AD418" s="13"/>
      <c r="AE418" s="13"/>
      <c r="AF418" s="24"/>
      <c r="AH418" s="24"/>
      <c r="AI418" s="13"/>
      <c r="AJ418" s="13"/>
      <c r="AK418" s="24"/>
      <c r="AM418" s="24"/>
      <c r="AN418" s="13"/>
      <c r="AO418" s="13"/>
      <c r="AP418" s="24"/>
      <c r="AR418" s="24"/>
      <c r="AS418" s="13"/>
      <c r="AT418" s="13"/>
      <c r="AU418" s="24"/>
      <c r="AW418" s="24"/>
      <c r="AX418" s="13"/>
      <c r="AY418" s="13"/>
      <c r="AZ418" s="24"/>
      <c r="BB418" s="24"/>
      <c r="BC418" s="13"/>
      <c r="BD418" s="13"/>
      <c r="BE418" s="24"/>
      <c r="BG418" s="24"/>
      <c r="BH418" s="13"/>
      <c r="BI418" s="13"/>
      <c r="BJ418" s="24"/>
      <c r="BL418" s="24"/>
      <c r="BM418" s="13"/>
      <c r="BN418" s="13"/>
    </row>
    <row r="419" spans="1:66" s="11" customFormat="1" ht="21">
      <c r="A419" s="24"/>
      <c r="B419" s="24"/>
      <c r="C419" s="24"/>
      <c r="E419" s="13"/>
      <c r="F419" s="24"/>
      <c r="G419" s="24"/>
      <c r="I419" s="24"/>
      <c r="J419" s="13"/>
      <c r="K419" s="13"/>
      <c r="L419" s="24"/>
      <c r="N419" s="24"/>
      <c r="O419" s="13"/>
      <c r="P419" s="13"/>
      <c r="Q419" s="24"/>
      <c r="S419" s="24"/>
      <c r="T419" s="13"/>
      <c r="U419" s="13"/>
      <c r="V419" s="24"/>
      <c r="X419" s="24"/>
      <c r="Y419" s="13"/>
      <c r="Z419" s="13"/>
      <c r="AA419" s="24"/>
      <c r="AC419" s="24"/>
      <c r="AD419" s="13"/>
      <c r="AE419" s="13"/>
      <c r="AF419" s="24"/>
      <c r="AH419" s="24"/>
      <c r="AI419" s="13"/>
      <c r="AJ419" s="13"/>
      <c r="AK419" s="24"/>
      <c r="AM419" s="24"/>
      <c r="AN419" s="13"/>
      <c r="AO419" s="13"/>
      <c r="AP419" s="24"/>
      <c r="AR419" s="24"/>
      <c r="AS419" s="13"/>
      <c r="AT419" s="13"/>
      <c r="AU419" s="24"/>
      <c r="AW419" s="24"/>
      <c r="AX419" s="13"/>
      <c r="AY419" s="13"/>
      <c r="AZ419" s="24"/>
      <c r="BB419" s="24"/>
      <c r="BC419" s="13"/>
      <c r="BD419" s="13"/>
      <c r="BE419" s="24"/>
      <c r="BG419" s="24"/>
      <c r="BH419" s="13"/>
      <c r="BI419" s="13"/>
      <c r="BJ419" s="24"/>
      <c r="BL419" s="24"/>
      <c r="BM419" s="13"/>
      <c r="BN419" s="13"/>
    </row>
    <row r="420" spans="1:66" s="11" customFormat="1" ht="21">
      <c r="A420" s="24"/>
      <c r="B420" s="24"/>
      <c r="C420" s="24"/>
      <c r="E420" s="13"/>
      <c r="F420" s="24"/>
      <c r="G420" s="24"/>
      <c r="I420" s="24"/>
      <c r="J420" s="13"/>
      <c r="K420" s="13"/>
      <c r="L420" s="24"/>
      <c r="N420" s="24"/>
      <c r="O420" s="13"/>
      <c r="P420" s="13"/>
      <c r="Q420" s="24"/>
      <c r="S420" s="24"/>
      <c r="T420" s="13"/>
      <c r="U420" s="13"/>
      <c r="V420" s="24"/>
      <c r="X420" s="24"/>
      <c r="Y420" s="13"/>
      <c r="Z420" s="13"/>
      <c r="AA420" s="24"/>
      <c r="AC420" s="24"/>
      <c r="AD420" s="13"/>
      <c r="AE420" s="13"/>
      <c r="AF420" s="24"/>
      <c r="AH420" s="24"/>
      <c r="AI420" s="13"/>
      <c r="AJ420" s="13"/>
      <c r="AK420" s="24"/>
      <c r="AM420" s="24"/>
      <c r="AN420" s="13"/>
      <c r="AO420" s="13"/>
      <c r="AP420" s="24"/>
      <c r="AR420" s="24"/>
      <c r="AS420" s="13"/>
      <c r="AT420" s="13"/>
      <c r="AU420" s="24"/>
      <c r="AW420" s="24"/>
      <c r="AX420" s="13"/>
      <c r="AY420" s="13"/>
      <c r="AZ420" s="24"/>
      <c r="BB420" s="24"/>
      <c r="BC420" s="13"/>
      <c r="BD420" s="13"/>
      <c r="BE420" s="24"/>
      <c r="BG420" s="24"/>
      <c r="BH420" s="13"/>
      <c r="BI420" s="13"/>
      <c r="BJ420" s="24"/>
      <c r="BL420" s="24"/>
      <c r="BM420" s="13"/>
      <c r="BN420" s="13"/>
    </row>
    <row r="421" spans="1:66" s="11" customFormat="1" ht="21">
      <c r="A421" s="24"/>
      <c r="B421" s="24"/>
      <c r="C421" s="24"/>
      <c r="E421" s="13"/>
      <c r="F421" s="24"/>
      <c r="G421" s="24"/>
      <c r="I421" s="24"/>
      <c r="J421" s="13"/>
      <c r="K421" s="13"/>
      <c r="L421" s="24"/>
      <c r="N421" s="24"/>
      <c r="O421" s="13"/>
      <c r="P421" s="13"/>
      <c r="Q421" s="24"/>
      <c r="S421" s="24"/>
      <c r="T421" s="13"/>
      <c r="U421" s="13"/>
      <c r="V421" s="24"/>
      <c r="X421" s="24"/>
      <c r="Y421" s="13"/>
      <c r="Z421" s="13"/>
      <c r="AA421" s="24"/>
      <c r="AC421" s="24"/>
      <c r="AD421" s="13"/>
      <c r="AE421" s="13"/>
      <c r="AF421" s="24"/>
      <c r="AH421" s="24"/>
      <c r="AI421" s="13"/>
      <c r="AJ421" s="13"/>
      <c r="AK421" s="24"/>
      <c r="AM421" s="24"/>
      <c r="AN421" s="13"/>
      <c r="AO421" s="13"/>
      <c r="AP421" s="24"/>
      <c r="AR421" s="24"/>
      <c r="AS421" s="13"/>
      <c r="AT421" s="13"/>
      <c r="AU421" s="24"/>
      <c r="AW421" s="24"/>
      <c r="AX421" s="13"/>
      <c r="AY421" s="13"/>
      <c r="AZ421" s="24"/>
      <c r="BB421" s="24"/>
      <c r="BC421" s="13"/>
      <c r="BD421" s="13"/>
      <c r="BE421" s="24"/>
      <c r="BG421" s="24"/>
      <c r="BH421" s="13"/>
      <c r="BI421" s="13"/>
      <c r="BJ421" s="24"/>
      <c r="BL421" s="24"/>
      <c r="BM421" s="13"/>
      <c r="BN421" s="13"/>
    </row>
    <row r="422" spans="1:66" s="11" customFormat="1" ht="21">
      <c r="A422" s="24"/>
      <c r="B422" s="24"/>
      <c r="C422" s="24"/>
      <c r="E422" s="13"/>
      <c r="F422" s="24"/>
      <c r="G422" s="24"/>
      <c r="I422" s="24"/>
      <c r="J422" s="13"/>
      <c r="K422" s="13"/>
      <c r="L422" s="24"/>
      <c r="N422" s="24"/>
      <c r="O422" s="13"/>
      <c r="P422" s="13"/>
      <c r="Q422" s="24"/>
      <c r="S422" s="24"/>
      <c r="T422" s="13"/>
      <c r="U422" s="13"/>
      <c r="V422" s="24"/>
      <c r="X422" s="24"/>
      <c r="Y422" s="13"/>
      <c r="Z422" s="13"/>
      <c r="AA422" s="24"/>
      <c r="AC422" s="24"/>
      <c r="AD422" s="13"/>
      <c r="AE422" s="13"/>
      <c r="AF422" s="24"/>
      <c r="AH422" s="24"/>
      <c r="AI422" s="13"/>
      <c r="AJ422" s="13"/>
      <c r="AK422" s="24"/>
      <c r="AM422" s="24"/>
      <c r="AN422" s="13"/>
      <c r="AO422" s="13"/>
      <c r="AP422" s="24"/>
      <c r="AR422" s="24"/>
      <c r="AS422" s="13"/>
      <c r="AT422" s="13"/>
      <c r="AU422" s="24"/>
      <c r="AW422" s="24"/>
      <c r="AX422" s="13"/>
      <c r="AY422" s="13"/>
      <c r="AZ422" s="24"/>
      <c r="BB422" s="24"/>
      <c r="BC422" s="13"/>
      <c r="BD422" s="13"/>
      <c r="BE422" s="24"/>
      <c r="BG422" s="24"/>
      <c r="BH422" s="13"/>
      <c r="BI422" s="13"/>
      <c r="BJ422" s="24"/>
      <c r="BL422" s="24"/>
      <c r="BM422" s="13"/>
      <c r="BN422" s="13"/>
    </row>
    <row r="423" spans="1:66" s="11" customFormat="1" ht="21">
      <c r="A423" s="24"/>
      <c r="B423" s="24"/>
      <c r="C423" s="24"/>
      <c r="E423" s="13"/>
      <c r="F423" s="24"/>
      <c r="G423" s="24"/>
      <c r="I423" s="24"/>
      <c r="J423" s="13"/>
      <c r="K423" s="13"/>
      <c r="L423" s="24"/>
      <c r="N423" s="24"/>
      <c r="O423" s="13"/>
      <c r="P423" s="13"/>
      <c r="Q423" s="24"/>
      <c r="S423" s="24"/>
      <c r="T423" s="13"/>
      <c r="U423" s="13"/>
      <c r="V423" s="24"/>
      <c r="X423" s="24"/>
      <c r="Y423" s="13"/>
      <c r="Z423" s="13"/>
      <c r="AA423" s="24"/>
      <c r="AC423" s="24"/>
      <c r="AD423" s="13"/>
      <c r="AE423" s="13"/>
      <c r="AF423" s="24"/>
      <c r="AH423" s="24"/>
      <c r="AI423" s="13"/>
      <c r="AJ423" s="13"/>
      <c r="AK423" s="24"/>
      <c r="AM423" s="24"/>
      <c r="AN423" s="13"/>
      <c r="AO423" s="13"/>
      <c r="AP423" s="24"/>
      <c r="AR423" s="24"/>
      <c r="AS423" s="13"/>
      <c r="AT423" s="13"/>
      <c r="AU423" s="24"/>
      <c r="AW423" s="24"/>
      <c r="AX423" s="13"/>
      <c r="AY423" s="13"/>
      <c r="AZ423" s="24"/>
      <c r="BB423" s="24"/>
      <c r="BC423" s="13"/>
      <c r="BD423" s="13"/>
      <c r="BE423" s="24"/>
      <c r="BG423" s="24"/>
      <c r="BH423" s="13"/>
      <c r="BI423" s="13"/>
      <c r="BJ423" s="24"/>
      <c r="BL423" s="24"/>
      <c r="BM423" s="13"/>
      <c r="BN423" s="13"/>
    </row>
    <row r="424" spans="1:66" s="11" customFormat="1" ht="21">
      <c r="A424" s="24"/>
      <c r="B424" s="24"/>
      <c r="C424" s="24"/>
      <c r="E424" s="13"/>
      <c r="F424" s="24"/>
      <c r="G424" s="24"/>
      <c r="I424" s="24"/>
      <c r="J424" s="13"/>
      <c r="K424" s="13"/>
      <c r="L424" s="24"/>
      <c r="N424" s="24"/>
      <c r="O424" s="13"/>
      <c r="P424" s="13"/>
      <c r="Q424" s="24"/>
      <c r="S424" s="24"/>
      <c r="T424" s="13"/>
      <c r="U424" s="13"/>
      <c r="V424" s="24"/>
      <c r="X424" s="24"/>
      <c r="Y424" s="13"/>
      <c r="Z424" s="13"/>
      <c r="AA424" s="24"/>
      <c r="AC424" s="24"/>
      <c r="AD424" s="13"/>
      <c r="AE424" s="13"/>
      <c r="AF424" s="24"/>
      <c r="AH424" s="24"/>
      <c r="AI424" s="13"/>
      <c r="AJ424" s="13"/>
      <c r="AK424" s="24"/>
      <c r="AM424" s="24"/>
      <c r="AN424" s="13"/>
      <c r="AO424" s="13"/>
      <c r="AP424" s="24"/>
      <c r="AR424" s="24"/>
      <c r="AS424" s="13"/>
      <c r="AT424" s="13"/>
      <c r="AU424" s="24"/>
      <c r="AW424" s="24"/>
      <c r="AX424" s="13"/>
      <c r="AY424" s="13"/>
      <c r="AZ424" s="24"/>
      <c r="BB424" s="24"/>
      <c r="BC424" s="13"/>
      <c r="BD424" s="13"/>
      <c r="BE424" s="24"/>
      <c r="BG424" s="24"/>
      <c r="BH424" s="13"/>
      <c r="BI424" s="13"/>
      <c r="BJ424" s="24"/>
      <c r="BL424" s="24"/>
      <c r="BM424" s="13"/>
      <c r="BN424" s="13"/>
    </row>
    <row r="425" spans="1:66" s="11" customFormat="1" ht="21">
      <c r="A425" s="24"/>
      <c r="B425" s="24"/>
      <c r="C425" s="24"/>
      <c r="E425" s="13"/>
      <c r="F425" s="24"/>
      <c r="G425" s="24"/>
      <c r="I425" s="24"/>
      <c r="J425" s="13"/>
      <c r="K425" s="13"/>
      <c r="L425" s="24"/>
      <c r="N425" s="24"/>
      <c r="O425" s="13"/>
      <c r="P425" s="13"/>
      <c r="Q425" s="24"/>
      <c r="S425" s="24"/>
      <c r="T425" s="13"/>
      <c r="U425" s="13"/>
      <c r="V425" s="24"/>
      <c r="X425" s="24"/>
      <c r="Y425" s="13"/>
      <c r="Z425" s="13"/>
      <c r="AA425" s="24"/>
      <c r="AC425" s="24"/>
      <c r="AD425" s="13"/>
      <c r="AE425" s="13"/>
      <c r="AF425" s="24"/>
      <c r="AH425" s="24"/>
      <c r="AI425" s="13"/>
      <c r="AJ425" s="13"/>
      <c r="AK425" s="24"/>
      <c r="AM425" s="24"/>
      <c r="AN425" s="13"/>
      <c r="AO425" s="13"/>
      <c r="AP425" s="24"/>
      <c r="AR425" s="24"/>
      <c r="AS425" s="13"/>
      <c r="AT425" s="13"/>
      <c r="AU425" s="24"/>
      <c r="AW425" s="24"/>
      <c r="AX425" s="13"/>
      <c r="AY425" s="13"/>
      <c r="AZ425" s="24"/>
      <c r="BB425" s="24"/>
      <c r="BC425" s="13"/>
      <c r="BD425" s="13"/>
      <c r="BE425" s="24"/>
      <c r="BG425" s="24"/>
      <c r="BH425" s="13"/>
      <c r="BI425" s="13"/>
      <c r="BJ425" s="24"/>
      <c r="BL425" s="24"/>
      <c r="BM425" s="13"/>
      <c r="BN425" s="13"/>
    </row>
    <row r="426" spans="1:66" s="11" customFormat="1" ht="21">
      <c r="A426" s="24"/>
      <c r="B426" s="24"/>
      <c r="C426" s="24"/>
      <c r="E426" s="13"/>
      <c r="F426" s="24"/>
      <c r="G426" s="24"/>
      <c r="I426" s="24"/>
      <c r="J426" s="13"/>
      <c r="K426" s="13"/>
      <c r="L426" s="24"/>
      <c r="N426" s="24"/>
      <c r="O426" s="13"/>
      <c r="P426" s="13"/>
      <c r="Q426" s="24"/>
      <c r="S426" s="24"/>
      <c r="T426" s="13"/>
      <c r="U426" s="13"/>
      <c r="V426" s="24"/>
      <c r="X426" s="24"/>
      <c r="Y426" s="13"/>
      <c r="Z426" s="13"/>
      <c r="AA426" s="24"/>
      <c r="AC426" s="24"/>
      <c r="AD426" s="13"/>
      <c r="AE426" s="13"/>
      <c r="AF426" s="24"/>
      <c r="AH426" s="24"/>
      <c r="AI426" s="13"/>
      <c r="AJ426" s="13"/>
      <c r="AK426" s="24"/>
      <c r="AM426" s="24"/>
      <c r="AN426" s="13"/>
      <c r="AO426" s="13"/>
      <c r="AP426" s="24"/>
      <c r="AR426" s="24"/>
      <c r="AS426" s="13"/>
      <c r="AT426" s="13"/>
      <c r="AU426" s="24"/>
      <c r="AW426" s="24"/>
      <c r="AX426" s="13"/>
      <c r="AY426" s="13"/>
      <c r="AZ426" s="24"/>
      <c r="BB426" s="24"/>
      <c r="BC426" s="13"/>
      <c r="BD426" s="13"/>
      <c r="BE426" s="24"/>
      <c r="BG426" s="24"/>
      <c r="BH426" s="13"/>
      <c r="BI426" s="13"/>
      <c r="BJ426" s="24"/>
      <c r="BL426" s="24"/>
      <c r="BM426" s="13"/>
      <c r="BN426" s="13"/>
    </row>
    <row r="427" spans="1:66" s="11" customFormat="1" ht="21">
      <c r="A427" s="24"/>
      <c r="B427" s="24"/>
      <c r="C427" s="24"/>
      <c r="E427" s="13"/>
      <c r="F427" s="24"/>
      <c r="G427" s="24"/>
      <c r="I427" s="24"/>
      <c r="J427" s="13"/>
      <c r="K427" s="13"/>
      <c r="L427" s="24"/>
      <c r="N427" s="24"/>
      <c r="O427" s="13"/>
      <c r="P427" s="13"/>
      <c r="Q427" s="24"/>
      <c r="S427" s="24"/>
      <c r="T427" s="13"/>
      <c r="U427" s="13"/>
      <c r="V427" s="24"/>
      <c r="X427" s="24"/>
      <c r="Y427" s="13"/>
      <c r="Z427" s="13"/>
      <c r="AA427" s="24"/>
      <c r="AC427" s="24"/>
      <c r="AD427" s="13"/>
      <c r="AE427" s="13"/>
      <c r="AF427" s="24"/>
      <c r="AH427" s="24"/>
      <c r="AI427" s="13"/>
      <c r="AJ427" s="13"/>
      <c r="AK427" s="24"/>
      <c r="AM427" s="24"/>
      <c r="AN427" s="13"/>
      <c r="AO427" s="13"/>
      <c r="AP427" s="24"/>
      <c r="AR427" s="24"/>
      <c r="AS427" s="13"/>
      <c r="AT427" s="13"/>
      <c r="AU427" s="24"/>
      <c r="AW427" s="24"/>
      <c r="AX427" s="13"/>
      <c r="AY427" s="13"/>
      <c r="AZ427" s="24"/>
      <c r="BB427" s="24"/>
      <c r="BC427" s="13"/>
      <c r="BD427" s="13"/>
      <c r="BE427" s="24"/>
      <c r="BG427" s="24"/>
      <c r="BH427" s="13"/>
      <c r="BI427" s="13"/>
      <c r="BJ427" s="24"/>
      <c r="BL427" s="24"/>
      <c r="BM427" s="13"/>
      <c r="BN427" s="13"/>
    </row>
    <row r="428" spans="1:66" s="11" customFormat="1" ht="21">
      <c r="A428" s="24"/>
      <c r="B428" s="24"/>
      <c r="C428" s="24"/>
      <c r="E428" s="13"/>
      <c r="F428" s="24"/>
      <c r="G428" s="24"/>
      <c r="I428" s="24"/>
      <c r="J428" s="13"/>
      <c r="K428" s="13"/>
      <c r="L428" s="24"/>
      <c r="N428" s="24"/>
      <c r="O428" s="13"/>
      <c r="P428" s="13"/>
      <c r="Q428" s="24"/>
      <c r="S428" s="24"/>
      <c r="T428" s="13"/>
      <c r="U428" s="13"/>
      <c r="V428" s="24"/>
      <c r="X428" s="24"/>
      <c r="Y428" s="13"/>
      <c r="Z428" s="13"/>
      <c r="AA428" s="24"/>
      <c r="AC428" s="24"/>
      <c r="AD428" s="13"/>
      <c r="AE428" s="13"/>
      <c r="AF428" s="24"/>
      <c r="AH428" s="24"/>
      <c r="AI428" s="13"/>
      <c r="AJ428" s="13"/>
      <c r="AK428" s="24"/>
      <c r="AM428" s="24"/>
      <c r="AN428" s="13"/>
      <c r="AO428" s="13"/>
      <c r="AP428" s="24"/>
      <c r="AR428" s="24"/>
      <c r="AS428" s="13"/>
      <c r="AT428" s="13"/>
      <c r="AU428" s="24"/>
      <c r="AW428" s="24"/>
      <c r="AX428" s="13"/>
      <c r="AY428" s="13"/>
      <c r="AZ428" s="24"/>
      <c r="BB428" s="24"/>
      <c r="BC428" s="13"/>
      <c r="BD428" s="13"/>
      <c r="BE428" s="24"/>
      <c r="BG428" s="24"/>
      <c r="BH428" s="13"/>
      <c r="BI428" s="13"/>
      <c r="BJ428" s="24"/>
      <c r="BL428" s="24"/>
      <c r="BM428" s="13"/>
      <c r="BN428" s="13"/>
    </row>
    <row r="429" spans="1:66" s="11" customFormat="1" ht="21">
      <c r="A429" s="24"/>
      <c r="B429" s="24"/>
      <c r="C429" s="24"/>
      <c r="E429" s="13"/>
      <c r="F429" s="24"/>
      <c r="G429" s="24"/>
      <c r="I429" s="24"/>
      <c r="J429" s="13"/>
      <c r="K429" s="13"/>
      <c r="L429" s="24"/>
      <c r="N429" s="24"/>
      <c r="O429" s="13"/>
      <c r="P429" s="13"/>
      <c r="Q429" s="24"/>
      <c r="S429" s="24"/>
      <c r="T429" s="13"/>
      <c r="U429" s="13"/>
      <c r="V429" s="24"/>
      <c r="X429" s="24"/>
      <c r="Y429" s="13"/>
      <c r="Z429" s="13"/>
      <c r="AA429" s="24"/>
      <c r="AC429" s="24"/>
      <c r="AD429" s="13"/>
      <c r="AE429" s="13"/>
      <c r="AF429" s="24"/>
      <c r="AH429" s="24"/>
      <c r="AI429" s="13"/>
      <c r="AJ429" s="13"/>
      <c r="AK429" s="24"/>
      <c r="AM429" s="24"/>
      <c r="AN429" s="13"/>
      <c r="AO429" s="13"/>
      <c r="AP429" s="24"/>
      <c r="AR429" s="24"/>
      <c r="AS429" s="13"/>
      <c r="AT429" s="13"/>
      <c r="AU429" s="24"/>
      <c r="AW429" s="24"/>
      <c r="AX429" s="13"/>
      <c r="AY429" s="13"/>
      <c r="AZ429" s="24"/>
      <c r="BB429" s="24"/>
      <c r="BC429" s="13"/>
      <c r="BD429" s="13"/>
      <c r="BE429" s="24"/>
      <c r="BG429" s="24"/>
      <c r="BH429" s="13"/>
      <c r="BI429" s="13"/>
      <c r="BJ429" s="24"/>
      <c r="BL429" s="24"/>
      <c r="BM429" s="13"/>
      <c r="BN429" s="13"/>
    </row>
    <row r="430" spans="1:66" s="11" customFormat="1" ht="21">
      <c r="A430" s="24"/>
      <c r="B430" s="24"/>
      <c r="C430" s="24"/>
      <c r="E430" s="13"/>
      <c r="F430" s="24"/>
      <c r="G430" s="24"/>
      <c r="I430" s="24"/>
      <c r="J430" s="13"/>
      <c r="K430" s="13"/>
      <c r="L430" s="24"/>
      <c r="N430" s="24"/>
      <c r="O430" s="13"/>
      <c r="P430" s="13"/>
      <c r="Q430" s="24"/>
      <c r="S430" s="24"/>
      <c r="T430" s="13"/>
      <c r="U430" s="13"/>
      <c r="V430" s="24"/>
      <c r="X430" s="24"/>
      <c r="Y430" s="13"/>
      <c r="Z430" s="13"/>
      <c r="AA430" s="24"/>
      <c r="AC430" s="24"/>
      <c r="AD430" s="13"/>
      <c r="AE430" s="13"/>
      <c r="AF430" s="24"/>
      <c r="AH430" s="24"/>
      <c r="AI430" s="13"/>
      <c r="AJ430" s="13"/>
      <c r="AK430" s="24"/>
      <c r="AM430" s="24"/>
      <c r="AN430" s="13"/>
      <c r="AO430" s="13"/>
      <c r="AP430" s="24"/>
      <c r="AR430" s="24"/>
      <c r="AS430" s="13"/>
      <c r="AT430" s="13"/>
      <c r="AU430" s="24"/>
      <c r="AW430" s="24"/>
      <c r="AX430" s="13"/>
      <c r="AY430" s="13"/>
      <c r="AZ430" s="24"/>
      <c r="BB430" s="24"/>
      <c r="BC430" s="13"/>
      <c r="BD430" s="13"/>
      <c r="BE430" s="24"/>
      <c r="BG430" s="24"/>
      <c r="BH430" s="13"/>
      <c r="BI430" s="13"/>
      <c r="BJ430" s="24"/>
      <c r="BL430" s="24"/>
      <c r="BM430" s="13"/>
      <c r="BN430" s="13"/>
    </row>
    <row r="431" spans="1:66" s="11" customFormat="1" ht="21">
      <c r="A431" s="24"/>
      <c r="B431" s="24"/>
      <c r="C431" s="24"/>
      <c r="E431" s="13"/>
      <c r="F431" s="24"/>
      <c r="G431" s="24"/>
      <c r="I431" s="24"/>
      <c r="J431" s="13"/>
      <c r="K431" s="13"/>
      <c r="L431" s="24"/>
      <c r="N431" s="24"/>
      <c r="O431" s="13"/>
      <c r="P431" s="13"/>
      <c r="Q431" s="24"/>
      <c r="S431" s="24"/>
      <c r="T431" s="13"/>
      <c r="U431" s="13"/>
      <c r="V431" s="24"/>
      <c r="X431" s="24"/>
      <c r="Y431" s="13"/>
      <c r="Z431" s="13"/>
      <c r="AA431" s="24"/>
      <c r="AC431" s="24"/>
      <c r="AD431" s="13"/>
      <c r="AE431" s="13"/>
      <c r="AF431" s="24"/>
      <c r="AH431" s="24"/>
      <c r="AI431" s="13"/>
      <c r="AJ431" s="13"/>
      <c r="AK431" s="24"/>
      <c r="AM431" s="24"/>
      <c r="AN431" s="13"/>
      <c r="AO431" s="13"/>
      <c r="AP431" s="24"/>
      <c r="AR431" s="24"/>
      <c r="AS431" s="13"/>
      <c r="AT431" s="13"/>
      <c r="AU431" s="24"/>
      <c r="AW431" s="24"/>
      <c r="AX431" s="13"/>
      <c r="AY431" s="13"/>
      <c r="AZ431" s="24"/>
      <c r="BB431" s="24"/>
      <c r="BC431" s="13"/>
      <c r="BD431" s="13"/>
      <c r="BE431" s="24"/>
      <c r="BG431" s="24"/>
      <c r="BH431" s="13"/>
      <c r="BI431" s="13"/>
      <c r="BJ431" s="24"/>
      <c r="BL431" s="24"/>
      <c r="BM431" s="13"/>
      <c r="BN431" s="13"/>
    </row>
    <row r="432" spans="1:66" s="11" customFormat="1" ht="21">
      <c r="A432" s="24"/>
      <c r="B432" s="24"/>
      <c r="C432" s="24"/>
      <c r="E432" s="13"/>
      <c r="F432" s="24"/>
      <c r="G432" s="24"/>
      <c r="I432" s="24"/>
      <c r="J432" s="13"/>
      <c r="K432" s="13"/>
      <c r="L432" s="24"/>
      <c r="N432" s="24"/>
      <c r="O432" s="13"/>
      <c r="P432" s="13"/>
      <c r="Q432" s="24"/>
      <c r="S432" s="24"/>
      <c r="T432" s="13"/>
      <c r="U432" s="13"/>
      <c r="V432" s="24"/>
      <c r="X432" s="24"/>
      <c r="Y432" s="13"/>
      <c r="Z432" s="13"/>
      <c r="AA432" s="24"/>
      <c r="AC432" s="24"/>
      <c r="AD432" s="13"/>
      <c r="AE432" s="13"/>
      <c r="AF432" s="24"/>
      <c r="AH432" s="24"/>
      <c r="AI432" s="13"/>
      <c r="AJ432" s="13"/>
      <c r="AK432" s="24"/>
      <c r="AM432" s="24"/>
      <c r="AN432" s="13"/>
      <c r="AO432" s="13"/>
      <c r="AP432" s="24"/>
      <c r="AR432" s="24"/>
      <c r="AS432" s="13"/>
      <c r="AT432" s="13"/>
      <c r="AU432" s="24"/>
      <c r="AW432" s="24"/>
      <c r="AX432" s="13"/>
      <c r="AY432" s="13"/>
      <c r="AZ432" s="24"/>
      <c r="BB432" s="24"/>
      <c r="BC432" s="13"/>
      <c r="BD432" s="13"/>
      <c r="BE432" s="24"/>
      <c r="BG432" s="24"/>
      <c r="BH432" s="13"/>
      <c r="BI432" s="13"/>
      <c r="BJ432" s="24"/>
      <c r="BL432" s="24"/>
      <c r="BM432" s="13"/>
      <c r="BN432" s="13"/>
    </row>
    <row r="433" spans="1:66" s="11" customFormat="1" ht="21">
      <c r="A433" s="24"/>
      <c r="B433" s="24"/>
      <c r="C433" s="24"/>
      <c r="E433" s="13"/>
      <c r="F433" s="24"/>
      <c r="G433" s="24"/>
      <c r="I433" s="24"/>
      <c r="J433" s="13"/>
      <c r="K433" s="13"/>
      <c r="L433" s="24"/>
      <c r="N433" s="24"/>
      <c r="O433" s="13"/>
      <c r="P433" s="13"/>
      <c r="Q433" s="24"/>
      <c r="S433" s="24"/>
      <c r="T433" s="13"/>
      <c r="U433" s="13"/>
      <c r="V433" s="24"/>
      <c r="X433" s="24"/>
      <c r="Y433" s="13"/>
      <c r="Z433" s="13"/>
      <c r="AA433" s="24"/>
      <c r="AC433" s="24"/>
      <c r="AD433" s="13"/>
      <c r="AE433" s="13"/>
      <c r="AF433" s="24"/>
      <c r="AH433" s="24"/>
      <c r="AI433" s="13"/>
      <c r="AJ433" s="13"/>
      <c r="AK433" s="24"/>
      <c r="AM433" s="24"/>
      <c r="AN433" s="13"/>
      <c r="AO433" s="13"/>
      <c r="AP433" s="24"/>
      <c r="AR433" s="24"/>
      <c r="AS433" s="13"/>
      <c r="AT433" s="13"/>
      <c r="AU433" s="24"/>
      <c r="AW433" s="24"/>
      <c r="AX433" s="13"/>
      <c r="AY433" s="13"/>
      <c r="AZ433" s="24"/>
      <c r="BB433" s="24"/>
      <c r="BC433" s="13"/>
      <c r="BD433" s="13"/>
      <c r="BE433" s="24"/>
      <c r="BG433" s="24"/>
      <c r="BH433" s="13"/>
      <c r="BI433" s="13"/>
      <c r="BJ433" s="24"/>
      <c r="BL433" s="24"/>
      <c r="BM433" s="13"/>
      <c r="BN433" s="13"/>
    </row>
    <row r="434" spans="1:66" s="11" customFormat="1" ht="21">
      <c r="A434" s="24"/>
      <c r="B434" s="24"/>
      <c r="C434" s="24"/>
      <c r="E434" s="13"/>
      <c r="F434" s="24"/>
      <c r="G434" s="24"/>
      <c r="I434" s="24"/>
      <c r="J434" s="13"/>
      <c r="K434" s="13"/>
      <c r="L434" s="24"/>
      <c r="N434" s="24"/>
      <c r="O434" s="13"/>
      <c r="P434" s="13"/>
      <c r="Q434" s="24"/>
      <c r="S434" s="24"/>
      <c r="T434" s="13"/>
      <c r="U434" s="13"/>
      <c r="V434" s="24"/>
      <c r="X434" s="24"/>
      <c r="Y434" s="13"/>
      <c r="Z434" s="13"/>
      <c r="AA434" s="24"/>
      <c r="AC434" s="24"/>
      <c r="AD434" s="13"/>
      <c r="AE434" s="13"/>
      <c r="AF434" s="24"/>
      <c r="AH434" s="24"/>
      <c r="AI434" s="13"/>
      <c r="AJ434" s="13"/>
      <c r="AK434" s="24"/>
      <c r="AM434" s="24"/>
      <c r="AN434" s="13"/>
      <c r="AO434" s="13"/>
      <c r="AP434" s="24"/>
      <c r="AR434" s="24"/>
      <c r="AS434" s="13"/>
      <c r="AT434" s="13"/>
      <c r="AU434" s="24"/>
      <c r="AW434" s="24"/>
      <c r="AX434" s="13"/>
      <c r="AY434" s="13"/>
      <c r="AZ434" s="24"/>
      <c r="BB434" s="24"/>
      <c r="BC434" s="13"/>
      <c r="BD434" s="13"/>
      <c r="BE434" s="24"/>
      <c r="BG434" s="24"/>
      <c r="BH434" s="13"/>
      <c r="BI434" s="13"/>
      <c r="BJ434" s="24"/>
      <c r="BL434" s="24"/>
      <c r="BM434" s="13"/>
      <c r="BN434" s="13"/>
    </row>
    <row r="435" spans="1:66" s="11" customFormat="1" ht="21">
      <c r="A435" s="24"/>
      <c r="B435" s="24"/>
      <c r="C435" s="24"/>
      <c r="E435" s="13"/>
      <c r="F435" s="24"/>
      <c r="G435" s="24"/>
      <c r="I435" s="24"/>
      <c r="J435" s="13"/>
      <c r="K435" s="13"/>
      <c r="L435" s="24"/>
      <c r="N435" s="24"/>
      <c r="O435" s="13"/>
      <c r="P435" s="13"/>
      <c r="Q435" s="24"/>
      <c r="S435" s="24"/>
      <c r="T435" s="13"/>
      <c r="U435" s="13"/>
      <c r="V435" s="24"/>
      <c r="X435" s="24"/>
      <c r="Y435" s="13"/>
      <c r="Z435" s="13"/>
      <c r="AA435" s="24"/>
      <c r="AC435" s="24"/>
      <c r="AD435" s="13"/>
      <c r="AE435" s="13"/>
      <c r="AF435" s="24"/>
      <c r="AH435" s="24"/>
      <c r="AI435" s="13"/>
      <c r="AJ435" s="13"/>
      <c r="AK435" s="24"/>
      <c r="AM435" s="24"/>
      <c r="AN435" s="13"/>
      <c r="AO435" s="13"/>
      <c r="AP435" s="24"/>
      <c r="AR435" s="24"/>
      <c r="AS435" s="13"/>
      <c r="AT435" s="13"/>
      <c r="AU435" s="24"/>
      <c r="AW435" s="24"/>
      <c r="AX435" s="13"/>
      <c r="AY435" s="13"/>
      <c r="AZ435" s="24"/>
      <c r="BB435" s="24"/>
      <c r="BC435" s="13"/>
      <c r="BD435" s="13"/>
      <c r="BE435" s="24"/>
      <c r="BG435" s="24"/>
      <c r="BH435" s="13"/>
      <c r="BI435" s="13"/>
      <c r="BJ435" s="24"/>
      <c r="BL435" s="24"/>
      <c r="BM435" s="13"/>
      <c r="BN435" s="13"/>
    </row>
    <row r="436" spans="1:66" s="11" customFormat="1" ht="21">
      <c r="A436" s="24"/>
      <c r="B436" s="24"/>
      <c r="C436" s="24"/>
      <c r="E436" s="13"/>
      <c r="F436" s="24"/>
      <c r="G436" s="24"/>
      <c r="I436" s="24"/>
      <c r="J436" s="13"/>
      <c r="K436" s="13"/>
      <c r="L436" s="24"/>
      <c r="N436" s="24"/>
      <c r="O436" s="13"/>
      <c r="P436" s="13"/>
      <c r="Q436" s="24"/>
      <c r="S436" s="24"/>
      <c r="T436" s="13"/>
      <c r="U436" s="13"/>
      <c r="V436" s="24"/>
      <c r="X436" s="24"/>
      <c r="Y436" s="13"/>
      <c r="Z436" s="13"/>
      <c r="AA436" s="24"/>
      <c r="AC436" s="24"/>
      <c r="AD436" s="13"/>
      <c r="AE436" s="13"/>
      <c r="AF436" s="24"/>
      <c r="AH436" s="24"/>
      <c r="AI436" s="13"/>
      <c r="AJ436" s="13"/>
      <c r="AK436" s="24"/>
      <c r="AM436" s="24"/>
      <c r="AN436" s="13"/>
      <c r="AO436" s="13"/>
      <c r="AP436" s="24"/>
      <c r="AR436" s="24"/>
      <c r="AS436" s="13"/>
      <c r="AT436" s="13"/>
      <c r="AU436" s="24"/>
      <c r="AW436" s="24"/>
      <c r="AX436" s="13"/>
      <c r="AY436" s="13"/>
      <c r="AZ436" s="24"/>
      <c r="BB436" s="24"/>
      <c r="BC436" s="13"/>
      <c r="BD436" s="13"/>
      <c r="BE436" s="24"/>
      <c r="BG436" s="24"/>
      <c r="BH436" s="13"/>
      <c r="BI436" s="13"/>
      <c r="BJ436" s="24"/>
      <c r="BL436" s="24"/>
      <c r="BM436" s="13"/>
      <c r="BN436" s="13"/>
    </row>
    <row r="437" spans="1:66" s="11" customFormat="1" ht="21">
      <c r="A437" s="24"/>
      <c r="B437" s="24"/>
      <c r="C437" s="24"/>
      <c r="E437" s="13"/>
      <c r="F437" s="24"/>
      <c r="G437" s="24"/>
      <c r="I437" s="24"/>
      <c r="J437" s="13"/>
      <c r="K437" s="13"/>
      <c r="L437" s="24"/>
      <c r="N437" s="24"/>
      <c r="O437" s="13"/>
      <c r="P437" s="13"/>
      <c r="Q437" s="24"/>
      <c r="S437" s="24"/>
      <c r="T437" s="13"/>
      <c r="U437" s="13"/>
      <c r="V437" s="24"/>
      <c r="X437" s="24"/>
      <c r="Y437" s="13"/>
      <c r="Z437" s="13"/>
      <c r="AA437" s="24"/>
      <c r="AC437" s="24"/>
      <c r="AD437" s="13"/>
      <c r="AE437" s="13"/>
      <c r="AF437" s="24"/>
      <c r="AH437" s="24"/>
      <c r="AI437" s="13"/>
      <c r="AJ437" s="13"/>
      <c r="AK437" s="24"/>
      <c r="AM437" s="24"/>
      <c r="AN437" s="13"/>
      <c r="AO437" s="13"/>
      <c r="AP437" s="24"/>
      <c r="AR437" s="24"/>
      <c r="AS437" s="13"/>
      <c r="AT437" s="13"/>
      <c r="AU437" s="24"/>
      <c r="AW437" s="24"/>
      <c r="AX437" s="13"/>
      <c r="AY437" s="13"/>
      <c r="AZ437" s="24"/>
      <c r="BB437" s="24"/>
      <c r="BC437" s="13"/>
      <c r="BD437" s="13"/>
      <c r="BE437" s="24"/>
      <c r="BG437" s="24"/>
      <c r="BH437" s="13"/>
      <c r="BI437" s="13"/>
      <c r="BJ437" s="24"/>
      <c r="BL437" s="24"/>
      <c r="BM437" s="13"/>
      <c r="BN437" s="13"/>
    </row>
    <row r="438" spans="1:66" s="11" customFormat="1" ht="21">
      <c r="A438" s="24"/>
      <c r="B438" s="24"/>
      <c r="C438" s="24"/>
      <c r="E438" s="13"/>
      <c r="F438" s="24"/>
      <c r="G438" s="24"/>
      <c r="I438" s="24"/>
      <c r="J438" s="13"/>
      <c r="K438" s="13"/>
      <c r="L438" s="24"/>
      <c r="N438" s="24"/>
      <c r="O438" s="13"/>
      <c r="P438" s="13"/>
      <c r="Q438" s="24"/>
      <c r="S438" s="24"/>
      <c r="T438" s="13"/>
      <c r="U438" s="13"/>
      <c r="V438" s="24"/>
      <c r="X438" s="24"/>
      <c r="Y438" s="13"/>
      <c r="Z438" s="13"/>
      <c r="AA438" s="24"/>
      <c r="AC438" s="24"/>
      <c r="AD438" s="13"/>
      <c r="AE438" s="13"/>
      <c r="AF438" s="24"/>
      <c r="AH438" s="24"/>
      <c r="AI438" s="13"/>
      <c r="AJ438" s="13"/>
      <c r="AK438" s="24"/>
      <c r="AM438" s="24"/>
      <c r="AN438" s="13"/>
      <c r="AO438" s="13"/>
      <c r="AP438" s="24"/>
      <c r="AR438" s="24"/>
      <c r="AS438" s="13"/>
      <c r="AT438" s="13"/>
      <c r="AU438" s="24"/>
      <c r="AW438" s="24"/>
      <c r="AX438" s="13"/>
      <c r="AY438" s="13"/>
      <c r="AZ438" s="24"/>
      <c r="BB438" s="24"/>
      <c r="BC438" s="13"/>
      <c r="BD438" s="13"/>
      <c r="BE438" s="24"/>
      <c r="BG438" s="24"/>
      <c r="BH438" s="13"/>
      <c r="BI438" s="13"/>
      <c r="BJ438" s="24"/>
      <c r="BL438" s="24"/>
      <c r="BM438" s="13"/>
      <c r="BN438" s="13"/>
    </row>
    <row r="439" spans="1:66" s="11" customFormat="1" ht="21">
      <c r="A439" s="24"/>
      <c r="B439" s="24"/>
      <c r="C439" s="24"/>
      <c r="E439" s="13"/>
      <c r="F439" s="24"/>
      <c r="G439" s="24"/>
      <c r="I439" s="24"/>
      <c r="J439" s="13"/>
      <c r="K439" s="13"/>
      <c r="L439" s="24"/>
      <c r="N439" s="24"/>
      <c r="O439" s="13"/>
      <c r="P439" s="13"/>
      <c r="Q439" s="24"/>
      <c r="S439" s="24"/>
      <c r="T439" s="13"/>
      <c r="U439" s="13"/>
      <c r="V439" s="24"/>
      <c r="X439" s="24"/>
      <c r="Y439" s="13"/>
      <c r="Z439" s="13"/>
      <c r="AA439" s="24"/>
      <c r="AC439" s="24"/>
      <c r="AD439" s="13"/>
      <c r="AE439" s="13"/>
      <c r="AF439" s="24"/>
      <c r="AH439" s="24"/>
      <c r="AI439" s="13"/>
      <c r="AJ439" s="13"/>
      <c r="AK439" s="24"/>
      <c r="AM439" s="24"/>
      <c r="AN439" s="13"/>
      <c r="AO439" s="13"/>
      <c r="AP439" s="24"/>
      <c r="AR439" s="24"/>
      <c r="AS439" s="13"/>
      <c r="AT439" s="13"/>
      <c r="AU439" s="24"/>
      <c r="AW439" s="24"/>
      <c r="AX439" s="13"/>
      <c r="AY439" s="13"/>
      <c r="AZ439" s="24"/>
      <c r="BB439" s="24"/>
      <c r="BC439" s="13"/>
      <c r="BD439" s="13"/>
      <c r="BE439" s="24"/>
      <c r="BG439" s="24"/>
      <c r="BH439" s="13"/>
      <c r="BI439" s="13"/>
      <c r="BJ439" s="24"/>
      <c r="BL439" s="24"/>
      <c r="BM439" s="13"/>
      <c r="BN439" s="13"/>
    </row>
    <row r="440" spans="1:66" s="11" customFormat="1" ht="21">
      <c r="A440" s="24"/>
      <c r="B440" s="24"/>
      <c r="C440" s="24"/>
      <c r="E440" s="13"/>
      <c r="F440" s="24"/>
      <c r="G440" s="24"/>
      <c r="I440" s="24"/>
      <c r="J440" s="13"/>
      <c r="K440" s="13"/>
      <c r="L440" s="24"/>
      <c r="N440" s="24"/>
      <c r="O440" s="13"/>
      <c r="P440" s="13"/>
      <c r="Q440" s="24"/>
      <c r="S440" s="24"/>
      <c r="T440" s="13"/>
      <c r="U440" s="13"/>
      <c r="V440" s="24"/>
      <c r="X440" s="24"/>
      <c r="Y440" s="13"/>
      <c r="Z440" s="13"/>
      <c r="AA440" s="24"/>
      <c r="AC440" s="24"/>
      <c r="AD440" s="13"/>
      <c r="AE440" s="13"/>
      <c r="AF440" s="24"/>
      <c r="AH440" s="24"/>
      <c r="AI440" s="13"/>
      <c r="AJ440" s="13"/>
      <c r="AK440" s="24"/>
      <c r="AM440" s="24"/>
      <c r="AN440" s="13"/>
      <c r="AO440" s="13"/>
      <c r="AP440" s="24"/>
      <c r="AR440" s="24"/>
      <c r="AS440" s="13"/>
      <c r="AT440" s="13"/>
      <c r="AU440" s="24"/>
      <c r="AW440" s="24"/>
      <c r="AX440" s="13"/>
      <c r="AY440" s="13"/>
      <c r="AZ440" s="24"/>
      <c r="BB440" s="24"/>
      <c r="BC440" s="13"/>
      <c r="BD440" s="13"/>
      <c r="BE440" s="24"/>
      <c r="BG440" s="24"/>
      <c r="BH440" s="13"/>
      <c r="BI440" s="13"/>
      <c r="BJ440" s="24"/>
      <c r="BL440" s="24"/>
      <c r="BM440" s="13"/>
      <c r="BN440" s="13"/>
    </row>
    <row r="441" spans="1:66" s="11" customFormat="1" ht="21">
      <c r="A441" s="24"/>
      <c r="B441" s="24"/>
      <c r="C441" s="24"/>
      <c r="E441" s="13"/>
      <c r="F441" s="24"/>
      <c r="G441" s="24"/>
      <c r="I441" s="24"/>
      <c r="J441" s="13"/>
      <c r="K441" s="13"/>
      <c r="L441" s="24"/>
      <c r="N441" s="24"/>
      <c r="O441" s="13"/>
      <c r="P441" s="13"/>
      <c r="Q441" s="24"/>
      <c r="S441" s="24"/>
      <c r="T441" s="13"/>
      <c r="U441" s="13"/>
      <c r="V441" s="24"/>
      <c r="X441" s="24"/>
      <c r="Y441" s="13"/>
      <c r="Z441" s="13"/>
      <c r="AA441" s="24"/>
      <c r="AC441" s="24"/>
      <c r="AD441" s="13"/>
      <c r="AE441" s="13"/>
      <c r="AF441" s="24"/>
      <c r="AH441" s="24"/>
      <c r="AI441" s="13"/>
      <c r="AJ441" s="13"/>
      <c r="AK441" s="24"/>
      <c r="AM441" s="24"/>
      <c r="AN441" s="13"/>
      <c r="AO441" s="13"/>
      <c r="AP441" s="24"/>
      <c r="AR441" s="24"/>
      <c r="AS441" s="13"/>
      <c r="AT441" s="13"/>
      <c r="AU441" s="24"/>
      <c r="AW441" s="24"/>
      <c r="AX441" s="13"/>
      <c r="AY441" s="13"/>
      <c r="AZ441" s="24"/>
      <c r="BB441" s="24"/>
      <c r="BC441" s="13"/>
      <c r="BD441" s="13"/>
      <c r="BE441" s="24"/>
      <c r="BG441" s="24"/>
      <c r="BH441" s="13"/>
      <c r="BI441" s="13"/>
      <c r="BJ441" s="24"/>
      <c r="BL441" s="24"/>
      <c r="BM441" s="13"/>
      <c r="BN441" s="13"/>
    </row>
    <row r="442" spans="1:66" s="11" customFormat="1" ht="21">
      <c r="A442" s="24"/>
      <c r="B442" s="24"/>
      <c r="C442" s="24"/>
      <c r="E442" s="13"/>
      <c r="F442" s="24"/>
      <c r="G442" s="24"/>
      <c r="I442" s="24"/>
      <c r="J442" s="13"/>
      <c r="K442" s="13"/>
      <c r="L442" s="24"/>
      <c r="N442" s="24"/>
      <c r="O442" s="13"/>
      <c r="P442" s="13"/>
      <c r="Q442" s="24"/>
      <c r="S442" s="24"/>
      <c r="T442" s="13"/>
      <c r="U442" s="13"/>
      <c r="V442" s="24"/>
      <c r="X442" s="24"/>
      <c r="Y442" s="13"/>
      <c r="Z442" s="13"/>
      <c r="AA442" s="24"/>
      <c r="AC442" s="24"/>
      <c r="AD442" s="13"/>
      <c r="AE442" s="13"/>
      <c r="AF442" s="24"/>
      <c r="AH442" s="24"/>
      <c r="AI442" s="13"/>
      <c r="AJ442" s="13"/>
      <c r="AK442" s="24"/>
      <c r="AM442" s="24"/>
      <c r="AN442" s="13"/>
      <c r="AO442" s="13"/>
      <c r="AP442" s="24"/>
      <c r="AR442" s="24"/>
      <c r="AS442" s="13"/>
      <c r="AT442" s="13"/>
      <c r="AU442" s="24"/>
      <c r="AW442" s="24"/>
      <c r="AX442" s="13"/>
      <c r="AY442" s="13"/>
      <c r="AZ442" s="24"/>
      <c r="BB442" s="24"/>
      <c r="BC442" s="13"/>
      <c r="BD442" s="13"/>
      <c r="BE442" s="24"/>
      <c r="BG442" s="24"/>
      <c r="BH442" s="13"/>
      <c r="BI442" s="13"/>
      <c r="BJ442" s="24"/>
      <c r="BL442" s="24"/>
      <c r="BM442" s="13"/>
      <c r="BN442" s="13"/>
    </row>
    <row r="443" spans="1:66" s="11" customFormat="1" ht="21">
      <c r="A443" s="24"/>
      <c r="B443" s="24"/>
      <c r="C443" s="24"/>
      <c r="E443" s="13"/>
      <c r="F443" s="24"/>
      <c r="G443" s="24"/>
      <c r="I443" s="24"/>
      <c r="J443" s="13"/>
      <c r="K443" s="13"/>
      <c r="L443" s="24"/>
      <c r="N443" s="24"/>
      <c r="O443" s="13"/>
      <c r="P443" s="13"/>
      <c r="Q443" s="24"/>
      <c r="S443" s="24"/>
      <c r="T443" s="13"/>
      <c r="U443" s="13"/>
      <c r="V443" s="24"/>
      <c r="X443" s="24"/>
      <c r="Y443" s="13"/>
      <c r="Z443" s="13"/>
      <c r="AA443" s="24"/>
      <c r="AC443" s="24"/>
      <c r="AD443" s="13"/>
      <c r="AE443" s="13"/>
      <c r="AF443" s="24"/>
      <c r="AH443" s="24"/>
      <c r="AI443" s="13"/>
      <c r="AJ443" s="13"/>
      <c r="AK443" s="24"/>
      <c r="AM443" s="24"/>
      <c r="AN443" s="13"/>
      <c r="AO443" s="13"/>
      <c r="AP443" s="24"/>
      <c r="AR443" s="24"/>
      <c r="AS443" s="13"/>
      <c r="AT443" s="13"/>
      <c r="AU443" s="24"/>
      <c r="AW443" s="24"/>
      <c r="AX443" s="13"/>
      <c r="AY443" s="13"/>
      <c r="AZ443" s="24"/>
      <c r="BB443" s="24"/>
      <c r="BC443" s="13"/>
      <c r="BD443" s="13"/>
      <c r="BE443" s="24"/>
      <c r="BG443" s="24"/>
      <c r="BH443" s="13"/>
      <c r="BI443" s="13"/>
      <c r="BJ443" s="24"/>
      <c r="BL443" s="24"/>
      <c r="BM443" s="13"/>
      <c r="BN443" s="13"/>
    </row>
    <row r="444" spans="1:66" s="11" customFormat="1" ht="21">
      <c r="A444" s="24"/>
      <c r="B444" s="24"/>
      <c r="C444" s="24"/>
      <c r="E444" s="13"/>
      <c r="F444" s="24"/>
      <c r="G444" s="24"/>
      <c r="I444" s="24"/>
      <c r="J444" s="13"/>
      <c r="K444" s="13"/>
      <c r="L444" s="24"/>
      <c r="N444" s="24"/>
      <c r="O444" s="13"/>
      <c r="P444" s="13"/>
      <c r="Q444" s="24"/>
      <c r="S444" s="24"/>
      <c r="T444" s="13"/>
      <c r="U444" s="13"/>
      <c r="V444" s="24"/>
      <c r="X444" s="24"/>
      <c r="Y444" s="13"/>
      <c r="Z444" s="13"/>
      <c r="AA444" s="24"/>
      <c r="AC444" s="24"/>
      <c r="AD444" s="13"/>
      <c r="AE444" s="13"/>
      <c r="AF444" s="24"/>
      <c r="AH444" s="24"/>
      <c r="AI444" s="13"/>
      <c r="AJ444" s="13"/>
      <c r="AK444" s="24"/>
      <c r="AM444" s="24"/>
      <c r="AN444" s="13"/>
      <c r="AO444" s="13"/>
      <c r="AP444" s="24"/>
      <c r="AR444" s="24"/>
      <c r="AS444" s="13"/>
      <c r="AT444" s="13"/>
      <c r="AU444" s="24"/>
      <c r="AW444" s="24"/>
      <c r="AX444" s="13"/>
      <c r="AY444" s="13"/>
      <c r="AZ444" s="24"/>
      <c r="BB444" s="24"/>
      <c r="BC444" s="13"/>
      <c r="BD444" s="13"/>
      <c r="BE444" s="24"/>
      <c r="BG444" s="24"/>
      <c r="BH444" s="13"/>
      <c r="BI444" s="13"/>
      <c r="BJ444" s="24"/>
      <c r="BL444" s="24"/>
      <c r="BM444" s="13"/>
      <c r="BN444" s="13"/>
    </row>
    <row r="445" spans="1:66" s="11" customFormat="1" ht="21">
      <c r="A445" s="24"/>
      <c r="B445" s="24"/>
      <c r="C445" s="24"/>
      <c r="E445" s="13"/>
      <c r="F445" s="24"/>
      <c r="G445" s="24"/>
      <c r="I445" s="24"/>
      <c r="J445" s="13"/>
      <c r="K445" s="13"/>
      <c r="L445" s="24"/>
      <c r="N445" s="24"/>
      <c r="O445" s="13"/>
      <c r="P445" s="13"/>
      <c r="Q445" s="24"/>
      <c r="S445" s="24"/>
      <c r="T445" s="13"/>
      <c r="U445" s="13"/>
      <c r="V445" s="24"/>
      <c r="X445" s="24"/>
      <c r="Y445" s="13"/>
      <c r="Z445" s="13"/>
      <c r="AA445" s="24"/>
      <c r="AC445" s="24"/>
      <c r="AD445" s="13"/>
      <c r="AE445" s="13"/>
      <c r="AF445" s="24"/>
      <c r="AH445" s="24"/>
      <c r="AI445" s="13"/>
      <c r="AJ445" s="13"/>
      <c r="AK445" s="24"/>
      <c r="AM445" s="24"/>
      <c r="AN445" s="13"/>
      <c r="AO445" s="13"/>
      <c r="AP445" s="24"/>
      <c r="AR445" s="24"/>
      <c r="AS445" s="13"/>
      <c r="AT445" s="13"/>
      <c r="AU445" s="24"/>
      <c r="AW445" s="24"/>
      <c r="AX445" s="13"/>
      <c r="AY445" s="13"/>
      <c r="AZ445" s="24"/>
      <c r="BB445" s="24"/>
      <c r="BC445" s="13"/>
      <c r="BD445" s="13"/>
      <c r="BE445" s="24"/>
      <c r="BG445" s="24"/>
      <c r="BH445" s="13"/>
      <c r="BI445" s="13"/>
      <c r="BJ445" s="24"/>
      <c r="BL445" s="24"/>
      <c r="BM445" s="13"/>
      <c r="BN445" s="13"/>
    </row>
    <row r="446" spans="1:66" s="11" customFormat="1" ht="21">
      <c r="A446" s="24"/>
      <c r="B446" s="24"/>
      <c r="C446" s="24"/>
      <c r="E446" s="13"/>
      <c r="F446" s="24"/>
      <c r="G446" s="24"/>
      <c r="I446" s="24"/>
      <c r="J446" s="13"/>
      <c r="K446" s="13"/>
      <c r="L446" s="24"/>
      <c r="N446" s="24"/>
      <c r="O446" s="13"/>
      <c r="P446" s="13"/>
      <c r="Q446" s="24"/>
      <c r="S446" s="24"/>
      <c r="T446" s="13"/>
      <c r="U446" s="13"/>
      <c r="V446" s="24"/>
      <c r="X446" s="24"/>
      <c r="Y446" s="13"/>
      <c r="Z446" s="13"/>
      <c r="AA446" s="24"/>
      <c r="AC446" s="24"/>
      <c r="AD446" s="13"/>
      <c r="AE446" s="13"/>
      <c r="AF446" s="24"/>
      <c r="AH446" s="24"/>
      <c r="AI446" s="13"/>
      <c r="AJ446" s="13"/>
      <c r="AK446" s="24"/>
      <c r="AM446" s="24"/>
      <c r="AN446" s="13"/>
      <c r="AO446" s="13"/>
      <c r="AP446" s="24"/>
      <c r="AR446" s="24"/>
      <c r="AS446" s="13"/>
      <c r="AT446" s="13"/>
      <c r="AU446" s="24"/>
      <c r="AW446" s="24"/>
      <c r="AX446" s="13"/>
      <c r="AY446" s="13"/>
      <c r="AZ446" s="24"/>
      <c r="BB446" s="24"/>
      <c r="BC446" s="13"/>
      <c r="BD446" s="13"/>
      <c r="BE446" s="24"/>
      <c r="BG446" s="24"/>
      <c r="BH446" s="13"/>
      <c r="BI446" s="13"/>
      <c r="BJ446" s="24"/>
      <c r="BL446" s="24"/>
      <c r="BM446" s="13"/>
      <c r="BN446" s="13"/>
    </row>
    <row r="447" spans="1:66" s="11" customFormat="1" ht="21">
      <c r="A447" s="24"/>
      <c r="B447" s="24"/>
      <c r="C447" s="24"/>
      <c r="E447" s="13"/>
      <c r="F447" s="24"/>
      <c r="G447" s="24"/>
      <c r="I447" s="24"/>
      <c r="J447" s="13"/>
      <c r="K447" s="13"/>
      <c r="L447" s="24"/>
      <c r="N447" s="24"/>
      <c r="O447" s="13"/>
      <c r="P447" s="13"/>
      <c r="Q447" s="24"/>
      <c r="S447" s="24"/>
      <c r="T447" s="13"/>
      <c r="U447" s="13"/>
      <c r="V447" s="24"/>
      <c r="X447" s="24"/>
      <c r="Y447" s="13"/>
      <c r="Z447" s="13"/>
      <c r="AA447" s="24"/>
      <c r="AC447" s="24"/>
      <c r="AD447" s="13"/>
      <c r="AE447" s="13"/>
      <c r="AF447" s="24"/>
      <c r="AH447" s="24"/>
      <c r="AI447" s="13"/>
      <c r="AJ447" s="13"/>
      <c r="AK447" s="24"/>
      <c r="AM447" s="24"/>
      <c r="AN447" s="13"/>
      <c r="AO447" s="13"/>
      <c r="AP447" s="24"/>
      <c r="AR447" s="24"/>
      <c r="AS447" s="13"/>
      <c r="AT447" s="13"/>
      <c r="AU447" s="24"/>
      <c r="AW447" s="24"/>
      <c r="AX447" s="13"/>
      <c r="AY447" s="13"/>
      <c r="AZ447" s="24"/>
      <c r="BB447" s="24"/>
      <c r="BC447" s="13"/>
      <c r="BD447" s="13"/>
      <c r="BE447" s="24"/>
      <c r="BG447" s="24"/>
      <c r="BH447" s="13"/>
      <c r="BI447" s="13"/>
      <c r="BJ447" s="24"/>
      <c r="BL447" s="24"/>
      <c r="BM447" s="13"/>
      <c r="BN447" s="13"/>
    </row>
    <row r="448" spans="1:66" s="11" customFormat="1" ht="21">
      <c r="A448" s="24"/>
      <c r="B448" s="24"/>
      <c r="C448" s="24"/>
      <c r="E448" s="13"/>
      <c r="F448" s="24"/>
      <c r="G448" s="24"/>
      <c r="I448" s="24"/>
      <c r="J448" s="13"/>
      <c r="K448" s="13"/>
      <c r="L448" s="24"/>
      <c r="N448" s="24"/>
      <c r="O448" s="13"/>
      <c r="P448" s="13"/>
      <c r="Q448" s="24"/>
      <c r="S448" s="24"/>
      <c r="T448" s="13"/>
      <c r="U448" s="13"/>
      <c r="V448" s="24"/>
      <c r="X448" s="24"/>
      <c r="Y448" s="13"/>
      <c r="Z448" s="13"/>
      <c r="AA448" s="24"/>
      <c r="AC448" s="24"/>
      <c r="AD448" s="13"/>
      <c r="AE448" s="13"/>
      <c r="AF448" s="24"/>
      <c r="AH448" s="24"/>
      <c r="AI448" s="13"/>
      <c r="AJ448" s="13"/>
      <c r="AK448" s="24"/>
      <c r="AM448" s="24"/>
      <c r="AN448" s="13"/>
      <c r="AO448" s="13"/>
      <c r="AP448" s="24"/>
      <c r="AR448" s="24"/>
      <c r="AS448" s="13"/>
      <c r="AT448" s="13"/>
      <c r="AU448" s="24"/>
      <c r="AW448" s="24"/>
      <c r="AX448" s="13"/>
      <c r="AY448" s="13"/>
      <c r="AZ448" s="24"/>
      <c r="BB448" s="24"/>
      <c r="BC448" s="13"/>
      <c r="BD448" s="13"/>
      <c r="BE448" s="24"/>
      <c r="BG448" s="24"/>
      <c r="BH448" s="13"/>
      <c r="BI448" s="13"/>
      <c r="BJ448" s="24"/>
      <c r="BL448" s="24"/>
      <c r="BM448" s="13"/>
      <c r="BN448" s="13"/>
    </row>
    <row r="449" spans="1:66" s="11" customFormat="1" ht="21">
      <c r="A449" s="24"/>
      <c r="B449" s="24"/>
      <c r="C449" s="24"/>
      <c r="E449" s="13"/>
      <c r="F449" s="24"/>
      <c r="G449" s="24"/>
      <c r="I449" s="24"/>
      <c r="J449" s="13"/>
      <c r="K449" s="13"/>
      <c r="L449" s="24"/>
      <c r="N449" s="24"/>
      <c r="O449" s="13"/>
      <c r="P449" s="13"/>
      <c r="Q449" s="24"/>
      <c r="S449" s="24"/>
      <c r="T449" s="13"/>
      <c r="U449" s="13"/>
      <c r="V449" s="24"/>
      <c r="X449" s="24"/>
      <c r="Y449" s="13"/>
      <c r="Z449" s="13"/>
      <c r="AA449" s="24"/>
      <c r="AC449" s="24"/>
      <c r="AD449" s="13"/>
      <c r="AE449" s="13"/>
      <c r="AF449" s="24"/>
      <c r="AH449" s="24"/>
      <c r="AI449" s="13"/>
      <c r="AJ449" s="13"/>
      <c r="AK449" s="24"/>
      <c r="AM449" s="24"/>
      <c r="AN449" s="13"/>
      <c r="AO449" s="13"/>
      <c r="AP449" s="24"/>
      <c r="AR449" s="24"/>
      <c r="AS449" s="13"/>
      <c r="AT449" s="13"/>
      <c r="AU449" s="24"/>
      <c r="AW449" s="24"/>
      <c r="AX449" s="13"/>
      <c r="AY449" s="13"/>
      <c r="AZ449" s="24"/>
      <c r="BB449" s="24"/>
      <c r="BC449" s="13"/>
      <c r="BD449" s="13"/>
      <c r="BE449" s="24"/>
      <c r="BG449" s="24"/>
      <c r="BH449" s="13"/>
      <c r="BI449" s="13"/>
      <c r="BJ449" s="24"/>
      <c r="BL449" s="24"/>
      <c r="BM449" s="13"/>
      <c r="BN449" s="13"/>
    </row>
    <row r="450" spans="1:66" s="11" customFormat="1" ht="21">
      <c r="A450" s="24"/>
      <c r="B450" s="24"/>
      <c r="C450" s="24"/>
      <c r="E450" s="13"/>
      <c r="F450" s="24"/>
      <c r="G450" s="24"/>
      <c r="I450" s="24"/>
      <c r="J450" s="13"/>
      <c r="K450" s="13"/>
      <c r="L450" s="24"/>
      <c r="N450" s="24"/>
      <c r="O450" s="13"/>
      <c r="P450" s="13"/>
      <c r="Q450" s="24"/>
      <c r="S450" s="24"/>
      <c r="T450" s="13"/>
      <c r="U450" s="13"/>
      <c r="V450" s="24"/>
      <c r="X450" s="24"/>
      <c r="Y450" s="13"/>
      <c r="Z450" s="13"/>
      <c r="AA450" s="24"/>
      <c r="AC450" s="24"/>
      <c r="AD450" s="13"/>
      <c r="AE450" s="13"/>
      <c r="AF450" s="24"/>
      <c r="AH450" s="24"/>
      <c r="AI450" s="13"/>
      <c r="AJ450" s="13"/>
      <c r="AK450" s="24"/>
      <c r="AM450" s="24"/>
      <c r="AN450" s="13"/>
      <c r="AO450" s="13"/>
      <c r="AP450" s="24"/>
      <c r="AR450" s="24"/>
      <c r="AS450" s="13"/>
      <c r="AT450" s="13"/>
      <c r="AU450" s="24"/>
      <c r="AW450" s="24"/>
      <c r="AX450" s="13"/>
      <c r="AY450" s="13"/>
      <c r="AZ450" s="24"/>
      <c r="BB450" s="24"/>
      <c r="BC450" s="13"/>
      <c r="BD450" s="13"/>
      <c r="BE450" s="24"/>
      <c r="BG450" s="24"/>
      <c r="BH450" s="13"/>
      <c r="BI450" s="13"/>
      <c r="BJ450" s="24"/>
      <c r="BL450" s="24"/>
      <c r="BM450" s="13"/>
      <c r="BN450" s="13"/>
    </row>
    <row r="451" spans="1:66" s="11" customFormat="1" ht="21">
      <c r="A451" s="24"/>
      <c r="B451" s="24"/>
      <c r="C451" s="24"/>
      <c r="E451" s="13"/>
      <c r="F451" s="24"/>
      <c r="G451" s="24"/>
      <c r="I451" s="24"/>
      <c r="J451" s="13"/>
      <c r="K451" s="13"/>
      <c r="L451" s="24"/>
      <c r="N451" s="24"/>
      <c r="O451" s="13"/>
      <c r="P451" s="13"/>
      <c r="Q451" s="24"/>
      <c r="S451" s="24"/>
      <c r="T451" s="13"/>
      <c r="U451" s="13"/>
      <c r="V451" s="24"/>
      <c r="X451" s="24"/>
      <c r="Y451" s="13"/>
      <c r="Z451" s="13"/>
      <c r="AA451" s="24"/>
      <c r="AC451" s="24"/>
      <c r="AD451" s="13"/>
      <c r="AE451" s="13"/>
      <c r="AF451" s="24"/>
      <c r="AH451" s="24"/>
      <c r="AI451" s="13"/>
      <c r="AJ451" s="13"/>
      <c r="AK451" s="24"/>
      <c r="AM451" s="24"/>
      <c r="AN451" s="13"/>
      <c r="AO451" s="13"/>
      <c r="AP451" s="24"/>
      <c r="AR451" s="24"/>
      <c r="AS451" s="13"/>
      <c r="AT451" s="13"/>
      <c r="AU451" s="24"/>
      <c r="AW451" s="24"/>
      <c r="AX451" s="13"/>
      <c r="AY451" s="13"/>
      <c r="AZ451" s="24"/>
      <c r="BB451" s="24"/>
      <c r="BC451" s="13"/>
      <c r="BD451" s="13"/>
      <c r="BE451" s="24"/>
      <c r="BG451" s="24"/>
      <c r="BH451" s="13"/>
      <c r="BI451" s="13"/>
      <c r="BJ451" s="24"/>
      <c r="BL451" s="24"/>
      <c r="BM451" s="13"/>
      <c r="BN451" s="13"/>
    </row>
    <row r="452" spans="1:66" s="11" customFormat="1" ht="21">
      <c r="A452" s="24"/>
      <c r="B452" s="24"/>
      <c r="C452" s="24"/>
      <c r="E452" s="13"/>
      <c r="F452" s="24"/>
      <c r="G452" s="24"/>
      <c r="I452" s="24"/>
      <c r="J452" s="13"/>
      <c r="K452" s="13"/>
      <c r="L452" s="24"/>
      <c r="N452" s="24"/>
      <c r="O452" s="13"/>
      <c r="P452" s="13"/>
      <c r="Q452" s="24"/>
      <c r="S452" s="24"/>
      <c r="T452" s="13"/>
      <c r="U452" s="13"/>
      <c r="V452" s="24"/>
      <c r="X452" s="24"/>
      <c r="Y452" s="13"/>
      <c r="Z452" s="13"/>
      <c r="AA452" s="24"/>
      <c r="AC452" s="24"/>
      <c r="AD452" s="13"/>
      <c r="AE452" s="13"/>
      <c r="AF452" s="24"/>
      <c r="AH452" s="24"/>
      <c r="AI452" s="13"/>
      <c r="AJ452" s="13"/>
      <c r="AK452" s="24"/>
      <c r="AM452" s="24"/>
      <c r="AN452" s="13"/>
      <c r="AO452" s="13"/>
      <c r="AP452" s="24"/>
      <c r="AR452" s="24"/>
      <c r="AS452" s="13"/>
      <c r="AT452" s="13"/>
      <c r="AU452" s="24"/>
      <c r="AW452" s="24"/>
      <c r="AX452" s="13"/>
      <c r="AY452" s="13"/>
      <c r="AZ452" s="24"/>
      <c r="BB452" s="24"/>
      <c r="BC452" s="13"/>
      <c r="BD452" s="13"/>
      <c r="BE452" s="24"/>
      <c r="BG452" s="24"/>
      <c r="BH452" s="13"/>
      <c r="BI452" s="13"/>
      <c r="BJ452" s="24"/>
      <c r="BL452" s="24"/>
      <c r="BM452" s="13"/>
      <c r="BN452" s="13"/>
    </row>
    <row r="453" spans="1:66" s="11" customFormat="1" ht="21">
      <c r="A453" s="24"/>
      <c r="B453" s="24"/>
      <c r="C453" s="24"/>
      <c r="E453" s="13"/>
      <c r="F453" s="24"/>
      <c r="G453" s="24"/>
      <c r="I453" s="24"/>
      <c r="J453" s="13"/>
      <c r="K453" s="13"/>
      <c r="L453" s="24"/>
      <c r="N453" s="24"/>
      <c r="O453" s="13"/>
      <c r="P453" s="13"/>
      <c r="Q453" s="24"/>
      <c r="S453" s="24"/>
      <c r="T453" s="13"/>
      <c r="U453" s="13"/>
      <c r="V453" s="24"/>
      <c r="X453" s="24"/>
      <c r="Y453" s="13"/>
      <c r="Z453" s="13"/>
      <c r="AA453" s="24"/>
      <c r="AC453" s="24"/>
      <c r="AD453" s="13"/>
      <c r="AE453" s="13"/>
      <c r="AF453" s="24"/>
      <c r="AH453" s="24"/>
      <c r="AI453" s="13"/>
      <c r="AJ453" s="13"/>
      <c r="AK453" s="24"/>
      <c r="AM453" s="24"/>
      <c r="AN453" s="13"/>
      <c r="AO453" s="13"/>
      <c r="AP453" s="24"/>
      <c r="AR453" s="24"/>
      <c r="AS453" s="13"/>
      <c r="AT453" s="13"/>
      <c r="AU453" s="24"/>
      <c r="AW453" s="24"/>
      <c r="AX453" s="13"/>
      <c r="AY453" s="13"/>
      <c r="AZ453" s="24"/>
      <c r="BB453" s="24"/>
      <c r="BC453" s="13"/>
      <c r="BD453" s="13"/>
      <c r="BE453" s="24"/>
      <c r="BG453" s="24"/>
      <c r="BH453" s="13"/>
      <c r="BI453" s="13"/>
      <c r="BJ453" s="24"/>
      <c r="BL453" s="24"/>
      <c r="BM453" s="13"/>
      <c r="BN453" s="13"/>
    </row>
    <row r="454" spans="1:66" s="11" customFormat="1" ht="21">
      <c r="A454" s="24"/>
      <c r="B454" s="24"/>
      <c r="C454" s="24"/>
      <c r="E454" s="13"/>
      <c r="F454" s="24"/>
      <c r="G454" s="24"/>
      <c r="I454" s="24"/>
      <c r="J454" s="13"/>
      <c r="K454" s="13"/>
      <c r="L454" s="24"/>
      <c r="N454" s="24"/>
      <c r="O454" s="13"/>
      <c r="P454" s="13"/>
      <c r="Q454" s="24"/>
      <c r="S454" s="24"/>
      <c r="T454" s="13"/>
      <c r="U454" s="13"/>
      <c r="V454" s="24"/>
      <c r="X454" s="24"/>
      <c r="Y454" s="13"/>
      <c r="Z454" s="13"/>
      <c r="AA454" s="24"/>
      <c r="AC454" s="24"/>
      <c r="AD454" s="13"/>
      <c r="AE454" s="13"/>
      <c r="AF454" s="24"/>
      <c r="AH454" s="24"/>
      <c r="AI454" s="13"/>
      <c r="AJ454" s="13"/>
      <c r="AK454" s="24"/>
      <c r="AM454" s="24"/>
      <c r="AN454" s="13"/>
      <c r="AO454" s="13"/>
      <c r="AP454" s="24"/>
      <c r="AR454" s="24"/>
      <c r="AS454" s="13"/>
      <c r="AT454" s="13"/>
      <c r="AU454" s="24"/>
      <c r="AW454" s="24"/>
      <c r="AX454" s="13"/>
      <c r="AY454" s="13"/>
      <c r="AZ454" s="24"/>
      <c r="BB454" s="24"/>
      <c r="BC454" s="13"/>
      <c r="BD454" s="13"/>
      <c r="BE454" s="24"/>
      <c r="BG454" s="24"/>
      <c r="BH454" s="13"/>
      <c r="BI454" s="13"/>
      <c r="BJ454" s="24"/>
      <c r="BL454" s="24"/>
      <c r="BM454" s="13"/>
      <c r="BN454" s="13"/>
    </row>
    <row r="455" spans="1:66" s="11" customFormat="1" ht="21">
      <c r="A455" s="24"/>
      <c r="B455" s="24"/>
      <c r="C455" s="24"/>
      <c r="E455" s="13"/>
      <c r="F455" s="24"/>
      <c r="G455" s="24"/>
      <c r="I455" s="24"/>
      <c r="J455" s="13"/>
      <c r="K455" s="13"/>
      <c r="L455" s="24"/>
      <c r="N455" s="24"/>
      <c r="O455" s="13"/>
      <c r="P455" s="13"/>
      <c r="Q455" s="24"/>
      <c r="S455" s="24"/>
      <c r="T455" s="13"/>
      <c r="U455" s="13"/>
      <c r="V455" s="24"/>
      <c r="X455" s="24"/>
      <c r="Y455" s="13"/>
      <c r="Z455" s="13"/>
      <c r="AA455" s="24"/>
      <c r="AC455" s="24"/>
      <c r="AD455" s="13"/>
      <c r="AE455" s="13"/>
      <c r="AF455" s="24"/>
      <c r="AH455" s="24"/>
      <c r="AI455" s="13"/>
      <c r="AJ455" s="13"/>
      <c r="AK455" s="24"/>
      <c r="AM455" s="24"/>
      <c r="AN455" s="13"/>
      <c r="AO455" s="13"/>
      <c r="AP455" s="24"/>
      <c r="AR455" s="24"/>
      <c r="AS455" s="13"/>
      <c r="AT455" s="13"/>
      <c r="AU455" s="24"/>
      <c r="AW455" s="24"/>
      <c r="AX455" s="13"/>
      <c r="AY455" s="13"/>
      <c r="AZ455" s="24"/>
      <c r="BB455" s="24"/>
      <c r="BC455" s="13"/>
      <c r="BD455" s="13"/>
      <c r="BE455" s="24"/>
      <c r="BG455" s="24"/>
      <c r="BH455" s="13"/>
      <c r="BI455" s="13"/>
      <c r="BJ455" s="24"/>
      <c r="BL455" s="24"/>
      <c r="BM455" s="13"/>
      <c r="BN455" s="13"/>
    </row>
    <row r="456" spans="1:66" s="11" customFormat="1" ht="21">
      <c r="A456" s="24"/>
      <c r="B456" s="24"/>
      <c r="C456" s="24"/>
      <c r="E456" s="13"/>
      <c r="F456" s="24"/>
      <c r="G456" s="24"/>
      <c r="I456" s="24"/>
      <c r="J456" s="13"/>
      <c r="K456" s="13"/>
      <c r="L456" s="24"/>
      <c r="N456" s="24"/>
      <c r="O456" s="13"/>
      <c r="P456" s="13"/>
      <c r="Q456" s="24"/>
      <c r="S456" s="24"/>
      <c r="T456" s="13"/>
      <c r="U456" s="13"/>
      <c r="V456" s="24"/>
      <c r="X456" s="24"/>
      <c r="Y456" s="13"/>
      <c r="Z456" s="13"/>
      <c r="AA456" s="24"/>
      <c r="AC456" s="24"/>
      <c r="AD456" s="13"/>
      <c r="AE456" s="13"/>
      <c r="AF456" s="24"/>
      <c r="AH456" s="24"/>
      <c r="AI456" s="13"/>
      <c r="AJ456" s="13"/>
      <c r="AK456" s="24"/>
      <c r="AM456" s="24"/>
      <c r="AN456" s="13"/>
      <c r="AO456" s="13"/>
      <c r="AP456" s="24"/>
      <c r="AR456" s="24"/>
      <c r="AS456" s="13"/>
      <c r="AT456" s="13"/>
      <c r="AU456" s="24"/>
      <c r="AW456" s="24"/>
      <c r="AX456" s="13"/>
      <c r="AY456" s="13"/>
      <c r="AZ456" s="24"/>
      <c r="BB456" s="24"/>
      <c r="BC456" s="13"/>
      <c r="BD456" s="13"/>
      <c r="BE456" s="24"/>
      <c r="BG456" s="24"/>
      <c r="BH456" s="13"/>
      <c r="BI456" s="13"/>
      <c r="BJ456" s="24"/>
      <c r="BL456" s="24"/>
      <c r="BM456" s="13"/>
      <c r="BN456" s="13"/>
    </row>
    <row r="457" spans="1:66" s="11" customFormat="1" ht="21">
      <c r="A457" s="24"/>
      <c r="B457" s="24"/>
      <c r="C457" s="24"/>
      <c r="E457" s="13"/>
      <c r="F457" s="24"/>
      <c r="G457" s="24"/>
      <c r="I457" s="24"/>
      <c r="J457" s="13"/>
      <c r="K457" s="13"/>
      <c r="L457" s="24"/>
      <c r="N457" s="24"/>
      <c r="O457" s="13"/>
      <c r="P457" s="13"/>
      <c r="Q457" s="24"/>
      <c r="S457" s="24"/>
      <c r="T457" s="13"/>
      <c r="U457" s="13"/>
      <c r="V457" s="24"/>
      <c r="X457" s="24"/>
      <c r="Y457" s="13"/>
      <c r="Z457" s="13"/>
      <c r="AA457" s="24"/>
      <c r="AC457" s="24"/>
      <c r="AD457" s="13"/>
      <c r="AE457" s="13"/>
      <c r="AF457" s="24"/>
      <c r="AH457" s="24"/>
      <c r="AI457" s="13"/>
      <c r="AJ457" s="13"/>
      <c r="AK457" s="24"/>
      <c r="AM457" s="24"/>
      <c r="AN457" s="13"/>
      <c r="AO457" s="13"/>
      <c r="AP457" s="24"/>
      <c r="AR457" s="24"/>
      <c r="AS457" s="13"/>
      <c r="AT457" s="13"/>
      <c r="AU457" s="24"/>
      <c r="AW457" s="24"/>
      <c r="AX457" s="13"/>
      <c r="AY457" s="13"/>
      <c r="AZ457" s="24"/>
      <c r="BB457" s="24"/>
      <c r="BC457" s="13"/>
      <c r="BD457" s="13"/>
      <c r="BE457" s="24"/>
      <c r="BG457" s="24"/>
      <c r="BH457" s="13"/>
      <c r="BI457" s="13"/>
      <c r="BJ457" s="24"/>
      <c r="BL457" s="24"/>
      <c r="BM457" s="13"/>
      <c r="BN457" s="13"/>
    </row>
    <row r="458" spans="1:66" s="11" customFormat="1" ht="21">
      <c r="A458" s="24"/>
      <c r="B458" s="24"/>
      <c r="C458" s="24"/>
      <c r="E458" s="13"/>
      <c r="F458" s="24"/>
      <c r="G458" s="24"/>
      <c r="I458" s="24"/>
      <c r="J458" s="13"/>
      <c r="K458" s="13"/>
      <c r="L458" s="24"/>
      <c r="N458" s="24"/>
      <c r="O458" s="13"/>
      <c r="P458" s="13"/>
      <c r="Q458" s="24"/>
      <c r="S458" s="24"/>
      <c r="T458" s="13"/>
      <c r="U458" s="13"/>
      <c r="V458" s="24"/>
      <c r="X458" s="24"/>
      <c r="Y458" s="13"/>
      <c r="Z458" s="13"/>
      <c r="AA458" s="24"/>
      <c r="AC458" s="24"/>
      <c r="AD458" s="13"/>
      <c r="AE458" s="13"/>
      <c r="AF458" s="24"/>
      <c r="AH458" s="24"/>
      <c r="AI458" s="13"/>
      <c r="AJ458" s="13"/>
      <c r="AK458" s="24"/>
      <c r="AM458" s="24"/>
      <c r="AN458" s="13"/>
      <c r="AO458" s="13"/>
      <c r="AP458" s="24"/>
      <c r="AR458" s="24"/>
      <c r="AS458" s="13"/>
      <c r="AT458" s="13"/>
      <c r="AU458" s="24"/>
      <c r="AW458" s="24"/>
      <c r="AX458" s="13"/>
      <c r="AY458" s="13"/>
      <c r="AZ458" s="24"/>
      <c r="BB458" s="24"/>
      <c r="BC458" s="13"/>
      <c r="BD458" s="13"/>
      <c r="BE458" s="24"/>
      <c r="BG458" s="24"/>
      <c r="BH458" s="13"/>
      <c r="BI458" s="13"/>
      <c r="BJ458" s="24"/>
      <c r="BL458" s="24"/>
      <c r="BM458" s="13"/>
      <c r="BN458" s="13"/>
    </row>
    <row r="459" spans="1:66" s="11" customFormat="1" ht="21">
      <c r="A459" s="24"/>
      <c r="B459" s="24"/>
      <c r="C459" s="24"/>
      <c r="E459" s="13"/>
      <c r="F459" s="24"/>
      <c r="G459" s="24"/>
      <c r="I459" s="24"/>
      <c r="J459" s="13"/>
      <c r="K459" s="13"/>
      <c r="L459" s="24"/>
      <c r="N459" s="24"/>
      <c r="O459" s="13"/>
      <c r="P459" s="13"/>
      <c r="Q459" s="24"/>
      <c r="S459" s="24"/>
      <c r="T459" s="13"/>
      <c r="U459" s="13"/>
      <c r="V459" s="24"/>
      <c r="X459" s="24"/>
      <c r="Y459" s="13"/>
      <c r="Z459" s="13"/>
      <c r="AA459" s="24"/>
      <c r="AC459" s="24"/>
      <c r="AD459" s="13"/>
      <c r="AE459" s="13"/>
      <c r="AF459" s="24"/>
      <c r="AH459" s="24"/>
      <c r="AI459" s="13"/>
      <c r="AJ459" s="13"/>
      <c r="AK459" s="24"/>
      <c r="AM459" s="24"/>
      <c r="AN459" s="13"/>
      <c r="AO459" s="13"/>
      <c r="AP459" s="24"/>
      <c r="AR459" s="24"/>
      <c r="AS459" s="13"/>
      <c r="AT459" s="13"/>
      <c r="AU459" s="24"/>
      <c r="AW459" s="24"/>
      <c r="AX459" s="13"/>
      <c r="AY459" s="13"/>
      <c r="AZ459" s="24"/>
      <c r="BB459" s="24"/>
      <c r="BC459" s="13"/>
      <c r="BD459" s="13"/>
      <c r="BE459" s="24"/>
      <c r="BG459" s="24"/>
      <c r="BH459" s="13"/>
      <c r="BI459" s="13"/>
      <c r="BJ459" s="24"/>
      <c r="BL459" s="24"/>
      <c r="BM459" s="13"/>
      <c r="BN459" s="13"/>
    </row>
    <row r="460" spans="1:66" s="11" customFormat="1" ht="21">
      <c r="A460" s="24"/>
      <c r="B460" s="24"/>
      <c r="C460" s="24"/>
      <c r="E460" s="13"/>
      <c r="F460" s="24"/>
      <c r="G460" s="24"/>
      <c r="I460" s="24"/>
      <c r="J460" s="13"/>
      <c r="K460" s="13"/>
      <c r="L460" s="24"/>
      <c r="N460" s="24"/>
      <c r="O460" s="13"/>
      <c r="P460" s="13"/>
      <c r="Q460" s="24"/>
      <c r="S460" s="24"/>
      <c r="T460" s="13"/>
      <c r="U460" s="13"/>
      <c r="V460" s="24"/>
      <c r="X460" s="24"/>
      <c r="Y460" s="13"/>
      <c r="Z460" s="13"/>
      <c r="AA460" s="24"/>
      <c r="AC460" s="24"/>
      <c r="AD460" s="13"/>
      <c r="AE460" s="13"/>
      <c r="AF460" s="24"/>
      <c r="AH460" s="24"/>
      <c r="AI460" s="13"/>
      <c r="AJ460" s="13"/>
      <c r="AK460" s="24"/>
      <c r="AM460" s="24"/>
      <c r="AN460" s="13"/>
      <c r="AO460" s="13"/>
      <c r="AP460" s="24"/>
      <c r="AR460" s="24"/>
      <c r="AS460" s="13"/>
      <c r="AT460" s="13"/>
      <c r="AU460" s="24"/>
      <c r="AW460" s="24"/>
      <c r="AX460" s="13"/>
      <c r="AY460" s="13"/>
      <c r="AZ460" s="24"/>
      <c r="BB460" s="24"/>
      <c r="BC460" s="13"/>
      <c r="BD460" s="13"/>
      <c r="BE460" s="24"/>
      <c r="BG460" s="24"/>
      <c r="BH460" s="13"/>
      <c r="BI460" s="13"/>
      <c r="BJ460" s="24"/>
      <c r="BL460" s="24"/>
      <c r="BM460" s="13"/>
      <c r="BN460" s="13"/>
    </row>
    <row r="461" spans="1:66" s="11" customFormat="1" ht="21">
      <c r="A461" s="24"/>
      <c r="B461" s="24"/>
      <c r="C461" s="24"/>
      <c r="E461" s="13"/>
      <c r="F461" s="24"/>
      <c r="G461" s="24"/>
      <c r="I461" s="24"/>
      <c r="J461" s="13"/>
      <c r="K461" s="13"/>
      <c r="L461" s="24"/>
      <c r="N461" s="24"/>
      <c r="O461" s="13"/>
      <c r="P461" s="13"/>
      <c r="Q461" s="24"/>
      <c r="S461" s="24"/>
      <c r="T461" s="13"/>
      <c r="U461" s="13"/>
      <c r="V461" s="24"/>
      <c r="X461" s="24"/>
      <c r="Y461" s="13"/>
      <c r="Z461" s="13"/>
      <c r="AA461" s="24"/>
      <c r="AC461" s="24"/>
      <c r="AD461" s="13"/>
      <c r="AE461" s="13"/>
      <c r="AF461" s="24"/>
      <c r="AH461" s="24"/>
      <c r="AI461" s="13"/>
      <c r="AJ461" s="13"/>
      <c r="AK461" s="24"/>
      <c r="AM461" s="24"/>
      <c r="AN461" s="13"/>
      <c r="AO461" s="13"/>
      <c r="AP461" s="24"/>
      <c r="AR461" s="24"/>
      <c r="AS461" s="13"/>
      <c r="AT461" s="13"/>
      <c r="AU461" s="24"/>
      <c r="AW461" s="24"/>
      <c r="AX461" s="13"/>
      <c r="AY461" s="13"/>
      <c r="AZ461" s="24"/>
      <c r="BB461" s="24"/>
      <c r="BC461" s="13"/>
      <c r="BD461" s="13"/>
      <c r="BE461" s="24"/>
      <c r="BG461" s="24"/>
      <c r="BH461" s="13"/>
      <c r="BI461" s="13"/>
      <c r="BJ461" s="24"/>
      <c r="BL461" s="24"/>
      <c r="BM461" s="13"/>
      <c r="BN461" s="13"/>
    </row>
    <row r="462" spans="1:66" s="11" customFormat="1" ht="21">
      <c r="A462" s="24"/>
      <c r="B462" s="24"/>
      <c r="C462" s="24"/>
      <c r="E462" s="13"/>
      <c r="F462" s="24"/>
      <c r="G462" s="24"/>
      <c r="I462" s="24"/>
      <c r="J462" s="13"/>
      <c r="K462" s="13"/>
      <c r="L462" s="24"/>
      <c r="N462" s="24"/>
      <c r="O462" s="13"/>
      <c r="P462" s="13"/>
      <c r="Q462" s="24"/>
      <c r="S462" s="24"/>
      <c r="T462" s="13"/>
      <c r="U462" s="13"/>
      <c r="V462" s="24"/>
      <c r="X462" s="24"/>
      <c r="Y462" s="13"/>
      <c r="Z462" s="13"/>
      <c r="AA462" s="24"/>
      <c r="AC462" s="24"/>
      <c r="AD462" s="13"/>
      <c r="AE462" s="13"/>
      <c r="AF462" s="24"/>
      <c r="AH462" s="24"/>
      <c r="AI462" s="13"/>
      <c r="AJ462" s="13"/>
      <c r="AK462" s="24"/>
      <c r="AM462" s="24"/>
      <c r="AN462" s="13"/>
      <c r="AO462" s="13"/>
      <c r="AP462" s="24"/>
      <c r="AR462" s="24"/>
      <c r="AS462" s="13"/>
      <c r="AT462" s="13"/>
      <c r="AU462" s="24"/>
      <c r="AW462" s="24"/>
      <c r="AX462" s="13"/>
      <c r="AY462" s="13"/>
      <c r="AZ462" s="24"/>
      <c r="BB462" s="24"/>
      <c r="BC462" s="13"/>
      <c r="BD462" s="13"/>
      <c r="BE462" s="24"/>
      <c r="BG462" s="24"/>
      <c r="BH462" s="13"/>
      <c r="BI462" s="13"/>
      <c r="BJ462" s="24"/>
      <c r="BL462" s="24"/>
      <c r="BM462" s="13"/>
      <c r="BN462" s="13"/>
    </row>
    <row r="463" spans="1:66" s="11" customFormat="1" ht="21">
      <c r="A463" s="24"/>
      <c r="B463" s="24"/>
      <c r="C463" s="24"/>
      <c r="E463" s="13"/>
      <c r="F463" s="24"/>
      <c r="G463" s="24"/>
      <c r="I463" s="24"/>
      <c r="J463" s="13"/>
      <c r="K463" s="13"/>
      <c r="L463" s="24"/>
      <c r="N463" s="24"/>
      <c r="O463" s="13"/>
      <c r="P463" s="13"/>
      <c r="Q463" s="24"/>
      <c r="S463" s="24"/>
      <c r="T463" s="13"/>
      <c r="U463" s="13"/>
      <c r="V463" s="24"/>
      <c r="X463" s="24"/>
      <c r="Y463" s="13"/>
      <c r="Z463" s="13"/>
      <c r="AA463" s="24"/>
      <c r="AC463" s="24"/>
      <c r="AD463" s="13"/>
      <c r="AE463" s="13"/>
      <c r="AF463" s="24"/>
      <c r="AH463" s="24"/>
      <c r="AI463" s="13"/>
      <c r="AJ463" s="13"/>
      <c r="AK463" s="24"/>
      <c r="AM463" s="24"/>
      <c r="AN463" s="13"/>
      <c r="AO463" s="13"/>
      <c r="AP463" s="24"/>
      <c r="AR463" s="24"/>
      <c r="AS463" s="13"/>
      <c r="AT463" s="13"/>
      <c r="AU463" s="24"/>
      <c r="AW463" s="24"/>
      <c r="AX463" s="13"/>
      <c r="AY463" s="13"/>
      <c r="AZ463" s="24"/>
      <c r="BB463" s="24"/>
      <c r="BC463" s="13"/>
      <c r="BD463" s="13"/>
      <c r="BE463" s="24"/>
      <c r="BG463" s="24"/>
      <c r="BH463" s="13"/>
      <c r="BI463" s="13"/>
      <c r="BJ463" s="24"/>
      <c r="BL463" s="24"/>
      <c r="BM463" s="13"/>
      <c r="BN463" s="13"/>
    </row>
    <row r="464" spans="1:66" s="11" customFormat="1" ht="21">
      <c r="A464" s="24"/>
      <c r="B464" s="24"/>
      <c r="C464" s="24"/>
      <c r="E464" s="13"/>
      <c r="F464" s="24"/>
      <c r="G464" s="24"/>
      <c r="I464" s="24"/>
      <c r="J464" s="13"/>
      <c r="K464" s="13"/>
      <c r="L464" s="24"/>
      <c r="N464" s="24"/>
      <c r="O464" s="13"/>
      <c r="P464" s="13"/>
      <c r="Q464" s="24"/>
      <c r="S464" s="24"/>
      <c r="T464" s="13"/>
      <c r="U464" s="13"/>
      <c r="V464" s="24"/>
      <c r="X464" s="24"/>
      <c r="Y464" s="13"/>
      <c r="Z464" s="13"/>
      <c r="AA464" s="24"/>
      <c r="AC464" s="24"/>
      <c r="AD464" s="13"/>
      <c r="AE464" s="13"/>
      <c r="AF464" s="24"/>
      <c r="AH464" s="24"/>
      <c r="AI464" s="13"/>
      <c r="AJ464" s="13"/>
      <c r="AK464" s="24"/>
      <c r="AM464" s="24"/>
      <c r="AN464" s="13"/>
      <c r="AO464" s="13"/>
      <c r="AP464" s="24"/>
      <c r="AR464" s="24"/>
      <c r="AS464" s="13"/>
      <c r="AT464" s="13"/>
      <c r="AU464" s="24"/>
      <c r="AW464" s="24"/>
      <c r="AX464" s="13"/>
      <c r="AY464" s="13"/>
      <c r="AZ464" s="24"/>
      <c r="BB464" s="24"/>
      <c r="BC464" s="13"/>
      <c r="BD464" s="13"/>
      <c r="BE464" s="24"/>
      <c r="BG464" s="24"/>
      <c r="BH464" s="13"/>
      <c r="BI464" s="13"/>
      <c r="BJ464" s="24"/>
      <c r="BL464" s="24"/>
      <c r="BM464" s="13"/>
      <c r="BN464" s="13"/>
    </row>
    <row r="465" spans="1:66" s="11" customFormat="1" ht="21">
      <c r="A465" s="24"/>
      <c r="B465" s="24"/>
      <c r="C465" s="24"/>
      <c r="E465" s="13"/>
      <c r="F465" s="24"/>
      <c r="G465" s="24"/>
      <c r="I465" s="24"/>
      <c r="J465" s="13"/>
      <c r="K465" s="13"/>
      <c r="L465" s="24"/>
      <c r="N465" s="24"/>
      <c r="O465" s="13"/>
      <c r="P465" s="13"/>
      <c r="Q465" s="24"/>
      <c r="S465" s="24"/>
      <c r="T465" s="13"/>
      <c r="U465" s="13"/>
      <c r="V465" s="24"/>
      <c r="X465" s="24"/>
      <c r="Y465" s="13"/>
      <c r="Z465" s="13"/>
      <c r="AA465" s="24"/>
      <c r="AC465" s="24"/>
      <c r="AD465" s="13"/>
      <c r="AE465" s="13"/>
      <c r="AF465" s="24"/>
      <c r="AH465" s="24"/>
      <c r="AI465" s="13"/>
      <c r="AJ465" s="13"/>
      <c r="AK465" s="24"/>
      <c r="AM465" s="24"/>
      <c r="AN465" s="13"/>
      <c r="AO465" s="13"/>
      <c r="AP465" s="24"/>
      <c r="AR465" s="24"/>
      <c r="AS465" s="13"/>
      <c r="AT465" s="13"/>
      <c r="AU465" s="24"/>
      <c r="AW465" s="24"/>
      <c r="AX465" s="13"/>
      <c r="AY465" s="13"/>
      <c r="AZ465" s="24"/>
      <c r="BB465" s="24"/>
      <c r="BC465" s="13"/>
      <c r="BD465" s="13"/>
      <c r="BE465" s="24"/>
      <c r="BG465" s="24"/>
      <c r="BH465" s="13"/>
      <c r="BI465" s="13"/>
      <c r="BJ465" s="24"/>
      <c r="BL465" s="24"/>
      <c r="BM465" s="13"/>
      <c r="BN465" s="13"/>
    </row>
    <row r="466" spans="1:66" s="11" customFormat="1" ht="21">
      <c r="A466" s="24"/>
      <c r="B466" s="24"/>
      <c r="C466" s="24"/>
      <c r="E466" s="13"/>
      <c r="F466" s="24"/>
      <c r="G466" s="24"/>
      <c r="I466" s="24"/>
      <c r="J466" s="13"/>
      <c r="K466" s="13"/>
      <c r="L466" s="24"/>
      <c r="N466" s="24"/>
      <c r="O466" s="13"/>
      <c r="P466" s="13"/>
      <c r="Q466" s="24"/>
      <c r="S466" s="24"/>
      <c r="T466" s="13"/>
      <c r="U466" s="13"/>
      <c r="V466" s="24"/>
      <c r="X466" s="24"/>
      <c r="Y466" s="13"/>
      <c r="Z466" s="13"/>
      <c r="AA466" s="24"/>
      <c r="AC466" s="24"/>
      <c r="AD466" s="13"/>
      <c r="AE466" s="13"/>
      <c r="AF466" s="24"/>
      <c r="AH466" s="24"/>
      <c r="AI466" s="13"/>
      <c r="AJ466" s="13"/>
      <c r="AK466" s="24"/>
      <c r="AM466" s="24"/>
      <c r="AN466" s="13"/>
      <c r="AO466" s="13"/>
      <c r="AP466" s="24"/>
      <c r="AR466" s="24"/>
      <c r="AS466" s="13"/>
      <c r="AT466" s="13"/>
      <c r="AU466" s="24"/>
      <c r="AW466" s="24"/>
      <c r="AX466" s="13"/>
      <c r="AY466" s="13"/>
      <c r="AZ466" s="24"/>
      <c r="BB466" s="24"/>
      <c r="BC466" s="13"/>
      <c r="BD466" s="13"/>
      <c r="BE466" s="24"/>
      <c r="BG466" s="24"/>
      <c r="BH466" s="13"/>
      <c r="BI466" s="13"/>
      <c r="BJ466" s="24"/>
      <c r="BL466" s="24"/>
      <c r="BM466" s="13"/>
      <c r="BN466" s="13"/>
    </row>
    <row r="467" spans="1:66" s="11" customFormat="1" ht="21">
      <c r="A467" s="24"/>
      <c r="B467" s="24"/>
      <c r="C467" s="24"/>
      <c r="E467" s="13"/>
      <c r="F467" s="24"/>
      <c r="G467" s="24"/>
      <c r="I467" s="24"/>
      <c r="J467" s="13"/>
      <c r="K467" s="13"/>
      <c r="L467" s="24"/>
      <c r="N467" s="24"/>
      <c r="O467" s="13"/>
      <c r="P467" s="13"/>
      <c r="Q467" s="24"/>
      <c r="S467" s="24"/>
      <c r="T467" s="13"/>
      <c r="U467" s="13"/>
      <c r="V467" s="24"/>
      <c r="X467" s="24"/>
      <c r="Y467" s="13"/>
      <c r="Z467" s="13"/>
      <c r="AA467" s="24"/>
      <c r="AC467" s="24"/>
      <c r="AD467" s="13"/>
      <c r="AE467" s="13"/>
      <c r="AF467" s="24"/>
      <c r="AH467" s="24"/>
      <c r="AI467" s="13"/>
      <c r="AJ467" s="13"/>
      <c r="AK467" s="24"/>
      <c r="AM467" s="24"/>
      <c r="AN467" s="13"/>
      <c r="AO467" s="13"/>
      <c r="AP467" s="24"/>
      <c r="AR467" s="24"/>
      <c r="AS467" s="13"/>
      <c r="AT467" s="13"/>
      <c r="AU467" s="24"/>
      <c r="AW467" s="24"/>
      <c r="AX467" s="13"/>
      <c r="AY467" s="13"/>
      <c r="AZ467" s="24"/>
      <c r="BB467" s="24"/>
      <c r="BC467" s="13"/>
      <c r="BD467" s="13"/>
      <c r="BE467" s="24"/>
      <c r="BG467" s="24"/>
      <c r="BH467" s="13"/>
      <c r="BI467" s="13"/>
      <c r="BJ467" s="24"/>
      <c r="BL467" s="24"/>
      <c r="BM467" s="13"/>
      <c r="BN467" s="13"/>
    </row>
    <row r="468" spans="1:66" s="11" customFormat="1" ht="21">
      <c r="A468" s="24"/>
      <c r="B468" s="24"/>
      <c r="C468" s="24"/>
      <c r="E468" s="13"/>
      <c r="F468" s="24"/>
      <c r="G468" s="24"/>
      <c r="I468" s="24"/>
      <c r="J468" s="13"/>
      <c r="K468" s="13"/>
      <c r="L468" s="24"/>
      <c r="N468" s="24"/>
      <c r="O468" s="13"/>
      <c r="P468" s="13"/>
      <c r="Q468" s="24"/>
      <c r="S468" s="24"/>
      <c r="T468" s="13"/>
      <c r="U468" s="13"/>
      <c r="V468" s="24"/>
      <c r="X468" s="24"/>
      <c r="Y468" s="13"/>
      <c r="Z468" s="13"/>
      <c r="AA468" s="24"/>
      <c r="AC468" s="24"/>
      <c r="AD468" s="13"/>
      <c r="AE468" s="13"/>
      <c r="AF468" s="24"/>
      <c r="AH468" s="24"/>
      <c r="AI468" s="13"/>
      <c r="AJ468" s="13"/>
      <c r="AK468" s="24"/>
      <c r="AM468" s="24"/>
      <c r="AN468" s="13"/>
      <c r="AO468" s="13"/>
      <c r="AP468" s="24"/>
      <c r="AR468" s="24"/>
      <c r="AS468" s="13"/>
      <c r="AT468" s="13"/>
      <c r="AU468" s="24"/>
      <c r="AW468" s="24"/>
      <c r="AX468" s="13"/>
      <c r="AY468" s="13"/>
      <c r="AZ468" s="24"/>
      <c r="BB468" s="24"/>
      <c r="BC468" s="13"/>
      <c r="BD468" s="13"/>
      <c r="BE468" s="24"/>
      <c r="BG468" s="24"/>
      <c r="BH468" s="13"/>
      <c r="BI468" s="13"/>
      <c r="BJ468" s="24"/>
      <c r="BL468" s="24"/>
      <c r="BM468" s="13"/>
      <c r="BN468" s="13"/>
    </row>
    <row r="469" spans="1:66" s="11" customFormat="1" ht="21">
      <c r="A469" s="24"/>
      <c r="B469" s="24"/>
      <c r="C469" s="24"/>
      <c r="E469" s="13"/>
      <c r="F469" s="24"/>
      <c r="G469" s="24"/>
      <c r="I469" s="24"/>
      <c r="J469" s="13"/>
      <c r="K469" s="13"/>
      <c r="L469" s="24"/>
      <c r="N469" s="24"/>
      <c r="O469" s="13"/>
      <c r="P469" s="13"/>
      <c r="Q469" s="24"/>
      <c r="S469" s="24"/>
      <c r="T469" s="13"/>
      <c r="U469" s="13"/>
      <c r="V469" s="24"/>
      <c r="X469" s="24"/>
      <c r="Y469" s="13"/>
      <c r="Z469" s="13"/>
      <c r="AA469" s="24"/>
      <c r="AC469" s="24"/>
      <c r="AD469" s="13"/>
      <c r="AE469" s="13"/>
      <c r="AF469" s="24"/>
      <c r="AH469" s="24"/>
      <c r="AI469" s="13"/>
      <c r="AJ469" s="13"/>
      <c r="AK469" s="24"/>
      <c r="AM469" s="24"/>
      <c r="AN469" s="13"/>
      <c r="AO469" s="13"/>
      <c r="AP469" s="24"/>
      <c r="AR469" s="24"/>
      <c r="AS469" s="13"/>
      <c r="AT469" s="13"/>
      <c r="AU469" s="24"/>
      <c r="AW469" s="24"/>
      <c r="AX469" s="13"/>
      <c r="AY469" s="13"/>
      <c r="AZ469" s="24"/>
      <c r="BB469" s="24"/>
      <c r="BC469" s="13"/>
      <c r="BD469" s="13"/>
      <c r="BE469" s="24"/>
      <c r="BG469" s="24"/>
      <c r="BH469" s="13"/>
      <c r="BI469" s="13"/>
      <c r="BJ469" s="24"/>
      <c r="BL469" s="24"/>
      <c r="BM469" s="13"/>
      <c r="BN469" s="13"/>
    </row>
    <row r="470" spans="1:66" s="11" customFormat="1" ht="21">
      <c r="A470" s="24"/>
      <c r="B470" s="24"/>
      <c r="C470" s="24"/>
      <c r="E470" s="13"/>
      <c r="F470" s="24"/>
      <c r="G470" s="24"/>
      <c r="I470" s="24"/>
      <c r="J470" s="13"/>
      <c r="K470" s="13"/>
      <c r="L470" s="24"/>
      <c r="N470" s="24"/>
      <c r="O470" s="13"/>
      <c r="P470" s="13"/>
      <c r="Q470" s="24"/>
      <c r="S470" s="24"/>
      <c r="T470" s="13"/>
      <c r="U470" s="13"/>
      <c r="V470" s="24"/>
      <c r="X470" s="24"/>
      <c r="Y470" s="13"/>
      <c r="Z470" s="13"/>
      <c r="AA470" s="24"/>
      <c r="AC470" s="24"/>
      <c r="AD470" s="13"/>
      <c r="AE470" s="13"/>
      <c r="AF470" s="24"/>
      <c r="AH470" s="24"/>
      <c r="AI470" s="13"/>
      <c r="AJ470" s="13"/>
      <c r="AK470" s="24"/>
      <c r="AM470" s="24"/>
      <c r="AN470" s="13"/>
      <c r="AO470" s="13"/>
      <c r="AP470" s="24"/>
      <c r="AR470" s="24"/>
      <c r="AS470" s="13"/>
      <c r="AT470" s="13"/>
      <c r="AU470" s="24"/>
      <c r="AW470" s="24"/>
      <c r="AX470" s="13"/>
      <c r="AY470" s="13"/>
      <c r="AZ470" s="24"/>
      <c r="BB470" s="24"/>
      <c r="BC470" s="13"/>
      <c r="BD470" s="13"/>
      <c r="BE470" s="24"/>
      <c r="BG470" s="24"/>
      <c r="BH470" s="13"/>
      <c r="BI470" s="13"/>
      <c r="BJ470" s="24"/>
      <c r="BL470" s="24"/>
      <c r="BM470" s="13"/>
      <c r="BN470" s="13"/>
    </row>
    <row r="471" spans="1:66" s="11" customFormat="1" ht="21">
      <c r="A471" s="24"/>
      <c r="B471" s="24"/>
      <c r="C471" s="24"/>
      <c r="E471" s="13"/>
      <c r="F471" s="24"/>
      <c r="G471" s="24"/>
      <c r="I471" s="24"/>
      <c r="J471" s="13"/>
      <c r="K471" s="13"/>
      <c r="L471" s="24"/>
      <c r="N471" s="24"/>
      <c r="O471" s="13"/>
      <c r="P471" s="13"/>
      <c r="Q471" s="24"/>
      <c r="S471" s="24"/>
      <c r="T471" s="13"/>
      <c r="U471" s="13"/>
      <c r="V471" s="24"/>
      <c r="X471" s="24"/>
      <c r="Y471" s="13"/>
      <c r="Z471" s="13"/>
      <c r="AA471" s="24"/>
      <c r="AC471" s="24"/>
      <c r="AD471" s="13"/>
      <c r="AE471" s="13"/>
      <c r="AF471" s="24"/>
      <c r="AH471" s="24"/>
      <c r="AI471" s="13"/>
      <c r="AJ471" s="13"/>
      <c r="AK471" s="24"/>
      <c r="AM471" s="24"/>
      <c r="AN471" s="13"/>
      <c r="AO471" s="13"/>
      <c r="AP471" s="24"/>
      <c r="AR471" s="24"/>
      <c r="AS471" s="13"/>
      <c r="AT471" s="13"/>
      <c r="AU471" s="24"/>
      <c r="AW471" s="24"/>
      <c r="AX471" s="13"/>
      <c r="AY471" s="13"/>
      <c r="AZ471" s="24"/>
      <c r="BB471" s="24"/>
      <c r="BC471" s="13"/>
      <c r="BD471" s="13"/>
      <c r="BE471" s="24"/>
      <c r="BG471" s="24"/>
      <c r="BH471" s="13"/>
      <c r="BI471" s="13"/>
      <c r="BJ471" s="24"/>
      <c r="BL471" s="24"/>
      <c r="BM471" s="13"/>
      <c r="BN471" s="13"/>
    </row>
    <row r="472" spans="1:66" s="11" customFormat="1" ht="21">
      <c r="A472" s="24"/>
      <c r="B472" s="24"/>
      <c r="C472" s="24"/>
      <c r="E472" s="13"/>
      <c r="F472" s="24"/>
      <c r="G472" s="24"/>
      <c r="I472" s="24"/>
      <c r="J472" s="13"/>
      <c r="K472" s="13"/>
      <c r="L472" s="24"/>
      <c r="N472" s="24"/>
      <c r="O472" s="13"/>
      <c r="P472" s="13"/>
      <c r="Q472" s="24"/>
      <c r="S472" s="24"/>
      <c r="T472" s="13"/>
      <c r="U472" s="13"/>
      <c r="V472" s="24"/>
      <c r="X472" s="24"/>
      <c r="Y472" s="13"/>
      <c r="Z472" s="13"/>
      <c r="AA472" s="24"/>
      <c r="AC472" s="24"/>
      <c r="AD472" s="13"/>
      <c r="AE472" s="13"/>
      <c r="AF472" s="24"/>
      <c r="AH472" s="24"/>
      <c r="AI472" s="13"/>
      <c r="AJ472" s="13"/>
      <c r="AK472" s="24"/>
      <c r="AM472" s="24"/>
      <c r="AN472" s="13"/>
      <c r="AO472" s="13"/>
      <c r="AP472" s="24"/>
      <c r="AR472" s="24"/>
      <c r="AS472" s="13"/>
      <c r="AT472" s="13"/>
      <c r="AU472" s="24"/>
      <c r="AW472" s="24"/>
      <c r="AX472" s="13"/>
      <c r="AY472" s="13"/>
      <c r="AZ472" s="24"/>
      <c r="BB472" s="24"/>
      <c r="BC472" s="13"/>
      <c r="BD472" s="13"/>
      <c r="BE472" s="24"/>
      <c r="BG472" s="24"/>
      <c r="BH472" s="13"/>
      <c r="BI472" s="13"/>
      <c r="BJ472" s="24"/>
      <c r="BL472" s="24"/>
      <c r="BM472" s="13"/>
      <c r="BN472" s="13"/>
    </row>
    <row r="473" spans="1:66" s="11" customFormat="1" ht="21">
      <c r="A473" s="24"/>
      <c r="B473" s="24"/>
      <c r="C473" s="24"/>
      <c r="E473" s="13"/>
      <c r="F473" s="24"/>
      <c r="G473" s="24"/>
      <c r="I473" s="24"/>
      <c r="J473" s="13"/>
      <c r="K473" s="13"/>
      <c r="L473" s="24"/>
      <c r="N473" s="24"/>
      <c r="O473" s="13"/>
      <c r="P473" s="13"/>
      <c r="Q473" s="24"/>
      <c r="S473" s="24"/>
      <c r="T473" s="13"/>
      <c r="U473" s="13"/>
      <c r="V473" s="24"/>
      <c r="X473" s="24"/>
      <c r="Y473" s="13"/>
      <c r="Z473" s="13"/>
      <c r="AA473" s="24"/>
      <c r="AC473" s="24"/>
      <c r="AD473" s="13"/>
      <c r="AE473" s="13"/>
      <c r="AF473" s="24"/>
      <c r="AH473" s="24"/>
      <c r="AI473" s="13"/>
      <c r="AJ473" s="13"/>
      <c r="AK473" s="24"/>
      <c r="AM473" s="24"/>
      <c r="AN473" s="13"/>
      <c r="AO473" s="13"/>
      <c r="AP473" s="24"/>
      <c r="AR473" s="24"/>
      <c r="AS473" s="13"/>
      <c r="AT473" s="13"/>
      <c r="AU473" s="24"/>
      <c r="AW473" s="24"/>
      <c r="AX473" s="13"/>
      <c r="AY473" s="13"/>
      <c r="AZ473" s="24"/>
      <c r="BB473" s="24"/>
      <c r="BC473" s="13"/>
      <c r="BD473" s="13"/>
      <c r="BE473" s="24"/>
      <c r="BG473" s="24"/>
      <c r="BH473" s="13"/>
      <c r="BI473" s="13"/>
      <c r="BJ473" s="24"/>
      <c r="BL473" s="24"/>
      <c r="BM473" s="13"/>
      <c r="BN473" s="13"/>
    </row>
    <row r="474" spans="1:66" s="11" customFormat="1" ht="21">
      <c r="A474" s="24"/>
      <c r="B474" s="24"/>
      <c r="C474" s="24"/>
      <c r="E474" s="13"/>
      <c r="F474" s="24"/>
      <c r="G474" s="24"/>
      <c r="I474" s="24"/>
      <c r="J474" s="13"/>
      <c r="K474" s="13"/>
      <c r="L474" s="24"/>
      <c r="N474" s="24"/>
      <c r="O474" s="13"/>
      <c r="P474" s="13"/>
      <c r="Q474" s="24"/>
      <c r="S474" s="24"/>
      <c r="T474" s="13"/>
      <c r="U474" s="13"/>
      <c r="V474" s="24"/>
      <c r="X474" s="24"/>
      <c r="Y474" s="13"/>
      <c r="Z474" s="13"/>
      <c r="AA474" s="24"/>
      <c r="AC474" s="24"/>
      <c r="AD474" s="13"/>
      <c r="AE474" s="13"/>
      <c r="AF474" s="24"/>
      <c r="AH474" s="24"/>
      <c r="AI474" s="13"/>
      <c r="AJ474" s="13"/>
      <c r="AK474" s="24"/>
      <c r="AM474" s="24"/>
      <c r="AN474" s="13"/>
      <c r="AO474" s="13"/>
      <c r="AP474" s="24"/>
      <c r="AR474" s="24"/>
      <c r="AS474" s="13"/>
      <c r="AT474" s="13"/>
      <c r="AU474" s="24"/>
      <c r="AW474" s="24"/>
      <c r="AX474" s="13"/>
      <c r="AY474" s="13"/>
      <c r="AZ474" s="24"/>
      <c r="BB474" s="24"/>
      <c r="BC474" s="13"/>
      <c r="BD474" s="13"/>
      <c r="BE474" s="24"/>
      <c r="BG474" s="24"/>
      <c r="BH474" s="13"/>
      <c r="BI474" s="13"/>
      <c r="BJ474" s="24"/>
      <c r="BL474" s="24"/>
      <c r="BM474" s="13"/>
      <c r="BN474" s="13"/>
    </row>
    <row r="475" spans="1:66" s="11" customFormat="1" ht="21">
      <c r="A475" s="24"/>
      <c r="B475" s="24"/>
      <c r="C475" s="24"/>
      <c r="E475" s="13"/>
      <c r="F475" s="24"/>
      <c r="G475" s="24"/>
      <c r="I475" s="24"/>
      <c r="J475" s="13"/>
      <c r="K475" s="13"/>
      <c r="L475" s="24"/>
      <c r="N475" s="24"/>
      <c r="O475" s="13"/>
      <c r="P475" s="13"/>
      <c r="Q475" s="24"/>
      <c r="S475" s="24"/>
      <c r="T475" s="13"/>
      <c r="U475" s="13"/>
      <c r="V475" s="24"/>
      <c r="X475" s="24"/>
      <c r="Y475" s="13"/>
      <c r="Z475" s="13"/>
      <c r="AA475" s="24"/>
      <c r="AC475" s="24"/>
      <c r="AD475" s="13"/>
      <c r="AE475" s="13"/>
      <c r="AF475" s="24"/>
      <c r="AH475" s="24"/>
      <c r="AI475" s="13"/>
      <c r="AJ475" s="13"/>
      <c r="AK475" s="24"/>
      <c r="AM475" s="24"/>
      <c r="AN475" s="13"/>
      <c r="AO475" s="13"/>
      <c r="AP475" s="24"/>
      <c r="AR475" s="24"/>
      <c r="AS475" s="13"/>
      <c r="AT475" s="13"/>
      <c r="AU475" s="24"/>
      <c r="AW475" s="24"/>
      <c r="AX475" s="13"/>
      <c r="AY475" s="13"/>
      <c r="AZ475" s="24"/>
      <c r="BB475" s="24"/>
      <c r="BC475" s="13"/>
      <c r="BD475" s="13"/>
      <c r="BE475" s="24"/>
      <c r="BG475" s="24"/>
      <c r="BH475" s="13"/>
      <c r="BI475" s="13"/>
      <c r="BJ475" s="24"/>
      <c r="BL475" s="24"/>
      <c r="BM475" s="13"/>
      <c r="BN475" s="13"/>
    </row>
    <row r="476" spans="1:66" s="11" customFormat="1" ht="21">
      <c r="A476" s="24"/>
      <c r="B476" s="24"/>
      <c r="C476" s="24"/>
      <c r="E476" s="13"/>
      <c r="F476" s="24"/>
      <c r="G476" s="24"/>
      <c r="I476" s="24"/>
      <c r="J476" s="13"/>
      <c r="K476" s="13"/>
      <c r="L476" s="24"/>
      <c r="N476" s="24"/>
      <c r="O476" s="13"/>
      <c r="P476" s="13"/>
      <c r="Q476" s="24"/>
      <c r="S476" s="24"/>
      <c r="T476" s="13"/>
      <c r="U476" s="13"/>
      <c r="V476" s="24"/>
      <c r="X476" s="24"/>
      <c r="Y476" s="13"/>
      <c r="Z476" s="13"/>
      <c r="AA476" s="24"/>
      <c r="AC476" s="24"/>
      <c r="AD476" s="13"/>
      <c r="AE476" s="13"/>
      <c r="AF476" s="24"/>
      <c r="AH476" s="24"/>
      <c r="AI476" s="13"/>
      <c r="AJ476" s="13"/>
      <c r="AK476" s="24"/>
      <c r="AM476" s="24"/>
      <c r="AN476" s="13"/>
      <c r="AO476" s="13"/>
      <c r="AP476" s="24"/>
      <c r="AR476" s="24"/>
      <c r="AS476" s="13"/>
      <c r="AT476" s="13"/>
      <c r="AU476" s="24"/>
      <c r="AW476" s="24"/>
      <c r="AX476" s="13"/>
      <c r="AY476" s="13"/>
      <c r="AZ476" s="24"/>
      <c r="BB476" s="24"/>
      <c r="BC476" s="13"/>
      <c r="BD476" s="13"/>
      <c r="BE476" s="24"/>
      <c r="BG476" s="24"/>
      <c r="BH476" s="13"/>
      <c r="BI476" s="13"/>
      <c r="BJ476" s="24"/>
      <c r="BL476" s="24"/>
      <c r="BM476" s="13"/>
      <c r="BN476" s="13"/>
    </row>
    <row r="477" spans="1:66" s="11" customFormat="1" ht="21">
      <c r="A477" s="24"/>
      <c r="B477" s="24"/>
      <c r="C477" s="24"/>
      <c r="E477" s="13"/>
      <c r="F477" s="24"/>
      <c r="G477" s="24"/>
      <c r="I477" s="24"/>
      <c r="J477" s="13"/>
      <c r="K477" s="13"/>
      <c r="L477" s="24"/>
      <c r="N477" s="24"/>
      <c r="O477" s="13"/>
      <c r="P477" s="13"/>
      <c r="Q477" s="24"/>
      <c r="S477" s="24"/>
      <c r="T477" s="13"/>
      <c r="U477" s="13"/>
      <c r="V477" s="24"/>
      <c r="X477" s="24"/>
      <c r="Y477" s="13"/>
      <c r="Z477" s="13"/>
      <c r="AA477" s="24"/>
      <c r="AC477" s="24"/>
      <c r="AD477" s="13"/>
      <c r="AE477" s="13"/>
      <c r="AF477" s="24"/>
      <c r="AH477" s="24"/>
      <c r="AI477" s="13"/>
      <c r="AJ477" s="13"/>
      <c r="AK477" s="24"/>
      <c r="AM477" s="24"/>
      <c r="AN477" s="13"/>
      <c r="AO477" s="13"/>
      <c r="AP477" s="24"/>
      <c r="AR477" s="24"/>
      <c r="AS477" s="13"/>
      <c r="AT477" s="13"/>
      <c r="AU477" s="24"/>
      <c r="AW477" s="24"/>
      <c r="AX477" s="13"/>
      <c r="AY477" s="13"/>
      <c r="AZ477" s="24"/>
      <c r="BB477" s="24"/>
      <c r="BC477" s="13"/>
      <c r="BD477" s="13"/>
      <c r="BE477" s="24"/>
      <c r="BG477" s="24"/>
      <c r="BH477" s="13"/>
      <c r="BI477" s="13"/>
      <c r="BJ477" s="24"/>
      <c r="BL477" s="24"/>
      <c r="BM477" s="13"/>
      <c r="BN477" s="13"/>
    </row>
    <row r="478" spans="1:66" s="11" customFormat="1" ht="21">
      <c r="A478" s="24"/>
      <c r="B478" s="24"/>
      <c r="C478" s="24"/>
      <c r="E478" s="13"/>
      <c r="F478" s="24"/>
      <c r="G478" s="24"/>
      <c r="I478" s="24"/>
      <c r="J478" s="13"/>
      <c r="K478" s="13"/>
      <c r="L478" s="24"/>
      <c r="N478" s="24"/>
      <c r="O478" s="13"/>
      <c r="P478" s="13"/>
      <c r="Q478" s="24"/>
      <c r="S478" s="24"/>
      <c r="T478" s="13"/>
      <c r="U478" s="13"/>
      <c r="V478" s="24"/>
      <c r="X478" s="24"/>
      <c r="Y478" s="13"/>
      <c r="Z478" s="13"/>
      <c r="AA478" s="24"/>
      <c r="AC478" s="24"/>
      <c r="AD478" s="13"/>
      <c r="AE478" s="13"/>
      <c r="AF478" s="24"/>
      <c r="AH478" s="24"/>
      <c r="AI478" s="13"/>
      <c r="AJ478" s="13"/>
      <c r="AK478" s="24"/>
      <c r="AM478" s="24"/>
      <c r="AN478" s="13"/>
      <c r="AO478" s="13"/>
      <c r="AP478" s="24"/>
      <c r="AR478" s="24"/>
      <c r="AS478" s="13"/>
      <c r="AT478" s="13"/>
      <c r="AU478" s="24"/>
      <c r="AW478" s="24"/>
      <c r="AX478" s="13"/>
      <c r="AY478" s="13"/>
      <c r="AZ478" s="24"/>
      <c r="BB478" s="24"/>
      <c r="BC478" s="13"/>
      <c r="BD478" s="13"/>
      <c r="BE478" s="24"/>
      <c r="BG478" s="24"/>
      <c r="BH478" s="13"/>
      <c r="BI478" s="13"/>
      <c r="BJ478" s="24"/>
      <c r="BL478" s="24"/>
      <c r="BM478" s="13"/>
      <c r="BN478" s="13"/>
    </row>
    <row r="479" spans="1:66" s="11" customFormat="1" ht="21">
      <c r="A479" s="24"/>
      <c r="B479" s="24"/>
      <c r="C479" s="24"/>
      <c r="E479" s="13"/>
      <c r="F479" s="24"/>
      <c r="G479" s="24"/>
      <c r="I479" s="24"/>
      <c r="J479" s="13"/>
      <c r="K479" s="13"/>
      <c r="L479" s="24"/>
      <c r="N479" s="24"/>
      <c r="O479" s="13"/>
      <c r="P479" s="13"/>
      <c r="Q479" s="24"/>
      <c r="S479" s="24"/>
      <c r="T479" s="13"/>
      <c r="U479" s="13"/>
      <c r="V479" s="24"/>
      <c r="X479" s="24"/>
      <c r="Y479" s="13"/>
      <c r="Z479" s="13"/>
      <c r="AA479" s="24"/>
      <c r="AC479" s="24"/>
      <c r="AD479" s="13"/>
      <c r="AE479" s="13"/>
      <c r="AF479" s="24"/>
      <c r="AH479" s="24"/>
      <c r="AI479" s="13"/>
      <c r="AJ479" s="13"/>
      <c r="AK479" s="24"/>
      <c r="AM479" s="24"/>
      <c r="AN479" s="13"/>
      <c r="AO479" s="13"/>
      <c r="AP479" s="24"/>
      <c r="AR479" s="24"/>
      <c r="AS479" s="13"/>
      <c r="AT479" s="13"/>
      <c r="AU479" s="24"/>
      <c r="AW479" s="24"/>
      <c r="AX479" s="13"/>
      <c r="AY479" s="13"/>
      <c r="AZ479" s="24"/>
      <c r="BB479" s="24"/>
      <c r="BC479" s="13"/>
      <c r="BD479" s="13"/>
      <c r="BE479" s="24"/>
      <c r="BG479" s="24"/>
      <c r="BH479" s="13"/>
      <c r="BI479" s="13"/>
      <c r="BJ479" s="24"/>
      <c r="BL479" s="24"/>
      <c r="BM479" s="13"/>
      <c r="BN479" s="13"/>
    </row>
    <row r="480" spans="1:66" s="11" customFormat="1" ht="21">
      <c r="A480" s="24"/>
      <c r="B480" s="24"/>
      <c r="C480" s="24"/>
      <c r="E480" s="13"/>
      <c r="F480" s="24"/>
      <c r="G480" s="24"/>
      <c r="I480" s="24"/>
      <c r="J480" s="13"/>
      <c r="K480" s="13"/>
      <c r="L480" s="24"/>
      <c r="N480" s="24"/>
      <c r="O480" s="13"/>
      <c r="P480" s="13"/>
      <c r="Q480" s="24"/>
      <c r="S480" s="24"/>
      <c r="T480" s="13"/>
      <c r="U480" s="13"/>
      <c r="V480" s="24"/>
      <c r="X480" s="24"/>
      <c r="Y480" s="13"/>
      <c r="Z480" s="13"/>
      <c r="AA480" s="24"/>
      <c r="AC480" s="24"/>
      <c r="AD480" s="13"/>
      <c r="AE480" s="13"/>
      <c r="AF480" s="24"/>
      <c r="AH480" s="24"/>
      <c r="AI480" s="13"/>
      <c r="AJ480" s="13"/>
      <c r="AK480" s="24"/>
      <c r="AM480" s="24"/>
      <c r="AN480" s="13"/>
      <c r="AO480" s="13"/>
      <c r="AP480" s="24"/>
      <c r="AR480" s="24"/>
      <c r="AS480" s="13"/>
      <c r="AT480" s="13"/>
      <c r="AU480" s="24"/>
      <c r="AW480" s="24"/>
      <c r="AX480" s="13"/>
      <c r="AY480" s="13"/>
      <c r="AZ480" s="24"/>
      <c r="BB480" s="24"/>
      <c r="BC480" s="13"/>
      <c r="BD480" s="13"/>
      <c r="BE480" s="24"/>
      <c r="BG480" s="24"/>
      <c r="BH480" s="13"/>
      <c r="BI480" s="13"/>
      <c r="BJ480" s="24"/>
      <c r="BL480" s="24"/>
      <c r="BM480" s="13"/>
      <c r="BN480" s="13"/>
    </row>
    <row r="481" spans="1:66" s="11" customFormat="1" ht="21">
      <c r="A481" s="24"/>
      <c r="B481" s="24"/>
      <c r="C481" s="24"/>
      <c r="E481" s="13"/>
      <c r="F481" s="24"/>
      <c r="G481" s="24"/>
      <c r="I481" s="24"/>
      <c r="J481" s="13"/>
      <c r="K481" s="13"/>
      <c r="L481" s="24"/>
      <c r="N481" s="24"/>
      <c r="O481" s="13"/>
      <c r="P481" s="13"/>
      <c r="Q481" s="24"/>
      <c r="S481" s="24"/>
      <c r="T481" s="13"/>
      <c r="U481" s="13"/>
      <c r="V481" s="24"/>
      <c r="X481" s="24"/>
      <c r="Y481" s="13"/>
      <c r="Z481" s="13"/>
      <c r="AA481" s="24"/>
      <c r="AC481" s="24"/>
      <c r="AD481" s="13"/>
      <c r="AE481" s="13"/>
      <c r="AF481" s="24"/>
      <c r="AH481" s="24"/>
      <c r="AI481" s="13"/>
      <c r="AJ481" s="13"/>
      <c r="AK481" s="24"/>
      <c r="AM481" s="24"/>
      <c r="AN481" s="13"/>
      <c r="AO481" s="13"/>
      <c r="AP481" s="24"/>
      <c r="AR481" s="24"/>
      <c r="AS481" s="13"/>
      <c r="AT481" s="13"/>
      <c r="AU481" s="24"/>
      <c r="AW481" s="24"/>
      <c r="AX481" s="13"/>
      <c r="AY481" s="13"/>
      <c r="AZ481" s="24"/>
      <c r="BB481" s="24"/>
      <c r="BC481" s="13"/>
      <c r="BD481" s="13"/>
      <c r="BE481" s="24"/>
      <c r="BG481" s="24"/>
      <c r="BH481" s="13"/>
      <c r="BI481" s="13"/>
      <c r="BJ481" s="24"/>
      <c r="BL481" s="24"/>
      <c r="BM481" s="13"/>
      <c r="BN481" s="13"/>
    </row>
    <row r="482" spans="1:66" s="11" customFormat="1" ht="21">
      <c r="A482" s="24"/>
      <c r="B482" s="24"/>
      <c r="C482" s="24"/>
      <c r="E482" s="13"/>
      <c r="F482" s="24"/>
      <c r="G482" s="24"/>
      <c r="I482" s="24"/>
      <c r="J482" s="13"/>
      <c r="K482" s="13"/>
      <c r="L482" s="24"/>
      <c r="N482" s="24"/>
      <c r="O482" s="13"/>
      <c r="P482" s="13"/>
      <c r="Q482" s="24"/>
      <c r="S482" s="24"/>
      <c r="T482" s="13"/>
      <c r="U482" s="13"/>
      <c r="V482" s="24"/>
      <c r="X482" s="24"/>
      <c r="Y482" s="13"/>
      <c r="Z482" s="13"/>
      <c r="AA482" s="24"/>
      <c r="AC482" s="24"/>
      <c r="AD482" s="13"/>
      <c r="AE482" s="13"/>
      <c r="AF482" s="24"/>
      <c r="AH482" s="24"/>
      <c r="AI482" s="13"/>
      <c r="AJ482" s="13"/>
      <c r="AK482" s="24"/>
      <c r="AM482" s="24"/>
      <c r="AN482" s="13"/>
      <c r="AO482" s="13"/>
      <c r="AP482" s="24"/>
      <c r="AR482" s="24"/>
      <c r="AS482" s="13"/>
      <c r="AT482" s="13"/>
      <c r="AU482" s="24"/>
      <c r="AW482" s="24"/>
      <c r="AX482" s="13"/>
      <c r="AY482" s="13"/>
      <c r="AZ482" s="24"/>
      <c r="BB482" s="24"/>
      <c r="BC482" s="13"/>
      <c r="BD482" s="13"/>
      <c r="BE482" s="24"/>
      <c r="BG482" s="24"/>
      <c r="BH482" s="13"/>
      <c r="BI482" s="13"/>
      <c r="BJ482" s="24"/>
      <c r="BL482" s="24"/>
      <c r="BM482" s="13"/>
      <c r="BN482" s="13"/>
    </row>
    <row r="483" spans="1:66" s="11" customFormat="1" ht="21">
      <c r="A483" s="24"/>
      <c r="B483" s="24"/>
      <c r="C483" s="24"/>
      <c r="E483" s="13"/>
      <c r="F483" s="24"/>
      <c r="G483" s="24"/>
      <c r="I483" s="24"/>
      <c r="J483" s="13"/>
      <c r="K483" s="13"/>
      <c r="L483" s="24"/>
      <c r="N483" s="24"/>
      <c r="O483" s="13"/>
      <c r="P483" s="13"/>
      <c r="Q483" s="24"/>
      <c r="S483" s="24"/>
      <c r="T483" s="13"/>
      <c r="U483" s="13"/>
      <c r="V483" s="24"/>
      <c r="X483" s="24"/>
      <c r="Y483" s="13"/>
      <c r="Z483" s="13"/>
      <c r="AA483" s="24"/>
      <c r="AC483" s="24"/>
      <c r="AD483" s="13"/>
      <c r="AE483" s="13"/>
      <c r="AF483" s="24"/>
      <c r="AH483" s="24"/>
      <c r="AI483" s="13"/>
      <c r="AJ483" s="13"/>
      <c r="AK483" s="24"/>
      <c r="AM483" s="24"/>
      <c r="AN483" s="13"/>
      <c r="AO483" s="13"/>
      <c r="AP483" s="24"/>
      <c r="AR483" s="24"/>
      <c r="AS483" s="13"/>
      <c r="AT483" s="13"/>
      <c r="AU483" s="24"/>
      <c r="AW483" s="24"/>
      <c r="AX483" s="13"/>
      <c r="AY483" s="13"/>
      <c r="AZ483" s="24"/>
      <c r="BB483" s="24"/>
      <c r="BC483" s="13"/>
      <c r="BD483" s="13"/>
      <c r="BE483" s="24"/>
      <c r="BG483" s="24"/>
      <c r="BH483" s="13"/>
      <c r="BI483" s="13"/>
      <c r="BJ483" s="24"/>
      <c r="BL483" s="24"/>
      <c r="BM483" s="13"/>
      <c r="BN483" s="13"/>
    </row>
    <row r="484" spans="1:66" s="11" customFormat="1" ht="21">
      <c r="A484" s="24"/>
      <c r="B484" s="24"/>
      <c r="C484" s="24"/>
      <c r="E484" s="13"/>
      <c r="F484" s="24"/>
      <c r="G484" s="24"/>
      <c r="I484" s="24"/>
      <c r="J484" s="13"/>
      <c r="K484" s="13"/>
      <c r="L484" s="24"/>
      <c r="N484" s="24"/>
      <c r="O484" s="13"/>
      <c r="P484" s="13"/>
      <c r="Q484" s="24"/>
      <c r="S484" s="24"/>
      <c r="T484" s="13"/>
      <c r="U484" s="13"/>
      <c r="V484" s="24"/>
      <c r="X484" s="24"/>
      <c r="Y484" s="13"/>
      <c r="Z484" s="13"/>
      <c r="AA484" s="24"/>
      <c r="AC484" s="24"/>
      <c r="AD484" s="13"/>
      <c r="AE484" s="13"/>
      <c r="AF484" s="24"/>
      <c r="AH484" s="24"/>
      <c r="AI484" s="13"/>
      <c r="AJ484" s="13"/>
      <c r="AK484" s="24"/>
      <c r="AM484" s="24"/>
      <c r="AN484" s="13"/>
      <c r="AO484" s="13"/>
      <c r="AP484" s="24"/>
      <c r="AR484" s="24"/>
      <c r="AS484" s="13"/>
      <c r="AT484" s="13"/>
      <c r="AU484" s="24"/>
      <c r="AW484" s="24"/>
      <c r="AX484" s="13"/>
      <c r="AY484" s="13"/>
      <c r="AZ484" s="24"/>
      <c r="BB484" s="24"/>
      <c r="BC484" s="13"/>
      <c r="BD484" s="13"/>
      <c r="BE484" s="24"/>
      <c r="BG484" s="24"/>
      <c r="BH484" s="13"/>
      <c r="BI484" s="13"/>
      <c r="BJ484" s="24"/>
      <c r="BL484" s="24"/>
      <c r="BM484" s="13"/>
      <c r="BN484" s="13"/>
    </row>
  </sheetData>
  <sheetProtection algorithmName="SHA-512" hashValue="B4hQgpJtKF9cVYudBKe0XtkZFh9MVwBygbwi2e8exThDPpprCo2umGAw7cvkVCcVOWdW9D6K6R2I9hC2JrUMBA==" saltValue="K58fumHZCpdyTwejEW5etQ==" spinCount="100000" sheet="1" objects="1" scenarios="1"/>
  <mergeCells count="54">
    <mergeCell ref="A4:A5"/>
    <mergeCell ref="H4:H5"/>
    <mergeCell ref="I4:I5"/>
    <mergeCell ref="L4:L5"/>
    <mergeCell ref="M4:M5"/>
    <mergeCell ref="N4:N5"/>
    <mergeCell ref="Q4:Q5"/>
    <mergeCell ref="K4:K5"/>
    <mergeCell ref="P4:P5"/>
    <mergeCell ref="B4:B5"/>
    <mergeCell ref="C4:C5"/>
    <mergeCell ref="D4:D5"/>
    <mergeCell ref="E4:E5"/>
    <mergeCell ref="F4:F5"/>
    <mergeCell ref="G4:G5"/>
    <mergeCell ref="AK4:AK5"/>
    <mergeCell ref="AE4:AE5"/>
    <mergeCell ref="AJ4:AJ5"/>
    <mergeCell ref="R4:R5"/>
    <mergeCell ref="S4:S5"/>
    <mergeCell ref="V4:V5"/>
    <mergeCell ref="W4:W5"/>
    <mergeCell ref="X4:X5"/>
    <mergeCell ref="AA4:AA5"/>
    <mergeCell ref="U4:U5"/>
    <mergeCell ref="Z4:Z5"/>
    <mergeCell ref="AB4:AB5"/>
    <mergeCell ref="AC4:AC5"/>
    <mergeCell ref="AF4:AF5"/>
    <mergeCell ref="AG4:AG5"/>
    <mergeCell ref="AH4:AH5"/>
    <mergeCell ref="BE4:BE5"/>
    <mergeCell ref="AY4:AY5"/>
    <mergeCell ref="BD4:BD5"/>
    <mergeCell ref="AL4:AL5"/>
    <mergeCell ref="AM4:AM5"/>
    <mergeCell ref="AP4:AP5"/>
    <mergeCell ref="AQ4:AQ5"/>
    <mergeCell ref="AR4:AR5"/>
    <mergeCell ref="AU4:AU5"/>
    <mergeCell ref="AO4:AO5"/>
    <mergeCell ref="AT4:AT5"/>
    <mergeCell ref="AV4:AV5"/>
    <mergeCell ref="AW4:AW5"/>
    <mergeCell ref="AZ4:AZ5"/>
    <mergeCell ref="BA4:BA5"/>
    <mergeCell ref="BB4:BB5"/>
    <mergeCell ref="BN4:BN5"/>
    <mergeCell ref="BF4:BF5"/>
    <mergeCell ref="BG4:BG5"/>
    <mergeCell ref="BJ4:BJ5"/>
    <mergeCell ref="BK4:BK5"/>
    <mergeCell ref="BL4:BL5"/>
    <mergeCell ref="BI4:BI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00B050"/>
  </sheetPr>
  <dimension ref="A1:BN62"/>
  <sheetViews>
    <sheetView view="pageBreakPreview" zoomScale="130" zoomScaleSheetLayoutView="130" workbookViewId="0">
      <selection activeCell="Q55" sqref="Q55:W55"/>
    </sheetView>
  </sheetViews>
  <sheetFormatPr defaultColWidth="9.42578125" defaultRowHeight="21"/>
  <cols>
    <col min="1" max="1" width="3.5703125" style="11" customWidth="1"/>
    <col min="2" max="2" width="9.5703125" style="11" customWidth="1"/>
    <col min="3" max="24" width="3.42578125" style="11" customWidth="1"/>
    <col min="25" max="59" width="3.42578125" style="66" hidden="1" customWidth="1"/>
    <col min="60" max="61" width="4.42578125" style="11" hidden="1" customWidth="1"/>
    <col min="62" max="16384" width="9.42578125" style="11"/>
  </cols>
  <sheetData>
    <row r="1" spans="1:66" s="10" customFormat="1" ht="21" customHeight="1">
      <c r="A1" s="303" t="str">
        <f>IF(C9="","Summary of Grades: .................../.................................",CONCATENATE("Summary of Grades:  ",Semester,"/",Year))</f>
        <v>Summary of Grades: .................../.................................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21"/>
      <c r="Z1" s="321"/>
      <c r="AA1" s="321"/>
      <c r="AB1" s="321"/>
      <c r="AC1" s="321"/>
      <c r="AD1" s="321"/>
      <c r="AE1" s="321"/>
      <c r="AF1" s="321"/>
      <c r="AG1" s="321"/>
      <c r="AH1" s="321"/>
      <c r="AI1" s="321"/>
      <c r="AJ1" s="321"/>
      <c r="AK1" s="321"/>
      <c r="AL1" s="321"/>
      <c r="AM1" s="321"/>
      <c r="AN1" s="321"/>
      <c r="AO1" s="115"/>
      <c r="AP1" s="115"/>
      <c r="AQ1" s="321"/>
      <c r="AR1" s="321"/>
      <c r="AS1" s="321"/>
      <c r="AT1" s="321"/>
      <c r="AU1" s="321"/>
      <c r="AV1" s="321"/>
      <c r="AW1" s="321"/>
      <c r="AX1" s="321"/>
      <c r="AY1" s="321"/>
      <c r="AZ1" s="321"/>
      <c r="BA1" s="321"/>
      <c r="BB1" s="321"/>
      <c r="BC1" s="321"/>
      <c r="BD1" s="321"/>
      <c r="BE1" s="321"/>
      <c r="BF1" s="321"/>
      <c r="BG1" s="115"/>
    </row>
    <row r="2" spans="1:66" s="10" customFormat="1" ht="21" customHeight="1">
      <c r="A2" s="303" t="s">
        <v>700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115"/>
      <c r="AP2" s="115"/>
      <c r="AQ2" s="321"/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F2" s="321"/>
      <c r="BG2" s="115"/>
    </row>
    <row r="3" spans="1:66" s="10" customFormat="1" ht="21" customHeight="1">
      <c r="A3" s="303" t="str">
        <f>IF(C9="","Grade..............",CONCATENATE("Grade ",Class))</f>
        <v>Grade..............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21" t="s">
        <v>4</v>
      </c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115"/>
      <c r="AQ3" s="321" t="s">
        <v>31</v>
      </c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115"/>
    </row>
    <row r="4" spans="1:66" ht="10.5" customHeight="1" thickBot="1">
      <c r="N4" s="12"/>
      <c r="Z4" s="67"/>
      <c r="AL4" s="67"/>
      <c r="AR4" s="67"/>
      <c r="BD4" s="67"/>
    </row>
    <row r="5" spans="1:66" s="13" customFormat="1" ht="21" customHeight="1">
      <c r="A5" s="288" t="s">
        <v>701</v>
      </c>
      <c r="B5" s="191"/>
      <c r="C5" s="291" t="s">
        <v>703</v>
      </c>
      <c r="D5" s="292"/>
      <c r="E5" s="292"/>
      <c r="F5" s="292"/>
      <c r="G5" s="292"/>
      <c r="H5" s="292"/>
      <c r="I5" s="292"/>
      <c r="J5" s="292"/>
      <c r="K5" s="292"/>
      <c r="L5" s="293"/>
      <c r="M5" s="300" t="s">
        <v>714</v>
      </c>
      <c r="N5" s="301"/>
      <c r="O5" s="301"/>
      <c r="P5" s="301"/>
      <c r="Q5" s="301"/>
      <c r="R5" s="301"/>
      <c r="S5" s="301"/>
      <c r="T5" s="301"/>
      <c r="U5" s="301"/>
      <c r="V5" s="301"/>
      <c r="W5" s="301"/>
      <c r="X5" s="302"/>
      <c r="Y5" s="315" t="s">
        <v>1</v>
      </c>
      <c r="Z5" s="316"/>
      <c r="AA5" s="316"/>
      <c r="AB5" s="316"/>
      <c r="AC5" s="316"/>
      <c r="AD5" s="316"/>
      <c r="AE5" s="316"/>
      <c r="AF5" s="316"/>
      <c r="AG5" s="316"/>
      <c r="AH5" s="317"/>
      <c r="AI5" s="317"/>
      <c r="AJ5" s="318"/>
      <c r="AK5" s="312" t="s">
        <v>2</v>
      </c>
      <c r="AL5" s="313"/>
      <c r="AM5" s="313"/>
      <c r="AN5" s="313"/>
      <c r="AO5" s="314"/>
      <c r="AP5" s="185"/>
      <c r="AQ5" s="315" t="s">
        <v>1</v>
      </c>
      <c r="AR5" s="316"/>
      <c r="AS5" s="316"/>
      <c r="AT5" s="316"/>
      <c r="AU5" s="316"/>
      <c r="AV5" s="316"/>
      <c r="AW5" s="316"/>
      <c r="AX5" s="316"/>
      <c r="AY5" s="316"/>
      <c r="AZ5" s="317"/>
      <c r="BA5" s="317"/>
      <c r="BB5" s="318"/>
      <c r="BC5" s="312" t="s">
        <v>2</v>
      </c>
      <c r="BD5" s="313"/>
      <c r="BE5" s="313"/>
      <c r="BF5" s="313"/>
      <c r="BG5" s="314"/>
      <c r="BH5" s="306" t="s">
        <v>11</v>
      </c>
      <c r="BI5" s="309" t="s">
        <v>3</v>
      </c>
    </row>
    <row r="6" spans="1:66" ht="23.25" hidden="1" customHeight="1">
      <c r="A6" s="289"/>
      <c r="B6" s="192"/>
      <c r="C6" s="294"/>
      <c r="D6" s="295"/>
      <c r="E6" s="295"/>
      <c r="F6" s="295"/>
      <c r="G6" s="295"/>
      <c r="H6" s="295"/>
      <c r="I6" s="295"/>
      <c r="J6" s="295"/>
      <c r="K6" s="295"/>
      <c r="L6" s="296"/>
      <c r="M6" s="14"/>
      <c r="N6" s="15"/>
      <c r="O6" s="15"/>
      <c r="P6" s="15"/>
      <c r="Q6" s="16"/>
      <c r="R6" s="16"/>
      <c r="S6" s="17"/>
      <c r="T6" s="17"/>
      <c r="U6" s="17"/>
      <c r="V6" s="95"/>
      <c r="W6" s="95"/>
      <c r="X6" s="18"/>
      <c r="Y6" s="68"/>
      <c r="Z6" s="69"/>
      <c r="AA6" s="69"/>
      <c r="AB6" s="69"/>
      <c r="AC6" s="69"/>
      <c r="AD6" s="69"/>
      <c r="AE6" s="70"/>
      <c r="AF6" s="70"/>
      <c r="AG6" s="70"/>
      <c r="AH6" s="108"/>
      <c r="AI6" s="108"/>
      <c r="AJ6" s="71"/>
      <c r="AK6" s="68"/>
      <c r="AL6" s="69"/>
      <c r="AM6" s="69"/>
      <c r="AN6" s="73"/>
      <c r="AO6" s="73"/>
      <c r="AP6" s="185"/>
      <c r="AQ6" s="68"/>
      <c r="AR6" s="69"/>
      <c r="AS6" s="69"/>
      <c r="AT6" s="69"/>
      <c r="AU6" s="69"/>
      <c r="AV6" s="69"/>
      <c r="AW6" s="70"/>
      <c r="AX6" s="70"/>
      <c r="AY6" s="70"/>
      <c r="AZ6" s="108"/>
      <c r="BA6" s="108"/>
      <c r="BB6" s="71"/>
      <c r="BC6" s="68"/>
      <c r="BD6" s="69"/>
      <c r="BE6" s="69"/>
      <c r="BF6" s="72"/>
      <c r="BG6" s="73"/>
      <c r="BH6" s="307"/>
      <c r="BI6" s="310"/>
    </row>
    <row r="7" spans="1:66" ht="73.5" customHeight="1">
      <c r="A7" s="289"/>
      <c r="B7" s="192" t="s">
        <v>702</v>
      </c>
      <c r="C7" s="294"/>
      <c r="D7" s="295"/>
      <c r="E7" s="295"/>
      <c r="F7" s="295"/>
      <c r="G7" s="295"/>
      <c r="H7" s="295"/>
      <c r="I7" s="295"/>
      <c r="J7" s="295"/>
      <c r="K7" s="295"/>
      <c r="L7" s="296"/>
      <c r="M7" s="34" t="str">
        <f>IF(SubGen1="","",SubGen1)</f>
        <v>Mathematics 5</v>
      </c>
      <c r="N7" s="19" t="str">
        <f>IF(SubGen2="","",SubGen2)</f>
        <v>Science and Technology 5</v>
      </c>
      <c r="O7" s="19" t="str">
        <f>IF(SubGen3="","",SubGen3)</f>
        <v>Health and Physical Education 5</v>
      </c>
      <c r="P7" s="19" t="str">
        <f>IF(SubGen4="","",SubGen4)</f>
        <v>English for Communication 5</v>
      </c>
      <c r="Q7" s="19" t="str">
        <f>IF(SubGen5="","",SubGen5)</f>
        <v>Chinese Language 5</v>
      </c>
      <c r="R7" s="19" t="str">
        <f>IF(SubGen6="","",SubGen6)</f>
        <v/>
      </c>
      <c r="S7" s="19" t="str">
        <f>IF(SubGen7="","",SubGen7)</f>
        <v/>
      </c>
      <c r="T7" s="19" t="str">
        <f>IF(SubGen8="","",SubGen8)</f>
        <v/>
      </c>
      <c r="U7" s="19" t="str">
        <f>IF(SubGen9="","",SubGen9)</f>
        <v/>
      </c>
      <c r="V7" s="19" t="str">
        <f>IF(SubGen10="","",SubGen10)</f>
        <v/>
      </c>
      <c r="W7" s="19" t="str">
        <f>IF(SubGen11="","",SubGen11)</f>
        <v/>
      </c>
      <c r="X7" s="35" t="str">
        <f>IF(SubGen12="","",SubGen12)</f>
        <v/>
      </c>
      <c r="Y7" s="34" t="str">
        <f>IF(SubGen1="","",SubGen1)</f>
        <v>Mathematics 5</v>
      </c>
      <c r="Z7" s="19" t="str">
        <f>IF(SubGen2="","",SubGen2)</f>
        <v>Science and Technology 5</v>
      </c>
      <c r="AA7" s="19" t="str">
        <f>IF(SubGen3="","",SubGen3)</f>
        <v>Health and Physical Education 5</v>
      </c>
      <c r="AB7" s="19" t="str">
        <f>IF(SubGen4="","",SubGen4)</f>
        <v>English for Communication 5</v>
      </c>
      <c r="AC7" s="19" t="str">
        <f>IF(SubGen5="","",SubGen5)</f>
        <v>Chinese Language 5</v>
      </c>
      <c r="AD7" s="19" t="str">
        <f>IF(SubGen6="","",SubGen6)</f>
        <v/>
      </c>
      <c r="AE7" s="19" t="str">
        <f>IF(SubGen7="","",SubGen7)</f>
        <v/>
      </c>
      <c r="AF7" s="19" t="str">
        <f>IF(SubGen8="","",SubGen8)</f>
        <v/>
      </c>
      <c r="AG7" s="19" t="str">
        <f>IF(SubGen9="","",SubGen9)</f>
        <v/>
      </c>
      <c r="AH7" s="19" t="str">
        <f>IF(SubGen10="","",SubGen10)</f>
        <v/>
      </c>
      <c r="AI7" s="19" t="str">
        <f>IF(SubGen11="","",SubGen11)</f>
        <v/>
      </c>
      <c r="AJ7" s="35" t="str">
        <f>IF(SubGen12="","",SubGen12)</f>
        <v/>
      </c>
      <c r="AK7" s="34" t="e">
        <f>IF(SubEle1="","",IF('1.ข้อมูลเบื้องต้น'!#REF!="SBMLD","SBMLD",SubEle1))</f>
        <v>#REF!</v>
      </c>
      <c r="AL7" s="19" t="e">
        <f>IF(SubEle2="","",IF(AK7="SBMLD","",IF('1.ข้อมูลเบื้องต้น'!#REF!="SBMLD","SBMLD",SubEle2)))</f>
        <v>#REF!</v>
      </c>
      <c r="AM7" s="107" t="e">
        <f>IF(SubEle3="","",IF(AL7="SBMLD","",IF('1.ข้อมูลเบื้องต้น'!#REF!="SBMLD","SBMLD",SubEle3)))</f>
        <v>#REF!</v>
      </c>
      <c r="AN7" s="107" t="e">
        <f>IF(SubEle4="","",IF(AM7="SBMLD","",IF('1.ข้อมูลเบื้องต้น'!#REF!="SBMLD","SBMLD",SubEle4)))</f>
        <v>#REF!</v>
      </c>
      <c r="AO7" s="35" t="e">
        <f>IF(SubEle5="","",IF(AN7="SBMLD","",IF(AN7="","",IF('1.ข้อมูลเบื้องต้น'!#REF!="SBMLD","SBMLD",SubEle5))))</f>
        <v>#REF!</v>
      </c>
      <c r="AP7" s="186"/>
      <c r="AQ7" s="34" t="str">
        <f>IF(SubGen1="","",SubGen1)</f>
        <v>Mathematics 5</v>
      </c>
      <c r="AR7" s="19" t="str">
        <f>IF(SubGen2="","",SubGen2)</f>
        <v>Science and Technology 5</v>
      </c>
      <c r="AS7" s="19" t="str">
        <f>IF(SubGen3="","",SubGen3)</f>
        <v>Health and Physical Education 5</v>
      </c>
      <c r="AT7" s="19" t="str">
        <f>IF(SubGen4="","",SubGen4)</f>
        <v>English for Communication 5</v>
      </c>
      <c r="AU7" s="19" t="str">
        <f>IF(SubGen5="","",SubGen5)</f>
        <v>Chinese Language 5</v>
      </c>
      <c r="AV7" s="19" t="str">
        <f>IF(SubGen6="","",SubGen6)</f>
        <v/>
      </c>
      <c r="AW7" s="19" t="str">
        <f>IF(SubGen7="","",SubGen7)</f>
        <v/>
      </c>
      <c r="AX7" s="19" t="str">
        <f>IF(SubGen8="","",SubGen8)</f>
        <v/>
      </c>
      <c r="AY7" s="19" t="str">
        <f>IF(SubGen9="","",SubGen9)</f>
        <v/>
      </c>
      <c r="AZ7" s="19" t="str">
        <f>IF(SubGen10="","",SubGen10)</f>
        <v/>
      </c>
      <c r="BA7" s="19" t="str">
        <f>IF(SubGen11="","",SubGen11)</f>
        <v/>
      </c>
      <c r="BB7" s="35" t="str">
        <f>IF(SubGen12="","",SubGen12)</f>
        <v/>
      </c>
      <c r="BC7" s="34" t="e">
        <f>AK7</f>
        <v>#REF!</v>
      </c>
      <c r="BD7" s="19" t="e">
        <f>AL7</f>
        <v>#REF!</v>
      </c>
      <c r="BE7" s="107" t="e">
        <f>AM7</f>
        <v>#REF!</v>
      </c>
      <c r="BF7" s="107" t="e">
        <f>AN7</f>
        <v>#REF!</v>
      </c>
      <c r="BG7" s="35" t="e">
        <f>AO7</f>
        <v>#REF!</v>
      </c>
      <c r="BH7" s="307"/>
      <c r="BI7" s="310"/>
      <c r="BJ7" s="304"/>
      <c r="BK7" s="305"/>
      <c r="BL7" s="305"/>
      <c r="BM7" s="305"/>
      <c r="BN7" s="305"/>
    </row>
    <row r="8" spans="1:66" s="24" customFormat="1" ht="16.5" customHeight="1" thickBot="1">
      <c r="A8" s="290"/>
      <c r="B8" s="193"/>
      <c r="C8" s="297"/>
      <c r="D8" s="298"/>
      <c r="E8" s="298"/>
      <c r="F8" s="298"/>
      <c r="G8" s="298"/>
      <c r="H8" s="298"/>
      <c r="I8" s="298"/>
      <c r="J8" s="298"/>
      <c r="K8" s="298"/>
      <c r="L8" s="299"/>
      <c r="M8" s="20">
        <f>IF(CreditGen1="","",CreditGen1)</f>
        <v>1.5</v>
      </c>
      <c r="N8" s="21">
        <f>IF(CreditGen2="","",CreditGen2)</f>
        <v>1.5</v>
      </c>
      <c r="O8" s="21">
        <f>IF(CreditGen3="","",CreditGen3)</f>
        <v>1</v>
      </c>
      <c r="P8" s="21">
        <f>IF(CreditGen4="","",CreditGen4)</f>
        <v>1</v>
      </c>
      <c r="Q8" s="21">
        <f>IF(CreditGen5="","",CreditGen5)</f>
        <v>1</v>
      </c>
      <c r="R8" s="21" t="str">
        <f>IF(CreditGen6="","",CreditGen6)</f>
        <v/>
      </c>
      <c r="S8" s="21" t="str">
        <f>IF(CreditGen7="","",CreditGen7)</f>
        <v/>
      </c>
      <c r="T8" s="21" t="str">
        <f>IF(CreditGen8="","",CreditGen8)</f>
        <v/>
      </c>
      <c r="U8" s="21" t="str">
        <f>IF(CreditGen9="","",CreditGen9)</f>
        <v/>
      </c>
      <c r="V8" s="23" t="str">
        <f>IF(CreditGen10="","",CreditGen10)</f>
        <v/>
      </c>
      <c r="W8" s="23" t="str">
        <f>IF(CreditGen11="","",CreditGen11)</f>
        <v/>
      </c>
      <c r="X8" s="22" t="str">
        <f>IF(CreditGen12="","",CreditGen12)</f>
        <v/>
      </c>
      <c r="Y8" s="20">
        <f>IF(CreditGen1="","",CreditGen1)</f>
        <v>1.5</v>
      </c>
      <c r="Z8" s="21">
        <f>IF(CreditGen2="","",CreditGen2)</f>
        <v>1.5</v>
      </c>
      <c r="AA8" s="21">
        <f>IF(CreditGen3="","",CreditGen3)</f>
        <v>1</v>
      </c>
      <c r="AB8" s="21">
        <f>IF(CreditGen4="","",CreditGen4)</f>
        <v>1</v>
      </c>
      <c r="AC8" s="21">
        <f>IF(CreditGen5="","",CreditGen5)</f>
        <v>1</v>
      </c>
      <c r="AD8" s="21" t="str">
        <f>IF(CreditGen6="","",CreditGen6)</f>
        <v/>
      </c>
      <c r="AE8" s="21" t="str">
        <f>IF(CreditGen7="","",CreditGen7)</f>
        <v/>
      </c>
      <c r="AF8" s="21" t="str">
        <f>IF(CreditGen8="","",CreditGen8)</f>
        <v/>
      </c>
      <c r="AG8" s="21" t="str">
        <f>IF(CreditGen9="","",CreditGen9)</f>
        <v/>
      </c>
      <c r="AH8" s="23" t="str">
        <f>IF(CreditGen10="","",CreditGen10)</f>
        <v/>
      </c>
      <c r="AI8" s="23" t="str">
        <f>IF(CreditGen11="","",CreditGen11)</f>
        <v/>
      </c>
      <c r="AJ8" s="22" t="str">
        <f>IF(CreditGen12="","",CreditGen12)</f>
        <v/>
      </c>
      <c r="AK8" s="20" t="e">
        <f>IF(CreditEle1="","",CreditEle1)</f>
        <v>#REF!</v>
      </c>
      <c r="AL8" s="21" t="e">
        <f>IF(CreditEle2="","",CreditEle2)</f>
        <v>#REF!</v>
      </c>
      <c r="AM8" s="21" t="e">
        <f>IF(CreditEle3="","",CreditEle3)</f>
        <v>#REF!</v>
      </c>
      <c r="AN8" s="21" t="e">
        <f>IF(AN7="","",CreditEle5)</f>
        <v>#REF!</v>
      </c>
      <c r="AO8" s="22" t="e">
        <f>IF(AO7="","",CreditEle12)</f>
        <v>#REF!</v>
      </c>
      <c r="AP8" s="187"/>
      <c r="AQ8" s="20">
        <f>IF(CreditGen1="","",CreditGen1)</f>
        <v>1.5</v>
      </c>
      <c r="AR8" s="21">
        <f>IF(CreditGen2="","",CreditGen2)</f>
        <v>1.5</v>
      </c>
      <c r="AS8" s="21">
        <f>IF(CreditGen3="","",CreditGen3)</f>
        <v>1</v>
      </c>
      <c r="AT8" s="21">
        <f>IF(CreditGen4="","",CreditGen4)</f>
        <v>1</v>
      </c>
      <c r="AU8" s="21">
        <f>IF(CreditGen5="","",CreditGen5)</f>
        <v>1</v>
      </c>
      <c r="AV8" s="21" t="str">
        <f>IF(CreditGen6="","",CreditGen6)</f>
        <v/>
      </c>
      <c r="AW8" s="21" t="str">
        <f>IF(CreditGen7="","",CreditGen7)</f>
        <v/>
      </c>
      <c r="AX8" s="21" t="str">
        <f>IF(CreditGen8="","",CreditGen8)</f>
        <v/>
      </c>
      <c r="AY8" s="21" t="str">
        <f>IF(CreditGen9="","",CreditGen9)</f>
        <v/>
      </c>
      <c r="AZ8" s="23" t="str">
        <f>IF(CreditGen10="","",CreditGen10)</f>
        <v/>
      </c>
      <c r="BA8" s="23" t="str">
        <f>IF(CreditGen11="","",CreditGen11)</f>
        <v/>
      </c>
      <c r="BB8" s="22" t="str">
        <f>IF(CreditGen12="","",CreditGen12)</f>
        <v/>
      </c>
      <c r="BC8" s="20" t="e">
        <f>IF(CreditEle1="","",CreditEle1)</f>
        <v>#REF!</v>
      </c>
      <c r="BD8" s="21" t="e">
        <f>IF(CreditEle2="","",CreditEle2)</f>
        <v>#REF!</v>
      </c>
      <c r="BE8" s="21" t="e">
        <f>IF(CreditEle3="","",CreditEle3)</f>
        <v>#REF!</v>
      </c>
      <c r="BF8" s="21" t="e">
        <f>IF(BF7="","",CreditEle4)</f>
        <v>#REF!</v>
      </c>
      <c r="BG8" s="22" t="e">
        <f>IF(BG7="","",CreditEle12)</f>
        <v>#REF!</v>
      </c>
      <c r="BH8" s="308"/>
      <c r="BI8" s="311"/>
      <c r="BJ8" s="319"/>
      <c r="BK8" s="320"/>
      <c r="BL8" s="320"/>
      <c r="BM8" s="320"/>
      <c r="BN8" s="320"/>
    </row>
    <row r="9" spans="1:66" s="26" customFormat="1" ht="16.350000000000001" customHeight="1">
      <c r="A9" s="25">
        <v>1</v>
      </c>
      <c r="B9" s="203" t="str">
        <f>IF(IDstu1="","",IDstu1)</f>
        <v/>
      </c>
      <c r="C9" s="322" t="str">
        <f>IF(Name1="","",Name1)</f>
        <v/>
      </c>
      <c r="D9" s="323"/>
      <c r="E9" s="323"/>
      <c r="F9" s="323"/>
      <c r="G9" s="323"/>
      <c r="H9" s="324" t="str">
        <f>IF(Surname1="","",Surname1)</f>
        <v/>
      </c>
      <c r="I9" s="324"/>
      <c r="J9" s="324"/>
      <c r="K9" s="324"/>
      <c r="L9" s="325"/>
      <c r="M9" s="102" t="str">
        <f>VLOOKUP($B9,'3.Grades'!$C$6:$BN$50,9,FALSE)</f>
        <v/>
      </c>
      <c r="N9" s="90" t="str">
        <f>VLOOKUP($B9,'3.Grades'!$C$6:$BN$50,14,FALSE)</f>
        <v/>
      </c>
      <c r="O9" s="104" t="str">
        <f>VLOOKUP($B9,'3.Grades'!$C$6:$BN$50,19,FALSE)</f>
        <v/>
      </c>
      <c r="P9" s="90" t="str">
        <f>VLOOKUP($B9,'3.Grades'!$C$6:$BN$50,24,FALSE)</f>
        <v/>
      </c>
      <c r="Q9" s="90" t="str">
        <f>VLOOKUP($B9,'3.Grades'!$C$6:$BN$50,29,FALSE)</f>
        <v/>
      </c>
      <c r="R9" s="90" t="str">
        <f>VLOOKUP($B9,'3.Grades'!$C$6:$BN$50,34,FALSE)</f>
        <v/>
      </c>
      <c r="S9" s="104" t="str">
        <f>VLOOKUP($B9,'3.Grades'!$C$6:$BN$50,39,FALSE)</f>
        <v/>
      </c>
      <c r="T9" s="104" t="str">
        <f>VLOOKUP($B9,'3.Grades'!$C$6:$BN$50,44,FALSE)</f>
        <v/>
      </c>
      <c r="U9" s="90" t="str">
        <f>VLOOKUP($B9,'3.Grades'!$C$6:$BN$50,49,FALSE)</f>
        <v/>
      </c>
      <c r="V9" s="94" t="str">
        <f>VLOOKUP($B9,'3.Grades'!$C$6:$BN$50,54,FALSE)</f>
        <v/>
      </c>
      <c r="W9" s="94" t="str">
        <f>VLOOKUP($B9,'3.Grades'!$C$6:$BN$50,59,FALSE)</f>
        <v/>
      </c>
      <c r="X9" s="97" t="str">
        <f>VLOOKUP($B9,'3.Grades'!$C$6:$BN$50,64,FALSE)</f>
        <v/>
      </c>
      <c r="Y9" s="74" t="str">
        <f t="array" ref="Y9:Y53">IF(Gengrade1="","",Gengrade1)</f>
        <v/>
      </c>
      <c r="Z9" s="75" t="str">
        <f t="array" ref="Z9:Z53">IF(Gengrade2="","",Gengrade2)</f>
        <v/>
      </c>
      <c r="AA9" s="76" t="str">
        <f t="array" ref="AA9:AA53">IF(Gengrade3="","",Gengrade3)</f>
        <v/>
      </c>
      <c r="AB9" s="75" t="str">
        <f t="array" ref="AB9:AB53">IF(Gengrade4="","",Gengrade4)</f>
        <v/>
      </c>
      <c r="AC9" s="75" t="str">
        <f t="array" ref="AC9:AC53">IF(Gengrade5="","",Gengrade5)</f>
        <v/>
      </c>
      <c r="AD9" s="75" t="str">
        <f t="array" ref="AD9:AD53">IF(Gengrade6="","",Gengrade6)</f>
        <v/>
      </c>
      <c r="AE9" s="76" t="str">
        <f t="array" ref="AE9:AE53">IF(Gengrade7="","",Gengrade7)</f>
        <v/>
      </c>
      <c r="AF9" s="76" t="str">
        <f t="array" ref="AF9:AF53">IF(Gengrade8="","",Gengrade8)</f>
        <v/>
      </c>
      <c r="AG9" s="75" t="str">
        <f t="array" ref="AG9:AG53">IF(Gengrade9="","",Gengrade9)</f>
        <v/>
      </c>
      <c r="AH9" s="109" t="str">
        <f t="array" ref="AH9:AH53">IF(Gengrade10="","",Gengrade10)</f>
        <v/>
      </c>
      <c r="AI9" s="109" t="str">
        <f t="array" ref="AI9:AI53">IF(Gengrade11="","",Gengrade11)</f>
        <v/>
      </c>
      <c r="AJ9" s="77" t="str">
        <f t="array" ref="AJ9:AJ53">IF(Gengrade12="","",Gengrade12)</f>
        <v/>
      </c>
      <c r="AK9" s="189" t="e">
        <f>IF(#REF!="มส","มส",IF(#REF!="","",IF($AK$7="","",IF($AK$7="SBMLD",SUM(#REF!),#REF!))))</f>
        <v>#REF!</v>
      </c>
      <c r="AL9" s="100" t="e">
        <f>IF(#REF!="มส","มส",IF(#REF!="","",IF($AL$7="","",IF($AL$7="SBMLD",SUM(#REF!),#REF!))))</f>
        <v>#REF!</v>
      </c>
      <c r="AM9" s="100" t="e">
        <f>IF(#REF!="มส","มส",IF(#REF!="","",IF($AM$7="","",IF($AM$7="SBMLD",SUM(#REF!),#REF!))))</f>
        <v>#REF!</v>
      </c>
      <c r="AN9" s="100" t="e">
        <f>IF(#REF!="มส","มส",IF(#REF!="","",IF($AN$7="","",IF($AN$7="SBMLD",SUM(#REF!),#REF!))))</f>
        <v>#REF!</v>
      </c>
      <c r="AO9" s="101" t="e">
        <f>IF(#REF!="มส","มส",IF(#REF!="","",IF($AO$7="","",IF($AO$7="SBMLD",SUM(#REF!),#REF!))))</f>
        <v>#REF!</v>
      </c>
      <c r="AP9" s="188"/>
      <c r="AQ9" s="74" t="str">
        <f t="shared" ref="AQ9:BG9" si="0">IF(Y9="","",IF(Y9="ร","0",IF(Y9="มส","0",Y9*Y$8)))</f>
        <v/>
      </c>
      <c r="AR9" s="75" t="str">
        <f t="shared" si="0"/>
        <v/>
      </c>
      <c r="AS9" s="76" t="str">
        <f t="shared" si="0"/>
        <v/>
      </c>
      <c r="AT9" s="75" t="str">
        <f t="shared" si="0"/>
        <v/>
      </c>
      <c r="AU9" s="75" t="str">
        <f t="shared" si="0"/>
        <v/>
      </c>
      <c r="AV9" s="75" t="str">
        <f t="shared" si="0"/>
        <v/>
      </c>
      <c r="AW9" s="76" t="str">
        <f t="shared" si="0"/>
        <v/>
      </c>
      <c r="AX9" s="76" t="str">
        <f t="shared" si="0"/>
        <v/>
      </c>
      <c r="AY9" s="75" t="str">
        <f t="shared" si="0"/>
        <v/>
      </c>
      <c r="AZ9" s="109" t="str">
        <f t="shared" si="0"/>
        <v/>
      </c>
      <c r="BA9" s="109" t="str">
        <f t="shared" si="0"/>
        <v/>
      </c>
      <c r="BB9" s="77" t="str">
        <f t="shared" si="0"/>
        <v/>
      </c>
      <c r="BC9" s="99" t="e">
        <f t="shared" si="0"/>
        <v>#REF!</v>
      </c>
      <c r="BD9" s="100" t="e">
        <f t="shared" si="0"/>
        <v>#REF!</v>
      </c>
      <c r="BE9" s="100" t="e">
        <f t="shared" si="0"/>
        <v>#REF!</v>
      </c>
      <c r="BF9" s="100" t="e">
        <f>IF(AN9="","",IF(AN9="ร","0",IF(AN9="มส","0",AN9*AN$8)))</f>
        <v>#REF!</v>
      </c>
      <c r="BG9" s="101" t="e">
        <f t="shared" si="0"/>
        <v>#REF!</v>
      </c>
      <c r="BH9" s="102" t="str">
        <f>IF('2.Students'' data'!R11="มส","",IF('2.Students'' data'!R11="ย้าย","",IF(C9="","",SUM(AQ9:BG9)/SUM(top))))</f>
        <v/>
      </c>
      <c r="BI9" s="97" t="str">
        <f>IF('2.Students'' data'!R11="มส","มส",IF('2.Students'' data'!R11="ย้าย","ย้าย",IF('2.Students'' data'!R11="ร","ร",IF(BH9="","",RANK(BH9,$BH$9:$BH$53,0)))))</f>
        <v/>
      </c>
      <c r="BJ9" s="319"/>
      <c r="BK9" s="320"/>
      <c r="BL9" s="320"/>
      <c r="BM9" s="320"/>
      <c r="BN9" s="320"/>
    </row>
    <row r="10" spans="1:66" s="26" customFormat="1" ht="16.350000000000001" customHeight="1">
      <c r="A10" s="27">
        <v>2</v>
      </c>
      <c r="B10" s="204" t="str">
        <f>IF(IDstu2="","",IDstu2)</f>
        <v/>
      </c>
      <c r="C10" s="282" t="str">
        <f>IF(Name2="","",Name2)</f>
        <v/>
      </c>
      <c r="D10" s="283"/>
      <c r="E10" s="283"/>
      <c r="F10" s="283"/>
      <c r="G10" s="283"/>
      <c r="H10" s="276" t="str">
        <f>IF(Surname2="","",Surname2)</f>
        <v/>
      </c>
      <c r="I10" s="276"/>
      <c r="J10" s="276"/>
      <c r="K10" s="276"/>
      <c r="L10" s="277"/>
      <c r="M10" s="89" t="str">
        <f>VLOOKUP($B10,'3.Grades'!$C$6:$BN$50,9,FALSE)</f>
        <v/>
      </c>
      <c r="N10" s="92" t="str">
        <f>VLOOKUP($B10,'3.Grades'!$C$6:$BN$50,14,FALSE)</f>
        <v/>
      </c>
      <c r="O10" s="92" t="str">
        <f>VLOOKUP($B10,'3.Grades'!$C$6:$BN$50,19,FALSE)</f>
        <v/>
      </c>
      <c r="P10" s="17" t="str">
        <f>VLOOKUP($B10,'3.Grades'!$C$6:$BN$50,24,FALSE)</f>
        <v/>
      </c>
      <c r="Q10" s="92" t="str">
        <f>VLOOKUP($B10,'3.Grades'!$C$6:$BN$50,29,FALSE)</f>
        <v/>
      </c>
      <c r="R10" s="92" t="str">
        <f>VLOOKUP($B10,'3.Grades'!$C$6:$BN$50,34,FALSE)</f>
        <v/>
      </c>
      <c r="S10" s="92" t="str">
        <f>VLOOKUP($B10,'3.Grades'!$C$6:$BN$50,39,FALSE)</f>
        <v/>
      </c>
      <c r="T10" s="92" t="str">
        <f>VLOOKUP($B10,'3.Grades'!$C$6:$BN$50,44,FALSE)</f>
        <v/>
      </c>
      <c r="U10" s="17" t="str">
        <f>VLOOKUP($B10,'3.Grades'!$C$6:$BN$50,49,FALSE)</f>
        <v/>
      </c>
      <c r="V10" s="95" t="str">
        <f>VLOOKUP($B10,'3.Grades'!$C$6:$BN$50,54,FALSE)</f>
        <v/>
      </c>
      <c r="W10" s="95" t="str">
        <f>VLOOKUP($B10,'3.Grades'!$C$6:$BN$50,59,FALSE)</f>
        <v/>
      </c>
      <c r="X10" s="18" t="str">
        <f>VLOOKUP($B10,'3.Grades'!$C$6:$BN$50,64,FALSE)</f>
        <v/>
      </c>
      <c r="Y10" s="78" t="str">
        <v/>
      </c>
      <c r="Z10" s="79" t="str">
        <v/>
      </c>
      <c r="AA10" s="79" t="str">
        <v/>
      </c>
      <c r="AB10" s="70" t="str">
        <v/>
      </c>
      <c r="AC10" s="79" t="str">
        <v/>
      </c>
      <c r="AD10" s="79" t="str">
        <v/>
      </c>
      <c r="AE10" s="79" t="str">
        <v/>
      </c>
      <c r="AF10" s="79" t="str">
        <v/>
      </c>
      <c r="AG10" s="70" t="str">
        <v/>
      </c>
      <c r="AH10" s="108" t="str">
        <v/>
      </c>
      <c r="AI10" s="108" t="str">
        <v/>
      </c>
      <c r="AJ10" s="71" t="str">
        <v/>
      </c>
      <c r="AK10" s="78" t="e">
        <f>IF(#REF!="มส","มส",IF(#REF!="","",IF($AK$7="","",IF($AK$7="SBMLD",SUM(#REF!),#REF!))))</f>
        <v>#REF!</v>
      </c>
      <c r="AL10" s="79" t="e">
        <f>IF(#REF!="มส","มส",IF(#REF!="","",IF($AL$7="","",IF($AL$7="SBMLD",SUM(#REF!),#REF!))))</f>
        <v>#REF!</v>
      </c>
      <c r="AM10" s="79" t="e">
        <f>IF(#REF!="มส","มส",IF(#REF!="","",IF($AM$7="","",IF($AM$7="SBMLD",SUM(#REF!),#REF!))))</f>
        <v>#REF!</v>
      </c>
      <c r="AN10" s="70" t="e">
        <f>IF(#REF!="มส","มส",IF(#REF!="","",IF($AN$7="","",IF($AN$7="SBMLD",SUM(#REF!),#REF!))))</f>
        <v>#REF!</v>
      </c>
      <c r="AO10" s="71" t="e">
        <f>IF(#REF!="มส","มส",IF(#REF!="","",IF($AO$7="","",IF($AO$7="SBMLD",SUM(#REF!),#REF!))))</f>
        <v>#REF!</v>
      </c>
      <c r="AP10" s="188"/>
      <c r="AQ10" s="78" t="str">
        <f t="shared" ref="AQ10:AQ53" si="1">IF(Y10="","",IF(Y10="ร","0",IF(Y10="มส","0",Y10*Y$8)))</f>
        <v/>
      </c>
      <c r="AR10" s="79" t="str">
        <f t="shared" ref="AR10:AR53" si="2">IF(Z10="","",IF(Z10="ร","0",IF(Z10="มส","0",Z10*Z$8)))</f>
        <v/>
      </c>
      <c r="AS10" s="79" t="str">
        <f t="shared" ref="AS10:AS53" si="3">IF(AA10="","",IF(AA10="ร","0",IF(AA10="มส","0",AA10*AA$8)))</f>
        <v/>
      </c>
      <c r="AT10" s="70" t="str">
        <f t="shared" ref="AT10:AT53" si="4">IF(AB10="","",IF(AB10="ร","0",IF(AB10="มส","0",AB10*AB$8)))</f>
        <v/>
      </c>
      <c r="AU10" s="79" t="str">
        <f t="shared" ref="AU10:AU53" si="5">IF(AC10="","",IF(AC10="ร","0",IF(AC10="มส","0",AC10*AC$8)))</f>
        <v/>
      </c>
      <c r="AV10" s="79" t="str">
        <f t="shared" ref="AV10:AV53" si="6">IF(AD10="","",IF(AD10="ร","0",IF(AD10="มส","0",AD10*AD$8)))</f>
        <v/>
      </c>
      <c r="AW10" s="79" t="str">
        <f t="shared" ref="AW10:AW53" si="7">IF(AE10="","",IF(AE10="ร","0",IF(AE10="มส","0",AE10*AE$8)))</f>
        <v/>
      </c>
      <c r="AX10" s="79" t="str">
        <f t="shared" ref="AX10:AX53" si="8">IF(AF10="","",IF(AF10="ร","0",IF(AF10="มส","0",AF10*AF$8)))</f>
        <v/>
      </c>
      <c r="AY10" s="70" t="str">
        <f t="shared" ref="AY10:AY53" si="9">IF(AG10="","",IF(AG10="ร","0",IF(AG10="มส","0",AG10*AG$8)))</f>
        <v/>
      </c>
      <c r="AZ10" s="108" t="str">
        <f t="shared" ref="AZ10:AZ53" si="10">IF(AH10="","",IF(AH10="ร","0",IF(AH10="มส","0",AH10*AH$8)))</f>
        <v/>
      </c>
      <c r="BA10" s="108" t="str">
        <f t="shared" ref="BA10:BA53" si="11">IF(AI10="","",IF(AI10="ร","0",IF(AI10="มส","0",AI10*AI$8)))</f>
        <v/>
      </c>
      <c r="BB10" s="71" t="str">
        <f>IF(AJ10="","",IF(AJ10="ร","0",IF(AJ10="มส","0",AJ10*AJ$8)))</f>
        <v/>
      </c>
      <c r="BC10" s="78" t="e">
        <f t="shared" ref="BC10:BC53" si="12">IF(AK10="","",IF(AK10="ร","0",IF(AK10="มส","0",AK10*AK$8)))</f>
        <v>#REF!</v>
      </c>
      <c r="BD10" s="79" t="e">
        <f t="shared" ref="BD10:BD53" si="13">IF(AL10="","",IF(AL10="ร","0",IF(AL10="มส","0",AL10*AL$8)))</f>
        <v>#REF!</v>
      </c>
      <c r="BE10" s="79" t="e">
        <f t="shared" ref="BE10:BE53" si="14">IF(AM10="","",IF(AM10="ร","0",IF(AM10="มส","0",AM10*AM$8)))</f>
        <v>#REF!</v>
      </c>
      <c r="BF10" s="79" t="e">
        <f>IF(AN10="","",IF(AN10="ร","0",IF(AN10="มส","0",AN10*AN$8)))</f>
        <v>#REF!</v>
      </c>
      <c r="BG10" s="71" t="e">
        <f t="shared" ref="BG10:BG53" si="15">IF(AO10="","",IF(AO10="ร","0",IF(AO10="มส","0",AO10*AO$8)))</f>
        <v>#REF!</v>
      </c>
      <c r="BH10" s="105" t="str">
        <f>IF('2.Students'' data'!R12="มส","",IF('2.Students'' data'!R12="ย้าย","",IF(C10="","",SUM(AQ10:BG10)/SUM(top))))</f>
        <v/>
      </c>
      <c r="BI10" s="18" t="str">
        <f>IF('2.Students'' data'!R12="มส","มส",IF('2.Students'' data'!R12="ย้าย","ย้าย",IF('2.Students'' data'!R12="ร","ร",IF(BH10="","",RANK(BH10,$BH$9:$BH$53,0)))))</f>
        <v/>
      </c>
      <c r="BJ10" s="319"/>
      <c r="BK10" s="320"/>
      <c r="BL10" s="320"/>
      <c r="BM10" s="320"/>
      <c r="BN10" s="320"/>
    </row>
    <row r="11" spans="1:66" s="26" customFormat="1" ht="16.350000000000001" customHeight="1">
      <c r="A11" s="27">
        <v>3</v>
      </c>
      <c r="B11" s="204" t="str">
        <f>IF(IDstu3="","",IDstu3)</f>
        <v/>
      </c>
      <c r="C11" s="282" t="str">
        <f>IF(Name3="","",Name3)</f>
        <v/>
      </c>
      <c r="D11" s="283"/>
      <c r="E11" s="283"/>
      <c r="F11" s="283"/>
      <c r="G11" s="283"/>
      <c r="H11" s="276" t="str">
        <f>IF(Surname3="","",Surname3)</f>
        <v/>
      </c>
      <c r="I11" s="276"/>
      <c r="J11" s="276"/>
      <c r="K11" s="276"/>
      <c r="L11" s="277"/>
      <c r="M11" s="89" t="str">
        <f>VLOOKUP($B11,'3.Grades'!$C$6:$BN$50,9,FALSE)</f>
        <v/>
      </c>
      <c r="N11" s="92" t="str">
        <f>VLOOKUP($B11,'3.Grades'!$C$6:$BN$50,14,FALSE)</f>
        <v/>
      </c>
      <c r="O11" s="92" t="str">
        <f>VLOOKUP($B11,'3.Grades'!$C$6:$BN$50,19,FALSE)</f>
        <v/>
      </c>
      <c r="P11" s="17" t="str">
        <f>VLOOKUP($B11,'3.Grades'!$C$6:$BN$50,24,FALSE)</f>
        <v/>
      </c>
      <c r="Q11" s="92" t="str">
        <f>VLOOKUP($B11,'3.Grades'!$C$6:$BN$50,29,FALSE)</f>
        <v/>
      </c>
      <c r="R11" s="92" t="str">
        <f>VLOOKUP($B11,'3.Grades'!$C$6:$BN$50,34,FALSE)</f>
        <v/>
      </c>
      <c r="S11" s="92" t="str">
        <f>VLOOKUP($B11,'3.Grades'!$C$6:$BN$50,39,FALSE)</f>
        <v/>
      </c>
      <c r="T11" s="92" t="str">
        <f>VLOOKUP($B11,'3.Grades'!$C$6:$BN$50,44,FALSE)</f>
        <v/>
      </c>
      <c r="U11" s="17" t="str">
        <f>VLOOKUP($B11,'3.Grades'!$C$6:$BN$50,49,FALSE)</f>
        <v/>
      </c>
      <c r="V11" s="95" t="str">
        <f>VLOOKUP($B11,'3.Grades'!$C$6:$BN$50,54,FALSE)</f>
        <v/>
      </c>
      <c r="W11" s="95" t="str">
        <f>VLOOKUP($B11,'3.Grades'!$C$6:$BN$50,59,FALSE)</f>
        <v/>
      </c>
      <c r="X11" s="18" t="str">
        <f>VLOOKUP($B11,'3.Grades'!$C$6:$BN$50,64,FALSE)</f>
        <v/>
      </c>
      <c r="Y11" s="78" t="str">
        <v/>
      </c>
      <c r="Z11" s="79" t="str">
        <v/>
      </c>
      <c r="AA11" s="79" t="str">
        <v/>
      </c>
      <c r="AB11" s="70" t="str">
        <v/>
      </c>
      <c r="AC11" s="79" t="str">
        <v/>
      </c>
      <c r="AD11" s="79" t="str">
        <v/>
      </c>
      <c r="AE11" s="79" t="str">
        <v/>
      </c>
      <c r="AF11" s="79" t="str">
        <v/>
      </c>
      <c r="AG11" s="70" t="str">
        <v/>
      </c>
      <c r="AH11" s="108" t="str">
        <v/>
      </c>
      <c r="AI11" s="108" t="str">
        <v/>
      </c>
      <c r="AJ11" s="71" t="str">
        <v/>
      </c>
      <c r="AK11" s="78" t="e">
        <f>IF(#REF!="มส","มส",IF(#REF!="","",IF($AK$7="","",IF($AK$7="SBMLD",SUM(#REF!),#REF!))))</f>
        <v>#REF!</v>
      </c>
      <c r="AL11" s="79" t="e">
        <f>IF(#REF!="มส","มส",IF(#REF!="","",IF($AL$7="","",IF($AL$7="SBMLD",SUM(#REF!),#REF!))))</f>
        <v>#REF!</v>
      </c>
      <c r="AM11" s="79" t="e">
        <f>IF(#REF!="มส","มส",IF(#REF!="","",IF($AM$7="","",IF($AM$7="SBMLD",SUM(#REF!),#REF!))))</f>
        <v>#REF!</v>
      </c>
      <c r="AN11" s="70" t="e">
        <f>IF(#REF!="มส","มส",IF(#REF!="","",IF($AN$7="","",IF($AN$7="SBMLD",SUM(#REF!),#REF!))))</f>
        <v>#REF!</v>
      </c>
      <c r="AO11" s="71" t="e">
        <f>IF(#REF!="มส","มส",IF(#REF!="","",IF($AO$7="","",IF($AO$7="SBMLD",SUM(#REF!),#REF!))))</f>
        <v>#REF!</v>
      </c>
      <c r="AP11" s="188"/>
      <c r="AQ11" s="78" t="str">
        <f t="shared" si="1"/>
        <v/>
      </c>
      <c r="AR11" s="79" t="str">
        <f t="shared" si="2"/>
        <v/>
      </c>
      <c r="AS11" s="79" t="str">
        <f t="shared" si="3"/>
        <v/>
      </c>
      <c r="AT11" s="70" t="str">
        <f t="shared" si="4"/>
        <v/>
      </c>
      <c r="AU11" s="79" t="str">
        <f t="shared" si="5"/>
        <v/>
      </c>
      <c r="AV11" s="79" t="str">
        <f t="shared" si="6"/>
        <v/>
      </c>
      <c r="AW11" s="79" t="str">
        <f t="shared" si="7"/>
        <v/>
      </c>
      <c r="AX11" s="79" t="str">
        <f t="shared" si="8"/>
        <v/>
      </c>
      <c r="AY11" s="70" t="str">
        <f t="shared" si="9"/>
        <v/>
      </c>
      <c r="AZ11" s="108" t="str">
        <f t="shared" si="10"/>
        <v/>
      </c>
      <c r="BA11" s="108" t="str">
        <f t="shared" si="11"/>
        <v/>
      </c>
      <c r="BB11" s="71" t="str">
        <f t="shared" ref="BB11:BB53" si="16">IF(AJ11="","",IF(AJ11="ร","0",IF(AJ11="มส","0",AJ11*AJ$8)))</f>
        <v/>
      </c>
      <c r="BC11" s="78" t="e">
        <f t="shared" si="12"/>
        <v>#REF!</v>
      </c>
      <c r="BD11" s="79" t="e">
        <f t="shared" si="13"/>
        <v>#REF!</v>
      </c>
      <c r="BE11" s="79" t="e">
        <f t="shared" si="14"/>
        <v>#REF!</v>
      </c>
      <c r="BF11" s="79" t="e">
        <f t="shared" ref="BF11:BF53" si="17">IF(AN11="","",IF(AN11="ร","0",IF(AN11="มส","0",AN11*AN$8)))</f>
        <v>#REF!</v>
      </c>
      <c r="BG11" s="71" t="e">
        <f t="shared" si="15"/>
        <v>#REF!</v>
      </c>
      <c r="BH11" s="105" t="str">
        <f>IF('2.Students'' data'!R13="มส","",IF('2.Students'' data'!R13="ย้าย","",IF(C11="","",SUM(AQ11:BG11)/SUM(top))))</f>
        <v/>
      </c>
      <c r="BI11" s="18" t="str">
        <f>IF('2.Students'' data'!R13="มส","มส",IF('2.Students'' data'!R13="ย้าย","ย้าย",IF('2.Students'' data'!R13="ร","ร",IF(BH11="","",RANK(BH11,$BH$9:$BH$53,0)))))</f>
        <v/>
      </c>
      <c r="BJ11" s="319"/>
      <c r="BK11" s="320"/>
      <c r="BL11" s="320"/>
      <c r="BM11" s="320"/>
      <c r="BN11" s="320"/>
    </row>
    <row r="12" spans="1:66" s="26" customFormat="1" ht="16.350000000000001" customHeight="1">
      <c r="A12" s="27">
        <v>4</v>
      </c>
      <c r="B12" s="204" t="str">
        <f>IF(IDstu4="","",IDstu4)</f>
        <v/>
      </c>
      <c r="C12" s="282" t="str">
        <f>IF(Name4="","",Name4)</f>
        <v/>
      </c>
      <c r="D12" s="283"/>
      <c r="E12" s="283"/>
      <c r="F12" s="283"/>
      <c r="G12" s="283"/>
      <c r="H12" s="276" t="str">
        <f>IF(Surname4="","",Surname4)</f>
        <v/>
      </c>
      <c r="I12" s="276"/>
      <c r="J12" s="276"/>
      <c r="K12" s="276"/>
      <c r="L12" s="277"/>
      <c r="M12" s="89" t="str">
        <f>VLOOKUP($B12,'3.Grades'!$C$6:$BN$50,9,FALSE)</f>
        <v/>
      </c>
      <c r="N12" s="92" t="str">
        <f>VLOOKUP($B12,'3.Grades'!$C$6:$BN$50,14,FALSE)</f>
        <v/>
      </c>
      <c r="O12" s="92" t="str">
        <f>VLOOKUP($B12,'3.Grades'!$C$6:$BN$50,19,FALSE)</f>
        <v/>
      </c>
      <c r="P12" s="17" t="str">
        <f>VLOOKUP($B12,'3.Grades'!$C$6:$BN$50,24,FALSE)</f>
        <v/>
      </c>
      <c r="Q12" s="92" t="str">
        <f>VLOOKUP($B12,'3.Grades'!$C$6:$BN$50,29,FALSE)</f>
        <v/>
      </c>
      <c r="R12" s="92" t="str">
        <f>VLOOKUP($B12,'3.Grades'!$C$6:$BN$50,34,FALSE)</f>
        <v/>
      </c>
      <c r="S12" s="92" t="str">
        <f>VLOOKUP($B12,'3.Grades'!$C$6:$BN$50,39,FALSE)</f>
        <v/>
      </c>
      <c r="T12" s="92" t="str">
        <f>VLOOKUP($B12,'3.Grades'!$C$6:$BN$50,44,FALSE)</f>
        <v/>
      </c>
      <c r="U12" s="17" t="str">
        <f>VLOOKUP($B12,'3.Grades'!$C$6:$BN$50,49,FALSE)</f>
        <v/>
      </c>
      <c r="V12" s="95" t="str">
        <f>VLOOKUP($B12,'3.Grades'!$C$6:$BN$50,54,FALSE)</f>
        <v/>
      </c>
      <c r="W12" s="95" t="str">
        <f>VLOOKUP($B12,'3.Grades'!$C$6:$BN$50,59,FALSE)</f>
        <v/>
      </c>
      <c r="X12" s="18" t="str">
        <f>VLOOKUP($B12,'3.Grades'!$C$6:$BN$50,64,FALSE)</f>
        <v/>
      </c>
      <c r="Y12" s="78" t="str">
        <v/>
      </c>
      <c r="Z12" s="79" t="str">
        <v/>
      </c>
      <c r="AA12" s="79" t="str">
        <v/>
      </c>
      <c r="AB12" s="70" t="str">
        <v/>
      </c>
      <c r="AC12" s="79" t="str">
        <v/>
      </c>
      <c r="AD12" s="79" t="str">
        <v/>
      </c>
      <c r="AE12" s="79" t="str">
        <v/>
      </c>
      <c r="AF12" s="79" t="str">
        <v/>
      </c>
      <c r="AG12" s="70" t="str">
        <v/>
      </c>
      <c r="AH12" s="108" t="str">
        <v/>
      </c>
      <c r="AI12" s="108" t="str">
        <v/>
      </c>
      <c r="AJ12" s="71" t="str">
        <v/>
      </c>
      <c r="AK12" s="78" t="e">
        <f>IF(#REF!="มส","มส",IF(#REF!="","",IF($AK$7="","",IF($AK$7="SBMLD",SUM(#REF!),#REF!))))</f>
        <v>#REF!</v>
      </c>
      <c r="AL12" s="79" t="e">
        <f>IF(#REF!="มส","มส",IF(#REF!="","",IF($AL$7="","",IF($AL$7="SBMLD",SUM(#REF!),#REF!))))</f>
        <v>#REF!</v>
      </c>
      <c r="AM12" s="79" t="e">
        <f>IF(#REF!="มส","มส",IF(#REF!="","",IF($AM$7="","",IF($AM$7="SBMLD",SUM(#REF!),#REF!))))</f>
        <v>#REF!</v>
      </c>
      <c r="AN12" s="70" t="e">
        <f>IF(#REF!="มส","มส",IF(#REF!="","",IF($AN$7="","",IF($AN$7="SBMLD",SUM(#REF!),#REF!))))</f>
        <v>#REF!</v>
      </c>
      <c r="AO12" s="71" t="e">
        <f>IF(#REF!="มส","มส",IF(#REF!="","",IF($AO$7="","",IF($AO$7="SBMLD",SUM(#REF!),#REF!))))</f>
        <v>#REF!</v>
      </c>
      <c r="AP12" s="188"/>
      <c r="AQ12" s="78" t="str">
        <f t="shared" si="1"/>
        <v/>
      </c>
      <c r="AR12" s="79" t="str">
        <f t="shared" si="2"/>
        <v/>
      </c>
      <c r="AS12" s="79" t="str">
        <f t="shared" si="3"/>
        <v/>
      </c>
      <c r="AT12" s="70" t="str">
        <f t="shared" si="4"/>
        <v/>
      </c>
      <c r="AU12" s="79" t="str">
        <f t="shared" si="5"/>
        <v/>
      </c>
      <c r="AV12" s="79" t="str">
        <f t="shared" si="6"/>
        <v/>
      </c>
      <c r="AW12" s="79" t="str">
        <f t="shared" si="7"/>
        <v/>
      </c>
      <c r="AX12" s="79" t="str">
        <f t="shared" si="8"/>
        <v/>
      </c>
      <c r="AY12" s="70" t="str">
        <f t="shared" si="9"/>
        <v/>
      </c>
      <c r="AZ12" s="108" t="str">
        <f t="shared" si="10"/>
        <v/>
      </c>
      <c r="BA12" s="108" t="str">
        <f t="shared" si="11"/>
        <v/>
      </c>
      <c r="BB12" s="71" t="str">
        <f t="shared" si="16"/>
        <v/>
      </c>
      <c r="BC12" s="78" t="e">
        <f>IF(AK12="","",IF(AK12="ร","0",IF(AK12="มส","0",AK12*AK$8)))</f>
        <v>#REF!</v>
      </c>
      <c r="BD12" s="79" t="e">
        <f t="shared" si="13"/>
        <v>#REF!</v>
      </c>
      <c r="BE12" s="79" t="e">
        <f t="shared" si="14"/>
        <v>#REF!</v>
      </c>
      <c r="BF12" s="79" t="e">
        <f>IF(AN12="","",IF(AN12="ร","0",IF(AN12="มส","0",AN12*AN$8)))</f>
        <v>#REF!</v>
      </c>
      <c r="BG12" s="71" t="e">
        <f t="shared" si="15"/>
        <v>#REF!</v>
      </c>
      <c r="BH12" s="105" t="str">
        <f>IF('2.Students'' data'!R14="มส","",IF('2.Students'' data'!R14="ย้าย","",IF(C12="","",SUM(AQ12:BG12)/SUM(top))))</f>
        <v/>
      </c>
      <c r="BI12" s="18" t="str">
        <f>IF('2.Students'' data'!R14="มส","มส",IF('2.Students'' data'!R14="ย้าย","ย้าย",IF('2.Students'' data'!R14="ร","ร",IF(BH12="","",RANK(BH12,$BH$9:$BH$53,0)))))</f>
        <v/>
      </c>
      <c r="BJ12" s="319"/>
      <c r="BK12" s="320"/>
      <c r="BL12" s="320"/>
      <c r="BM12" s="320"/>
      <c r="BN12" s="320"/>
    </row>
    <row r="13" spans="1:66" s="26" customFormat="1" ht="16.350000000000001" customHeight="1">
      <c r="A13" s="27">
        <v>5</v>
      </c>
      <c r="B13" s="204" t="str">
        <f>IF(IDstu5="","",IDstu5)</f>
        <v/>
      </c>
      <c r="C13" s="282" t="str">
        <f>IF(Name5="","",Name5)</f>
        <v/>
      </c>
      <c r="D13" s="283"/>
      <c r="E13" s="283"/>
      <c r="F13" s="283"/>
      <c r="G13" s="283"/>
      <c r="H13" s="276" t="str">
        <f>IF(Surname5="","",Surname5)</f>
        <v/>
      </c>
      <c r="I13" s="276"/>
      <c r="J13" s="276"/>
      <c r="K13" s="276"/>
      <c r="L13" s="277"/>
      <c r="M13" s="89" t="str">
        <f>VLOOKUP($B13,'3.Grades'!$C$6:$BN$50,9,FALSE)</f>
        <v/>
      </c>
      <c r="N13" s="92" t="str">
        <f>VLOOKUP($B13,'3.Grades'!$C$6:$BN$50,14,FALSE)</f>
        <v/>
      </c>
      <c r="O13" s="92" t="str">
        <f>VLOOKUP($B13,'3.Grades'!$C$6:$BN$50,19,FALSE)</f>
        <v/>
      </c>
      <c r="P13" s="17" t="str">
        <f>VLOOKUP($B13,'3.Grades'!$C$6:$BN$50,24,FALSE)</f>
        <v/>
      </c>
      <c r="Q13" s="92" t="str">
        <f>VLOOKUP($B13,'3.Grades'!$C$6:$BN$50,29,FALSE)</f>
        <v/>
      </c>
      <c r="R13" s="92" t="str">
        <f>VLOOKUP($B13,'3.Grades'!$C$6:$BN$50,34,FALSE)</f>
        <v/>
      </c>
      <c r="S13" s="92" t="str">
        <f>VLOOKUP($B13,'3.Grades'!$C$6:$BN$50,39,FALSE)</f>
        <v/>
      </c>
      <c r="T13" s="92" t="str">
        <f>VLOOKUP($B13,'3.Grades'!$C$6:$BN$50,44,FALSE)</f>
        <v/>
      </c>
      <c r="U13" s="17" t="str">
        <f>VLOOKUP($B13,'3.Grades'!$C$6:$BN$50,49,FALSE)</f>
        <v/>
      </c>
      <c r="V13" s="95" t="str">
        <f>VLOOKUP($B13,'3.Grades'!$C$6:$BN$50,54,FALSE)</f>
        <v/>
      </c>
      <c r="W13" s="95" t="str">
        <f>VLOOKUP($B13,'3.Grades'!$C$6:$BN$50,59,FALSE)</f>
        <v/>
      </c>
      <c r="X13" s="18" t="str">
        <f>VLOOKUP($B13,'3.Grades'!$C$6:$BN$50,64,FALSE)</f>
        <v/>
      </c>
      <c r="Y13" s="78" t="str">
        <v/>
      </c>
      <c r="Z13" s="79" t="str">
        <v/>
      </c>
      <c r="AA13" s="79" t="str">
        <v/>
      </c>
      <c r="AB13" s="70" t="str">
        <v/>
      </c>
      <c r="AC13" s="79" t="str">
        <v/>
      </c>
      <c r="AD13" s="79" t="str">
        <v/>
      </c>
      <c r="AE13" s="79" t="str">
        <v/>
      </c>
      <c r="AF13" s="79" t="str">
        <v/>
      </c>
      <c r="AG13" s="70" t="str">
        <v/>
      </c>
      <c r="AH13" s="108" t="str">
        <v/>
      </c>
      <c r="AI13" s="108" t="str">
        <v/>
      </c>
      <c r="AJ13" s="71" t="str">
        <v/>
      </c>
      <c r="AK13" s="78" t="e">
        <f>IF(#REF!="มส","มส",IF(#REF!="","",IF($AK$7="","",IF($AK$7="SBMLD",SUM(#REF!),#REF!))))</f>
        <v>#REF!</v>
      </c>
      <c r="AL13" s="79" t="e">
        <f>IF(#REF!="มส","มส",IF(#REF!="","",IF($AL$7="","",IF($AL$7="SBMLD",SUM(#REF!),#REF!))))</f>
        <v>#REF!</v>
      </c>
      <c r="AM13" s="79" t="e">
        <f>IF(#REF!="มส","มส",IF(#REF!="","",IF($AM$7="","",IF($AM$7="SBMLD",SUM(#REF!),#REF!))))</f>
        <v>#REF!</v>
      </c>
      <c r="AN13" s="70" t="e">
        <f>IF(#REF!="มส","มส",IF(#REF!="","",IF($AN$7="","",IF($AN$7="SBMLD",SUM(#REF!),#REF!))))</f>
        <v>#REF!</v>
      </c>
      <c r="AO13" s="71" t="e">
        <f>IF(#REF!="มส","มส",IF(#REF!="","",IF($AO$7="","",IF($AO$7="SBMLD",SUM(#REF!),#REF!))))</f>
        <v>#REF!</v>
      </c>
      <c r="AP13" s="188"/>
      <c r="AQ13" s="78" t="str">
        <f t="shared" si="1"/>
        <v/>
      </c>
      <c r="AR13" s="79" t="str">
        <f t="shared" si="2"/>
        <v/>
      </c>
      <c r="AS13" s="79" t="str">
        <f t="shared" si="3"/>
        <v/>
      </c>
      <c r="AT13" s="70" t="str">
        <f t="shared" si="4"/>
        <v/>
      </c>
      <c r="AU13" s="79" t="str">
        <f t="shared" si="5"/>
        <v/>
      </c>
      <c r="AV13" s="79" t="str">
        <f t="shared" si="6"/>
        <v/>
      </c>
      <c r="AW13" s="79" t="str">
        <f t="shared" si="7"/>
        <v/>
      </c>
      <c r="AX13" s="79" t="str">
        <f t="shared" si="8"/>
        <v/>
      </c>
      <c r="AY13" s="70" t="str">
        <f t="shared" si="9"/>
        <v/>
      </c>
      <c r="AZ13" s="108" t="str">
        <f t="shared" si="10"/>
        <v/>
      </c>
      <c r="BA13" s="108" t="str">
        <f t="shared" si="11"/>
        <v/>
      </c>
      <c r="BB13" s="71" t="str">
        <f t="shared" si="16"/>
        <v/>
      </c>
      <c r="BC13" s="78" t="e">
        <f t="shared" si="12"/>
        <v>#REF!</v>
      </c>
      <c r="BD13" s="79" t="e">
        <f t="shared" si="13"/>
        <v>#REF!</v>
      </c>
      <c r="BE13" s="79" t="e">
        <f t="shared" si="14"/>
        <v>#REF!</v>
      </c>
      <c r="BF13" s="79" t="e">
        <f t="shared" si="17"/>
        <v>#REF!</v>
      </c>
      <c r="BG13" s="71" t="e">
        <f t="shared" si="15"/>
        <v>#REF!</v>
      </c>
      <c r="BH13" s="105" t="str">
        <f>IF('2.Students'' data'!R15="มส","",IF('2.Students'' data'!R15="ย้าย","",IF(C13="","",SUM(AQ13:BG13)/SUM(top))))</f>
        <v/>
      </c>
      <c r="BI13" s="18" t="str">
        <f>IF('2.Students'' data'!R15="มส","มส",IF('2.Students'' data'!R15="ย้าย","ย้าย",IF('2.Students'' data'!R15="ร","ร",IF(BH13="","",RANK(BH13,$BH$9:$BH$53,0)))))</f>
        <v/>
      </c>
      <c r="BJ13" s="284"/>
      <c r="BK13" s="285"/>
      <c r="BL13" s="285"/>
      <c r="BM13" s="285"/>
      <c r="BN13" s="285"/>
    </row>
    <row r="14" spans="1:66" s="26" customFormat="1" ht="16.350000000000001" customHeight="1">
      <c r="A14" s="27">
        <v>6</v>
      </c>
      <c r="B14" s="204" t="str">
        <f>IF(IDstu6="","",IDstu6)</f>
        <v/>
      </c>
      <c r="C14" s="282" t="str">
        <f>IF(Name6="","",Name6)</f>
        <v/>
      </c>
      <c r="D14" s="283"/>
      <c r="E14" s="283"/>
      <c r="F14" s="283"/>
      <c r="G14" s="283"/>
      <c r="H14" s="276" t="str">
        <f>IF(Surname6="","",Surname6)</f>
        <v/>
      </c>
      <c r="I14" s="276"/>
      <c r="J14" s="276"/>
      <c r="K14" s="276"/>
      <c r="L14" s="277"/>
      <c r="M14" s="89" t="str">
        <f>VLOOKUP($B14,'3.Grades'!$C$6:$BN$50,9,FALSE)</f>
        <v/>
      </c>
      <c r="N14" s="92" t="str">
        <f>VLOOKUP($B14,'3.Grades'!$C$6:$BN$50,14,FALSE)</f>
        <v/>
      </c>
      <c r="O14" s="92" t="str">
        <f>VLOOKUP($B14,'3.Grades'!$C$6:$BN$50,19,FALSE)</f>
        <v/>
      </c>
      <c r="P14" s="17" t="str">
        <f>VLOOKUP($B14,'3.Grades'!$C$6:$BN$50,24,FALSE)</f>
        <v/>
      </c>
      <c r="Q14" s="92" t="str">
        <f>VLOOKUP($B14,'3.Grades'!$C$6:$BN$50,29,FALSE)</f>
        <v/>
      </c>
      <c r="R14" s="92" t="str">
        <f>VLOOKUP($B14,'3.Grades'!$C$6:$BN$50,34,FALSE)</f>
        <v/>
      </c>
      <c r="S14" s="92" t="str">
        <f>VLOOKUP($B14,'3.Grades'!$C$6:$BN$50,39,FALSE)</f>
        <v/>
      </c>
      <c r="T14" s="92" t="str">
        <f>VLOOKUP($B14,'3.Grades'!$C$6:$BN$50,44,FALSE)</f>
        <v/>
      </c>
      <c r="U14" s="17" t="str">
        <f>VLOOKUP($B14,'3.Grades'!$C$6:$BN$50,49,FALSE)</f>
        <v/>
      </c>
      <c r="V14" s="95" t="str">
        <f>VLOOKUP($B14,'3.Grades'!$C$6:$BN$50,54,FALSE)</f>
        <v/>
      </c>
      <c r="W14" s="95" t="str">
        <f>VLOOKUP($B14,'3.Grades'!$C$6:$BN$50,59,FALSE)</f>
        <v/>
      </c>
      <c r="X14" s="18" t="str">
        <f>VLOOKUP($B14,'3.Grades'!$C$6:$BN$50,64,FALSE)</f>
        <v/>
      </c>
      <c r="Y14" s="78" t="str">
        <v/>
      </c>
      <c r="Z14" s="79" t="str">
        <v/>
      </c>
      <c r="AA14" s="79" t="str">
        <v/>
      </c>
      <c r="AB14" s="70" t="str">
        <v/>
      </c>
      <c r="AC14" s="79" t="str">
        <v/>
      </c>
      <c r="AD14" s="79" t="str">
        <v/>
      </c>
      <c r="AE14" s="79" t="str">
        <v/>
      </c>
      <c r="AF14" s="79" t="str">
        <v/>
      </c>
      <c r="AG14" s="70" t="str">
        <v/>
      </c>
      <c r="AH14" s="108" t="str">
        <v/>
      </c>
      <c r="AI14" s="108" t="str">
        <v/>
      </c>
      <c r="AJ14" s="71" t="str">
        <v/>
      </c>
      <c r="AK14" s="78" t="e">
        <f>IF(#REF!="มส","มส",IF(#REF!="","",IF($AK$7="","",IF($AK$7="SBMLD",SUM(#REF!),#REF!))))</f>
        <v>#REF!</v>
      </c>
      <c r="AL14" s="79" t="e">
        <f>IF(#REF!="มส","มส",IF(#REF!="","",IF($AL$7="","",IF($AL$7="SBMLD",SUM(#REF!),#REF!))))</f>
        <v>#REF!</v>
      </c>
      <c r="AM14" s="79" t="e">
        <f>IF(#REF!="มส","มส",IF(#REF!="","",IF($AM$7="","",IF($AM$7="SBMLD",SUM(#REF!),#REF!))))</f>
        <v>#REF!</v>
      </c>
      <c r="AN14" s="70" t="e">
        <f>IF(#REF!="มส","มส",IF(#REF!="","",IF($AN$7="","",IF($AN$7="SBMLD",SUM(#REF!),#REF!))))</f>
        <v>#REF!</v>
      </c>
      <c r="AO14" s="71" t="e">
        <f>IF(#REF!="มส","มส",IF(#REF!="","",IF($AO$7="","",IF($AO$7="SBMLD",SUM(#REF!),#REF!))))</f>
        <v>#REF!</v>
      </c>
      <c r="AP14" s="188"/>
      <c r="AQ14" s="78" t="str">
        <f t="shared" si="1"/>
        <v/>
      </c>
      <c r="AR14" s="79" t="str">
        <f t="shared" si="2"/>
        <v/>
      </c>
      <c r="AS14" s="79" t="str">
        <f t="shared" si="3"/>
        <v/>
      </c>
      <c r="AT14" s="70" t="str">
        <f t="shared" si="4"/>
        <v/>
      </c>
      <c r="AU14" s="79" t="str">
        <f t="shared" si="5"/>
        <v/>
      </c>
      <c r="AV14" s="79" t="str">
        <f t="shared" si="6"/>
        <v/>
      </c>
      <c r="AW14" s="79" t="str">
        <f t="shared" si="7"/>
        <v/>
      </c>
      <c r="AX14" s="79" t="str">
        <f t="shared" si="8"/>
        <v/>
      </c>
      <c r="AY14" s="70" t="str">
        <f t="shared" si="9"/>
        <v/>
      </c>
      <c r="AZ14" s="108" t="str">
        <f t="shared" si="10"/>
        <v/>
      </c>
      <c r="BA14" s="108" t="str">
        <f t="shared" si="11"/>
        <v/>
      </c>
      <c r="BB14" s="71" t="str">
        <f t="shared" si="16"/>
        <v/>
      </c>
      <c r="BC14" s="78" t="e">
        <f t="shared" si="12"/>
        <v>#REF!</v>
      </c>
      <c r="BD14" s="79" t="e">
        <f t="shared" si="13"/>
        <v>#REF!</v>
      </c>
      <c r="BE14" s="79" t="e">
        <f t="shared" si="14"/>
        <v>#REF!</v>
      </c>
      <c r="BF14" s="79" t="e">
        <f t="shared" si="17"/>
        <v>#REF!</v>
      </c>
      <c r="BG14" s="71" t="e">
        <f t="shared" si="15"/>
        <v>#REF!</v>
      </c>
      <c r="BH14" s="105" t="str">
        <f>IF('2.Students'' data'!R16="มส","",IF('2.Students'' data'!R16="ย้าย","",IF(C14="","",SUM(AQ14:BG14)/SUM(top))))</f>
        <v/>
      </c>
      <c r="BI14" s="18" t="str">
        <f>IF('2.Students'' data'!R16="มส","มส",IF('2.Students'' data'!R16="ย้าย","ย้าย",IF('2.Students'' data'!R16="ร","ร",IF(BH14="","",RANK(BH14,$BH$9:$BH$53,0)))))</f>
        <v/>
      </c>
      <c r="BJ14" s="284"/>
      <c r="BK14" s="285"/>
      <c r="BL14" s="285"/>
      <c r="BM14" s="285"/>
      <c r="BN14" s="285"/>
    </row>
    <row r="15" spans="1:66" s="26" customFormat="1" ht="16.350000000000001" customHeight="1">
      <c r="A15" s="27">
        <v>7</v>
      </c>
      <c r="B15" s="204" t="str">
        <f>IF(IDstu7="","",IDstu7)</f>
        <v/>
      </c>
      <c r="C15" s="282" t="str">
        <f>IF(Name7="","",Name7)</f>
        <v/>
      </c>
      <c r="D15" s="283"/>
      <c r="E15" s="283"/>
      <c r="F15" s="283"/>
      <c r="G15" s="283"/>
      <c r="H15" s="280" t="str">
        <f>IF(Surname7="","",Surname7)</f>
        <v/>
      </c>
      <c r="I15" s="280"/>
      <c r="J15" s="280"/>
      <c r="K15" s="280"/>
      <c r="L15" s="281"/>
      <c r="M15" s="89" t="str">
        <f>VLOOKUP($B15,'3.Grades'!$C$6:$BN$50,9,FALSE)</f>
        <v/>
      </c>
      <c r="N15" s="92" t="str">
        <f>VLOOKUP($B15,'3.Grades'!$C$6:$BN$50,14,FALSE)</f>
        <v/>
      </c>
      <c r="O15" s="92" t="str">
        <f>VLOOKUP($B15,'3.Grades'!$C$6:$BN$50,19,FALSE)</f>
        <v/>
      </c>
      <c r="P15" s="17" t="str">
        <f>VLOOKUP($B15,'3.Grades'!$C$6:$BN$50,24,FALSE)</f>
        <v/>
      </c>
      <c r="Q15" s="92" t="str">
        <f>VLOOKUP($B15,'3.Grades'!$C$6:$BN$50,29,FALSE)</f>
        <v/>
      </c>
      <c r="R15" s="92" t="str">
        <f>VLOOKUP($B15,'3.Grades'!$C$6:$BN$50,34,FALSE)</f>
        <v/>
      </c>
      <c r="S15" s="92" t="str">
        <f>VLOOKUP($B15,'3.Grades'!$C$6:$BN$50,39,FALSE)</f>
        <v/>
      </c>
      <c r="T15" s="92" t="str">
        <f>VLOOKUP($B15,'3.Grades'!$C$6:$BN$50,44,FALSE)</f>
        <v/>
      </c>
      <c r="U15" s="17" t="str">
        <f>VLOOKUP($B15,'3.Grades'!$C$6:$BN$50,49,FALSE)</f>
        <v/>
      </c>
      <c r="V15" s="95" t="str">
        <f>VLOOKUP($B15,'3.Grades'!$C$6:$BN$50,54,FALSE)</f>
        <v/>
      </c>
      <c r="W15" s="95" t="str">
        <f>VLOOKUP($B15,'3.Grades'!$C$6:$BN$50,59,FALSE)</f>
        <v/>
      </c>
      <c r="X15" s="18" t="str">
        <f>VLOOKUP($B15,'3.Grades'!$C$6:$BN$50,64,FALSE)</f>
        <v/>
      </c>
      <c r="Y15" s="78" t="str">
        <v/>
      </c>
      <c r="Z15" s="79" t="str">
        <v/>
      </c>
      <c r="AA15" s="79" t="str">
        <v/>
      </c>
      <c r="AB15" s="70" t="str">
        <v/>
      </c>
      <c r="AC15" s="79" t="str">
        <v/>
      </c>
      <c r="AD15" s="79" t="str">
        <v/>
      </c>
      <c r="AE15" s="79" t="str">
        <v/>
      </c>
      <c r="AF15" s="79" t="str">
        <v/>
      </c>
      <c r="AG15" s="70" t="str">
        <v/>
      </c>
      <c r="AH15" s="108" t="str">
        <v/>
      </c>
      <c r="AI15" s="108" t="str">
        <v/>
      </c>
      <c r="AJ15" s="71" t="str">
        <v/>
      </c>
      <c r="AK15" s="78" t="e">
        <f>IF(#REF!="มส","มส",IF(#REF!="","",IF($AK$7="","",IF($AK$7="SBMLD",SUM(#REF!),#REF!))))</f>
        <v>#REF!</v>
      </c>
      <c r="AL15" s="79" t="e">
        <f>IF(#REF!="มส","มส",IF(#REF!="","",IF($AL$7="","",IF($AL$7="SBMLD",SUM(#REF!),#REF!))))</f>
        <v>#REF!</v>
      </c>
      <c r="AM15" s="79" t="e">
        <f>IF(#REF!="มส","มส",IF(#REF!="","",IF($AM$7="","",IF($AM$7="SBMLD",SUM(#REF!),#REF!))))</f>
        <v>#REF!</v>
      </c>
      <c r="AN15" s="70" t="e">
        <f>IF(#REF!="มส","มส",IF(#REF!="","",IF($AN$7="","",IF($AN$7="SBMLD",SUM(#REF!),#REF!))))</f>
        <v>#REF!</v>
      </c>
      <c r="AO15" s="71" t="e">
        <f>IF(#REF!="มส","มส",IF(#REF!="","",IF($AO$7="","",IF($AO$7="SBMLD",SUM(#REF!),#REF!))))</f>
        <v>#REF!</v>
      </c>
      <c r="AP15" s="188"/>
      <c r="AQ15" s="78" t="str">
        <f t="shared" si="1"/>
        <v/>
      </c>
      <c r="AR15" s="79" t="str">
        <f t="shared" si="2"/>
        <v/>
      </c>
      <c r="AS15" s="79" t="str">
        <f t="shared" si="3"/>
        <v/>
      </c>
      <c r="AT15" s="70" t="str">
        <f t="shared" si="4"/>
        <v/>
      </c>
      <c r="AU15" s="79" t="str">
        <f t="shared" si="5"/>
        <v/>
      </c>
      <c r="AV15" s="79" t="str">
        <f t="shared" si="6"/>
        <v/>
      </c>
      <c r="AW15" s="79" t="str">
        <f t="shared" si="7"/>
        <v/>
      </c>
      <c r="AX15" s="79" t="str">
        <f t="shared" si="8"/>
        <v/>
      </c>
      <c r="AY15" s="70" t="str">
        <f t="shared" si="9"/>
        <v/>
      </c>
      <c r="AZ15" s="108" t="str">
        <f t="shared" si="10"/>
        <v/>
      </c>
      <c r="BA15" s="108" t="str">
        <f t="shared" si="11"/>
        <v/>
      </c>
      <c r="BB15" s="71" t="str">
        <f t="shared" si="16"/>
        <v/>
      </c>
      <c r="BC15" s="78" t="e">
        <f t="shared" si="12"/>
        <v>#REF!</v>
      </c>
      <c r="BD15" s="79" t="e">
        <f t="shared" si="13"/>
        <v>#REF!</v>
      </c>
      <c r="BE15" s="79" t="e">
        <f t="shared" si="14"/>
        <v>#REF!</v>
      </c>
      <c r="BF15" s="79" t="e">
        <f t="shared" si="17"/>
        <v>#REF!</v>
      </c>
      <c r="BG15" s="71" t="e">
        <f t="shared" si="15"/>
        <v>#REF!</v>
      </c>
      <c r="BH15" s="105" t="str">
        <f>IF('2.Students'' data'!R17="มส","",IF('2.Students'' data'!R17="ย้าย","",IF(C15="","",SUM(AQ15:BG15)/SUM(top))))</f>
        <v/>
      </c>
      <c r="BI15" s="18" t="str">
        <f>IF('2.Students'' data'!R17="มส","มส",IF('2.Students'' data'!R17="ย้าย","ย้าย",IF('2.Students'' data'!R17="ร","ร",IF(BH15="","",RANK(BH15,$BH$9:$BH$53,0)))))</f>
        <v/>
      </c>
      <c r="BJ15" s="284"/>
      <c r="BK15" s="285"/>
      <c r="BL15" s="285"/>
      <c r="BM15" s="285"/>
      <c r="BN15" s="285"/>
    </row>
    <row r="16" spans="1:66" s="26" customFormat="1" ht="16.350000000000001" customHeight="1">
      <c r="A16" s="27">
        <v>8</v>
      </c>
      <c r="B16" s="204" t="str">
        <f>IF(IDstu8="","",IDstu8)</f>
        <v/>
      </c>
      <c r="C16" s="282" t="str">
        <f>IF(Name8="","",Name8)</f>
        <v/>
      </c>
      <c r="D16" s="283"/>
      <c r="E16" s="283"/>
      <c r="F16" s="283"/>
      <c r="G16" s="283"/>
      <c r="H16" s="280" t="str">
        <f>IF(Surname8="","",Surname8)</f>
        <v/>
      </c>
      <c r="I16" s="280"/>
      <c r="J16" s="280"/>
      <c r="K16" s="280"/>
      <c r="L16" s="281"/>
      <c r="M16" s="89" t="str">
        <f>VLOOKUP($B16,'3.Grades'!$C$6:$BN$50,9,FALSE)</f>
        <v/>
      </c>
      <c r="N16" s="92" t="str">
        <f>VLOOKUP($B16,'3.Grades'!$C$6:$BN$50,14,FALSE)</f>
        <v/>
      </c>
      <c r="O16" s="92" t="str">
        <f>VLOOKUP($B16,'3.Grades'!$C$6:$BN$50,19,FALSE)</f>
        <v/>
      </c>
      <c r="P16" s="17" t="str">
        <f>VLOOKUP($B16,'3.Grades'!$C$6:$BN$50,24,FALSE)</f>
        <v/>
      </c>
      <c r="Q16" s="92" t="str">
        <f>VLOOKUP($B16,'3.Grades'!$C$6:$BN$50,29,FALSE)</f>
        <v/>
      </c>
      <c r="R16" s="92" t="str">
        <f>VLOOKUP($B16,'3.Grades'!$C$6:$BN$50,34,FALSE)</f>
        <v/>
      </c>
      <c r="S16" s="92" t="str">
        <f>VLOOKUP($B16,'3.Grades'!$C$6:$BN$50,39,FALSE)</f>
        <v/>
      </c>
      <c r="T16" s="92" t="str">
        <f>VLOOKUP($B16,'3.Grades'!$C$6:$BN$50,44,FALSE)</f>
        <v/>
      </c>
      <c r="U16" s="17" t="str">
        <f>VLOOKUP($B16,'3.Grades'!$C$6:$BN$50,49,FALSE)</f>
        <v/>
      </c>
      <c r="V16" s="95" t="str">
        <f>VLOOKUP($B16,'3.Grades'!$C$6:$BN$50,54,FALSE)</f>
        <v/>
      </c>
      <c r="W16" s="95" t="str">
        <f>VLOOKUP($B16,'3.Grades'!$C$6:$BN$50,59,FALSE)</f>
        <v/>
      </c>
      <c r="X16" s="18" t="str">
        <f>VLOOKUP($B16,'3.Grades'!$C$6:$BN$50,64,FALSE)</f>
        <v/>
      </c>
      <c r="Y16" s="78" t="str">
        <v/>
      </c>
      <c r="Z16" s="79" t="str">
        <v/>
      </c>
      <c r="AA16" s="79" t="str">
        <v/>
      </c>
      <c r="AB16" s="70" t="str">
        <v/>
      </c>
      <c r="AC16" s="79" t="str">
        <v/>
      </c>
      <c r="AD16" s="79" t="str">
        <v/>
      </c>
      <c r="AE16" s="79" t="str">
        <v/>
      </c>
      <c r="AF16" s="79" t="str">
        <v/>
      </c>
      <c r="AG16" s="70" t="str">
        <v/>
      </c>
      <c r="AH16" s="108" t="str">
        <v/>
      </c>
      <c r="AI16" s="108" t="str">
        <v/>
      </c>
      <c r="AJ16" s="71" t="str">
        <v/>
      </c>
      <c r="AK16" s="78" t="e">
        <f>IF(#REF!="มส","มส",IF(#REF!="","",IF($AK$7="","",IF($AK$7="SBMLD",SUM(#REF!),#REF!))))</f>
        <v>#REF!</v>
      </c>
      <c r="AL16" s="79" t="e">
        <f>IF(#REF!="มส","มส",IF(#REF!="","",IF($AL$7="","",IF($AL$7="SBMLD",SUM(#REF!),#REF!))))</f>
        <v>#REF!</v>
      </c>
      <c r="AM16" s="79" t="e">
        <f>IF(#REF!="มส","มส",IF(#REF!="","",IF($AM$7="","",IF($AM$7="SBMLD",SUM(#REF!),#REF!))))</f>
        <v>#REF!</v>
      </c>
      <c r="AN16" s="70" t="e">
        <f>IF(#REF!="มส","มส",IF(#REF!="","",IF($AN$7="","",IF($AN$7="SBMLD",SUM(#REF!),#REF!))))</f>
        <v>#REF!</v>
      </c>
      <c r="AO16" s="71" t="e">
        <f>IF(#REF!="มส","มส",IF(#REF!="","",IF($AO$7="","",IF($AO$7="SBMLD",SUM(#REF!),#REF!))))</f>
        <v>#REF!</v>
      </c>
      <c r="AP16" s="188"/>
      <c r="AQ16" s="78" t="str">
        <f t="shared" si="1"/>
        <v/>
      </c>
      <c r="AR16" s="79" t="str">
        <f t="shared" si="2"/>
        <v/>
      </c>
      <c r="AS16" s="79" t="str">
        <f t="shared" si="3"/>
        <v/>
      </c>
      <c r="AT16" s="70" t="str">
        <f t="shared" si="4"/>
        <v/>
      </c>
      <c r="AU16" s="79" t="str">
        <f t="shared" si="5"/>
        <v/>
      </c>
      <c r="AV16" s="79" t="str">
        <f t="shared" si="6"/>
        <v/>
      </c>
      <c r="AW16" s="79" t="str">
        <f t="shared" si="7"/>
        <v/>
      </c>
      <c r="AX16" s="79" t="str">
        <f t="shared" si="8"/>
        <v/>
      </c>
      <c r="AY16" s="70" t="str">
        <f t="shared" si="9"/>
        <v/>
      </c>
      <c r="AZ16" s="108" t="str">
        <f t="shared" si="10"/>
        <v/>
      </c>
      <c r="BA16" s="108" t="str">
        <f t="shared" si="11"/>
        <v/>
      </c>
      <c r="BB16" s="71" t="str">
        <f t="shared" si="16"/>
        <v/>
      </c>
      <c r="BC16" s="78" t="e">
        <f t="shared" si="12"/>
        <v>#REF!</v>
      </c>
      <c r="BD16" s="79" t="e">
        <f t="shared" si="13"/>
        <v>#REF!</v>
      </c>
      <c r="BE16" s="79" t="e">
        <f t="shared" si="14"/>
        <v>#REF!</v>
      </c>
      <c r="BF16" s="79" t="e">
        <f t="shared" si="17"/>
        <v>#REF!</v>
      </c>
      <c r="BG16" s="71" t="e">
        <f t="shared" si="15"/>
        <v>#REF!</v>
      </c>
      <c r="BH16" s="105" t="str">
        <f>IF('2.Students'' data'!R18="มส","",IF('2.Students'' data'!R18="ย้าย","",IF(C16="","",SUM(AQ16:BG16)/SUM(top))))</f>
        <v/>
      </c>
      <c r="BI16" s="18" t="str">
        <f>IF('2.Students'' data'!R18="มส","มส",IF('2.Students'' data'!R18="ย้าย","ย้าย",IF('2.Students'' data'!R18="ร","ร",IF(BH16="","",RANK(BH16,$BH$9:$BH$53,0)))))</f>
        <v/>
      </c>
      <c r="BJ16" s="284"/>
      <c r="BK16" s="285"/>
      <c r="BL16" s="285"/>
      <c r="BM16" s="285"/>
      <c r="BN16" s="285"/>
    </row>
    <row r="17" spans="1:61" s="26" customFormat="1" ht="16.350000000000001" customHeight="1">
      <c r="A17" s="27">
        <v>9</v>
      </c>
      <c r="B17" s="204" t="str">
        <f>IF(IDstu9="","",IDstu9)</f>
        <v/>
      </c>
      <c r="C17" s="279" t="str">
        <f>IF(Name9="","",Name9)</f>
        <v/>
      </c>
      <c r="D17" s="276"/>
      <c r="E17" s="276"/>
      <c r="F17" s="276"/>
      <c r="G17" s="276"/>
      <c r="H17" s="280" t="str">
        <f>IF(Surname9="","",Surname9)</f>
        <v/>
      </c>
      <c r="I17" s="280"/>
      <c r="J17" s="280"/>
      <c r="K17" s="280"/>
      <c r="L17" s="281"/>
      <c r="M17" s="89" t="str">
        <f>VLOOKUP($B17,'3.Grades'!$C$6:$BN$50,9,FALSE)</f>
        <v/>
      </c>
      <c r="N17" s="92" t="str">
        <f>VLOOKUP($B17,'3.Grades'!$C$6:$BN$50,14,FALSE)</f>
        <v/>
      </c>
      <c r="O17" s="92" t="str">
        <f>VLOOKUP($B17,'3.Grades'!$C$6:$BN$50,19,FALSE)</f>
        <v/>
      </c>
      <c r="P17" s="17" t="str">
        <f>VLOOKUP($B17,'3.Grades'!$C$6:$BN$50,24,FALSE)</f>
        <v/>
      </c>
      <c r="Q17" s="92" t="str">
        <f>VLOOKUP($B17,'3.Grades'!$C$6:$BN$50,29,FALSE)</f>
        <v/>
      </c>
      <c r="R17" s="92" t="str">
        <f>VLOOKUP($B17,'3.Grades'!$C$6:$BN$50,34,FALSE)</f>
        <v/>
      </c>
      <c r="S17" s="92" t="str">
        <f>VLOOKUP($B17,'3.Grades'!$C$6:$BN$50,39,FALSE)</f>
        <v/>
      </c>
      <c r="T17" s="92" t="str">
        <f>VLOOKUP($B17,'3.Grades'!$C$6:$BN$50,44,FALSE)</f>
        <v/>
      </c>
      <c r="U17" s="17" t="str">
        <f>VLOOKUP($B17,'3.Grades'!$C$6:$BN$50,49,FALSE)</f>
        <v/>
      </c>
      <c r="V17" s="95" t="str">
        <f>VLOOKUP($B17,'3.Grades'!$C$6:$BN$50,54,FALSE)</f>
        <v/>
      </c>
      <c r="W17" s="95" t="str">
        <f>VLOOKUP($B17,'3.Grades'!$C$6:$BN$50,59,FALSE)</f>
        <v/>
      </c>
      <c r="X17" s="18" t="str">
        <f>VLOOKUP($B17,'3.Grades'!$C$6:$BN$50,64,FALSE)</f>
        <v/>
      </c>
      <c r="Y17" s="78" t="str">
        <v/>
      </c>
      <c r="Z17" s="79" t="str">
        <v/>
      </c>
      <c r="AA17" s="79" t="str">
        <v/>
      </c>
      <c r="AB17" s="70" t="str">
        <v/>
      </c>
      <c r="AC17" s="79" t="str">
        <v/>
      </c>
      <c r="AD17" s="79" t="str">
        <v/>
      </c>
      <c r="AE17" s="79" t="str">
        <v/>
      </c>
      <c r="AF17" s="79" t="str">
        <v/>
      </c>
      <c r="AG17" s="70" t="str">
        <v/>
      </c>
      <c r="AH17" s="108" t="str">
        <v/>
      </c>
      <c r="AI17" s="108" t="str">
        <v/>
      </c>
      <c r="AJ17" s="71" t="str">
        <v/>
      </c>
      <c r="AK17" s="78" t="e">
        <f>IF(#REF!="มส","มส",IF(#REF!="","",IF($AK$7="","",IF($AK$7="SBMLD",SUM(#REF!),#REF!))))</f>
        <v>#REF!</v>
      </c>
      <c r="AL17" s="79" t="e">
        <f>IF(#REF!="มส","มส",IF(#REF!="","",IF($AL$7="","",IF($AL$7="SBMLD",SUM(#REF!),#REF!))))</f>
        <v>#REF!</v>
      </c>
      <c r="AM17" s="79" t="e">
        <f>IF(#REF!="มส","มส",IF(#REF!="","",IF($AM$7="","",IF($AM$7="SBMLD",SUM(#REF!),#REF!))))</f>
        <v>#REF!</v>
      </c>
      <c r="AN17" s="70" t="e">
        <f>IF(#REF!="มส","มส",IF(#REF!="","",IF($AN$7="","",IF($AN$7="SBMLD",SUM(#REF!),#REF!))))</f>
        <v>#REF!</v>
      </c>
      <c r="AO17" s="71" t="e">
        <f>IF(#REF!="มส","มส",IF(#REF!="","",IF($AO$7="","",IF($AO$7="SBMLD",SUM(#REF!),#REF!))))</f>
        <v>#REF!</v>
      </c>
      <c r="AP17" s="188"/>
      <c r="AQ17" s="78" t="str">
        <f t="shared" si="1"/>
        <v/>
      </c>
      <c r="AR17" s="79" t="str">
        <f t="shared" si="2"/>
        <v/>
      </c>
      <c r="AS17" s="79" t="str">
        <f t="shared" si="3"/>
        <v/>
      </c>
      <c r="AT17" s="70" t="str">
        <f t="shared" si="4"/>
        <v/>
      </c>
      <c r="AU17" s="79" t="str">
        <f t="shared" si="5"/>
        <v/>
      </c>
      <c r="AV17" s="79" t="str">
        <f t="shared" si="6"/>
        <v/>
      </c>
      <c r="AW17" s="79" t="str">
        <f t="shared" si="7"/>
        <v/>
      </c>
      <c r="AX17" s="79" t="str">
        <f t="shared" si="8"/>
        <v/>
      </c>
      <c r="AY17" s="70" t="str">
        <f t="shared" si="9"/>
        <v/>
      </c>
      <c r="AZ17" s="108" t="str">
        <f t="shared" si="10"/>
        <v/>
      </c>
      <c r="BA17" s="108" t="str">
        <f t="shared" si="11"/>
        <v/>
      </c>
      <c r="BB17" s="71" t="str">
        <f t="shared" si="16"/>
        <v/>
      </c>
      <c r="BC17" s="78" t="e">
        <f t="shared" si="12"/>
        <v>#REF!</v>
      </c>
      <c r="BD17" s="79" t="e">
        <f t="shared" si="13"/>
        <v>#REF!</v>
      </c>
      <c r="BE17" s="79" t="e">
        <f t="shared" si="14"/>
        <v>#REF!</v>
      </c>
      <c r="BF17" s="79" t="e">
        <f t="shared" si="17"/>
        <v>#REF!</v>
      </c>
      <c r="BG17" s="71" t="e">
        <f t="shared" si="15"/>
        <v>#REF!</v>
      </c>
      <c r="BH17" s="105" t="str">
        <f>IF('2.Students'' data'!R19="มส","",IF('2.Students'' data'!R19="ย้าย","",IF(C17="","",SUM(AQ17:BG17)/SUM(top))))</f>
        <v/>
      </c>
      <c r="BI17" s="18" t="str">
        <f>IF('2.Students'' data'!R19="มส","มส",IF('2.Students'' data'!R19="ย้าย","ย้าย",IF('2.Students'' data'!R19="ร","ร",IF(BH17="","",RANK(BH17,$BH$9:$BH$53,0)))))</f>
        <v/>
      </c>
    </row>
    <row r="18" spans="1:61" s="26" customFormat="1" ht="16.350000000000001" customHeight="1">
      <c r="A18" s="27">
        <v>10</v>
      </c>
      <c r="B18" s="204" t="str">
        <f>IF(IDstu10="","",IDstu10)</f>
        <v/>
      </c>
      <c r="C18" s="279" t="str">
        <f>IF(Name10="","",Name10)</f>
        <v/>
      </c>
      <c r="D18" s="276"/>
      <c r="E18" s="276"/>
      <c r="F18" s="276"/>
      <c r="G18" s="276"/>
      <c r="H18" s="280" t="str">
        <f>IF(Surname10="","",Surname10)</f>
        <v/>
      </c>
      <c r="I18" s="280"/>
      <c r="J18" s="280"/>
      <c r="K18" s="280"/>
      <c r="L18" s="281"/>
      <c r="M18" s="89" t="str">
        <f>VLOOKUP($B18,'3.Grades'!$C$6:$BN$50,9,FALSE)</f>
        <v/>
      </c>
      <c r="N18" s="92" t="str">
        <f>VLOOKUP($B18,'3.Grades'!$C$6:$BN$50,14,FALSE)</f>
        <v/>
      </c>
      <c r="O18" s="92" t="str">
        <f>VLOOKUP($B18,'3.Grades'!$C$6:$BN$50,19,FALSE)</f>
        <v/>
      </c>
      <c r="P18" s="17" t="str">
        <f>VLOOKUP($B18,'3.Grades'!$C$6:$BN$50,24,FALSE)</f>
        <v/>
      </c>
      <c r="Q18" s="92" t="str">
        <f>VLOOKUP($B18,'3.Grades'!$C$6:$BN$50,29,FALSE)</f>
        <v/>
      </c>
      <c r="R18" s="92" t="str">
        <f>VLOOKUP($B18,'3.Grades'!$C$6:$BN$50,34,FALSE)</f>
        <v/>
      </c>
      <c r="S18" s="92" t="str">
        <f>VLOOKUP($B18,'3.Grades'!$C$6:$BN$50,39,FALSE)</f>
        <v/>
      </c>
      <c r="T18" s="92" t="str">
        <f>VLOOKUP($B18,'3.Grades'!$C$6:$BN$50,44,FALSE)</f>
        <v/>
      </c>
      <c r="U18" s="17" t="str">
        <f>VLOOKUP($B18,'3.Grades'!$C$6:$BN$50,49,FALSE)</f>
        <v/>
      </c>
      <c r="V18" s="95" t="str">
        <f>VLOOKUP($B18,'3.Grades'!$C$6:$BN$50,54,FALSE)</f>
        <v/>
      </c>
      <c r="W18" s="95" t="str">
        <f>VLOOKUP($B18,'3.Grades'!$C$6:$BN$50,59,FALSE)</f>
        <v/>
      </c>
      <c r="X18" s="18" t="str">
        <f>VLOOKUP($B18,'3.Grades'!$C$6:$BN$50,64,FALSE)</f>
        <v/>
      </c>
      <c r="Y18" s="78" t="str">
        <v/>
      </c>
      <c r="Z18" s="79" t="str">
        <v/>
      </c>
      <c r="AA18" s="79" t="str">
        <v/>
      </c>
      <c r="AB18" s="70" t="str">
        <v/>
      </c>
      <c r="AC18" s="79" t="str">
        <v/>
      </c>
      <c r="AD18" s="79" t="str">
        <v/>
      </c>
      <c r="AE18" s="79" t="str">
        <v/>
      </c>
      <c r="AF18" s="79" t="str">
        <v/>
      </c>
      <c r="AG18" s="70" t="str">
        <v/>
      </c>
      <c r="AH18" s="108" t="str">
        <v/>
      </c>
      <c r="AI18" s="108" t="str">
        <v/>
      </c>
      <c r="AJ18" s="71" t="str">
        <v/>
      </c>
      <c r="AK18" s="78" t="e">
        <f>IF(#REF!="มส","มส",IF(#REF!="","",IF($AK$7="","",IF($AK$7="SBMLD",SUM(#REF!),#REF!))))</f>
        <v>#REF!</v>
      </c>
      <c r="AL18" s="79" t="e">
        <f>IF(#REF!="มส","มส",IF(#REF!="","",IF($AL$7="","",IF($AL$7="SBMLD",SUM(#REF!),#REF!))))</f>
        <v>#REF!</v>
      </c>
      <c r="AM18" s="79" t="e">
        <f>IF(#REF!="มส","มส",IF(#REF!="","",IF($AM$7="","",IF($AM$7="SBMLD",SUM(#REF!),#REF!))))</f>
        <v>#REF!</v>
      </c>
      <c r="AN18" s="70" t="e">
        <f>IF(#REF!="มส","มส",IF(#REF!="","",IF($AN$7="","",IF($AN$7="SBMLD",SUM(#REF!),#REF!))))</f>
        <v>#REF!</v>
      </c>
      <c r="AO18" s="71" t="e">
        <f>IF(#REF!="มส","มส",IF(#REF!="","",IF($AO$7="","",IF($AO$7="SBMLD",SUM(#REF!),#REF!))))</f>
        <v>#REF!</v>
      </c>
      <c r="AP18" s="188"/>
      <c r="AQ18" s="78" t="str">
        <f t="shared" si="1"/>
        <v/>
      </c>
      <c r="AR18" s="79" t="str">
        <f t="shared" si="2"/>
        <v/>
      </c>
      <c r="AS18" s="79" t="str">
        <f t="shared" si="3"/>
        <v/>
      </c>
      <c r="AT18" s="70" t="str">
        <f t="shared" si="4"/>
        <v/>
      </c>
      <c r="AU18" s="79" t="str">
        <f t="shared" si="5"/>
        <v/>
      </c>
      <c r="AV18" s="79" t="str">
        <f t="shared" si="6"/>
        <v/>
      </c>
      <c r="AW18" s="79" t="str">
        <f t="shared" si="7"/>
        <v/>
      </c>
      <c r="AX18" s="79" t="str">
        <f t="shared" si="8"/>
        <v/>
      </c>
      <c r="AY18" s="70" t="str">
        <f t="shared" si="9"/>
        <v/>
      </c>
      <c r="AZ18" s="108" t="str">
        <f t="shared" si="10"/>
        <v/>
      </c>
      <c r="BA18" s="108" t="str">
        <f t="shared" si="11"/>
        <v/>
      </c>
      <c r="BB18" s="71" t="str">
        <f t="shared" si="16"/>
        <v/>
      </c>
      <c r="BC18" s="78" t="e">
        <f t="shared" si="12"/>
        <v>#REF!</v>
      </c>
      <c r="BD18" s="79" t="e">
        <f t="shared" si="13"/>
        <v>#REF!</v>
      </c>
      <c r="BE18" s="79" t="e">
        <f t="shared" si="14"/>
        <v>#REF!</v>
      </c>
      <c r="BF18" s="79" t="e">
        <f t="shared" si="17"/>
        <v>#REF!</v>
      </c>
      <c r="BG18" s="71" t="e">
        <f t="shared" si="15"/>
        <v>#REF!</v>
      </c>
      <c r="BH18" s="105" t="str">
        <f>IF('2.Students'' data'!R20="มส","",IF('2.Students'' data'!R20="ย้าย","",IF(C18="","",SUM(AQ18:BG18)/SUM(top))))</f>
        <v/>
      </c>
      <c r="BI18" s="18" t="str">
        <f>IF('2.Students'' data'!R20="มส","มส",IF('2.Students'' data'!R20="ย้าย","ย้าย",IF('2.Students'' data'!R20="ร","ร",IF(BH18="","",RANK(BH18,$BH$9:$BH$53,0)))))</f>
        <v/>
      </c>
    </row>
    <row r="19" spans="1:61" s="26" customFormat="1" ht="16.350000000000001" customHeight="1">
      <c r="A19" s="27">
        <v>11</v>
      </c>
      <c r="B19" s="204" t="str">
        <f>IF(IDstu11="","",IDstu11)</f>
        <v/>
      </c>
      <c r="C19" s="279" t="str">
        <f>IF(Name11="","",Name11)</f>
        <v/>
      </c>
      <c r="D19" s="276"/>
      <c r="E19" s="276"/>
      <c r="F19" s="276"/>
      <c r="G19" s="276"/>
      <c r="H19" s="280" t="str">
        <f>IF(Surname11="","",Surname11)</f>
        <v/>
      </c>
      <c r="I19" s="280"/>
      <c r="J19" s="280"/>
      <c r="K19" s="280"/>
      <c r="L19" s="281"/>
      <c r="M19" s="89" t="str">
        <f>VLOOKUP($B19,'3.Grades'!$C$6:$BN$50,9,FALSE)</f>
        <v/>
      </c>
      <c r="N19" s="92" t="str">
        <f>VLOOKUP($B19,'3.Grades'!$C$6:$BN$50,14,FALSE)</f>
        <v/>
      </c>
      <c r="O19" s="92" t="str">
        <f>VLOOKUP($B19,'3.Grades'!$C$6:$BN$50,19,FALSE)</f>
        <v/>
      </c>
      <c r="P19" s="17" t="str">
        <f>VLOOKUP($B19,'3.Grades'!$C$6:$BN$50,24,FALSE)</f>
        <v/>
      </c>
      <c r="Q19" s="92" t="str">
        <f>VLOOKUP($B19,'3.Grades'!$C$6:$BN$50,29,FALSE)</f>
        <v/>
      </c>
      <c r="R19" s="92" t="str">
        <f>VLOOKUP($B19,'3.Grades'!$C$6:$BN$50,34,FALSE)</f>
        <v/>
      </c>
      <c r="S19" s="92" t="str">
        <f>VLOOKUP($B19,'3.Grades'!$C$6:$BN$50,39,FALSE)</f>
        <v/>
      </c>
      <c r="T19" s="92" t="str">
        <f>VLOOKUP($B19,'3.Grades'!$C$6:$BN$50,44,FALSE)</f>
        <v/>
      </c>
      <c r="U19" s="17" t="str">
        <f>VLOOKUP($B19,'3.Grades'!$C$6:$BN$50,49,FALSE)</f>
        <v/>
      </c>
      <c r="V19" s="95" t="str">
        <f>VLOOKUP($B19,'3.Grades'!$C$6:$BN$50,54,FALSE)</f>
        <v/>
      </c>
      <c r="W19" s="95" t="str">
        <f>VLOOKUP($B19,'3.Grades'!$C$6:$BN$50,59,FALSE)</f>
        <v/>
      </c>
      <c r="X19" s="18" t="str">
        <f>VLOOKUP($B19,'3.Grades'!$C$6:$BN$50,64,FALSE)</f>
        <v/>
      </c>
      <c r="Y19" s="78" t="str">
        <v/>
      </c>
      <c r="Z19" s="79" t="str">
        <v/>
      </c>
      <c r="AA19" s="79" t="str">
        <v/>
      </c>
      <c r="AB19" s="70" t="str">
        <v/>
      </c>
      <c r="AC19" s="79" t="str">
        <v/>
      </c>
      <c r="AD19" s="79" t="str">
        <v/>
      </c>
      <c r="AE19" s="79" t="str">
        <v/>
      </c>
      <c r="AF19" s="79" t="str">
        <v/>
      </c>
      <c r="AG19" s="70" t="str">
        <v/>
      </c>
      <c r="AH19" s="108" t="str">
        <v/>
      </c>
      <c r="AI19" s="108" t="str">
        <v/>
      </c>
      <c r="AJ19" s="71" t="str">
        <v/>
      </c>
      <c r="AK19" s="78" t="e">
        <f>IF(#REF!="มส","มส",IF(#REF!="","",IF($AK$7="","",IF($AK$7="SBMLD",SUM(#REF!),#REF!))))</f>
        <v>#REF!</v>
      </c>
      <c r="AL19" s="79" t="e">
        <f>IF(#REF!="มส","มส",IF(#REF!="","",IF($AL$7="","",IF($AL$7="SBMLD",SUM(#REF!),#REF!))))</f>
        <v>#REF!</v>
      </c>
      <c r="AM19" s="79" t="e">
        <f>IF(#REF!="มส","มส",IF(#REF!="","",IF($AM$7="","",IF($AM$7="SBMLD",SUM(#REF!),#REF!))))</f>
        <v>#REF!</v>
      </c>
      <c r="AN19" s="70" t="e">
        <f>IF(#REF!="มส","มส",IF(#REF!="","",IF($AN$7="","",IF($AN$7="SBMLD",SUM(#REF!),#REF!))))</f>
        <v>#REF!</v>
      </c>
      <c r="AO19" s="71" t="e">
        <f>IF(#REF!="มส","มส",IF(#REF!="","",IF($AO$7="","",IF($AO$7="SBMLD",SUM(#REF!),#REF!))))</f>
        <v>#REF!</v>
      </c>
      <c r="AP19" s="188"/>
      <c r="AQ19" s="78" t="str">
        <f t="shared" si="1"/>
        <v/>
      </c>
      <c r="AR19" s="79" t="str">
        <f t="shared" si="2"/>
        <v/>
      </c>
      <c r="AS19" s="79" t="str">
        <f t="shared" si="3"/>
        <v/>
      </c>
      <c r="AT19" s="70" t="str">
        <f>IF(AB19="","",IF(AB19="ร","0",IF(AB19="มส","0",AB19*AB$8)))</f>
        <v/>
      </c>
      <c r="AU19" s="79" t="str">
        <f t="shared" si="5"/>
        <v/>
      </c>
      <c r="AV19" s="79" t="str">
        <f t="shared" si="6"/>
        <v/>
      </c>
      <c r="AW19" s="79" t="str">
        <f t="shared" si="7"/>
        <v/>
      </c>
      <c r="AX19" s="79" t="str">
        <f t="shared" si="8"/>
        <v/>
      </c>
      <c r="AY19" s="70" t="str">
        <f t="shared" si="9"/>
        <v/>
      </c>
      <c r="AZ19" s="108" t="str">
        <f t="shared" si="10"/>
        <v/>
      </c>
      <c r="BA19" s="108" t="str">
        <f t="shared" si="11"/>
        <v/>
      </c>
      <c r="BB19" s="71" t="str">
        <f t="shared" si="16"/>
        <v/>
      </c>
      <c r="BC19" s="78" t="e">
        <f t="shared" si="12"/>
        <v>#REF!</v>
      </c>
      <c r="BD19" s="79" t="e">
        <f t="shared" si="13"/>
        <v>#REF!</v>
      </c>
      <c r="BE19" s="79" t="e">
        <f t="shared" si="14"/>
        <v>#REF!</v>
      </c>
      <c r="BF19" s="79" t="e">
        <f t="shared" si="17"/>
        <v>#REF!</v>
      </c>
      <c r="BG19" s="71" t="e">
        <f t="shared" si="15"/>
        <v>#REF!</v>
      </c>
      <c r="BH19" s="105" t="str">
        <f>IF('2.Students'' data'!R21="มส","",IF('2.Students'' data'!R21="ย้าย","",IF(C19="","",SUM(AQ19:BG19)/SUM(top))))</f>
        <v/>
      </c>
      <c r="BI19" s="18" t="str">
        <f>IF('2.Students'' data'!R21="มส","มส",IF('2.Students'' data'!R21="ย้าย","ย้าย",IF('2.Students'' data'!R21="ร","ร",IF(BH19="","",RANK(BH19,$BH$9:$BH$53,0)))))</f>
        <v/>
      </c>
    </row>
    <row r="20" spans="1:61" s="26" customFormat="1" ht="16.350000000000001" customHeight="1">
      <c r="A20" s="27">
        <v>12</v>
      </c>
      <c r="B20" s="204" t="str">
        <f>IF(IDstu12="","",IDstu12)</f>
        <v/>
      </c>
      <c r="C20" s="279" t="str">
        <f>IF(Name12="","",Name12)</f>
        <v/>
      </c>
      <c r="D20" s="276"/>
      <c r="E20" s="276"/>
      <c r="F20" s="276"/>
      <c r="G20" s="276"/>
      <c r="H20" s="280" t="str">
        <f>IF(Surname12="","",Surname12)</f>
        <v/>
      </c>
      <c r="I20" s="280"/>
      <c r="J20" s="280"/>
      <c r="K20" s="280"/>
      <c r="L20" s="281"/>
      <c r="M20" s="89" t="str">
        <f>VLOOKUP($B20,'3.Grades'!$C$6:$BN$50,9,FALSE)</f>
        <v/>
      </c>
      <c r="N20" s="92" t="str">
        <f>VLOOKUP($B20,'3.Grades'!$C$6:$BN$50,14,FALSE)</f>
        <v/>
      </c>
      <c r="O20" s="92" t="str">
        <f>VLOOKUP($B20,'3.Grades'!$C$6:$BN$50,19,FALSE)</f>
        <v/>
      </c>
      <c r="P20" s="17" t="str">
        <f>VLOOKUP($B20,'3.Grades'!$C$6:$BN$50,24,FALSE)</f>
        <v/>
      </c>
      <c r="Q20" s="92" t="str">
        <f>VLOOKUP($B20,'3.Grades'!$C$6:$BN$50,29,FALSE)</f>
        <v/>
      </c>
      <c r="R20" s="92" t="str">
        <f>VLOOKUP($B20,'3.Grades'!$C$6:$BN$50,34,FALSE)</f>
        <v/>
      </c>
      <c r="S20" s="92" t="str">
        <f>VLOOKUP($B20,'3.Grades'!$C$6:$BN$50,39,FALSE)</f>
        <v/>
      </c>
      <c r="T20" s="92" t="str">
        <f>VLOOKUP($B20,'3.Grades'!$C$6:$BN$50,44,FALSE)</f>
        <v/>
      </c>
      <c r="U20" s="17" t="str">
        <f>VLOOKUP($B20,'3.Grades'!$C$6:$BN$50,49,FALSE)</f>
        <v/>
      </c>
      <c r="V20" s="95" t="str">
        <f>VLOOKUP($B20,'3.Grades'!$C$6:$BN$50,54,FALSE)</f>
        <v/>
      </c>
      <c r="W20" s="95" t="str">
        <f>VLOOKUP($B20,'3.Grades'!$C$6:$BN$50,59,FALSE)</f>
        <v/>
      </c>
      <c r="X20" s="18" t="str">
        <f>VLOOKUP($B20,'3.Grades'!$C$6:$BN$50,64,FALSE)</f>
        <v/>
      </c>
      <c r="Y20" s="78" t="str">
        <v/>
      </c>
      <c r="Z20" s="79" t="str">
        <v/>
      </c>
      <c r="AA20" s="79" t="str">
        <v/>
      </c>
      <c r="AB20" s="70" t="str">
        <v/>
      </c>
      <c r="AC20" s="79" t="str">
        <v/>
      </c>
      <c r="AD20" s="79" t="str">
        <v/>
      </c>
      <c r="AE20" s="79" t="str">
        <v/>
      </c>
      <c r="AF20" s="79" t="str">
        <v/>
      </c>
      <c r="AG20" s="70" t="str">
        <v/>
      </c>
      <c r="AH20" s="108" t="str">
        <v/>
      </c>
      <c r="AI20" s="108" t="str">
        <v/>
      </c>
      <c r="AJ20" s="71" t="str">
        <v/>
      </c>
      <c r="AK20" s="78" t="e">
        <f>IF(#REF!="มส","มส",IF(#REF!="","",IF($AK$7="","",IF($AK$7="SBMLD",SUM(#REF!),#REF!))))</f>
        <v>#REF!</v>
      </c>
      <c r="AL20" s="79" t="e">
        <f>IF(#REF!="มส","มส",IF(#REF!="","",IF($AL$7="","",IF($AL$7="SBMLD",SUM(#REF!),#REF!))))</f>
        <v>#REF!</v>
      </c>
      <c r="AM20" s="79" t="e">
        <f>IF(#REF!="มส","มส",IF(#REF!="","",IF($AM$7="","",IF($AM$7="SBMLD",SUM(#REF!),#REF!))))</f>
        <v>#REF!</v>
      </c>
      <c r="AN20" s="70" t="e">
        <f>IF(#REF!="มส","มส",IF(#REF!="","",IF($AN$7="","",IF($AN$7="SBMLD",SUM(#REF!),#REF!))))</f>
        <v>#REF!</v>
      </c>
      <c r="AO20" s="71" t="e">
        <f>IF(#REF!="มส","มส",IF(#REF!="","",IF($AO$7="","",IF($AO$7="SBMLD",SUM(#REF!),#REF!))))</f>
        <v>#REF!</v>
      </c>
      <c r="AP20" s="188"/>
      <c r="AQ20" s="78" t="str">
        <f t="shared" si="1"/>
        <v/>
      </c>
      <c r="AR20" s="79" t="str">
        <f t="shared" si="2"/>
        <v/>
      </c>
      <c r="AS20" s="79" t="str">
        <f t="shared" si="3"/>
        <v/>
      </c>
      <c r="AT20" s="70" t="str">
        <f t="shared" si="4"/>
        <v/>
      </c>
      <c r="AU20" s="79" t="str">
        <f t="shared" si="5"/>
        <v/>
      </c>
      <c r="AV20" s="79" t="str">
        <f t="shared" si="6"/>
        <v/>
      </c>
      <c r="AW20" s="79" t="str">
        <f t="shared" si="7"/>
        <v/>
      </c>
      <c r="AX20" s="79" t="str">
        <f t="shared" si="8"/>
        <v/>
      </c>
      <c r="AY20" s="70" t="str">
        <f t="shared" si="9"/>
        <v/>
      </c>
      <c r="AZ20" s="108" t="str">
        <f t="shared" si="10"/>
        <v/>
      </c>
      <c r="BA20" s="108" t="str">
        <f t="shared" si="11"/>
        <v/>
      </c>
      <c r="BB20" s="71" t="str">
        <f t="shared" si="16"/>
        <v/>
      </c>
      <c r="BC20" s="78" t="e">
        <f t="shared" si="12"/>
        <v>#REF!</v>
      </c>
      <c r="BD20" s="79" t="e">
        <f t="shared" si="13"/>
        <v>#REF!</v>
      </c>
      <c r="BE20" s="79" t="e">
        <f t="shared" si="14"/>
        <v>#REF!</v>
      </c>
      <c r="BF20" s="79" t="e">
        <f t="shared" si="17"/>
        <v>#REF!</v>
      </c>
      <c r="BG20" s="71" t="e">
        <f t="shared" si="15"/>
        <v>#REF!</v>
      </c>
      <c r="BH20" s="105" t="str">
        <f>IF('2.Students'' data'!R22="มส","",IF('2.Students'' data'!R22="ย้าย","",IF(C20="","",SUM(AQ20:BG20)/SUM(top))))</f>
        <v/>
      </c>
      <c r="BI20" s="18" t="str">
        <f>IF('2.Students'' data'!R22="มส","มส",IF('2.Students'' data'!R22="ย้าย","ย้าย",IF('2.Students'' data'!R22="ร","ร",IF(BH20="","",RANK(BH20,$BH$9:$BH$53,0)))))</f>
        <v/>
      </c>
    </row>
    <row r="21" spans="1:61" s="26" customFormat="1" ht="16.350000000000001" customHeight="1">
      <c r="A21" s="27">
        <v>13</v>
      </c>
      <c r="B21" s="204" t="str">
        <f>IF(IDstu13="","",IDstu13)</f>
        <v/>
      </c>
      <c r="C21" s="279" t="str">
        <f>IF(Name13="","",Name13)</f>
        <v/>
      </c>
      <c r="D21" s="276"/>
      <c r="E21" s="276"/>
      <c r="F21" s="276"/>
      <c r="G21" s="276"/>
      <c r="H21" s="280" t="str">
        <f>IF(Surname13="","",Surname13)</f>
        <v/>
      </c>
      <c r="I21" s="280"/>
      <c r="J21" s="280"/>
      <c r="K21" s="280"/>
      <c r="L21" s="281"/>
      <c r="M21" s="89" t="str">
        <f>VLOOKUP($B21,'3.Grades'!$C$6:$BN$50,9,FALSE)</f>
        <v/>
      </c>
      <c r="N21" s="92" t="str">
        <f>VLOOKUP($B21,'3.Grades'!$C$6:$BN$50,14,FALSE)</f>
        <v/>
      </c>
      <c r="O21" s="92" t="str">
        <f>VLOOKUP($B21,'3.Grades'!$C$6:$BN$50,19,FALSE)</f>
        <v/>
      </c>
      <c r="P21" s="17" t="str">
        <f>VLOOKUP($B21,'3.Grades'!$C$6:$BN$50,24,FALSE)</f>
        <v/>
      </c>
      <c r="Q21" s="92" t="str">
        <f>VLOOKUP($B21,'3.Grades'!$C$6:$BN$50,29,FALSE)</f>
        <v/>
      </c>
      <c r="R21" s="92" t="str">
        <f>VLOOKUP($B21,'3.Grades'!$C$6:$BN$50,34,FALSE)</f>
        <v/>
      </c>
      <c r="S21" s="92" t="str">
        <f>VLOOKUP($B21,'3.Grades'!$C$6:$BN$50,39,FALSE)</f>
        <v/>
      </c>
      <c r="T21" s="92" t="str">
        <f>VLOOKUP($B21,'3.Grades'!$C$6:$BN$50,44,FALSE)</f>
        <v/>
      </c>
      <c r="U21" s="17" t="str">
        <f>VLOOKUP($B21,'3.Grades'!$C$6:$BN$50,49,FALSE)</f>
        <v/>
      </c>
      <c r="V21" s="95" t="str">
        <f>VLOOKUP($B21,'3.Grades'!$C$6:$BN$50,54,FALSE)</f>
        <v/>
      </c>
      <c r="W21" s="95" t="str">
        <f>VLOOKUP($B21,'3.Grades'!$C$6:$BN$50,59,FALSE)</f>
        <v/>
      </c>
      <c r="X21" s="18" t="str">
        <f>VLOOKUP($B21,'3.Grades'!$C$6:$BN$50,64,FALSE)</f>
        <v/>
      </c>
      <c r="Y21" s="78" t="str">
        <v/>
      </c>
      <c r="Z21" s="79" t="str">
        <v/>
      </c>
      <c r="AA21" s="79" t="str">
        <v/>
      </c>
      <c r="AB21" s="70" t="str">
        <v/>
      </c>
      <c r="AC21" s="79" t="str">
        <v/>
      </c>
      <c r="AD21" s="79" t="str">
        <v/>
      </c>
      <c r="AE21" s="79" t="str">
        <v/>
      </c>
      <c r="AF21" s="79" t="str">
        <v/>
      </c>
      <c r="AG21" s="70" t="str">
        <v/>
      </c>
      <c r="AH21" s="108" t="str">
        <v/>
      </c>
      <c r="AI21" s="108" t="str">
        <v/>
      </c>
      <c r="AJ21" s="71" t="str">
        <v/>
      </c>
      <c r="AK21" s="78" t="e">
        <f>IF(#REF!="มส","มส",IF(#REF!="","",IF($AK$7="","",IF($AK$7="SBMLD",SUM(#REF!),#REF!))))</f>
        <v>#REF!</v>
      </c>
      <c r="AL21" s="79" t="e">
        <f>IF(#REF!="มส","มส",IF(#REF!="","",IF($AL$7="","",IF($AL$7="SBMLD",SUM(#REF!),#REF!))))</f>
        <v>#REF!</v>
      </c>
      <c r="AM21" s="79" t="e">
        <f>IF(#REF!="มส","มส",IF(#REF!="","",IF($AM$7="","",IF($AM$7="SBMLD",SUM(#REF!),#REF!))))</f>
        <v>#REF!</v>
      </c>
      <c r="AN21" s="70" t="e">
        <f>IF(#REF!="มส","มส",IF(#REF!="","",IF($AN$7="","",IF($AN$7="SBMLD",SUM(#REF!),#REF!))))</f>
        <v>#REF!</v>
      </c>
      <c r="AO21" s="71" t="e">
        <f>IF(#REF!="มส","มส",IF(#REF!="","",IF($AO$7="","",IF($AO$7="SBMLD",SUM(#REF!),#REF!))))</f>
        <v>#REF!</v>
      </c>
      <c r="AP21" s="188"/>
      <c r="AQ21" s="78" t="str">
        <f t="shared" si="1"/>
        <v/>
      </c>
      <c r="AR21" s="79" t="str">
        <f t="shared" si="2"/>
        <v/>
      </c>
      <c r="AS21" s="79" t="str">
        <f t="shared" si="3"/>
        <v/>
      </c>
      <c r="AT21" s="70" t="str">
        <f t="shared" si="4"/>
        <v/>
      </c>
      <c r="AU21" s="79" t="str">
        <f t="shared" si="5"/>
        <v/>
      </c>
      <c r="AV21" s="79" t="str">
        <f t="shared" si="6"/>
        <v/>
      </c>
      <c r="AW21" s="79" t="str">
        <f t="shared" si="7"/>
        <v/>
      </c>
      <c r="AX21" s="79" t="str">
        <f t="shared" si="8"/>
        <v/>
      </c>
      <c r="AY21" s="70" t="str">
        <f t="shared" si="9"/>
        <v/>
      </c>
      <c r="AZ21" s="108" t="str">
        <f t="shared" si="10"/>
        <v/>
      </c>
      <c r="BA21" s="108" t="str">
        <f t="shared" si="11"/>
        <v/>
      </c>
      <c r="BB21" s="71" t="str">
        <f t="shared" si="16"/>
        <v/>
      </c>
      <c r="BC21" s="78" t="e">
        <f t="shared" si="12"/>
        <v>#REF!</v>
      </c>
      <c r="BD21" s="79" t="e">
        <f t="shared" si="13"/>
        <v>#REF!</v>
      </c>
      <c r="BE21" s="79" t="e">
        <f t="shared" si="14"/>
        <v>#REF!</v>
      </c>
      <c r="BF21" s="79" t="e">
        <f t="shared" si="17"/>
        <v>#REF!</v>
      </c>
      <c r="BG21" s="71" t="e">
        <f t="shared" si="15"/>
        <v>#REF!</v>
      </c>
      <c r="BH21" s="105" t="str">
        <f>IF('2.Students'' data'!R23="มส","",IF('2.Students'' data'!R23="ย้าย","",IF(C21="","",SUM(AQ21:BG21)/SUM(top))))</f>
        <v/>
      </c>
      <c r="BI21" s="18" t="str">
        <f>IF('2.Students'' data'!R23="มส","มส",IF('2.Students'' data'!R23="ย้าย","ย้าย",IF('2.Students'' data'!R23="ร","ร",IF(BH21="","",RANK(BH21,$BH$9:$BH$53,0)))))</f>
        <v/>
      </c>
    </row>
    <row r="22" spans="1:61" s="26" customFormat="1" ht="16.350000000000001" customHeight="1">
      <c r="A22" s="27">
        <v>14</v>
      </c>
      <c r="B22" s="204" t="str">
        <f>IF(IDstu14="","",IDstu14)</f>
        <v/>
      </c>
      <c r="C22" s="279" t="str">
        <f>IF(Name14="","",Name14)</f>
        <v/>
      </c>
      <c r="D22" s="276"/>
      <c r="E22" s="276"/>
      <c r="F22" s="276"/>
      <c r="G22" s="276"/>
      <c r="H22" s="280" t="str">
        <f>IF(Surname14="","",Surname14)</f>
        <v/>
      </c>
      <c r="I22" s="280"/>
      <c r="J22" s="280"/>
      <c r="K22" s="280"/>
      <c r="L22" s="281"/>
      <c r="M22" s="89" t="str">
        <f>VLOOKUP($B22,'3.Grades'!$C$6:$BN$50,9,FALSE)</f>
        <v/>
      </c>
      <c r="N22" s="92" t="str">
        <f>VLOOKUP($B22,'3.Grades'!$C$6:$BN$50,14,FALSE)</f>
        <v/>
      </c>
      <c r="O22" s="92" t="str">
        <f>VLOOKUP($B22,'3.Grades'!$C$6:$BN$50,19,FALSE)</f>
        <v/>
      </c>
      <c r="P22" s="17" t="str">
        <f>VLOOKUP($B22,'3.Grades'!$C$6:$BN$50,24,FALSE)</f>
        <v/>
      </c>
      <c r="Q22" s="92" t="str">
        <f>VLOOKUP($B22,'3.Grades'!$C$6:$BN$50,29,FALSE)</f>
        <v/>
      </c>
      <c r="R22" s="92" t="str">
        <f>VLOOKUP($B22,'3.Grades'!$C$6:$BN$50,34,FALSE)</f>
        <v/>
      </c>
      <c r="S22" s="92" t="str">
        <f>VLOOKUP($B22,'3.Grades'!$C$6:$BN$50,39,FALSE)</f>
        <v/>
      </c>
      <c r="T22" s="92" t="str">
        <f>VLOOKUP($B22,'3.Grades'!$C$6:$BN$50,44,FALSE)</f>
        <v/>
      </c>
      <c r="U22" s="17" t="str">
        <f>VLOOKUP($B22,'3.Grades'!$C$6:$BN$50,49,FALSE)</f>
        <v/>
      </c>
      <c r="V22" s="95" t="str">
        <f>VLOOKUP($B22,'3.Grades'!$C$6:$BN$50,54,FALSE)</f>
        <v/>
      </c>
      <c r="W22" s="95" t="str">
        <f>VLOOKUP($B22,'3.Grades'!$C$6:$BN$50,59,FALSE)</f>
        <v/>
      </c>
      <c r="X22" s="18" t="str">
        <f>VLOOKUP($B22,'3.Grades'!$C$6:$BN$50,64,FALSE)</f>
        <v/>
      </c>
      <c r="Y22" s="78" t="str">
        <v/>
      </c>
      <c r="Z22" s="79" t="str">
        <v/>
      </c>
      <c r="AA22" s="79" t="str">
        <v/>
      </c>
      <c r="AB22" s="70" t="str">
        <v/>
      </c>
      <c r="AC22" s="79" t="str">
        <v/>
      </c>
      <c r="AD22" s="79" t="str">
        <v/>
      </c>
      <c r="AE22" s="79" t="str">
        <v/>
      </c>
      <c r="AF22" s="79" t="str">
        <v/>
      </c>
      <c r="AG22" s="70" t="str">
        <v/>
      </c>
      <c r="AH22" s="108" t="str">
        <v/>
      </c>
      <c r="AI22" s="108" t="str">
        <v/>
      </c>
      <c r="AJ22" s="71" t="str">
        <v/>
      </c>
      <c r="AK22" s="78" t="e">
        <f>IF(#REF!="มส","มส",IF(#REF!="","",IF($AK$7="","",IF($AK$7="SBMLD",SUM(#REF!),#REF!))))</f>
        <v>#REF!</v>
      </c>
      <c r="AL22" s="79" t="e">
        <f>IF(#REF!="มส","มส",IF(#REF!="","",IF($AL$7="","",IF($AL$7="SBMLD",SUM(#REF!),#REF!))))</f>
        <v>#REF!</v>
      </c>
      <c r="AM22" s="79" t="e">
        <f>IF(#REF!="มส","มส",IF(#REF!="","",IF($AM$7="","",IF($AM$7="SBMLD",SUM(#REF!),#REF!))))</f>
        <v>#REF!</v>
      </c>
      <c r="AN22" s="70" t="e">
        <f>IF(#REF!="มส","มส",IF(#REF!="","",IF($AN$7="","",IF($AN$7="SBMLD",SUM(#REF!),#REF!))))</f>
        <v>#REF!</v>
      </c>
      <c r="AO22" s="71" t="e">
        <f>IF(#REF!="มส","มส",IF(#REF!="","",IF($AO$7="","",IF($AO$7="SBMLD",SUM(#REF!),#REF!))))</f>
        <v>#REF!</v>
      </c>
      <c r="AP22" s="188"/>
      <c r="AQ22" s="78" t="str">
        <f t="shared" si="1"/>
        <v/>
      </c>
      <c r="AR22" s="79" t="str">
        <f t="shared" si="2"/>
        <v/>
      </c>
      <c r="AS22" s="79" t="str">
        <f t="shared" si="3"/>
        <v/>
      </c>
      <c r="AT22" s="70" t="str">
        <f t="shared" si="4"/>
        <v/>
      </c>
      <c r="AU22" s="79" t="str">
        <f t="shared" si="5"/>
        <v/>
      </c>
      <c r="AV22" s="79" t="str">
        <f t="shared" si="6"/>
        <v/>
      </c>
      <c r="AW22" s="79" t="str">
        <f t="shared" si="7"/>
        <v/>
      </c>
      <c r="AX22" s="79" t="str">
        <f t="shared" si="8"/>
        <v/>
      </c>
      <c r="AY22" s="70" t="str">
        <f t="shared" si="9"/>
        <v/>
      </c>
      <c r="AZ22" s="108" t="str">
        <f t="shared" si="10"/>
        <v/>
      </c>
      <c r="BA22" s="108" t="str">
        <f t="shared" si="11"/>
        <v/>
      </c>
      <c r="BB22" s="71" t="str">
        <f t="shared" si="16"/>
        <v/>
      </c>
      <c r="BC22" s="78" t="e">
        <f t="shared" si="12"/>
        <v>#REF!</v>
      </c>
      <c r="BD22" s="79" t="e">
        <f t="shared" si="13"/>
        <v>#REF!</v>
      </c>
      <c r="BE22" s="79" t="e">
        <f t="shared" si="14"/>
        <v>#REF!</v>
      </c>
      <c r="BF22" s="79" t="e">
        <f t="shared" si="17"/>
        <v>#REF!</v>
      </c>
      <c r="BG22" s="71" t="e">
        <f t="shared" si="15"/>
        <v>#REF!</v>
      </c>
      <c r="BH22" s="105" t="str">
        <f>IF('2.Students'' data'!R24="มส","",IF('2.Students'' data'!R24="ย้าย","",IF(C22="","",SUM(AQ22:BG22)/SUM(top))))</f>
        <v/>
      </c>
      <c r="BI22" s="18" t="str">
        <f>IF('2.Students'' data'!R24="มส","มส",IF('2.Students'' data'!R24="ย้าย","ย้าย",IF('2.Students'' data'!R24="ร","ร",IF(BH22="","",RANK(BH22,$BH$9:$BH$53,0)))))</f>
        <v/>
      </c>
    </row>
    <row r="23" spans="1:61" s="26" customFormat="1" ht="16.350000000000001" customHeight="1">
      <c r="A23" s="27">
        <v>15</v>
      </c>
      <c r="B23" s="204" t="str">
        <f>IF(IDstu15="","",IDstu15)</f>
        <v/>
      </c>
      <c r="C23" s="279" t="str">
        <f>IF(Name15="","",Name15)</f>
        <v/>
      </c>
      <c r="D23" s="276"/>
      <c r="E23" s="276"/>
      <c r="F23" s="276"/>
      <c r="G23" s="276"/>
      <c r="H23" s="280" t="str">
        <f>IF(Surname15="","",Surname15)</f>
        <v/>
      </c>
      <c r="I23" s="280"/>
      <c r="J23" s="280"/>
      <c r="K23" s="280"/>
      <c r="L23" s="281"/>
      <c r="M23" s="89" t="str">
        <f>VLOOKUP($B23,'3.Grades'!$C$6:$BN$50,9,FALSE)</f>
        <v/>
      </c>
      <c r="N23" s="92" t="str">
        <f>VLOOKUP($B23,'3.Grades'!$C$6:$BN$50,14,FALSE)</f>
        <v/>
      </c>
      <c r="O23" s="92" t="str">
        <f>VLOOKUP($B23,'3.Grades'!$C$6:$BN$50,19,FALSE)</f>
        <v/>
      </c>
      <c r="P23" s="17" t="str">
        <f>VLOOKUP($B23,'3.Grades'!$C$6:$BN$50,24,FALSE)</f>
        <v/>
      </c>
      <c r="Q23" s="92" t="str">
        <f>VLOOKUP($B23,'3.Grades'!$C$6:$BN$50,29,FALSE)</f>
        <v/>
      </c>
      <c r="R23" s="92" t="str">
        <f>VLOOKUP($B23,'3.Grades'!$C$6:$BN$50,34,FALSE)</f>
        <v/>
      </c>
      <c r="S23" s="92" t="str">
        <f>VLOOKUP($B23,'3.Grades'!$C$6:$BN$50,39,FALSE)</f>
        <v/>
      </c>
      <c r="T23" s="92" t="str">
        <f>VLOOKUP($B23,'3.Grades'!$C$6:$BN$50,44,FALSE)</f>
        <v/>
      </c>
      <c r="U23" s="17" t="str">
        <f>VLOOKUP($B23,'3.Grades'!$C$6:$BN$50,49,FALSE)</f>
        <v/>
      </c>
      <c r="V23" s="95" t="str">
        <f>VLOOKUP($B23,'3.Grades'!$C$6:$BN$50,54,FALSE)</f>
        <v/>
      </c>
      <c r="W23" s="95" t="str">
        <f>VLOOKUP($B23,'3.Grades'!$C$6:$BN$50,59,FALSE)</f>
        <v/>
      </c>
      <c r="X23" s="18" t="str">
        <f>VLOOKUP($B23,'3.Grades'!$C$6:$BN$50,64,FALSE)</f>
        <v/>
      </c>
      <c r="Y23" s="78" t="str">
        <v/>
      </c>
      <c r="Z23" s="79" t="str">
        <v/>
      </c>
      <c r="AA23" s="79" t="str">
        <v/>
      </c>
      <c r="AB23" s="70" t="str">
        <v/>
      </c>
      <c r="AC23" s="79" t="str">
        <v/>
      </c>
      <c r="AD23" s="79" t="str">
        <v/>
      </c>
      <c r="AE23" s="79" t="str">
        <v/>
      </c>
      <c r="AF23" s="79" t="str">
        <v/>
      </c>
      <c r="AG23" s="70" t="str">
        <v/>
      </c>
      <c r="AH23" s="108" t="str">
        <v/>
      </c>
      <c r="AI23" s="108" t="str">
        <v/>
      </c>
      <c r="AJ23" s="71" t="str">
        <v/>
      </c>
      <c r="AK23" s="78" t="e">
        <f>IF(#REF!="มส","มส",IF(#REF!="","",IF($AK$7="","",IF($AK$7="SBMLD",SUM(#REF!),#REF!))))</f>
        <v>#REF!</v>
      </c>
      <c r="AL23" s="79" t="e">
        <f>IF(#REF!="มส","มส",IF(#REF!="","",IF($AL$7="","",IF($AL$7="SBMLD",SUM(#REF!),#REF!))))</f>
        <v>#REF!</v>
      </c>
      <c r="AM23" s="79" t="e">
        <f>IF(#REF!="มส","มส",IF(#REF!="","",IF($AM$7="","",IF($AM$7="SBMLD",SUM(#REF!),#REF!))))</f>
        <v>#REF!</v>
      </c>
      <c r="AN23" s="70" t="e">
        <f>IF(#REF!="มส","มส",IF(#REF!="","",IF($AN$7="","",IF($AN$7="SBMLD",SUM(#REF!),#REF!))))</f>
        <v>#REF!</v>
      </c>
      <c r="AO23" s="71" t="e">
        <f>IF(#REF!="มส","มส",IF(#REF!="","",IF($AO$7="","",IF($AO$7="SBMLD",SUM(#REF!),#REF!))))</f>
        <v>#REF!</v>
      </c>
      <c r="AP23" s="188"/>
      <c r="AQ23" s="78" t="str">
        <f t="shared" si="1"/>
        <v/>
      </c>
      <c r="AR23" s="79" t="str">
        <f t="shared" si="2"/>
        <v/>
      </c>
      <c r="AS23" s="79" t="str">
        <f t="shared" si="3"/>
        <v/>
      </c>
      <c r="AT23" s="70" t="str">
        <f t="shared" si="4"/>
        <v/>
      </c>
      <c r="AU23" s="79" t="str">
        <f t="shared" si="5"/>
        <v/>
      </c>
      <c r="AV23" s="79" t="str">
        <f t="shared" si="6"/>
        <v/>
      </c>
      <c r="AW23" s="79" t="str">
        <f t="shared" si="7"/>
        <v/>
      </c>
      <c r="AX23" s="79" t="str">
        <f t="shared" si="8"/>
        <v/>
      </c>
      <c r="AY23" s="70" t="str">
        <f t="shared" si="9"/>
        <v/>
      </c>
      <c r="AZ23" s="108" t="str">
        <f t="shared" si="10"/>
        <v/>
      </c>
      <c r="BA23" s="108" t="str">
        <f t="shared" si="11"/>
        <v/>
      </c>
      <c r="BB23" s="71" t="str">
        <f t="shared" si="16"/>
        <v/>
      </c>
      <c r="BC23" s="78" t="e">
        <f t="shared" si="12"/>
        <v>#REF!</v>
      </c>
      <c r="BD23" s="79" t="e">
        <f t="shared" si="13"/>
        <v>#REF!</v>
      </c>
      <c r="BE23" s="79" t="e">
        <f t="shared" si="14"/>
        <v>#REF!</v>
      </c>
      <c r="BF23" s="79" t="e">
        <f t="shared" si="17"/>
        <v>#REF!</v>
      </c>
      <c r="BG23" s="71" t="e">
        <f t="shared" si="15"/>
        <v>#REF!</v>
      </c>
      <c r="BH23" s="105" t="str">
        <f>IF('2.Students'' data'!R25="มส","",IF('2.Students'' data'!R25="ย้าย","",IF(C23="","",SUM(AQ23:BG23)/SUM(top))))</f>
        <v/>
      </c>
      <c r="BI23" s="18" t="str">
        <f>IF('2.Students'' data'!R25="มส","มส",IF('2.Students'' data'!R25="ย้าย","ย้าย",IF('2.Students'' data'!R25="ร","ร",IF(BH23="","",RANK(BH23,$BH$9:$BH$53,0)))))</f>
        <v/>
      </c>
    </row>
    <row r="24" spans="1:61" s="26" customFormat="1" ht="16.350000000000001" customHeight="1">
      <c r="A24" s="27">
        <v>16</v>
      </c>
      <c r="B24" s="204" t="str">
        <f>IF(IDstu16="","",IDstu16)</f>
        <v/>
      </c>
      <c r="C24" s="279" t="str">
        <f>IF(Name16="","",Name16)</f>
        <v/>
      </c>
      <c r="D24" s="276"/>
      <c r="E24" s="276"/>
      <c r="F24" s="276"/>
      <c r="G24" s="276"/>
      <c r="H24" s="280" t="str">
        <f>IF(Surname16="","",Surname16)</f>
        <v/>
      </c>
      <c r="I24" s="280"/>
      <c r="J24" s="280"/>
      <c r="K24" s="280"/>
      <c r="L24" s="281"/>
      <c r="M24" s="89" t="str">
        <f>VLOOKUP($B24,'3.Grades'!$C$6:$BN$50,9,FALSE)</f>
        <v/>
      </c>
      <c r="N24" s="92" t="str">
        <f>VLOOKUP($B24,'3.Grades'!$C$6:$BN$50,14,FALSE)</f>
        <v/>
      </c>
      <c r="O24" s="92" t="str">
        <f>VLOOKUP($B24,'3.Grades'!$C$6:$BN$50,19,FALSE)</f>
        <v/>
      </c>
      <c r="P24" s="17" t="str">
        <f>VLOOKUP($B24,'3.Grades'!$C$6:$BN$50,24,FALSE)</f>
        <v/>
      </c>
      <c r="Q24" s="92" t="str">
        <f>VLOOKUP($B24,'3.Grades'!$C$6:$BN$50,29,FALSE)</f>
        <v/>
      </c>
      <c r="R24" s="92" t="str">
        <f>VLOOKUP($B24,'3.Grades'!$C$6:$BN$50,34,FALSE)</f>
        <v/>
      </c>
      <c r="S24" s="92" t="str">
        <f>VLOOKUP($B24,'3.Grades'!$C$6:$BN$50,39,FALSE)</f>
        <v/>
      </c>
      <c r="T24" s="92" t="str">
        <f>VLOOKUP($B24,'3.Grades'!$C$6:$BN$50,44,FALSE)</f>
        <v/>
      </c>
      <c r="U24" s="17" t="str">
        <f>VLOOKUP($B24,'3.Grades'!$C$6:$BN$50,49,FALSE)</f>
        <v/>
      </c>
      <c r="V24" s="95" t="str">
        <f>VLOOKUP($B24,'3.Grades'!$C$6:$BN$50,54,FALSE)</f>
        <v/>
      </c>
      <c r="W24" s="95" t="str">
        <f>VLOOKUP($B24,'3.Grades'!$C$6:$BN$50,59,FALSE)</f>
        <v/>
      </c>
      <c r="X24" s="18" t="str">
        <f>VLOOKUP($B24,'3.Grades'!$C$6:$BN$50,64,FALSE)</f>
        <v/>
      </c>
      <c r="Y24" s="78" t="str">
        <v/>
      </c>
      <c r="Z24" s="79" t="str">
        <v/>
      </c>
      <c r="AA24" s="79" t="str">
        <v/>
      </c>
      <c r="AB24" s="70" t="str">
        <v/>
      </c>
      <c r="AC24" s="79" t="str">
        <v/>
      </c>
      <c r="AD24" s="79" t="str">
        <v/>
      </c>
      <c r="AE24" s="79" t="str">
        <v/>
      </c>
      <c r="AF24" s="79" t="str">
        <v/>
      </c>
      <c r="AG24" s="70" t="str">
        <v/>
      </c>
      <c r="AH24" s="108" t="str">
        <v/>
      </c>
      <c r="AI24" s="108" t="str">
        <v/>
      </c>
      <c r="AJ24" s="71" t="str">
        <v/>
      </c>
      <c r="AK24" s="78" t="e">
        <f>IF(#REF!="มส","มส",IF(#REF!="","",IF($AK$7="","",IF($AK$7="SBMLD",SUM(#REF!),#REF!))))</f>
        <v>#REF!</v>
      </c>
      <c r="AL24" s="79" t="e">
        <f>IF(#REF!="มส","มส",IF(#REF!="","",IF($AL$7="","",IF($AL$7="SBMLD",SUM(#REF!),#REF!))))</f>
        <v>#REF!</v>
      </c>
      <c r="AM24" s="79" t="e">
        <f>IF(#REF!="มส","มส",IF(#REF!="","",IF($AM$7="","",IF($AM$7="SBMLD",SUM(#REF!),#REF!))))</f>
        <v>#REF!</v>
      </c>
      <c r="AN24" s="70" t="e">
        <f>IF(#REF!="มส","มส",IF(#REF!="","",IF($AN$7="","",IF($AN$7="SBMLD",SUM(#REF!),#REF!))))</f>
        <v>#REF!</v>
      </c>
      <c r="AO24" s="71" t="e">
        <f>IF(#REF!="มส","มส",IF(#REF!="","",IF($AO$7="","",IF($AO$7="SBMLD",SUM(#REF!),#REF!))))</f>
        <v>#REF!</v>
      </c>
      <c r="AP24" s="188"/>
      <c r="AQ24" s="78" t="str">
        <f t="shared" si="1"/>
        <v/>
      </c>
      <c r="AR24" s="79" t="str">
        <f t="shared" si="2"/>
        <v/>
      </c>
      <c r="AS24" s="79" t="str">
        <f t="shared" si="3"/>
        <v/>
      </c>
      <c r="AT24" s="70" t="str">
        <f t="shared" si="4"/>
        <v/>
      </c>
      <c r="AU24" s="79" t="str">
        <f t="shared" si="5"/>
        <v/>
      </c>
      <c r="AV24" s="79" t="str">
        <f t="shared" si="6"/>
        <v/>
      </c>
      <c r="AW24" s="79" t="str">
        <f t="shared" si="7"/>
        <v/>
      </c>
      <c r="AX24" s="79" t="str">
        <f t="shared" si="8"/>
        <v/>
      </c>
      <c r="AY24" s="70" t="str">
        <f t="shared" si="9"/>
        <v/>
      </c>
      <c r="AZ24" s="108" t="str">
        <f t="shared" si="10"/>
        <v/>
      </c>
      <c r="BA24" s="108" t="str">
        <f t="shared" si="11"/>
        <v/>
      </c>
      <c r="BB24" s="71" t="str">
        <f t="shared" si="16"/>
        <v/>
      </c>
      <c r="BC24" s="78" t="e">
        <f t="shared" si="12"/>
        <v>#REF!</v>
      </c>
      <c r="BD24" s="79" t="e">
        <f t="shared" si="13"/>
        <v>#REF!</v>
      </c>
      <c r="BE24" s="79" t="e">
        <f t="shared" si="14"/>
        <v>#REF!</v>
      </c>
      <c r="BF24" s="79" t="e">
        <f t="shared" si="17"/>
        <v>#REF!</v>
      </c>
      <c r="BG24" s="71" t="e">
        <f t="shared" si="15"/>
        <v>#REF!</v>
      </c>
      <c r="BH24" s="105" t="str">
        <f>IF('2.Students'' data'!R26="มส","",IF('2.Students'' data'!R26="ย้าย","",IF(C24="","",SUM(AQ24:BG24)/SUM(top))))</f>
        <v/>
      </c>
      <c r="BI24" s="18" t="str">
        <f>IF('2.Students'' data'!R26="มส","มส",IF('2.Students'' data'!R26="ย้าย","ย้าย",IF('2.Students'' data'!R26="ร","ร",IF(BH24="","",RANK(BH24,$BH$9:$BH$53,0)))))</f>
        <v/>
      </c>
    </row>
    <row r="25" spans="1:61" s="26" customFormat="1" ht="16.350000000000001" customHeight="1">
      <c r="A25" s="27">
        <v>17</v>
      </c>
      <c r="B25" s="204" t="str">
        <f>IF(IDstu17="","",IDstu17)</f>
        <v/>
      </c>
      <c r="C25" s="279" t="str">
        <f>IF(Name17="","",Name17)</f>
        <v/>
      </c>
      <c r="D25" s="276"/>
      <c r="E25" s="276"/>
      <c r="F25" s="276"/>
      <c r="G25" s="276"/>
      <c r="H25" s="280" t="str">
        <f>IF(Surname17="","",Surname17)</f>
        <v/>
      </c>
      <c r="I25" s="280"/>
      <c r="J25" s="280"/>
      <c r="K25" s="280"/>
      <c r="L25" s="281"/>
      <c r="M25" s="89" t="str">
        <f>VLOOKUP($B25,'3.Grades'!$C$6:$BN$50,9,FALSE)</f>
        <v/>
      </c>
      <c r="N25" s="92" t="str">
        <f>VLOOKUP($B25,'3.Grades'!$C$6:$BN$50,14,FALSE)</f>
        <v/>
      </c>
      <c r="O25" s="92" t="str">
        <f>VLOOKUP($B25,'3.Grades'!$C$6:$BN$50,19,FALSE)</f>
        <v/>
      </c>
      <c r="P25" s="17" t="str">
        <f>VLOOKUP($B25,'3.Grades'!$C$6:$BN$50,24,FALSE)</f>
        <v/>
      </c>
      <c r="Q25" s="92" t="str">
        <f>VLOOKUP($B25,'3.Grades'!$C$6:$BN$50,29,FALSE)</f>
        <v/>
      </c>
      <c r="R25" s="92" t="str">
        <f>VLOOKUP($B25,'3.Grades'!$C$6:$BN$50,34,FALSE)</f>
        <v/>
      </c>
      <c r="S25" s="92" t="str">
        <f>VLOOKUP($B25,'3.Grades'!$C$6:$BN$50,39,FALSE)</f>
        <v/>
      </c>
      <c r="T25" s="92" t="str">
        <f>VLOOKUP($B25,'3.Grades'!$C$6:$BN$50,44,FALSE)</f>
        <v/>
      </c>
      <c r="U25" s="17" t="str">
        <f>VLOOKUP($B25,'3.Grades'!$C$6:$BN$50,49,FALSE)</f>
        <v/>
      </c>
      <c r="V25" s="95" t="str">
        <f>VLOOKUP($B25,'3.Grades'!$C$6:$BN$50,54,FALSE)</f>
        <v/>
      </c>
      <c r="W25" s="95" t="str">
        <f>VLOOKUP($B25,'3.Grades'!$C$6:$BN$50,59,FALSE)</f>
        <v/>
      </c>
      <c r="X25" s="18" t="str">
        <f>VLOOKUP($B25,'3.Grades'!$C$6:$BN$50,64,FALSE)</f>
        <v/>
      </c>
      <c r="Y25" s="78" t="str">
        <v/>
      </c>
      <c r="Z25" s="79" t="str">
        <v/>
      </c>
      <c r="AA25" s="79" t="str">
        <v/>
      </c>
      <c r="AB25" s="70" t="str">
        <v/>
      </c>
      <c r="AC25" s="79" t="str">
        <v/>
      </c>
      <c r="AD25" s="79" t="str">
        <v/>
      </c>
      <c r="AE25" s="79" t="str">
        <v/>
      </c>
      <c r="AF25" s="79" t="str">
        <v/>
      </c>
      <c r="AG25" s="70" t="str">
        <v/>
      </c>
      <c r="AH25" s="108" t="str">
        <v/>
      </c>
      <c r="AI25" s="108" t="str">
        <v/>
      </c>
      <c r="AJ25" s="71" t="str">
        <v/>
      </c>
      <c r="AK25" s="78" t="e">
        <f>IF(#REF!="มส","มส",IF(#REF!="","",IF($AK$7="","",IF($AK$7="SBMLD",SUM(#REF!),#REF!))))</f>
        <v>#REF!</v>
      </c>
      <c r="AL25" s="79" t="e">
        <f>IF(#REF!="มส","มส",IF(#REF!="","",IF($AL$7="","",IF($AL$7="SBMLD",SUM(#REF!),#REF!))))</f>
        <v>#REF!</v>
      </c>
      <c r="AM25" s="79" t="e">
        <f>IF(#REF!="มส","มส",IF(#REF!="","",IF($AM$7="","",IF($AM$7="SBMLD",SUM(#REF!),#REF!))))</f>
        <v>#REF!</v>
      </c>
      <c r="AN25" s="70" t="e">
        <f>IF(#REF!="มส","มส",IF(#REF!="","",IF($AN$7="","",IF($AN$7="SBMLD",SUM(#REF!),#REF!))))</f>
        <v>#REF!</v>
      </c>
      <c r="AO25" s="71" t="e">
        <f>IF(#REF!="มส","มส",IF(#REF!="","",IF($AO$7="","",IF($AO$7="SBMLD",SUM(#REF!),#REF!))))</f>
        <v>#REF!</v>
      </c>
      <c r="AP25" s="188"/>
      <c r="AQ25" s="78" t="str">
        <f t="shared" si="1"/>
        <v/>
      </c>
      <c r="AR25" s="79" t="str">
        <f t="shared" si="2"/>
        <v/>
      </c>
      <c r="AS25" s="79" t="str">
        <f t="shared" si="3"/>
        <v/>
      </c>
      <c r="AT25" s="70" t="str">
        <f t="shared" si="4"/>
        <v/>
      </c>
      <c r="AU25" s="79" t="str">
        <f t="shared" si="5"/>
        <v/>
      </c>
      <c r="AV25" s="79" t="str">
        <f t="shared" si="6"/>
        <v/>
      </c>
      <c r="AW25" s="79" t="str">
        <f t="shared" si="7"/>
        <v/>
      </c>
      <c r="AX25" s="79" t="str">
        <f t="shared" si="8"/>
        <v/>
      </c>
      <c r="AY25" s="70" t="str">
        <f t="shared" si="9"/>
        <v/>
      </c>
      <c r="AZ25" s="108" t="str">
        <f t="shared" si="10"/>
        <v/>
      </c>
      <c r="BA25" s="108" t="str">
        <f t="shared" si="11"/>
        <v/>
      </c>
      <c r="BB25" s="71" t="str">
        <f t="shared" si="16"/>
        <v/>
      </c>
      <c r="BC25" s="78" t="e">
        <f t="shared" si="12"/>
        <v>#REF!</v>
      </c>
      <c r="BD25" s="79" t="e">
        <f t="shared" si="13"/>
        <v>#REF!</v>
      </c>
      <c r="BE25" s="79" t="e">
        <f t="shared" si="14"/>
        <v>#REF!</v>
      </c>
      <c r="BF25" s="79" t="e">
        <f t="shared" si="17"/>
        <v>#REF!</v>
      </c>
      <c r="BG25" s="71" t="e">
        <f t="shared" si="15"/>
        <v>#REF!</v>
      </c>
      <c r="BH25" s="105" t="str">
        <f>IF('2.Students'' data'!R27="มส","",IF('2.Students'' data'!R27="ย้าย","",IF(C25="","",SUM(AQ25:BG25)/SUM(top))))</f>
        <v/>
      </c>
      <c r="BI25" s="18" t="str">
        <f>IF('2.Students'' data'!R27="มส","มส",IF('2.Students'' data'!R27="ย้าย","ย้าย",IF('2.Students'' data'!R27="ร","ร",IF(BH25="","",RANK(BH25,$BH$9:$BH$53,0)))))</f>
        <v/>
      </c>
    </row>
    <row r="26" spans="1:61" s="26" customFormat="1" ht="16.350000000000001" customHeight="1">
      <c r="A26" s="27">
        <v>18</v>
      </c>
      <c r="B26" s="204" t="str">
        <f>IF(IDstu18="","",IDstu18)</f>
        <v/>
      </c>
      <c r="C26" s="279" t="str">
        <f>IF(Name18="","",Name18)</f>
        <v/>
      </c>
      <c r="D26" s="276"/>
      <c r="E26" s="276"/>
      <c r="F26" s="276"/>
      <c r="G26" s="276"/>
      <c r="H26" s="280" t="str">
        <f>IF(Surname18="","",Surname18)</f>
        <v/>
      </c>
      <c r="I26" s="280"/>
      <c r="J26" s="280"/>
      <c r="K26" s="280"/>
      <c r="L26" s="281"/>
      <c r="M26" s="89" t="str">
        <f>VLOOKUP($B26,'3.Grades'!$C$6:$BN$50,9,FALSE)</f>
        <v/>
      </c>
      <c r="N26" s="92" t="str">
        <f>VLOOKUP($B26,'3.Grades'!$C$6:$BN$50,14,FALSE)</f>
        <v/>
      </c>
      <c r="O26" s="92" t="str">
        <f>VLOOKUP($B26,'3.Grades'!$C$6:$BN$50,19,FALSE)</f>
        <v/>
      </c>
      <c r="P26" s="17" t="str">
        <f>VLOOKUP($B26,'3.Grades'!$C$6:$BN$50,24,FALSE)</f>
        <v/>
      </c>
      <c r="Q26" s="92" t="str">
        <f>VLOOKUP($B26,'3.Grades'!$C$6:$BN$50,29,FALSE)</f>
        <v/>
      </c>
      <c r="R26" s="92" t="str">
        <f>VLOOKUP($B26,'3.Grades'!$C$6:$BN$50,34,FALSE)</f>
        <v/>
      </c>
      <c r="S26" s="92" t="str">
        <f>VLOOKUP($B26,'3.Grades'!$C$6:$BN$50,39,FALSE)</f>
        <v/>
      </c>
      <c r="T26" s="92" t="str">
        <f>VLOOKUP($B26,'3.Grades'!$C$6:$BN$50,44,FALSE)</f>
        <v/>
      </c>
      <c r="U26" s="17" t="str">
        <f>VLOOKUP($B26,'3.Grades'!$C$6:$BN$50,49,FALSE)</f>
        <v/>
      </c>
      <c r="V26" s="95" t="str">
        <f>VLOOKUP($B26,'3.Grades'!$C$6:$BN$50,54,FALSE)</f>
        <v/>
      </c>
      <c r="W26" s="95" t="str">
        <f>VLOOKUP($B26,'3.Grades'!$C$6:$BN$50,59,FALSE)</f>
        <v/>
      </c>
      <c r="X26" s="18" t="str">
        <f>VLOOKUP($B26,'3.Grades'!$C$6:$BN$50,64,FALSE)</f>
        <v/>
      </c>
      <c r="Y26" s="78" t="str">
        <v/>
      </c>
      <c r="Z26" s="79" t="str">
        <v/>
      </c>
      <c r="AA26" s="79" t="str">
        <v/>
      </c>
      <c r="AB26" s="70" t="str">
        <v/>
      </c>
      <c r="AC26" s="79" t="str">
        <v/>
      </c>
      <c r="AD26" s="79" t="str">
        <v/>
      </c>
      <c r="AE26" s="79" t="str">
        <v/>
      </c>
      <c r="AF26" s="79" t="str">
        <v/>
      </c>
      <c r="AG26" s="70" t="str">
        <v/>
      </c>
      <c r="AH26" s="108" t="str">
        <v/>
      </c>
      <c r="AI26" s="108" t="str">
        <v/>
      </c>
      <c r="AJ26" s="71" t="str">
        <v/>
      </c>
      <c r="AK26" s="78" t="e">
        <f>IF(#REF!="มส","มส",IF(#REF!="","",IF($AK$7="","",IF($AK$7="SBMLD",SUM(#REF!),#REF!))))</f>
        <v>#REF!</v>
      </c>
      <c r="AL26" s="79" t="e">
        <f>IF(#REF!="มส","มส",IF(#REF!="","",IF($AL$7="","",IF($AL$7="SBMLD",SUM(#REF!),#REF!))))</f>
        <v>#REF!</v>
      </c>
      <c r="AM26" s="79" t="e">
        <f>IF(#REF!="มส","มส",IF(#REF!="","",IF($AM$7="","",IF($AM$7="SBMLD",SUM(#REF!),#REF!))))</f>
        <v>#REF!</v>
      </c>
      <c r="AN26" s="70" t="e">
        <f>IF(#REF!="มส","มส",IF(#REF!="","",IF($AN$7="","",IF($AN$7="SBMLD",SUM(#REF!),#REF!))))</f>
        <v>#REF!</v>
      </c>
      <c r="AO26" s="71" t="e">
        <f>IF(#REF!="มส","มส",IF(#REF!="","",IF($AO$7="","",IF($AO$7="SBMLD",SUM(#REF!),#REF!))))</f>
        <v>#REF!</v>
      </c>
      <c r="AP26" s="188"/>
      <c r="AQ26" s="78" t="str">
        <f t="shared" si="1"/>
        <v/>
      </c>
      <c r="AR26" s="79" t="str">
        <f t="shared" si="2"/>
        <v/>
      </c>
      <c r="AS26" s="79" t="str">
        <f t="shared" si="3"/>
        <v/>
      </c>
      <c r="AT26" s="70" t="str">
        <f t="shared" si="4"/>
        <v/>
      </c>
      <c r="AU26" s="79" t="str">
        <f t="shared" si="5"/>
        <v/>
      </c>
      <c r="AV26" s="79" t="str">
        <f t="shared" si="6"/>
        <v/>
      </c>
      <c r="AW26" s="79" t="str">
        <f t="shared" si="7"/>
        <v/>
      </c>
      <c r="AX26" s="79" t="str">
        <f t="shared" si="8"/>
        <v/>
      </c>
      <c r="AY26" s="70" t="str">
        <f t="shared" si="9"/>
        <v/>
      </c>
      <c r="AZ26" s="108" t="str">
        <f t="shared" si="10"/>
        <v/>
      </c>
      <c r="BA26" s="108" t="str">
        <f t="shared" si="11"/>
        <v/>
      </c>
      <c r="BB26" s="71" t="str">
        <f t="shared" si="16"/>
        <v/>
      </c>
      <c r="BC26" s="78" t="e">
        <f t="shared" si="12"/>
        <v>#REF!</v>
      </c>
      <c r="BD26" s="79" t="e">
        <f t="shared" si="13"/>
        <v>#REF!</v>
      </c>
      <c r="BE26" s="79" t="e">
        <f t="shared" si="14"/>
        <v>#REF!</v>
      </c>
      <c r="BF26" s="79" t="e">
        <f t="shared" si="17"/>
        <v>#REF!</v>
      </c>
      <c r="BG26" s="71" t="e">
        <f t="shared" si="15"/>
        <v>#REF!</v>
      </c>
      <c r="BH26" s="105" t="str">
        <f>IF('2.Students'' data'!R28="มส","",IF('2.Students'' data'!R28="ย้าย","",IF(C26="","",SUM(AQ26:BG26)/SUM(top))))</f>
        <v/>
      </c>
      <c r="BI26" s="18" t="str">
        <f>IF('2.Students'' data'!R28="มส","มส",IF('2.Students'' data'!R28="ย้าย","ย้าย",IF('2.Students'' data'!R28="ร","ร",IF(BH26="","",RANK(BH26,$BH$9:$BH$53,0)))))</f>
        <v/>
      </c>
    </row>
    <row r="27" spans="1:61" s="26" customFormat="1" ht="16.350000000000001" customHeight="1">
      <c r="A27" s="27">
        <v>19</v>
      </c>
      <c r="B27" s="204" t="str">
        <f>IF(IDstu19="","",IDstu19)</f>
        <v/>
      </c>
      <c r="C27" s="279" t="str">
        <f>IF(Name19="","",Name19)</f>
        <v/>
      </c>
      <c r="D27" s="276"/>
      <c r="E27" s="276"/>
      <c r="F27" s="276"/>
      <c r="G27" s="276"/>
      <c r="H27" s="280" t="str">
        <f>IF(Surname19="","",Surname19)</f>
        <v/>
      </c>
      <c r="I27" s="280"/>
      <c r="J27" s="280"/>
      <c r="K27" s="280"/>
      <c r="L27" s="281"/>
      <c r="M27" s="89" t="str">
        <f>VLOOKUP($B27,'3.Grades'!$C$6:$BN$50,9,FALSE)</f>
        <v/>
      </c>
      <c r="N27" s="92" t="str">
        <f>VLOOKUP($B27,'3.Grades'!$C$6:$BN$50,14,FALSE)</f>
        <v/>
      </c>
      <c r="O27" s="92" t="str">
        <f>VLOOKUP($B27,'3.Grades'!$C$6:$BN$50,19,FALSE)</f>
        <v/>
      </c>
      <c r="P27" s="17" t="str">
        <f>VLOOKUP($B27,'3.Grades'!$C$6:$BN$50,24,FALSE)</f>
        <v/>
      </c>
      <c r="Q27" s="92" t="str">
        <f>VLOOKUP($B27,'3.Grades'!$C$6:$BN$50,29,FALSE)</f>
        <v/>
      </c>
      <c r="R27" s="92" t="str">
        <f>VLOOKUP($B27,'3.Grades'!$C$6:$BN$50,34,FALSE)</f>
        <v/>
      </c>
      <c r="S27" s="92" t="str">
        <f>VLOOKUP($B27,'3.Grades'!$C$6:$BN$50,39,FALSE)</f>
        <v/>
      </c>
      <c r="T27" s="92" t="str">
        <f>VLOOKUP($B27,'3.Grades'!$C$6:$BN$50,44,FALSE)</f>
        <v/>
      </c>
      <c r="U27" s="17" t="str">
        <f>VLOOKUP($B27,'3.Grades'!$C$6:$BN$50,49,FALSE)</f>
        <v/>
      </c>
      <c r="V27" s="95" t="str">
        <f>VLOOKUP($B27,'3.Grades'!$C$6:$BN$50,54,FALSE)</f>
        <v/>
      </c>
      <c r="W27" s="95" t="str">
        <f>VLOOKUP($B27,'3.Grades'!$C$6:$BN$50,59,FALSE)</f>
        <v/>
      </c>
      <c r="X27" s="18" t="str">
        <f>VLOOKUP($B27,'3.Grades'!$C$6:$BN$50,64,FALSE)</f>
        <v/>
      </c>
      <c r="Y27" s="78" t="str">
        <v/>
      </c>
      <c r="Z27" s="79" t="str">
        <v/>
      </c>
      <c r="AA27" s="79" t="str">
        <v/>
      </c>
      <c r="AB27" s="70" t="str">
        <v/>
      </c>
      <c r="AC27" s="79" t="str">
        <v/>
      </c>
      <c r="AD27" s="79" t="str">
        <v/>
      </c>
      <c r="AE27" s="79" t="str">
        <v/>
      </c>
      <c r="AF27" s="79" t="str">
        <v/>
      </c>
      <c r="AG27" s="70" t="str">
        <v/>
      </c>
      <c r="AH27" s="108" t="str">
        <v/>
      </c>
      <c r="AI27" s="108" t="str">
        <v/>
      </c>
      <c r="AJ27" s="71" t="str">
        <v/>
      </c>
      <c r="AK27" s="78" t="e">
        <f>IF(#REF!="มส","มส",IF(#REF!="","",IF($AK$7="","",IF($AK$7="SBMLD",SUM(#REF!),#REF!))))</f>
        <v>#REF!</v>
      </c>
      <c r="AL27" s="79" t="e">
        <f>IF(#REF!="มส","มส",IF(#REF!="","",IF($AL$7="","",IF($AL$7="SBMLD",SUM(#REF!),#REF!))))</f>
        <v>#REF!</v>
      </c>
      <c r="AM27" s="79" t="e">
        <f>IF(#REF!="มส","มส",IF(#REF!="","",IF($AM$7="","",IF($AM$7="SBMLD",SUM(#REF!),#REF!))))</f>
        <v>#REF!</v>
      </c>
      <c r="AN27" s="70" t="e">
        <f>IF(#REF!="มส","มส",IF(#REF!="","",IF($AN$7="","",IF($AN$7="SBMLD",SUM(#REF!),#REF!))))</f>
        <v>#REF!</v>
      </c>
      <c r="AO27" s="71" t="e">
        <f>IF(#REF!="มส","มส",IF(#REF!="","",IF($AO$7="","",IF($AO$7="SBMLD",SUM(#REF!),#REF!))))</f>
        <v>#REF!</v>
      </c>
      <c r="AP27" s="188"/>
      <c r="AQ27" s="78" t="str">
        <f t="shared" si="1"/>
        <v/>
      </c>
      <c r="AR27" s="79" t="str">
        <f t="shared" si="2"/>
        <v/>
      </c>
      <c r="AS27" s="79" t="str">
        <f t="shared" si="3"/>
        <v/>
      </c>
      <c r="AT27" s="70" t="str">
        <f t="shared" si="4"/>
        <v/>
      </c>
      <c r="AU27" s="79" t="str">
        <f t="shared" si="5"/>
        <v/>
      </c>
      <c r="AV27" s="79" t="str">
        <f t="shared" si="6"/>
        <v/>
      </c>
      <c r="AW27" s="79" t="str">
        <f t="shared" si="7"/>
        <v/>
      </c>
      <c r="AX27" s="79" t="str">
        <f t="shared" si="8"/>
        <v/>
      </c>
      <c r="AY27" s="70" t="str">
        <f t="shared" si="9"/>
        <v/>
      </c>
      <c r="AZ27" s="108" t="str">
        <f t="shared" si="10"/>
        <v/>
      </c>
      <c r="BA27" s="108" t="str">
        <f t="shared" si="11"/>
        <v/>
      </c>
      <c r="BB27" s="71" t="str">
        <f t="shared" si="16"/>
        <v/>
      </c>
      <c r="BC27" s="78" t="e">
        <f t="shared" si="12"/>
        <v>#REF!</v>
      </c>
      <c r="BD27" s="79" t="e">
        <f t="shared" si="13"/>
        <v>#REF!</v>
      </c>
      <c r="BE27" s="79" t="e">
        <f t="shared" si="14"/>
        <v>#REF!</v>
      </c>
      <c r="BF27" s="79" t="e">
        <f t="shared" si="17"/>
        <v>#REF!</v>
      </c>
      <c r="BG27" s="71" t="e">
        <f t="shared" si="15"/>
        <v>#REF!</v>
      </c>
      <c r="BH27" s="105" t="str">
        <f>IF('2.Students'' data'!R29="มส","",IF('2.Students'' data'!R29="ย้าย","",IF(C27="","",SUM(AQ27:BG27)/SUM(top))))</f>
        <v/>
      </c>
      <c r="BI27" s="18" t="str">
        <f>IF('2.Students'' data'!R29="มส","มส",IF('2.Students'' data'!R29="ย้าย","ย้าย",IF('2.Students'' data'!R29="ร","ร",IF(BH27="","",RANK(BH27,$BH$9:$BH$53,0)))))</f>
        <v/>
      </c>
    </row>
    <row r="28" spans="1:61" s="26" customFormat="1" ht="16.350000000000001" customHeight="1">
      <c r="A28" s="27">
        <v>20</v>
      </c>
      <c r="B28" s="204" t="str">
        <f>IF(IDstu20="","",IDstu20)</f>
        <v/>
      </c>
      <c r="C28" s="279" t="str">
        <f>IF(Name20="","",Name20)</f>
        <v/>
      </c>
      <c r="D28" s="276"/>
      <c r="E28" s="276"/>
      <c r="F28" s="276"/>
      <c r="G28" s="276"/>
      <c r="H28" s="280" t="str">
        <f>IF(Surname20="","",Surname20)</f>
        <v/>
      </c>
      <c r="I28" s="280"/>
      <c r="J28" s="280"/>
      <c r="K28" s="280"/>
      <c r="L28" s="281"/>
      <c r="M28" s="89" t="str">
        <f>VLOOKUP($B28,'3.Grades'!$C$6:$BN$50,9,FALSE)</f>
        <v/>
      </c>
      <c r="N28" s="92" t="str">
        <f>VLOOKUP($B28,'3.Grades'!$C$6:$BN$50,14,FALSE)</f>
        <v/>
      </c>
      <c r="O28" s="92" t="str">
        <f>VLOOKUP($B28,'3.Grades'!$C$6:$BN$50,19,FALSE)</f>
        <v/>
      </c>
      <c r="P28" s="17" t="str">
        <f>VLOOKUP($B28,'3.Grades'!$C$6:$BN$50,24,FALSE)</f>
        <v/>
      </c>
      <c r="Q28" s="92" t="str">
        <f>VLOOKUP($B28,'3.Grades'!$C$6:$BN$50,29,FALSE)</f>
        <v/>
      </c>
      <c r="R28" s="92" t="str">
        <f>VLOOKUP($B28,'3.Grades'!$C$6:$BN$50,34,FALSE)</f>
        <v/>
      </c>
      <c r="S28" s="92" t="str">
        <f>VLOOKUP($B28,'3.Grades'!$C$6:$BN$50,39,FALSE)</f>
        <v/>
      </c>
      <c r="T28" s="92" t="str">
        <f>VLOOKUP($B28,'3.Grades'!$C$6:$BN$50,44,FALSE)</f>
        <v/>
      </c>
      <c r="U28" s="17" t="str">
        <f>VLOOKUP($B28,'3.Grades'!$C$6:$BN$50,49,FALSE)</f>
        <v/>
      </c>
      <c r="V28" s="95" t="str">
        <f>VLOOKUP($B28,'3.Grades'!$C$6:$BN$50,54,FALSE)</f>
        <v/>
      </c>
      <c r="W28" s="95" t="str">
        <f>VLOOKUP($B28,'3.Grades'!$C$6:$BN$50,59,FALSE)</f>
        <v/>
      </c>
      <c r="X28" s="18" t="str">
        <f>VLOOKUP($B28,'3.Grades'!$C$6:$BN$50,64,FALSE)</f>
        <v/>
      </c>
      <c r="Y28" s="78" t="str">
        <v/>
      </c>
      <c r="Z28" s="79" t="str">
        <v/>
      </c>
      <c r="AA28" s="79" t="str">
        <v/>
      </c>
      <c r="AB28" s="70" t="str">
        <v/>
      </c>
      <c r="AC28" s="79" t="str">
        <v/>
      </c>
      <c r="AD28" s="79" t="str">
        <v/>
      </c>
      <c r="AE28" s="79" t="str">
        <v/>
      </c>
      <c r="AF28" s="79" t="str">
        <v/>
      </c>
      <c r="AG28" s="70" t="str">
        <v/>
      </c>
      <c r="AH28" s="108" t="str">
        <v/>
      </c>
      <c r="AI28" s="108" t="str">
        <v/>
      </c>
      <c r="AJ28" s="71" t="str">
        <v/>
      </c>
      <c r="AK28" s="78" t="e">
        <f>IF(#REF!="มส","มส",IF(#REF!="","",IF($AK$7="","",IF($AK$7="SBMLD",SUM(#REF!),#REF!))))</f>
        <v>#REF!</v>
      </c>
      <c r="AL28" s="79" t="e">
        <f>IF(#REF!="มส","มส",IF(#REF!="","",IF($AL$7="","",IF($AL$7="SBMLD",SUM(#REF!),#REF!))))</f>
        <v>#REF!</v>
      </c>
      <c r="AM28" s="79" t="e">
        <f>IF(#REF!="มส","มส",IF(#REF!="","",IF($AM$7="","",IF($AM$7="SBMLD",SUM(#REF!),#REF!))))</f>
        <v>#REF!</v>
      </c>
      <c r="AN28" s="70" t="e">
        <f>IF(#REF!="มส","มส",IF(#REF!="","",IF($AN$7="","",IF($AN$7="SBMLD",SUM(#REF!),#REF!))))</f>
        <v>#REF!</v>
      </c>
      <c r="AO28" s="71" t="e">
        <f>IF(#REF!="มส","มส",IF(#REF!="","",IF($AO$7="","",IF($AO$7="SBMLD",SUM(#REF!),#REF!))))</f>
        <v>#REF!</v>
      </c>
      <c r="AP28" s="188"/>
      <c r="AQ28" s="78" t="str">
        <f t="shared" si="1"/>
        <v/>
      </c>
      <c r="AR28" s="79" t="str">
        <f t="shared" si="2"/>
        <v/>
      </c>
      <c r="AS28" s="79" t="str">
        <f t="shared" si="3"/>
        <v/>
      </c>
      <c r="AT28" s="70" t="str">
        <f t="shared" si="4"/>
        <v/>
      </c>
      <c r="AU28" s="79" t="str">
        <f t="shared" si="5"/>
        <v/>
      </c>
      <c r="AV28" s="79" t="str">
        <f t="shared" si="6"/>
        <v/>
      </c>
      <c r="AW28" s="79" t="str">
        <f t="shared" si="7"/>
        <v/>
      </c>
      <c r="AX28" s="79" t="str">
        <f t="shared" si="8"/>
        <v/>
      </c>
      <c r="AY28" s="70" t="str">
        <f t="shared" si="9"/>
        <v/>
      </c>
      <c r="AZ28" s="108" t="str">
        <f t="shared" si="10"/>
        <v/>
      </c>
      <c r="BA28" s="108" t="str">
        <f t="shared" si="11"/>
        <v/>
      </c>
      <c r="BB28" s="71" t="str">
        <f t="shared" si="16"/>
        <v/>
      </c>
      <c r="BC28" s="78" t="e">
        <f t="shared" si="12"/>
        <v>#REF!</v>
      </c>
      <c r="BD28" s="79" t="e">
        <f t="shared" si="13"/>
        <v>#REF!</v>
      </c>
      <c r="BE28" s="79" t="e">
        <f t="shared" si="14"/>
        <v>#REF!</v>
      </c>
      <c r="BF28" s="79" t="e">
        <f t="shared" si="17"/>
        <v>#REF!</v>
      </c>
      <c r="BG28" s="71" t="e">
        <f t="shared" si="15"/>
        <v>#REF!</v>
      </c>
      <c r="BH28" s="105" t="str">
        <f>IF('2.Students'' data'!R30="มส","",IF('2.Students'' data'!R30="ย้าย","",IF(C28="","",SUM(AQ28:BG28)/SUM(top))))</f>
        <v/>
      </c>
      <c r="BI28" s="18" t="str">
        <f>IF('2.Students'' data'!R30="มส","มส",IF('2.Students'' data'!R30="ย้าย","ย้าย",IF('2.Students'' data'!R30="ร","ร",IF(BH28="","",RANK(BH28,$BH$9:$BH$53,0)))))</f>
        <v/>
      </c>
    </row>
    <row r="29" spans="1:61" s="26" customFormat="1" ht="16.350000000000001" customHeight="1">
      <c r="A29" s="27">
        <v>21</v>
      </c>
      <c r="B29" s="204" t="str">
        <f>IF(IDstu21="","",IDstu21)</f>
        <v/>
      </c>
      <c r="C29" s="279" t="str">
        <f>IF(Name21="","",Name21)</f>
        <v/>
      </c>
      <c r="D29" s="276"/>
      <c r="E29" s="276"/>
      <c r="F29" s="276"/>
      <c r="G29" s="276"/>
      <c r="H29" s="280" t="str">
        <f>IF(Surname21="","",Surname21)</f>
        <v/>
      </c>
      <c r="I29" s="280"/>
      <c r="J29" s="280"/>
      <c r="K29" s="280"/>
      <c r="L29" s="281"/>
      <c r="M29" s="89" t="str">
        <f>VLOOKUP($B29,'3.Grades'!$C$6:$BN$50,9,FALSE)</f>
        <v/>
      </c>
      <c r="N29" s="92" t="str">
        <f>VLOOKUP($B29,'3.Grades'!$C$6:$BN$50,14,FALSE)</f>
        <v/>
      </c>
      <c r="O29" s="92" t="str">
        <f>VLOOKUP($B29,'3.Grades'!$C$6:$BN$50,19,FALSE)</f>
        <v/>
      </c>
      <c r="P29" s="17" t="str">
        <f>VLOOKUP($B29,'3.Grades'!$C$6:$BN$50,24,FALSE)</f>
        <v/>
      </c>
      <c r="Q29" s="92" t="str">
        <f>VLOOKUP($B29,'3.Grades'!$C$6:$BN$50,29,FALSE)</f>
        <v/>
      </c>
      <c r="R29" s="92" t="str">
        <f>VLOOKUP($B29,'3.Grades'!$C$6:$BN$50,34,FALSE)</f>
        <v/>
      </c>
      <c r="S29" s="92" t="str">
        <f>VLOOKUP($B29,'3.Grades'!$C$6:$BN$50,39,FALSE)</f>
        <v/>
      </c>
      <c r="T29" s="92" t="str">
        <f>VLOOKUP($B29,'3.Grades'!$C$6:$BN$50,44,FALSE)</f>
        <v/>
      </c>
      <c r="U29" s="17" t="str">
        <f>VLOOKUP($B29,'3.Grades'!$C$6:$BN$50,49,FALSE)</f>
        <v/>
      </c>
      <c r="V29" s="95" t="str">
        <f>VLOOKUP($B29,'3.Grades'!$C$6:$BN$50,54,FALSE)</f>
        <v/>
      </c>
      <c r="W29" s="95" t="str">
        <f>VLOOKUP($B29,'3.Grades'!$C$6:$BN$50,59,FALSE)</f>
        <v/>
      </c>
      <c r="X29" s="18" t="str">
        <f>VLOOKUP($B29,'3.Grades'!$C$6:$BN$50,64,FALSE)</f>
        <v/>
      </c>
      <c r="Y29" s="78" t="str">
        <v/>
      </c>
      <c r="Z29" s="79" t="str">
        <v/>
      </c>
      <c r="AA29" s="79" t="str">
        <v/>
      </c>
      <c r="AB29" s="70" t="str">
        <v/>
      </c>
      <c r="AC29" s="79" t="str">
        <v/>
      </c>
      <c r="AD29" s="79" t="str">
        <v/>
      </c>
      <c r="AE29" s="79" t="str">
        <v/>
      </c>
      <c r="AF29" s="79" t="str">
        <v/>
      </c>
      <c r="AG29" s="70" t="str">
        <v/>
      </c>
      <c r="AH29" s="108" t="str">
        <v/>
      </c>
      <c r="AI29" s="108" t="str">
        <v/>
      </c>
      <c r="AJ29" s="71" t="str">
        <v/>
      </c>
      <c r="AK29" s="78" t="e">
        <f>IF(#REF!="มส","มส",IF(#REF!="","",IF($AK$7="","",IF($AK$7="SBMLD",SUM(#REF!),#REF!))))</f>
        <v>#REF!</v>
      </c>
      <c r="AL29" s="79" t="e">
        <f>IF(#REF!="มส","มส",IF(#REF!="","",IF($AL$7="","",IF($AL$7="SBMLD",SUM(#REF!),#REF!))))</f>
        <v>#REF!</v>
      </c>
      <c r="AM29" s="79" t="e">
        <f>IF(#REF!="มส","มส",IF(#REF!="","",IF($AM$7="","",IF($AM$7="SBMLD",SUM(#REF!),#REF!))))</f>
        <v>#REF!</v>
      </c>
      <c r="AN29" s="70" t="e">
        <f>IF(#REF!="มส","มส",IF(#REF!="","",IF($AN$7="","",IF($AN$7="SBMLD",SUM(#REF!),#REF!))))</f>
        <v>#REF!</v>
      </c>
      <c r="AO29" s="71" t="e">
        <f>IF(#REF!="มส","มส",IF(#REF!="","",IF($AO$7="","",IF($AO$7="SBMLD",SUM(#REF!),#REF!))))</f>
        <v>#REF!</v>
      </c>
      <c r="AP29" s="188"/>
      <c r="AQ29" s="78" t="str">
        <f t="shared" si="1"/>
        <v/>
      </c>
      <c r="AR29" s="79" t="str">
        <f t="shared" si="2"/>
        <v/>
      </c>
      <c r="AS29" s="79" t="str">
        <f t="shared" si="3"/>
        <v/>
      </c>
      <c r="AT29" s="70" t="str">
        <f t="shared" si="4"/>
        <v/>
      </c>
      <c r="AU29" s="79" t="str">
        <f t="shared" si="5"/>
        <v/>
      </c>
      <c r="AV29" s="79" t="str">
        <f t="shared" si="6"/>
        <v/>
      </c>
      <c r="AW29" s="79" t="str">
        <f t="shared" si="7"/>
        <v/>
      </c>
      <c r="AX29" s="79" t="str">
        <f t="shared" si="8"/>
        <v/>
      </c>
      <c r="AY29" s="70" t="str">
        <f t="shared" si="9"/>
        <v/>
      </c>
      <c r="AZ29" s="108" t="str">
        <f t="shared" si="10"/>
        <v/>
      </c>
      <c r="BA29" s="108" t="str">
        <f t="shared" si="11"/>
        <v/>
      </c>
      <c r="BB29" s="71" t="str">
        <f t="shared" si="16"/>
        <v/>
      </c>
      <c r="BC29" s="78" t="e">
        <f t="shared" si="12"/>
        <v>#REF!</v>
      </c>
      <c r="BD29" s="79" t="e">
        <f t="shared" si="13"/>
        <v>#REF!</v>
      </c>
      <c r="BE29" s="79" t="e">
        <f t="shared" si="14"/>
        <v>#REF!</v>
      </c>
      <c r="BF29" s="79" t="e">
        <f t="shared" si="17"/>
        <v>#REF!</v>
      </c>
      <c r="BG29" s="71" t="e">
        <f t="shared" si="15"/>
        <v>#REF!</v>
      </c>
      <c r="BH29" s="105" t="str">
        <f>IF('2.Students'' data'!R31="มส","",IF('2.Students'' data'!R31="ย้าย","",IF(C29="","",SUM(AQ29:BG29)/SUM(top))))</f>
        <v/>
      </c>
      <c r="BI29" s="18" t="str">
        <f>IF('2.Students'' data'!R31="มส","มส",IF('2.Students'' data'!R31="ย้าย","ย้าย",IF('2.Students'' data'!R31="ร","ร",IF(BH29="","",RANK(BH29,$BH$9:$BH$53,0)))))</f>
        <v/>
      </c>
    </row>
    <row r="30" spans="1:61" s="26" customFormat="1" ht="16.350000000000001" customHeight="1">
      <c r="A30" s="27">
        <v>22</v>
      </c>
      <c r="B30" s="204" t="str">
        <f>IF(IDstu22="","",IDstu22)</f>
        <v/>
      </c>
      <c r="C30" s="279" t="str">
        <f>IF(Name22="","",Name22)</f>
        <v/>
      </c>
      <c r="D30" s="276"/>
      <c r="E30" s="276"/>
      <c r="F30" s="276"/>
      <c r="G30" s="276"/>
      <c r="H30" s="280" t="str">
        <f>IF(Surname22="","",Surname22)</f>
        <v/>
      </c>
      <c r="I30" s="280"/>
      <c r="J30" s="280"/>
      <c r="K30" s="280"/>
      <c r="L30" s="281"/>
      <c r="M30" s="89" t="str">
        <f>VLOOKUP($B30,'3.Grades'!$C$6:$BN$50,9,FALSE)</f>
        <v/>
      </c>
      <c r="N30" s="17" t="str">
        <f>VLOOKUP($B30,'3.Grades'!$C$6:$BN$50,14,FALSE)</f>
        <v/>
      </c>
      <c r="O30" s="92" t="str">
        <f>VLOOKUP($B30,'3.Grades'!$C$6:$BN$50,19,FALSE)</f>
        <v/>
      </c>
      <c r="P30" s="17" t="str">
        <f>VLOOKUP($B30,'3.Grades'!$C$6:$BN$50,24,FALSE)</f>
        <v/>
      </c>
      <c r="Q30" s="17" t="str">
        <f>VLOOKUP($B30,'3.Grades'!$C$6:$BN$50,29,FALSE)</f>
        <v/>
      </c>
      <c r="R30" s="17" t="str">
        <f>VLOOKUP($B30,'3.Grades'!$C$6:$BN$50,34,FALSE)</f>
        <v/>
      </c>
      <c r="S30" s="92" t="str">
        <f>VLOOKUP($B30,'3.Grades'!$C$6:$BN$50,39,FALSE)</f>
        <v/>
      </c>
      <c r="T30" s="92" t="str">
        <f>VLOOKUP($B30,'3.Grades'!$C$6:$BN$50,44,FALSE)</f>
        <v/>
      </c>
      <c r="U30" s="17" t="str">
        <f>VLOOKUP($B30,'3.Grades'!$C$6:$BN$50,49,FALSE)</f>
        <v/>
      </c>
      <c r="V30" s="95" t="str">
        <f>VLOOKUP($B30,'3.Grades'!$C$6:$BN$50,54,FALSE)</f>
        <v/>
      </c>
      <c r="W30" s="95" t="str">
        <f>VLOOKUP($B30,'3.Grades'!$C$6:$BN$50,59,FALSE)</f>
        <v/>
      </c>
      <c r="X30" s="18" t="str">
        <f>VLOOKUP($B30,'3.Grades'!$C$6:$BN$50,64,FALSE)</f>
        <v/>
      </c>
      <c r="Y30" s="78" t="str">
        <v/>
      </c>
      <c r="Z30" s="70" t="str">
        <v/>
      </c>
      <c r="AA30" s="79" t="str">
        <v/>
      </c>
      <c r="AB30" s="70" t="str">
        <v/>
      </c>
      <c r="AC30" s="70" t="str">
        <v/>
      </c>
      <c r="AD30" s="70" t="str">
        <v/>
      </c>
      <c r="AE30" s="79" t="str">
        <v/>
      </c>
      <c r="AF30" s="79" t="str">
        <v/>
      </c>
      <c r="AG30" s="70" t="str">
        <v/>
      </c>
      <c r="AH30" s="108" t="str">
        <v/>
      </c>
      <c r="AI30" s="108" t="str">
        <v/>
      </c>
      <c r="AJ30" s="71" t="str">
        <v/>
      </c>
      <c r="AK30" s="78" t="e">
        <f>IF(#REF!="มส","มส",IF(#REF!="","",IF($AK$7="","",IF($AK$7="SBMLD",SUM(#REF!),#REF!))))</f>
        <v>#REF!</v>
      </c>
      <c r="AL30" s="70" t="e">
        <f>IF(#REF!="มส","มส",IF(#REF!="","",IF($AL$7="","",IF($AL$7="SBMLD",SUM(#REF!),#REF!))))</f>
        <v>#REF!</v>
      </c>
      <c r="AM30" s="79" t="e">
        <f>IF(#REF!="มส","มส",IF(#REF!="","",IF($AM$7="","",IF($AM$7="SBMLD",SUM(#REF!),#REF!))))</f>
        <v>#REF!</v>
      </c>
      <c r="AN30" s="70" t="e">
        <f>IF(#REF!="มส","มส",IF(#REF!="","",IF($AN$7="","",IF($AN$7="SBMLD",SUM(#REF!),#REF!))))</f>
        <v>#REF!</v>
      </c>
      <c r="AO30" s="71" t="e">
        <f>IF(#REF!="มส","มส",IF(#REF!="","",IF($AO$7="","",IF($AO$7="SBMLD",SUM(#REF!),#REF!))))</f>
        <v>#REF!</v>
      </c>
      <c r="AP30" s="188"/>
      <c r="AQ30" s="78" t="str">
        <f t="shared" si="1"/>
        <v/>
      </c>
      <c r="AR30" s="70" t="str">
        <f t="shared" si="2"/>
        <v/>
      </c>
      <c r="AS30" s="79" t="str">
        <f t="shared" si="3"/>
        <v/>
      </c>
      <c r="AT30" s="70" t="str">
        <f t="shared" si="4"/>
        <v/>
      </c>
      <c r="AU30" s="70" t="str">
        <f t="shared" si="5"/>
        <v/>
      </c>
      <c r="AV30" s="70" t="str">
        <f t="shared" si="6"/>
        <v/>
      </c>
      <c r="AW30" s="79" t="str">
        <f t="shared" si="7"/>
        <v/>
      </c>
      <c r="AX30" s="79" t="str">
        <f t="shared" si="8"/>
        <v/>
      </c>
      <c r="AY30" s="70" t="str">
        <f t="shared" si="9"/>
        <v/>
      </c>
      <c r="AZ30" s="108" t="str">
        <f t="shared" si="10"/>
        <v/>
      </c>
      <c r="BA30" s="108" t="str">
        <f t="shared" si="11"/>
        <v/>
      </c>
      <c r="BB30" s="71" t="str">
        <f t="shared" si="16"/>
        <v/>
      </c>
      <c r="BC30" s="78" t="e">
        <f t="shared" si="12"/>
        <v>#REF!</v>
      </c>
      <c r="BD30" s="70" t="e">
        <f t="shared" si="13"/>
        <v>#REF!</v>
      </c>
      <c r="BE30" s="79" t="e">
        <f t="shared" si="14"/>
        <v>#REF!</v>
      </c>
      <c r="BF30" s="79" t="e">
        <f t="shared" si="17"/>
        <v>#REF!</v>
      </c>
      <c r="BG30" s="71" t="e">
        <f t="shared" si="15"/>
        <v>#REF!</v>
      </c>
      <c r="BH30" s="105" t="str">
        <f>IF('2.Students'' data'!R32="มส","",IF('2.Students'' data'!R32="ย้าย","",IF(C30="","",SUM(AQ30:BG30)/SUM(top))))</f>
        <v/>
      </c>
      <c r="BI30" s="18" t="str">
        <f>IF('2.Students'' data'!R32="มส","มส",IF('2.Students'' data'!R32="ย้าย","ย้าย",IF('2.Students'' data'!R32="ร","ร",IF(BH30="","",RANK(BH30,$BH$9:$BH$53,0)))))</f>
        <v/>
      </c>
    </row>
    <row r="31" spans="1:61" s="26" customFormat="1" ht="16.350000000000001" customHeight="1">
      <c r="A31" s="27">
        <v>23</v>
      </c>
      <c r="B31" s="204" t="str">
        <f>IF(IDstu23="","",IDstu23)</f>
        <v/>
      </c>
      <c r="C31" s="279" t="str">
        <f>IF(Name23="","",Name23)</f>
        <v/>
      </c>
      <c r="D31" s="276"/>
      <c r="E31" s="276"/>
      <c r="F31" s="276"/>
      <c r="G31" s="276"/>
      <c r="H31" s="280" t="str">
        <f>IF(Surname23="","",Surname23)</f>
        <v/>
      </c>
      <c r="I31" s="280"/>
      <c r="J31" s="280"/>
      <c r="K31" s="280"/>
      <c r="L31" s="281"/>
      <c r="M31" s="89" t="str">
        <f>VLOOKUP($B31,'3.Grades'!$C$6:$BN$50,9,FALSE)</f>
        <v/>
      </c>
      <c r="N31" s="92" t="str">
        <f>VLOOKUP($B31,'3.Grades'!$C$6:$BN$50,14,FALSE)</f>
        <v/>
      </c>
      <c r="O31" s="92" t="str">
        <f>VLOOKUP($B31,'3.Grades'!$C$6:$BN$50,19,FALSE)</f>
        <v/>
      </c>
      <c r="P31" s="17" t="str">
        <f>VLOOKUP($B31,'3.Grades'!$C$6:$BN$50,24,FALSE)</f>
        <v/>
      </c>
      <c r="Q31" s="17" t="str">
        <f>VLOOKUP($B31,'3.Grades'!$C$6:$BN$50,29,FALSE)</f>
        <v/>
      </c>
      <c r="R31" s="17" t="str">
        <f>VLOOKUP($B31,'3.Grades'!$C$6:$BN$50,34,FALSE)</f>
        <v/>
      </c>
      <c r="S31" s="92" t="str">
        <f>VLOOKUP($B31,'3.Grades'!$C$6:$BN$50,39,FALSE)</f>
        <v/>
      </c>
      <c r="T31" s="92" t="str">
        <f>VLOOKUP($B31,'3.Grades'!$C$6:$BN$50,44,FALSE)</f>
        <v/>
      </c>
      <c r="U31" s="17" t="str">
        <f>VLOOKUP($B31,'3.Grades'!$C$6:$BN$50,49,FALSE)</f>
        <v/>
      </c>
      <c r="V31" s="95" t="str">
        <f>VLOOKUP($B31,'3.Grades'!$C$6:$BN$50,54,FALSE)</f>
        <v/>
      </c>
      <c r="W31" s="95" t="str">
        <f>VLOOKUP($B31,'3.Grades'!$C$6:$BN$50,59,FALSE)</f>
        <v/>
      </c>
      <c r="X31" s="18" t="str">
        <f>VLOOKUP($B31,'3.Grades'!$C$6:$BN$50,64,FALSE)</f>
        <v/>
      </c>
      <c r="Y31" s="78" t="str">
        <v/>
      </c>
      <c r="Z31" s="79" t="str">
        <v/>
      </c>
      <c r="AA31" s="79" t="str">
        <v/>
      </c>
      <c r="AB31" s="70" t="str">
        <v/>
      </c>
      <c r="AC31" s="70" t="str">
        <v/>
      </c>
      <c r="AD31" s="70" t="str">
        <v/>
      </c>
      <c r="AE31" s="79" t="str">
        <v/>
      </c>
      <c r="AF31" s="79" t="str">
        <v/>
      </c>
      <c r="AG31" s="70" t="str">
        <v/>
      </c>
      <c r="AH31" s="108" t="str">
        <v/>
      </c>
      <c r="AI31" s="108" t="str">
        <v/>
      </c>
      <c r="AJ31" s="71" t="str">
        <v/>
      </c>
      <c r="AK31" s="78" t="e">
        <f>IF(#REF!="มส","มส",IF(#REF!="","",IF($AK$7="","",IF($AK$7="SBMLD",SUM(#REF!),#REF!))))</f>
        <v>#REF!</v>
      </c>
      <c r="AL31" s="79" t="e">
        <f>IF(#REF!="มส","มส",IF(#REF!="","",IF($AL$7="","",IF($AL$7="SBMLD",SUM(#REF!),#REF!))))</f>
        <v>#REF!</v>
      </c>
      <c r="AM31" s="79" t="e">
        <f>IF(#REF!="มส","มส",IF(#REF!="","",IF($AM$7="","",IF($AM$7="SBMLD",SUM(#REF!),#REF!))))</f>
        <v>#REF!</v>
      </c>
      <c r="AN31" s="70" t="e">
        <f>IF(#REF!="มส","มส",IF(#REF!="","",IF($AN$7="","",IF($AN$7="SBMLD",SUM(#REF!),#REF!))))</f>
        <v>#REF!</v>
      </c>
      <c r="AO31" s="71" t="e">
        <f>IF(#REF!="มส","มส",IF(#REF!="","",IF($AO$7="","",IF($AO$7="SBMLD",SUM(#REF!),#REF!))))</f>
        <v>#REF!</v>
      </c>
      <c r="AP31" s="188"/>
      <c r="AQ31" s="78" t="str">
        <f t="shared" si="1"/>
        <v/>
      </c>
      <c r="AR31" s="79" t="str">
        <f t="shared" si="2"/>
        <v/>
      </c>
      <c r="AS31" s="79" t="str">
        <f t="shared" si="3"/>
        <v/>
      </c>
      <c r="AT31" s="70" t="str">
        <f t="shared" si="4"/>
        <v/>
      </c>
      <c r="AU31" s="70" t="str">
        <f t="shared" si="5"/>
        <v/>
      </c>
      <c r="AV31" s="70" t="str">
        <f t="shared" si="6"/>
        <v/>
      </c>
      <c r="AW31" s="79" t="str">
        <f t="shared" si="7"/>
        <v/>
      </c>
      <c r="AX31" s="79" t="str">
        <f t="shared" si="8"/>
        <v/>
      </c>
      <c r="AY31" s="70" t="str">
        <f t="shared" si="9"/>
        <v/>
      </c>
      <c r="AZ31" s="108" t="str">
        <f t="shared" si="10"/>
        <v/>
      </c>
      <c r="BA31" s="108" t="str">
        <f t="shared" si="11"/>
        <v/>
      </c>
      <c r="BB31" s="71" t="str">
        <f t="shared" si="16"/>
        <v/>
      </c>
      <c r="BC31" s="78" t="e">
        <f t="shared" si="12"/>
        <v>#REF!</v>
      </c>
      <c r="BD31" s="79" t="e">
        <f t="shared" si="13"/>
        <v>#REF!</v>
      </c>
      <c r="BE31" s="79" t="e">
        <f t="shared" si="14"/>
        <v>#REF!</v>
      </c>
      <c r="BF31" s="79" t="e">
        <f t="shared" si="17"/>
        <v>#REF!</v>
      </c>
      <c r="BG31" s="71" t="e">
        <f t="shared" si="15"/>
        <v>#REF!</v>
      </c>
      <c r="BH31" s="105" t="str">
        <f>IF('2.Students'' data'!R33="มส","",IF('2.Students'' data'!R33="ย้าย","",IF(C31="","",SUM(AQ31:BG31)/SUM(top))))</f>
        <v/>
      </c>
      <c r="BI31" s="18" t="str">
        <f>IF('2.Students'' data'!R33="มส","มส",IF('2.Students'' data'!R33="ย้าย","ย้าย",IF('2.Students'' data'!R33="ร","ร",IF(BH31="","",RANK(BH31,$BH$9:$BH$53,0)))))</f>
        <v/>
      </c>
    </row>
    <row r="32" spans="1:61" s="26" customFormat="1" ht="16.350000000000001" customHeight="1">
      <c r="A32" s="27">
        <v>24</v>
      </c>
      <c r="B32" s="204" t="str">
        <f>IF(IDstu24="","",IDstu24)</f>
        <v/>
      </c>
      <c r="C32" s="279" t="str">
        <f>IF(Name24="","",Name24)</f>
        <v/>
      </c>
      <c r="D32" s="276"/>
      <c r="E32" s="276"/>
      <c r="F32" s="276"/>
      <c r="G32" s="276"/>
      <c r="H32" s="280" t="str">
        <f>IF(Surname24="","",Surname24)</f>
        <v/>
      </c>
      <c r="I32" s="280"/>
      <c r="J32" s="280"/>
      <c r="K32" s="280"/>
      <c r="L32" s="281"/>
      <c r="M32" s="89" t="str">
        <f>VLOOKUP($B32,'3.Grades'!$C$6:$BN$50,9,FALSE)</f>
        <v/>
      </c>
      <c r="N32" s="92" t="str">
        <f>VLOOKUP($B32,'3.Grades'!$C$6:$BN$50,14,FALSE)</f>
        <v/>
      </c>
      <c r="O32" s="92" t="str">
        <f>VLOOKUP($B32,'3.Grades'!$C$6:$BN$50,19,FALSE)</f>
        <v/>
      </c>
      <c r="P32" s="17" t="str">
        <f>VLOOKUP($B32,'3.Grades'!$C$6:$BN$50,24,FALSE)</f>
        <v/>
      </c>
      <c r="Q32" s="92" t="str">
        <f>VLOOKUP($B32,'3.Grades'!$C$6:$BN$50,29,FALSE)</f>
        <v/>
      </c>
      <c r="R32" s="92" t="str">
        <f>VLOOKUP($B32,'3.Grades'!$C$6:$BN$50,34,FALSE)</f>
        <v/>
      </c>
      <c r="S32" s="92" t="str">
        <f>VLOOKUP($B32,'3.Grades'!$C$6:$BN$50,39,FALSE)</f>
        <v/>
      </c>
      <c r="T32" s="92" t="str">
        <f>VLOOKUP($B32,'3.Grades'!$C$6:$BN$50,44,FALSE)</f>
        <v/>
      </c>
      <c r="U32" s="17" t="str">
        <f>VLOOKUP($B32,'3.Grades'!$C$6:$BN$50,49,FALSE)</f>
        <v/>
      </c>
      <c r="V32" s="95" t="str">
        <f>VLOOKUP($B32,'3.Grades'!$C$6:$BN$50,54,FALSE)</f>
        <v/>
      </c>
      <c r="W32" s="95" t="str">
        <f>VLOOKUP($B32,'3.Grades'!$C$6:$BN$50,59,FALSE)</f>
        <v/>
      </c>
      <c r="X32" s="18" t="str">
        <f>VLOOKUP($B32,'3.Grades'!$C$6:$BN$50,64,FALSE)</f>
        <v/>
      </c>
      <c r="Y32" s="78" t="str">
        <v/>
      </c>
      <c r="Z32" s="79" t="str">
        <v/>
      </c>
      <c r="AA32" s="79" t="str">
        <v/>
      </c>
      <c r="AB32" s="70" t="str">
        <v/>
      </c>
      <c r="AC32" s="79" t="str">
        <v/>
      </c>
      <c r="AD32" s="79" t="str">
        <v/>
      </c>
      <c r="AE32" s="79" t="str">
        <v/>
      </c>
      <c r="AF32" s="79" t="str">
        <v/>
      </c>
      <c r="AG32" s="70" t="str">
        <v/>
      </c>
      <c r="AH32" s="108" t="str">
        <v/>
      </c>
      <c r="AI32" s="108" t="str">
        <v/>
      </c>
      <c r="AJ32" s="71" t="str">
        <v/>
      </c>
      <c r="AK32" s="78" t="e">
        <f>IF(#REF!="มส","มส",IF(#REF!="","",IF($AK$7="","",IF($AK$7="SBMLD",SUM(#REF!),#REF!))))</f>
        <v>#REF!</v>
      </c>
      <c r="AL32" s="79" t="e">
        <f>IF(#REF!="มส","มส",IF(#REF!="","",IF($AL$7="","",IF($AL$7="SBMLD",SUM(#REF!),#REF!))))</f>
        <v>#REF!</v>
      </c>
      <c r="AM32" s="79" t="e">
        <f>IF(#REF!="มส","มส",IF(#REF!="","",IF($AM$7="","",IF($AM$7="SBMLD",SUM(#REF!),#REF!))))</f>
        <v>#REF!</v>
      </c>
      <c r="AN32" s="70" t="e">
        <f>IF(#REF!="มส","มส",IF(#REF!="","",IF($AN$7="","",IF($AN$7="SBMLD",SUM(#REF!),#REF!))))</f>
        <v>#REF!</v>
      </c>
      <c r="AO32" s="71" t="e">
        <f>IF(#REF!="มส","มส",IF(#REF!="","",IF($AO$7="","",IF($AO$7="SBMLD",SUM(#REF!),#REF!))))</f>
        <v>#REF!</v>
      </c>
      <c r="AP32" s="188"/>
      <c r="AQ32" s="78" t="str">
        <f t="shared" si="1"/>
        <v/>
      </c>
      <c r="AR32" s="79" t="str">
        <f t="shared" si="2"/>
        <v/>
      </c>
      <c r="AS32" s="79" t="str">
        <f t="shared" si="3"/>
        <v/>
      </c>
      <c r="AT32" s="70" t="str">
        <f t="shared" si="4"/>
        <v/>
      </c>
      <c r="AU32" s="79" t="str">
        <f t="shared" si="5"/>
        <v/>
      </c>
      <c r="AV32" s="79" t="str">
        <f t="shared" si="6"/>
        <v/>
      </c>
      <c r="AW32" s="79" t="str">
        <f t="shared" si="7"/>
        <v/>
      </c>
      <c r="AX32" s="79" t="str">
        <f t="shared" si="8"/>
        <v/>
      </c>
      <c r="AY32" s="70" t="str">
        <f t="shared" si="9"/>
        <v/>
      </c>
      <c r="AZ32" s="108" t="str">
        <f t="shared" si="10"/>
        <v/>
      </c>
      <c r="BA32" s="108" t="str">
        <f t="shared" si="11"/>
        <v/>
      </c>
      <c r="BB32" s="71" t="str">
        <f t="shared" si="16"/>
        <v/>
      </c>
      <c r="BC32" s="78" t="e">
        <f t="shared" si="12"/>
        <v>#REF!</v>
      </c>
      <c r="BD32" s="79" t="e">
        <f t="shared" si="13"/>
        <v>#REF!</v>
      </c>
      <c r="BE32" s="79" t="e">
        <f t="shared" si="14"/>
        <v>#REF!</v>
      </c>
      <c r="BF32" s="79" t="e">
        <f t="shared" si="17"/>
        <v>#REF!</v>
      </c>
      <c r="BG32" s="71" t="e">
        <f t="shared" si="15"/>
        <v>#REF!</v>
      </c>
      <c r="BH32" s="105" t="str">
        <f>IF('2.Students'' data'!R34="มส","",IF('2.Students'' data'!R34="ย้าย","",IF(C32="","",SUM(AQ32:BG32)/SUM(top))))</f>
        <v/>
      </c>
      <c r="BI32" s="18" t="str">
        <f>IF('2.Students'' data'!R34="มส","มส",IF('2.Students'' data'!R34="ย้าย","ย้าย",IF('2.Students'' data'!R34="ร","ร",IF(BH32="","",RANK(BH32,$BH$9:$BH$53,0)))))</f>
        <v/>
      </c>
    </row>
    <row r="33" spans="1:61" s="26" customFormat="1" ht="16.350000000000001" customHeight="1">
      <c r="A33" s="27">
        <v>25</v>
      </c>
      <c r="B33" s="204" t="str">
        <f>IF(IDstu25="","",IDstu25)</f>
        <v/>
      </c>
      <c r="C33" s="279" t="str">
        <f>IF(Name25="","",Name25)</f>
        <v/>
      </c>
      <c r="D33" s="276"/>
      <c r="E33" s="276"/>
      <c r="F33" s="276"/>
      <c r="G33" s="276"/>
      <c r="H33" s="280" t="str">
        <f>IF(Surname25="","",Surname25)</f>
        <v/>
      </c>
      <c r="I33" s="280"/>
      <c r="J33" s="280"/>
      <c r="K33" s="280"/>
      <c r="L33" s="281"/>
      <c r="M33" s="89" t="str">
        <f>VLOOKUP($B33,'3.Grades'!$C$6:$BN$50,9,FALSE)</f>
        <v/>
      </c>
      <c r="N33" s="92" t="str">
        <f>VLOOKUP($B33,'3.Grades'!$C$6:$BN$50,14,FALSE)</f>
        <v/>
      </c>
      <c r="O33" s="92" t="str">
        <f>VLOOKUP($B33,'3.Grades'!$C$6:$BN$50,19,FALSE)</f>
        <v/>
      </c>
      <c r="P33" s="17" t="str">
        <f>VLOOKUP($B33,'3.Grades'!$C$6:$BN$50,24,FALSE)</f>
        <v/>
      </c>
      <c r="Q33" s="92" t="str">
        <f>VLOOKUP($B33,'3.Grades'!$C$6:$BN$50,29,FALSE)</f>
        <v/>
      </c>
      <c r="R33" s="92" t="str">
        <f>VLOOKUP($B33,'3.Grades'!$C$6:$BN$50,34,FALSE)</f>
        <v/>
      </c>
      <c r="S33" s="92" t="str">
        <f>VLOOKUP($B33,'3.Grades'!$C$6:$BN$50,39,FALSE)</f>
        <v/>
      </c>
      <c r="T33" s="92" t="str">
        <f>VLOOKUP($B33,'3.Grades'!$C$6:$BN$50,44,FALSE)</f>
        <v/>
      </c>
      <c r="U33" s="17" t="str">
        <f>VLOOKUP($B33,'3.Grades'!$C$6:$BN$50,49,FALSE)</f>
        <v/>
      </c>
      <c r="V33" s="95" t="str">
        <f>VLOOKUP($B33,'3.Grades'!$C$6:$BN$50,54,FALSE)</f>
        <v/>
      </c>
      <c r="W33" s="95" t="str">
        <f>VLOOKUP($B33,'3.Grades'!$C$6:$BN$50,59,FALSE)</f>
        <v/>
      </c>
      <c r="X33" s="18" t="str">
        <f>VLOOKUP($B33,'3.Grades'!$C$6:$BN$50,64,FALSE)</f>
        <v/>
      </c>
      <c r="Y33" s="78" t="str">
        <v/>
      </c>
      <c r="Z33" s="79" t="str">
        <v/>
      </c>
      <c r="AA33" s="79" t="str">
        <v/>
      </c>
      <c r="AB33" s="70" t="str">
        <v/>
      </c>
      <c r="AC33" s="79" t="str">
        <v/>
      </c>
      <c r="AD33" s="79" t="str">
        <v/>
      </c>
      <c r="AE33" s="79" t="str">
        <v/>
      </c>
      <c r="AF33" s="79" t="str">
        <v/>
      </c>
      <c r="AG33" s="70" t="str">
        <v/>
      </c>
      <c r="AH33" s="108" t="str">
        <v/>
      </c>
      <c r="AI33" s="108" t="str">
        <v/>
      </c>
      <c r="AJ33" s="71" t="str">
        <v/>
      </c>
      <c r="AK33" s="78" t="e">
        <f>IF(#REF!="มส","มส",IF(#REF!="","",IF($AK$7="","",IF($AK$7="SBMLD",SUM(#REF!),#REF!))))</f>
        <v>#REF!</v>
      </c>
      <c r="AL33" s="79" t="e">
        <f>IF(#REF!="มส","มส",IF(#REF!="","",IF($AL$7="","",IF($AL$7="SBMLD",SUM(#REF!),#REF!))))</f>
        <v>#REF!</v>
      </c>
      <c r="AM33" s="79" t="e">
        <f>IF(#REF!="มส","มส",IF(#REF!="","",IF($AM$7="","",IF($AM$7="SBMLD",SUM(#REF!),#REF!))))</f>
        <v>#REF!</v>
      </c>
      <c r="AN33" s="70" t="e">
        <f>IF(#REF!="มส","มส",IF(#REF!="","",IF($AN$7="","",IF($AN$7="SBMLD",SUM(#REF!),#REF!))))</f>
        <v>#REF!</v>
      </c>
      <c r="AO33" s="71" t="e">
        <f>IF(#REF!="มส","มส",IF(#REF!="","",IF($AO$7="","",IF($AO$7="SBMLD",SUM(#REF!),#REF!))))</f>
        <v>#REF!</v>
      </c>
      <c r="AP33" s="188"/>
      <c r="AQ33" s="78" t="str">
        <f t="shared" si="1"/>
        <v/>
      </c>
      <c r="AR33" s="79" t="str">
        <f t="shared" si="2"/>
        <v/>
      </c>
      <c r="AS33" s="79" t="str">
        <f t="shared" si="3"/>
        <v/>
      </c>
      <c r="AT33" s="70" t="str">
        <f t="shared" si="4"/>
        <v/>
      </c>
      <c r="AU33" s="79" t="str">
        <f t="shared" si="5"/>
        <v/>
      </c>
      <c r="AV33" s="79" t="str">
        <f t="shared" si="6"/>
        <v/>
      </c>
      <c r="AW33" s="79" t="str">
        <f t="shared" si="7"/>
        <v/>
      </c>
      <c r="AX33" s="79" t="str">
        <f t="shared" si="8"/>
        <v/>
      </c>
      <c r="AY33" s="70" t="str">
        <f t="shared" si="9"/>
        <v/>
      </c>
      <c r="AZ33" s="108" t="str">
        <f t="shared" si="10"/>
        <v/>
      </c>
      <c r="BA33" s="108" t="str">
        <f t="shared" si="11"/>
        <v/>
      </c>
      <c r="BB33" s="71" t="str">
        <f t="shared" si="16"/>
        <v/>
      </c>
      <c r="BC33" s="78" t="e">
        <f t="shared" si="12"/>
        <v>#REF!</v>
      </c>
      <c r="BD33" s="79" t="e">
        <f t="shared" si="13"/>
        <v>#REF!</v>
      </c>
      <c r="BE33" s="79" t="e">
        <f t="shared" si="14"/>
        <v>#REF!</v>
      </c>
      <c r="BF33" s="79" t="e">
        <f t="shared" si="17"/>
        <v>#REF!</v>
      </c>
      <c r="BG33" s="71" t="e">
        <f t="shared" si="15"/>
        <v>#REF!</v>
      </c>
      <c r="BH33" s="105" t="str">
        <f>IF('2.Students'' data'!R35="มส","",IF('2.Students'' data'!R35="ย้าย","",IF(C33="","",SUM(AQ33:BG33)/SUM(top))))</f>
        <v/>
      </c>
      <c r="BI33" s="18" t="str">
        <f>IF('2.Students'' data'!R35="มส","มส",IF('2.Students'' data'!R35="ย้าย","ย้าย",IF('2.Students'' data'!R35="ร","ร",IF(BH33="","",RANK(BH33,$BH$9:$BH$53,0)))))</f>
        <v/>
      </c>
    </row>
    <row r="34" spans="1:61" s="26" customFormat="1" ht="16.350000000000001" customHeight="1">
      <c r="A34" s="27">
        <v>26</v>
      </c>
      <c r="B34" s="204" t="str">
        <f>IF(IDstu26="","",IDstu26)</f>
        <v/>
      </c>
      <c r="C34" s="279" t="str">
        <f>IF(Name26="","",Name26)</f>
        <v/>
      </c>
      <c r="D34" s="276"/>
      <c r="E34" s="276"/>
      <c r="F34" s="276"/>
      <c r="G34" s="276"/>
      <c r="H34" s="280" t="str">
        <f>IF(Surname26="","",Surname26)</f>
        <v/>
      </c>
      <c r="I34" s="280"/>
      <c r="J34" s="280"/>
      <c r="K34" s="280"/>
      <c r="L34" s="281"/>
      <c r="M34" s="89" t="str">
        <f>VLOOKUP($B34,'3.Grades'!$C$6:$BN$50,9,FALSE)</f>
        <v/>
      </c>
      <c r="N34" s="92" t="str">
        <f>VLOOKUP($B34,'3.Grades'!$C$6:$BN$50,14,FALSE)</f>
        <v/>
      </c>
      <c r="O34" s="92" t="str">
        <f>VLOOKUP($B34,'3.Grades'!$C$6:$BN$50,19,FALSE)</f>
        <v/>
      </c>
      <c r="P34" s="17" t="str">
        <f>VLOOKUP($B34,'3.Grades'!$C$6:$BN$50,24,FALSE)</f>
        <v/>
      </c>
      <c r="Q34" s="92" t="str">
        <f>VLOOKUP($B34,'3.Grades'!$C$6:$BN$50,29,FALSE)</f>
        <v/>
      </c>
      <c r="R34" s="92" t="str">
        <f>VLOOKUP($B34,'3.Grades'!$C$6:$BN$50,34,FALSE)</f>
        <v/>
      </c>
      <c r="S34" s="92" t="str">
        <f>VLOOKUP($B34,'3.Grades'!$C$6:$BN$50,39,FALSE)</f>
        <v/>
      </c>
      <c r="T34" s="92" t="str">
        <f>VLOOKUP($B34,'3.Grades'!$C$6:$BN$50,44,FALSE)</f>
        <v/>
      </c>
      <c r="U34" s="17" t="str">
        <f>VLOOKUP($B34,'3.Grades'!$C$6:$BN$50,49,FALSE)</f>
        <v/>
      </c>
      <c r="V34" s="95" t="str">
        <f>VLOOKUP($B34,'3.Grades'!$C$6:$BN$50,54,FALSE)</f>
        <v/>
      </c>
      <c r="W34" s="95" t="str">
        <f>VLOOKUP($B34,'3.Grades'!$C$6:$BN$50,59,FALSE)</f>
        <v/>
      </c>
      <c r="X34" s="18" t="str">
        <f>VLOOKUP($B34,'3.Grades'!$C$6:$BN$50,64,FALSE)</f>
        <v/>
      </c>
      <c r="Y34" s="78" t="str">
        <v/>
      </c>
      <c r="Z34" s="79" t="str">
        <v/>
      </c>
      <c r="AA34" s="79" t="str">
        <v/>
      </c>
      <c r="AB34" s="70" t="str">
        <v/>
      </c>
      <c r="AC34" s="79" t="str">
        <v/>
      </c>
      <c r="AD34" s="79" t="str">
        <v/>
      </c>
      <c r="AE34" s="79" t="str">
        <v/>
      </c>
      <c r="AF34" s="79" t="str">
        <v/>
      </c>
      <c r="AG34" s="70" t="str">
        <v/>
      </c>
      <c r="AH34" s="108" t="str">
        <v/>
      </c>
      <c r="AI34" s="108" t="str">
        <v/>
      </c>
      <c r="AJ34" s="71" t="str">
        <v/>
      </c>
      <c r="AK34" s="78" t="e">
        <f>IF(#REF!="มส","มส",IF(#REF!="","",IF($AK$7="","",IF($AK$7="SBMLD",SUM(#REF!),#REF!))))</f>
        <v>#REF!</v>
      </c>
      <c r="AL34" s="79" t="e">
        <f>IF(#REF!="มส","มส",IF(#REF!="","",IF($AL$7="","",IF($AL$7="SBMLD",SUM(#REF!),#REF!))))</f>
        <v>#REF!</v>
      </c>
      <c r="AM34" s="79" t="e">
        <f>IF(#REF!="มส","มส",IF(#REF!="","",IF($AM$7="","",IF($AM$7="SBMLD",SUM(#REF!),#REF!))))</f>
        <v>#REF!</v>
      </c>
      <c r="AN34" s="70" t="e">
        <f>IF(#REF!="มส","มส",IF(#REF!="","",IF($AN$7="","",IF($AN$7="SBMLD",SUM(#REF!),#REF!))))</f>
        <v>#REF!</v>
      </c>
      <c r="AO34" s="71" t="e">
        <f>IF(#REF!="มส","มส",IF(#REF!="","",IF($AO$7="","",IF($AO$7="SBMLD",SUM(#REF!),#REF!))))</f>
        <v>#REF!</v>
      </c>
      <c r="AP34" s="188"/>
      <c r="AQ34" s="78" t="str">
        <f t="shared" si="1"/>
        <v/>
      </c>
      <c r="AR34" s="79" t="str">
        <f t="shared" si="2"/>
        <v/>
      </c>
      <c r="AS34" s="79" t="str">
        <f t="shared" si="3"/>
        <v/>
      </c>
      <c r="AT34" s="70" t="str">
        <f t="shared" si="4"/>
        <v/>
      </c>
      <c r="AU34" s="79" t="str">
        <f t="shared" si="5"/>
        <v/>
      </c>
      <c r="AV34" s="79" t="str">
        <f t="shared" si="6"/>
        <v/>
      </c>
      <c r="AW34" s="79" t="str">
        <f t="shared" si="7"/>
        <v/>
      </c>
      <c r="AX34" s="79" t="str">
        <f t="shared" si="8"/>
        <v/>
      </c>
      <c r="AY34" s="70" t="str">
        <f t="shared" si="9"/>
        <v/>
      </c>
      <c r="AZ34" s="108" t="str">
        <f t="shared" si="10"/>
        <v/>
      </c>
      <c r="BA34" s="108" t="str">
        <f t="shared" si="11"/>
        <v/>
      </c>
      <c r="BB34" s="71" t="str">
        <f t="shared" si="16"/>
        <v/>
      </c>
      <c r="BC34" s="78" t="e">
        <f t="shared" si="12"/>
        <v>#REF!</v>
      </c>
      <c r="BD34" s="79" t="e">
        <f t="shared" si="13"/>
        <v>#REF!</v>
      </c>
      <c r="BE34" s="79" t="e">
        <f t="shared" si="14"/>
        <v>#REF!</v>
      </c>
      <c r="BF34" s="79" t="e">
        <f t="shared" si="17"/>
        <v>#REF!</v>
      </c>
      <c r="BG34" s="71" t="e">
        <f t="shared" si="15"/>
        <v>#REF!</v>
      </c>
      <c r="BH34" s="105" t="str">
        <f>IF('2.Students'' data'!R36="มส","",IF('2.Students'' data'!R36="ย้าย","",IF(C34="","",SUM(AQ34:BG34)/SUM(top))))</f>
        <v/>
      </c>
      <c r="BI34" s="18" t="str">
        <f>IF('2.Students'' data'!R36="มส","มส",IF('2.Students'' data'!R36="ย้าย","ย้าย",IF('2.Students'' data'!R36="ร","ร",IF(BH34="","",RANK(BH34,$BH$9:$BH$53,0)))))</f>
        <v/>
      </c>
    </row>
    <row r="35" spans="1:61" s="26" customFormat="1" ht="16.350000000000001" customHeight="1">
      <c r="A35" s="27">
        <v>27</v>
      </c>
      <c r="B35" s="204" t="str">
        <f>IF(IDstu27="","",IDstu27)</f>
        <v/>
      </c>
      <c r="C35" s="279" t="str">
        <f>IF(Name27="","",Name27)</f>
        <v/>
      </c>
      <c r="D35" s="276"/>
      <c r="E35" s="276"/>
      <c r="F35" s="276"/>
      <c r="G35" s="276"/>
      <c r="H35" s="280" t="str">
        <f>IF(Surname27="","",Surname27)</f>
        <v/>
      </c>
      <c r="I35" s="280"/>
      <c r="J35" s="280"/>
      <c r="K35" s="280"/>
      <c r="L35" s="281"/>
      <c r="M35" s="89" t="str">
        <f>VLOOKUP($B35,'3.Grades'!$C$6:$BN$50,9,FALSE)</f>
        <v/>
      </c>
      <c r="N35" s="92" t="str">
        <f>VLOOKUP($B35,'3.Grades'!$C$6:$BN$50,14,FALSE)</f>
        <v/>
      </c>
      <c r="O35" s="92" t="str">
        <f>VLOOKUP($B35,'3.Grades'!$C$6:$BN$50,19,FALSE)</f>
        <v/>
      </c>
      <c r="P35" s="17" t="str">
        <f>VLOOKUP($B35,'3.Grades'!$C$6:$BN$50,24,FALSE)</f>
        <v/>
      </c>
      <c r="Q35" s="17" t="str">
        <f>VLOOKUP($B35,'3.Grades'!$C$6:$BN$50,29,FALSE)</f>
        <v/>
      </c>
      <c r="R35" s="17" t="str">
        <f>VLOOKUP($B35,'3.Grades'!$C$6:$BN$50,34,FALSE)</f>
        <v/>
      </c>
      <c r="S35" s="92" t="str">
        <f>VLOOKUP($B35,'3.Grades'!$C$6:$BN$50,39,FALSE)</f>
        <v/>
      </c>
      <c r="T35" s="92" t="str">
        <f>VLOOKUP($B35,'3.Grades'!$C$6:$BN$50,44,FALSE)</f>
        <v/>
      </c>
      <c r="U35" s="17" t="str">
        <f>VLOOKUP($B35,'3.Grades'!$C$6:$BN$50,49,FALSE)</f>
        <v/>
      </c>
      <c r="V35" s="95" t="str">
        <f>VLOOKUP($B35,'3.Grades'!$C$6:$BN$50,54,FALSE)</f>
        <v/>
      </c>
      <c r="W35" s="95" t="str">
        <f>VLOOKUP($B35,'3.Grades'!$C$6:$BN$50,59,FALSE)</f>
        <v/>
      </c>
      <c r="X35" s="18" t="str">
        <f>VLOOKUP($B35,'3.Grades'!$C$6:$BN$50,64,FALSE)</f>
        <v/>
      </c>
      <c r="Y35" s="78" t="str">
        <v/>
      </c>
      <c r="Z35" s="79" t="str">
        <v/>
      </c>
      <c r="AA35" s="79" t="str">
        <v/>
      </c>
      <c r="AB35" s="70" t="str">
        <v/>
      </c>
      <c r="AC35" s="70" t="str">
        <v/>
      </c>
      <c r="AD35" s="70" t="str">
        <v/>
      </c>
      <c r="AE35" s="79" t="str">
        <v/>
      </c>
      <c r="AF35" s="79" t="str">
        <v/>
      </c>
      <c r="AG35" s="70" t="str">
        <v/>
      </c>
      <c r="AH35" s="108" t="str">
        <v/>
      </c>
      <c r="AI35" s="108" t="str">
        <v/>
      </c>
      <c r="AJ35" s="71" t="str">
        <v/>
      </c>
      <c r="AK35" s="78" t="e">
        <f>IF(#REF!="มส","มส",IF(#REF!="","",IF($AK$7="","",IF($AK$7="SBMLD",SUM(#REF!),#REF!))))</f>
        <v>#REF!</v>
      </c>
      <c r="AL35" s="79" t="e">
        <f>IF(#REF!="มส","มส",IF(#REF!="","",IF($AL$7="","",IF($AL$7="SBMLD",SUM(#REF!),#REF!))))</f>
        <v>#REF!</v>
      </c>
      <c r="AM35" s="79" t="e">
        <f>IF(#REF!="มส","มส",IF(#REF!="","",IF($AM$7="","",IF($AM$7="SBMLD",SUM(#REF!),#REF!))))</f>
        <v>#REF!</v>
      </c>
      <c r="AN35" s="70" t="e">
        <f>IF(#REF!="มส","มส",IF(#REF!="","",IF($AN$7="","",IF($AN$7="SBMLD",SUM(#REF!),#REF!))))</f>
        <v>#REF!</v>
      </c>
      <c r="AO35" s="71" t="e">
        <f>IF(#REF!="มส","มส",IF(#REF!="","",IF($AO$7="","",IF($AO$7="SBMLD",SUM(#REF!),#REF!))))</f>
        <v>#REF!</v>
      </c>
      <c r="AP35" s="188"/>
      <c r="AQ35" s="78" t="str">
        <f t="shared" si="1"/>
        <v/>
      </c>
      <c r="AR35" s="79" t="str">
        <f t="shared" si="2"/>
        <v/>
      </c>
      <c r="AS35" s="79" t="str">
        <f t="shared" si="3"/>
        <v/>
      </c>
      <c r="AT35" s="70" t="str">
        <f t="shared" si="4"/>
        <v/>
      </c>
      <c r="AU35" s="70" t="str">
        <f t="shared" si="5"/>
        <v/>
      </c>
      <c r="AV35" s="70" t="str">
        <f t="shared" si="6"/>
        <v/>
      </c>
      <c r="AW35" s="79" t="str">
        <f t="shared" si="7"/>
        <v/>
      </c>
      <c r="AX35" s="79" t="str">
        <f t="shared" si="8"/>
        <v/>
      </c>
      <c r="AY35" s="70" t="str">
        <f t="shared" si="9"/>
        <v/>
      </c>
      <c r="AZ35" s="108" t="str">
        <f t="shared" si="10"/>
        <v/>
      </c>
      <c r="BA35" s="108" t="str">
        <f t="shared" si="11"/>
        <v/>
      </c>
      <c r="BB35" s="71" t="str">
        <f t="shared" si="16"/>
        <v/>
      </c>
      <c r="BC35" s="78" t="e">
        <f t="shared" si="12"/>
        <v>#REF!</v>
      </c>
      <c r="BD35" s="79" t="e">
        <f t="shared" si="13"/>
        <v>#REF!</v>
      </c>
      <c r="BE35" s="79" t="e">
        <f t="shared" si="14"/>
        <v>#REF!</v>
      </c>
      <c r="BF35" s="79" t="e">
        <f t="shared" si="17"/>
        <v>#REF!</v>
      </c>
      <c r="BG35" s="71" t="e">
        <f t="shared" si="15"/>
        <v>#REF!</v>
      </c>
      <c r="BH35" s="105" t="str">
        <f>IF('2.Students'' data'!R37="มส","",IF('2.Students'' data'!R37="ย้าย","",IF(C35="","",SUM(AQ35:BG35)/SUM(top))))</f>
        <v/>
      </c>
      <c r="BI35" s="18" t="str">
        <f>IF('2.Students'' data'!R37="มส","มส",IF('2.Students'' data'!R37="ย้าย","ย้าย",IF('2.Students'' data'!R37="ร","ร",IF(BH35="","",RANK(BH35,$BH$9:$BH$53,0)))))</f>
        <v/>
      </c>
    </row>
    <row r="36" spans="1:61" s="26" customFormat="1" ht="16.350000000000001" customHeight="1">
      <c r="A36" s="27">
        <v>28</v>
      </c>
      <c r="B36" s="204" t="str">
        <f>IF(IDstu28="","",IDstu28)</f>
        <v/>
      </c>
      <c r="C36" s="279" t="str">
        <f>IF(Name28="","",Name28)</f>
        <v/>
      </c>
      <c r="D36" s="276"/>
      <c r="E36" s="276"/>
      <c r="F36" s="276"/>
      <c r="G36" s="276"/>
      <c r="H36" s="280" t="str">
        <f>IF(Surname28="","",Surname28)</f>
        <v/>
      </c>
      <c r="I36" s="280"/>
      <c r="J36" s="280"/>
      <c r="K36" s="280"/>
      <c r="L36" s="281"/>
      <c r="M36" s="89" t="str">
        <f>VLOOKUP($B36,'3.Grades'!$C$6:$BN$50,9,FALSE)</f>
        <v/>
      </c>
      <c r="N36" s="92" t="str">
        <f>VLOOKUP($B36,'3.Grades'!$C$6:$BN$50,14,FALSE)</f>
        <v/>
      </c>
      <c r="O36" s="92" t="str">
        <f>VLOOKUP($B36,'3.Grades'!$C$6:$BN$50,19,FALSE)</f>
        <v/>
      </c>
      <c r="P36" s="17" t="str">
        <f>VLOOKUP($B36,'3.Grades'!$C$6:$BN$50,24,FALSE)</f>
        <v/>
      </c>
      <c r="Q36" s="92" t="str">
        <f>VLOOKUP($B36,'3.Grades'!$C$6:$BN$50,29,FALSE)</f>
        <v/>
      </c>
      <c r="R36" s="92" t="str">
        <f>VLOOKUP($B36,'3.Grades'!$C$6:$BN$50,34,FALSE)</f>
        <v/>
      </c>
      <c r="S36" s="92" t="str">
        <f>VLOOKUP($B36,'3.Grades'!$C$6:$BN$50,39,FALSE)</f>
        <v/>
      </c>
      <c r="T36" s="92" t="str">
        <f>VLOOKUP($B36,'3.Grades'!$C$6:$BN$50,44,FALSE)</f>
        <v/>
      </c>
      <c r="U36" s="17" t="str">
        <f>VLOOKUP($B36,'3.Grades'!$C$6:$BN$50,49,FALSE)</f>
        <v/>
      </c>
      <c r="V36" s="95" t="str">
        <f>VLOOKUP($B36,'3.Grades'!$C$6:$BN$50,54,FALSE)</f>
        <v/>
      </c>
      <c r="W36" s="95" t="str">
        <f>VLOOKUP($B36,'3.Grades'!$C$6:$BN$50,59,FALSE)</f>
        <v/>
      </c>
      <c r="X36" s="18" t="str">
        <f>VLOOKUP($B36,'3.Grades'!$C$6:$BN$50,64,FALSE)</f>
        <v/>
      </c>
      <c r="Y36" s="78" t="str">
        <v/>
      </c>
      <c r="Z36" s="79" t="str">
        <v/>
      </c>
      <c r="AA36" s="79" t="str">
        <v/>
      </c>
      <c r="AB36" s="70" t="str">
        <v/>
      </c>
      <c r="AC36" s="70" t="str">
        <v/>
      </c>
      <c r="AD36" s="70" t="str">
        <v/>
      </c>
      <c r="AE36" s="79" t="str">
        <v/>
      </c>
      <c r="AF36" s="79" t="str">
        <v/>
      </c>
      <c r="AG36" s="70" t="str">
        <v/>
      </c>
      <c r="AH36" s="108" t="str">
        <v/>
      </c>
      <c r="AI36" s="108" t="str">
        <v/>
      </c>
      <c r="AJ36" s="71" t="str">
        <v/>
      </c>
      <c r="AK36" s="78" t="e">
        <f>IF(#REF!="มส","มส",IF(#REF!="","",IF($AK$7="","",IF($AK$7="SBMLD",SUM(#REF!),#REF!))))</f>
        <v>#REF!</v>
      </c>
      <c r="AL36" s="79" t="e">
        <f>IF(#REF!="มส","มส",IF(#REF!="","",IF($AL$7="","",IF($AL$7="SBMLD",SUM(#REF!),#REF!))))</f>
        <v>#REF!</v>
      </c>
      <c r="AM36" s="79" t="e">
        <f>IF(#REF!="มส","มส",IF(#REF!="","",IF($AM$7="","",IF($AM$7="SBMLD",SUM(#REF!),#REF!))))</f>
        <v>#REF!</v>
      </c>
      <c r="AN36" s="70" t="e">
        <f>IF(#REF!="มส","มส",IF(#REF!="","",IF($AN$7="","",IF($AN$7="SBMLD",SUM(#REF!),#REF!))))</f>
        <v>#REF!</v>
      </c>
      <c r="AO36" s="71" t="e">
        <f>IF(#REF!="มส","มส",IF(#REF!="","",IF($AO$7="","",IF($AO$7="SBMLD",SUM(#REF!),#REF!))))</f>
        <v>#REF!</v>
      </c>
      <c r="AP36" s="188"/>
      <c r="AQ36" s="78" t="str">
        <f t="shared" si="1"/>
        <v/>
      </c>
      <c r="AR36" s="79" t="str">
        <f t="shared" si="2"/>
        <v/>
      </c>
      <c r="AS36" s="79" t="str">
        <f t="shared" si="3"/>
        <v/>
      </c>
      <c r="AT36" s="70" t="str">
        <f t="shared" si="4"/>
        <v/>
      </c>
      <c r="AU36" s="70" t="str">
        <f t="shared" si="5"/>
        <v/>
      </c>
      <c r="AV36" s="70" t="str">
        <f t="shared" si="6"/>
        <v/>
      </c>
      <c r="AW36" s="79" t="str">
        <f t="shared" si="7"/>
        <v/>
      </c>
      <c r="AX36" s="79" t="str">
        <f t="shared" si="8"/>
        <v/>
      </c>
      <c r="AY36" s="70" t="str">
        <f t="shared" si="9"/>
        <v/>
      </c>
      <c r="AZ36" s="108" t="str">
        <f t="shared" si="10"/>
        <v/>
      </c>
      <c r="BA36" s="108" t="str">
        <f t="shared" si="11"/>
        <v/>
      </c>
      <c r="BB36" s="71" t="str">
        <f t="shared" si="16"/>
        <v/>
      </c>
      <c r="BC36" s="78" t="e">
        <f t="shared" si="12"/>
        <v>#REF!</v>
      </c>
      <c r="BD36" s="79" t="e">
        <f t="shared" si="13"/>
        <v>#REF!</v>
      </c>
      <c r="BE36" s="79" t="e">
        <f t="shared" si="14"/>
        <v>#REF!</v>
      </c>
      <c r="BF36" s="79" t="e">
        <f t="shared" si="17"/>
        <v>#REF!</v>
      </c>
      <c r="BG36" s="71" t="e">
        <f t="shared" si="15"/>
        <v>#REF!</v>
      </c>
      <c r="BH36" s="105" t="str">
        <f>IF('2.Students'' data'!R38="มส","",IF('2.Students'' data'!R38="ย้าย","",IF(C36="","",SUM(AQ36:BG36)/SUM(top))))</f>
        <v/>
      </c>
      <c r="BI36" s="18" t="str">
        <f>IF('2.Students'' data'!R38="มส","มส",IF('2.Students'' data'!R38="ย้าย","ย้าย",IF('2.Students'' data'!R38="ร","ร",IF(BH36="","",RANK(BH36,$BH$9:$BH$53,0)))))</f>
        <v/>
      </c>
    </row>
    <row r="37" spans="1:61" s="26" customFormat="1" ht="16.350000000000001" customHeight="1">
      <c r="A37" s="27">
        <v>29</v>
      </c>
      <c r="B37" s="204" t="str">
        <f>IF(IDstu29="","",IDstu29)</f>
        <v/>
      </c>
      <c r="C37" s="279" t="str">
        <f>IF(Name29="","",Name29)</f>
        <v/>
      </c>
      <c r="D37" s="276"/>
      <c r="E37" s="276"/>
      <c r="F37" s="276"/>
      <c r="G37" s="276"/>
      <c r="H37" s="280" t="str">
        <f>IF(Surname29="","",Surname29)</f>
        <v/>
      </c>
      <c r="I37" s="280"/>
      <c r="J37" s="280"/>
      <c r="K37" s="280"/>
      <c r="L37" s="281"/>
      <c r="M37" s="89" t="str">
        <f>VLOOKUP($B37,'3.Grades'!$C$6:$BN$50,9,FALSE)</f>
        <v/>
      </c>
      <c r="N37" s="92" t="str">
        <f>VLOOKUP($B37,'3.Grades'!$C$6:$BN$50,14,FALSE)</f>
        <v/>
      </c>
      <c r="O37" s="92" t="str">
        <f>VLOOKUP($B37,'3.Grades'!$C$6:$BN$50,19,FALSE)</f>
        <v/>
      </c>
      <c r="P37" s="17" t="str">
        <f>VLOOKUP($B37,'3.Grades'!$C$6:$BN$50,24,FALSE)</f>
        <v/>
      </c>
      <c r="Q37" s="92" t="str">
        <f>VLOOKUP($B37,'3.Grades'!$C$6:$BN$50,29,FALSE)</f>
        <v/>
      </c>
      <c r="R37" s="92" t="str">
        <f>VLOOKUP($B37,'3.Grades'!$C$6:$BN$50,34,FALSE)</f>
        <v/>
      </c>
      <c r="S37" s="92" t="str">
        <f>VLOOKUP($B37,'3.Grades'!$C$6:$BN$50,39,FALSE)</f>
        <v/>
      </c>
      <c r="T37" s="92" t="str">
        <f>VLOOKUP($B37,'3.Grades'!$C$6:$BN$50,44,FALSE)</f>
        <v/>
      </c>
      <c r="U37" s="17" t="str">
        <f>VLOOKUP($B37,'3.Grades'!$C$6:$BN$50,49,FALSE)</f>
        <v/>
      </c>
      <c r="V37" s="95" t="str">
        <f>VLOOKUP($B37,'3.Grades'!$C$6:$BN$50,54,FALSE)</f>
        <v/>
      </c>
      <c r="W37" s="95" t="str">
        <f>VLOOKUP($B37,'3.Grades'!$C$6:$BN$50,59,FALSE)</f>
        <v/>
      </c>
      <c r="X37" s="18" t="str">
        <f>VLOOKUP($B37,'3.Grades'!$C$6:$BN$50,64,FALSE)</f>
        <v/>
      </c>
      <c r="Y37" s="78" t="str">
        <v/>
      </c>
      <c r="Z37" s="79" t="str">
        <v/>
      </c>
      <c r="AA37" s="79" t="str">
        <v/>
      </c>
      <c r="AB37" s="70" t="str">
        <v/>
      </c>
      <c r="AC37" s="79" t="str">
        <v/>
      </c>
      <c r="AD37" s="79" t="str">
        <v/>
      </c>
      <c r="AE37" s="79" t="str">
        <v/>
      </c>
      <c r="AF37" s="79" t="str">
        <v/>
      </c>
      <c r="AG37" s="70" t="str">
        <v/>
      </c>
      <c r="AH37" s="108" t="str">
        <v/>
      </c>
      <c r="AI37" s="108" t="str">
        <v/>
      </c>
      <c r="AJ37" s="71" t="str">
        <v/>
      </c>
      <c r="AK37" s="78" t="e">
        <f>IF(#REF!="มส","มส",IF(#REF!="","",IF($AK$7="","",IF($AK$7="SBMLD",SUM(#REF!),#REF!))))</f>
        <v>#REF!</v>
      </c>
      <c r="AL37" s="79" t="e">
        <f>IF(#REF!="มส","มส",IF(#REF!="","",IF($AL$7="","",IF($AL$7="SBMLD",SUM(#REF!),#REF!))))</f>
        <v>#REF!</v>
      </c>
      <c r="AM37" s="79" t="e">
        <f>IF(#REF!="มส","มส",IF(#REF!="","",IF($AM$7="","",IF($AM$7="SBMLD",SUM(#REF!),#REF!))))</f>
        <v>#REF!</v>
      </c>
      <c r="AN37" s="70" t="e">
        <f>IF(#REF!="มส","มส",IF(#REF!="","",IF($AN$7="","",IF($AN$7="SBMLD",SUM(#REF!),#REF!))))</f>
        <v>#REF!</v>
      </c>
      <c r="AO37" s="71" t="e">
        <f>IF(#REF!="มส","มส",IF(#REF!="","",IF($AO$7="","",IF($AO$7="SBMLD",SUM(#REF!),#REF!))))</f>
        <v>#REF!</v>
      </c>
      <c r="AP37" s="188"/>
      <c r="AQ37" s="78" t="str">
        <f t="shared" si="1"/>
        <v/>
      </c>
      <c r="AR37" s="79" t="str">
        <f t="shared" si="2"/>
        <v/>
      </c>
      <c r="AS37" s="79" t="str">
        <f t="shared" si="3"/>
        <v/>
      </c>
      <c r="AT37" s="70" t="str">
        <f t="shared" si="4"/>
        <v/>
      </c>
      <c r="AU37" s="79" t="str">
        <f t="shared" si="5"/>
        <v/>
      </c>
      <c r="AV37" s="79" t="str">
        <f t="shared" si="6"/>
        <v/>
      </c>
      <c r="AW37" s="79" t="str">
        <f t="shared" si="7"/>
        <v/>
      </c>
      <c r="AX37" s="79" t="str">
        <f t="shared" si="8"/>
        <v/>
      </c>
      <c r="AY37" s="70" t="str">
        <f t="shared" si="9"/>
        <v/>
      </c>
      <c r="AZ37" s="108" t="str">
        <f t="shared" si="10"/>
        <v/>
      </c>
      <c r="BA37" s="108" t="str">
        <f t="shared" si="11"/>
        <v/>
      </c>
      <c r="BB37" s="71" t="str">
        <f t="shared" si="16"/>
        <v/>
      </c>
      <c r="BC37" s="78" t="e">
        <f t="shared" si="12"/>
        <v>#REF!</v>
      </c>
      <c r="BD37" s="79" t="e">
        <f t="shared" si="13"/>
        <v>#REF!</v>
      </c>
      <c r="BE37" s="79" t="e">
        <f t="shared" si="14"/>
        <v>#REF!</v>
      </c>
      <c r="BF37" s="79" t="e">
        <f t="shared" si="17"/>
        <v>#REF!</v>
      </c>
      <c r="BG37" s="71" t="e">
        <f t="shared" si="15"/>
        <v>#REF!</v>
      </c>
      <c r="BH37" s="105" t="str">
        <f>IF('2.Students'' data'!R39="มส","",IF('2.Students'' data'!R39="ย้าย","",IF(C37="","",SUM(AQ37:BG37)/SUM(top))))</f>
        <v/>
      </c>
      <c r="BI37" s="18" t="str">
        <f>IF('2.Students'' data'!R39="มส","มส",IF('2.Students'' data'!R39="ย้าย","ย้าย",IF('2.Students'' data'!R39="ร","ร",IF(BH37="","",RANK(BH37,$BH$9:$BH$53,0)))))</f>
        <v/>
      </c>
    </row>
    <row r="38" spans="1:61" s="26" customFormat="1" ht="16.350000000000001" customHeight="1">
      <c r="A38" s="27">
        <v>30</v>
      </c>
      <c r="B38" s="204" t="str">
        <f>IF(IDstu30="","",IDstu30)</f>
        <v/>
      </c>
      <c r="C38" s="279" t="str">
        <f>IF(Name30="","",Name30)</f>
        <v/>
      </c>
      <c r="D38" s="276"/>
      <c r="E38" s="276"/>
      <c r="F38" s="276"/>
      <c r="G38" s="276"/>
      <c r="H38" s="280" t="str">
        <f>IF(Surname30="","",Surname30)</f>
        <v/>
      </c>
      <c r="I38" s="280"/>
      <c r="J38" s="280"/>
      <c r="K38" s="280"/>
      <c r="L38" s="281"/>
      <c r="M38" s="89" t="str">
        <f>VLOOKUP($B38,'3.Grades'!$C$6:$BN$50,9,FALSE)</f>
        <v/>
      </c>
      <c r="N38" s="92" t="str">
        <f>VLOOKUP($B38,'3.Grades'!$C$6:$BN$50,14,FALSE)</f>
        <v/>
      </c>
      <c r="O38" s="92" t="str">
        <f>VLOOKUP($B38,'3.Grades'!$C$6:$BN$50,19,FALSE)</f>
        <v/>
      </c>
      <c r="P38" s="17" t="str">
        <f>VLOOKUP($B38,'3.Grades'!$C$6:$BN$50,24,FALSE)</f>
        <v/>
      </c>
      <c r="Q38" s="92" t="str">
        <f>VLOOKUP($B38,'3.Grades'!$C$6:$BN$50,29,FALSE)</f>
        <v/>
      </c>
      <c r="R38" s="92" t="str">
        <f>VLOOKUP($B38,'3.Grades'!$C$6:$BN$50,34,FALSE)</f>
        <v/>
      </c>
      <c r="S38" s="92" t="str">
        <f>VLOOKUP($B38,'3.Grades'!$C$6:$BN$50,39,FALSE)</f>
        <v/>
      </c>
      <c r="T38" s="92" t="str">
        <f>VLOOKUP($B38,'3.Grades'!$C$6:$BN$50,44,FALSE)</f>
        <v/>
      </c>
      <c r="U38" s="17" t="str">
        <f>VLOOKUP($B38,'3.Grades'!$C$6:$BN$50,49,FALSE)</f>
        <v/>
      </c>
      <c r="V38" s="95" t="str">
        <f>VLOOKUP($B38,'3.Grades'!$C$6:$BN$50,54,FALSE)</f>
        <v/>
      </c>
      <c r="W38" s="95" t="str">
        <f>VLOOKUP($B38,'3.Grades'!$C$6:$BN$50,59,FALSE)</f>
        <v/>
      </c>
      <c r="X38" s="18" t="str">
        <f>VLOOKUP($B38,'3.Grades'!$C$6:$BN$50,64,FALSE)</f>
        <v/>
      </c>
      <c r="Y38" s="78" t="str">
        <v/>
      </c>
      <c r="Z38" s="79" t="str">
        <v/>
      </c>
      <c r="AA38" s="79" t="str">
        <v/>
      </c>
      <c r="AB38" s="70" t="str">
        <v/>
      </c>
      <c r="AC38" s="79" t="str">
        <v/>
      </c>
      <c r="AD38" s="79" t="str">
        <v/>
      </c>
      <c r="AE38" s="79" t="str">
        <v/>
      </c>
      <c r="AF38" s="79" t="str">
        <v/>
      </c>
      <c r="AG38" s="70" t="str">
        <v/>
      </c>
      <c r="AH38" s="108" t="str">
        <v/>
      </c>
      <c r="AI38" s="108" t="str">
        <v/>
      </c>
      <c r="AJ38" s="71" t="str">
        <v/>
      </c>
      <c r="AK38" s="78" t="e">
        <f>IF(#REF!="มส","มส",IF(#REF!="","",IF($AK$7="","",IF($AK$7="SBMLD",SUM(#REF!),#REF!))))</f>
        <v>#REF!</v>
      </c>
      <c r="AL38" s="79" t="e">
        <f>IF(#REF!="มส","มส",IF(#REF!="","",IF($AL$7="","",IF($AL$7="SBMLD",SUM(#REF!),#REF!))))</f>
        <v>#REF!</v>
      </c>
      <c r="AM38" s="79" t="e">
        <f>IF(#REF!="มส","มส",IF(#REF!="","",IF($AM$7="","",IF($AM$7="SBMLD",SUM(#REF!),#REF!))))</f>
        <v>#REF!</v>
      </c>
      <c r="AN38" s="70" t="e">
        <f>IF(#REF!="มส","มส",IF(#REF!="","",IF($AN$7="","",IF($AN$7="SBMLD",SUM(#REF!),#REF!))))</f>
        <v>#REF!</v>
      </c>
      <c r="AO38" s="71" t="e">
        <f>IF(#REF!="มส","มส",IF(#REF!="","",IF($AO$7="","",IF($AO$7="SBMLD",SUM(#REF!),#REF!))))</f>
        <v>#REF!</v>
      </c>
      <c r="AP38" s="188"/>
      <c r="AQ38" s="78" t="str">
        <f t="shared" si="1"/>
        <v/>
      </c>
      <c r="AR38" s="79" t="str">
        <f t="shared" si="2"/>
        <v/>
      </c>
      <c r="AS38" s="79" t="str">
        <f t="shared" si="3"/>
        <v/>
      </c>
      <c r="AT38" s="70" t="str">
        <f t="shared" si="4"/>
        <v/>
      </c>
      <c r="AU38" s="79" t="str">
        <f t="shared" si="5"/>
        <v/>
      </c>
      <c r="AV38" s="79" t="str">
        <f t="shared" si="6"/>
        <v/>
      </c>
      <c r="AW38" s="79" t="str">
        <f t="shared" si="7"/>
        <v/>
      </c>
      <c r="AX38" s="79" t="str">
        <f t="shared" si="8"/>
        <v/>
      </c>
      <c r="AY38" s="70" t="str">
        <f t="shared" si="9"/>
        <v/>
      </c>
      <c r="AZ38" s="108" t="str">
        <f t="shared" si="10"/>
        <v/>
      </c>
      <c r="BA38" s="108" t="str">
        <f t="shared" si="11"/>
        <v/>
      </c>
      <c r="BB38" s="71" t="str">
        <f t="shared" si="16"/>
        <v/>
      </c>
      <c r="BC38" s="78" t="e">
        <f t="shared" si="12"/>
        <v>#REF!</v>
      </c>
      <c r="BD38" s="79" t="e">
        <f t="shared" si="13"/>
        <v>#REF!</v>
      </c>
      <c r="BE38" s="79" t="e">
        <f t="shared" si="14"/>
        <v>#REF!</v>
      </c>
      <c r="BF38" s="79" t="e">
        <f t="shared" si="17"/>
        <v>#REF!</v>
      </c>
      <c r="BG38" s="71" t="e">
        <f t="shared" si="15"/>
        <v>#REF!</v>
      </c>
      <c r="BH38" s="105" t="str">
        <f>IF('2.Students'' data'!R40="มส","",IF('2.Students'' data'!R40="ย้าย","",IF(C38="","",SUM(AQ38:BG38)/SUM(top))))</f>
        <v/>
      </c>
      <c r="BI38" s="18" t="str">
        <f>IF('2.Students'' data'!R40="มส","มส",IF('2.Students'' data'!R40="ย้าย","ย้าย",IF('2.Students'' data'!R40="ร","ร",IF(BH38="","",RANK(BH38,$BH$9:$BH$53,0)))))</f>
        <v/>
      </c>
    </row>
    <row r="39" spans="1:61" s="26" customFormat="1" ht="16.350000000000001" customHeight="1">
      <c r="A39" s="27">
        <v>31</v>
      </c>
      <c r="B39" s="204" t="str">
        <f>IF(IDstu31="","",IDstu31)</f>
        <v/>
      </c>
      <c r="C39" s="279" t="str">
        <f>IF(Name31="","",Name31)</f>
        <v/>
      </c>
      <c r="D39" s="276"/>
      <c r="E39" s="276"/>
      <c r="F39" s="276"/>
      <c r="G39" s="276"/>
      <c r="H39" s="280" t="str">
        <f>IF(Surname31="","",Surname31)</f>
        <v/>
      </c>
      <c r="I39" s="280"/>
      <c r="J39" s="280"/>
      <c r="K39" s="280"/>
      <c r="L39" s="281"/>
      <c r="M39" s="89" t="str">
        <f>VLOOKUP($B39,'3.Grades'!$C$6:$BN$50,9,FALSE)</f>
        <v/>
      </c>
      <c r="N39" s="92" t="str">
        <f>VLOOKUP($B39,'3.Grades'!$C$6:$BN$50,14,FALSE)</f>
        <v/>
      </c>
      <c r="O39" s="92" t="str">
        <f>VLOOKUP($B39,'3.Grades'!$C$6:$BN$50,19,FALSE)</f>
        <v/>
      </c>
      <c r="P39" s="17" t="str">
        <f>VLOOKUP($B39,'3.Grades'!$C$6:$BN$50,24,FALSE)</f>
        <v/>
      </c>
      <c r="Q39" s="92" t="str">
        <f>VLOOKUP($B39,'3.Grades'!$C$6:$BN$50,29,FALSE)</f>
        <v/>
      </c>
      <c r="R39" s="92" t="str">
        <f>VLOOKUP($B39,'3.Grades'!$C$6:$BN$50,34,FALSE)</f>
        <v/>
      </c>
      <c r="S39" s="92" t="str">
        <f>VLOOKUP($B39,'3.Grades'!$C$6:$BN$50,39,FALSE)</f>
        <v/>
      </c>
      <c r="T39" s="92" t="str">
        <f>VLOOKUP($B39,'3.Grades'!$C$6:$BN$50,44,FALSE)</f>
        <v/>
      </c>
      <c r="U39" s="17" t="str">
        <f>VLOOKUP($B39,'3.Grades'!$C$6:$BN$50,49,FALSE)</f>
        <v/>
      </c>
      <c r="V39" s="95" t="str">
        <f>VLOOKUP($B39,'3.Grades'!$C$6:$BN$50,54,FALSE)</f>
        <v/>
      </c>
      <c r="W39" s="95" t="str">
        <f>VLOOKUP($B39,'3.Grades'!$C$6:$BN$50,59,FALSE)</f>
        <v/>
      </c>
      <c r="X39" s="18" t="str">
        <f>VLOOKUP($B39,'3.Grades'!$C$6:$BN$50,64,FALSE)</f>
        <v/>
      </c>
      <c r="Y39" s="78" t="str">
        <v/>
      </c>
      <c r="Z39" s="79" t="str">
        <v/>
      </c>
      <c r="AA39" s="79" t="str">
        <v/>
      </c>
      <c r="AB39" s="70" t="str">
        <v/>
      </c>
      <c r="AC39" s="79" t="str">
        <v/>
      </c>
      <c r="AD39" s="79" t="str">
        <v/>
      </c>
      <c r="AE39" s="79" t="str">
        <v/>
      </c>
      <c r="AF39" s="79" t="str">
        <v/>
      </c>
      <c r="AG39" s="70" t="str">
        <v/>
      </c>
      <c r="AH39" s="108" t="str">
        <v/>
      </c>
      <c r="AI39" s="108" t="str">
        <v/>
      </c>
      <c r="AJ39" s="71" t="str">
        <v/>
      </c>
      <c r="AK39" s="78" t="e">
        <f>IF(#REF!="มส","มส",IF(#REF!="","",IF($AK$7="","",IF($AK$7="SBMLD",SUM(#REF!),#REF!))))</f>
        <v>#REF!</v>
      </c>
      <c r="AL39" s="79" t="e">
        <f>IF(#REF!="มส","มส",IF(#REF!="","",IF($AL$7="","",IF($AL$7="SBMLD",SUM(#REF!),#REF!))))</f>
        <v>#REF!</v>
      </c>
      <c r="AM39" s="79" t="e">
        <f>IF(#REF!="มส","มส",IF(#REF!="","",IF($AM$7="","",IF($AM$7="SBMLD",SUM(#REF!),#REF!))))</f>
        <v>#REF!</v>
      </c>
      <c r="AN39" s="70" t="e">
        <f>IF(#REF!="มส","มส",IF(#REF!="","",IF($AN$7="","",IF($AN$7="SBMLD",SUM(#REF!),#REF!))))</f>
        <v>#REF!</v>
      </c>
      <c r="AO39" s="71" t="e">
        <f>IF(#REF!="มส","มส",IF(#REF!="","",IF($AO$7="","",IF($AO$7="SBMLD",SUM(#REF!),#REF!))))</f>
        <v>#REF!</v>
      </c>
      <c r="AP39" s="188"/>
      <c r="AQ39" s="78" t="str">
        <f t="shared" si="1"/>
        <v/>
      </c>
      <c r="AR39" s="79" t="str">
        <f t="shared" si="2"/>
        <v/>
      </c>
      <c r="AS39" s="79" t="str">
        <f t="shared" si="3"/>
        <v/>
      </c>
      <c r="AT39" s="70" t="str">
        <f t="shared" si="4"/>
        <v/>
      </c>
      <c r="AU39" s="79" t="str">
        <f t="shared" si="5"/>
        <v/>
      </c>
      <c r="AV39" s="79" t="str">
        <f t="shared" si="6"/>
        <v/>
      </c>
      <c r="AW39" s="79" t="str">
        <f t="shared" si="7"/>
        <v/>
      </c>
      <c r="AX39" s="79" t="str">
        <f t="shared" si="8"/>
        <v/>
      </c>
      <c r="AY39" s="70" t="str">
        <f t="shared" si="9"/>
        <v/>
      </c>
      <c r="AZ39" s="108" t="str">
        <f t="shared" si="10"/>
        <v/>
      </c>
      <c r="BA39" s="108" t="str">
        <f t="shared" si="11"/>
        <v/>
      </c>
      <c r="BB39" s="71" t="str">
        <f t="shared" si="16"/>
        <v/>
      </c>
      <c r="BC39" s="78" t="e">
        <f t="shared" si="12"/>
        <v>#REF!</v>
      </c>
      <c r="BD39" s="79" t="e">
        <f t="shared" si="13"/>
        <v>#REF!</v>
      </c>
      <c r="BE39" s="79" t="e">
        <f t="shared" si="14"/>
        <v>#REF!</v>
      </c>
      <c r="BF39" s="79" t="e">
        <f t="shared" si="17"/>
        <v>#REF!</v>
      </c>
      <c r="BG39" s="71" t="e">
        <f t="shared" si="15"/>
        <v>#REF!</v>
      </c>
      <c r="BH39" s="105" t="str">
        <f>IF('2.Students'' data'!R41="มส","",IF('2.Students'' data'!R41="ย้าย","",IF(C39="","",SUM(AQ39:BG39)/SUM(top))))</f>
        <v/>
      </c>
      <c r="BI39" s="18" t="str">
        <f>IF('2.Students'' data'!R41="มส","มส",IF('2.Students'' data'!R41="ย้าย","ย้าย",IF('2.Students'' data'!R41="ร","ร",IF(BH39="","",RANK(BH39,$BH$9:$BH$53,0)))))</f>
        <v/>
      </c>
    </row>
    <row r="40" spans="1:61" s="26" customFormat="1" ht="16.350000000000001" customHeight="1">
      <c r="A40" s="27">
        <v>32</v>
      </c>
      <c r="B40" s="204" t="str">
        <f>IF(IDstu32="","",IDstu32)</f>
        <v/>
      </c>
      <c r="C40" s="279" t="str">
        <f>IF(Name32="","",Name32)</f>
        <v/>
      </c>
      <c r="D40" s="276"/>
      <c r="E40" s="276"/>
      <c r="F40" s="276"/>
      <c r="G40" s="276"/>
      <c r="H40" s="286" t="str">
        <f>IF(Surname32="","",Surname32)</f>
        <v/>
      </c>
      <c r="I40" s="286"/>
      <c r="J40" s="286"/>
      <c r="K40" s="286"/>
      <c r="L40" s="287"/>
      <c r="M40" s="89" t="str">
        <f>VLOOKUP($B40,'3.Grades'!$C$6:$BN$50,9,FALSE)</f>
        <v/>
      </c>
      <c r="N40" s="17" t="str">
        <f>VLOOKUP($B40,'3.Grades'!$C$6:$BN$50,14,FALSE)</f>
        <v/>
      </c>
      <c r="O40" s="92" t="str">
        <f>VLOOKUP($B40,'3.Grades'!$C$6:$BN$50,19,FALSE)</f>
        <v/>
      </c>
      <c r="P40" s="17" t="str">
        <f>VLOOKUP($B40,'3.Grades'!$C$6:$BN$50,24,FALSE)</f>
        <v/>
      </c>
      <c r="Q40" s="17" t="str">
        <f>VLOOKUP($B40,'3.Grades'!$C$6:$BN$50,29,FALSE)</f>
        <v/>
      </c>
      <c r="R40" s="17" t="str">
        <f>VLOOKUP($B40,'3.Grades'!$C$6:$BN$50,34,FALSE)</f>
        <v/>
      </c>
      <c r="S40" s="92" t="str">
        <f>VLOOKUP($B40,'3.Grades'!$C$6:$BN$50,39,FALSE)</f>
        <v/>
      </c>
      <c r="T40" s="92" t="str">
        <f>VLOOKUP($B40,'3.Grades'!$C$6:$BN$50,44,FALSE)</f>
        <v/>
      </c>
      <c r="U40" s="17" t="str">
        <f>VLOOKUP($B40,'3.Grades'!$C$6:$BN$50,49,FALSE)</f>
        <v/>
      </c>
      <c r="V40" s="95" t="str">
        <f>VLOOKUP($B40,'3.Grades'!$C$6:$BN$50,54,FALSE)</f>
        <v/>
      </c>
      <c r="W40" s="95" t="str">
        <f>VLOOKUP($B40,'3.Grades'!$C$6:$BN$50,59,FALSE)</f>
        <v/>
      </c>
      <c r="X40" s="18" t="str">
        <f>VLOOKUP($B40,'3.Grades'!$C$6:$BN$50,64,FALSE)</f>
        <v/>
      </c>
      <c r="Y40" s="78" t="str">
        <v/>
      </c>
      <c r="Z40" s="70" t="str">
        <v/>
      </c>
      <c r="AA40" s="79" t="str">
        <v/>
      </c>
      <c r="AB40" s="70" t="str">
        <v/>
      </c>
      <c r="AC40" s="70" t="str">
        <v/>
      </c>
      <c r="AD40" s="70" t="str">
        <v/>
      </c>
      <c r="AE40" s="79" t="str">
        <v/>
      </c>
      <c r="AF40" s="79" t="str">
        <v/>
      </c>
      <c r="AG40" s="70" t="str">
        <v/>
      </c>
      <c r="AH40" s="108" t="str">
        <v/>
      </c>
      <c r="AI40" s="108" t="str">
        <v/>
      </c>
      <c r="AJ40" s="71" t="str">
        <v/>
      </c>
      <c r="AK40" s="78" t="e">
        <f>IF(#REF!="มส","มส",IF(#REF!="","",IF($AK$7="","",IF($AK$7="SBMLD",SUM(#REF!),#REF!))))</f>
        <v>#REF!</v>
      </c>
      <c r="AL40" s="70" t="e">
        <f>IF(#REF!="มส","มส",IF(#REF!="","",IF($AL$7="","",IF($AL$7="SBMLD",SUM(#REF!),#REF!))))</f>
        <v>#REF!</v>
      </c>
      <c r="AM40" s="79" t="e">
        <f>IF(#REF!="มส","มส",IF(#REF!="","",IF($AM$7="","",IF($AM$7="SBMLD",SUM(#REF!),#REF!))))</f>
        <v>#REF!</v>
      </c>
      <c r="AN40" s="70" t="e">
        <f>IF(#REF!="มส","มส",IF(#REF!="","",IF($AN$7="","",IF($AN$7="SBMLD",SUM(#REF!),#REF!))))</f>
        <v>#REF!</v>
      </c>
      <c r="AO40" s="71" t="e">
        <f>IF(#REF!="มส","มส",IF(#REF!="","",IF($AO$7="","",IF($AO$7="SBMLD",SUM(#REF!),#REF!))))</f>
        <v>#REF!</v>
      </c>
      <c r="AP40" s="188"/>
      <c r="AQ40" s="78" t="str">
        <f t="shared" si="1"/>
        <v/>
      </c>
      <c r="AR40" s="70" t="str">
        <f t="shared" si="2"/>
        <v/>
      </c>
      <c r="AS40" s="79" t="str">
        <f t="shared" si="3"/>
        <v/>
      </c>
      <c r="AT40" s="70" t="str">
        <f t="shared" si="4"/>
        <v/>
      </c>
      <c r="AU40" s="70" t="str">
        <f t="shared" si="5"/>
        <v/>
      </c>
      <c r="AV40" s="70" t="str">
        <f t="shared" si="6"/>
        <v/>
      </c>
      <c r="AW40" s="79" t="str">
        <f t="shared" si="7"/>
        <v/>
      </c>
      <c r="AX40" s="79" t="str">
        <f t="shared" si="8"/>
        <v/>
      </c>
      <c r="AY40" s="70" t="str">
        <f t="shared" si="9"/>
        <v/>
      </c>
      <c r="AZ40" s="108" t="str">
        <f t="shared" si="10"/>
        <v/>
      </c>
      <c r="BA40" s="108" t="str">
        <f t="shared" si="11"/>
        <v/>
      </c>
      <c r="BB40" s="71" t="str">
        <f t="shared" si="16"/>
        <v/>
      </c>
      <c r="BC40" s="78" t="e">
        <f t="shared" si="12"/>
        <v>#REF!</v>
      </c>
      <c r="BD40" s="70" t="e">
        <f t="shared" si="13"/>
        <v>#REF!</v>
      </c>
      <c r="BE40" s="79" t="e">
        <f t="shared" si="14"/>
        <v>#REF!</v>
      </c>
      <c r="BF40" s="79" t="e">
        <f t="shared" si="17"/>
        <v>#REF!</v>
      </c>
      <c r="BG40" s="71" t="e">
        <f t="shared" si="15"/>
        <v>#REF!</v>
      </c>
      <c r="BH40" s="105" t="str">
        <f>IF('2.Students'' data'!R42="มส","",IF('2.Students'' data'!R42="ย้าย","",IF(C40="","",SUM(AQ40:BG40)/SUM(top))))</f>
        <v/>
      </c>
      <c r="BI40" s="18" t="str">
        <f>IF('2.Students'' data'!R42="มส","มส",IF('2.Students'' data'!R42="ย้าย","ย้าย",IF('2.Students'' data'!R42="ร","ร",IF(BH40="","",RANK(BH40,$BH$9:$BH$53,0)))))</f>
        <v/>
      </c>
    </row>
    <row r="41" spans="1:61" s="26" customFormat="1" ht="16.350000000000001" customHeight="1">
      <c r="A41" s="27">
        <v>33</v>
      </c>
      <c r="B41" s="204" t="str">
        <f>IF(IDstu33="","",IDstu33)</f>
        <v/>
      </c>
      <c r="C41" s="279" t="str">
        <f>IF(Name33="","",Name33)</f>
        <v/>
      </c>
      <c r="D41" s="276"/>
      <c r="E41" s="276"/>
      <c r="F41" s="276"/>
      <c r="G41" s="276"/>
      <c r="H41" s="276" t="str">
        <f>IF(Surname33="","",Surname33)</f>
        <v/>
      </c>
      <c r="I41" s="276"/>
      <c r="J41" s="276"/>
      <c r="K41" s="276"/>
      <c r="L41" s="277"/>
      <c r="M41" s="89" t="str">
        <f>VLOOKUP($B41,'3.Grades'!$C$6:$BN$50,9,FALSE)</f>
        <v/>
      </c>
      <c r="N41" s="92" t="str">
        <f>VLOOKUP($B41,'3.Grades'!$C$6:$BN$50,14,FALSE)</f>
        <v/>
      </c>
      <c r="O41" s="92" t="str">
        <f>VLOOKUP($B41,'3.Grades'!$C$6:$BN$50,19,FALSE)</f>
        <v/>
      </c>
      <c r="P41" s="17" t="str">
        <f>VLOOKUP($B41,'3.Grades'!$C$6:$BN$50,24,FALSE)</f>
        <v/>
      </c>
      <c r="Q41" s="17" t="str">
        <f>VLOOKUP($B41,'3.Grades'!$C$6:$BN$50,29,FALSE)</f>
        <v/>
      </c>
      <c r="R41" s="17" t="str">
        <f>VLOOKUP($B41,'3.Grades'!$C$6:$BN$50,34,FALSE)</f>
        <v/>
      </c>
      <c r="S41" s="92" t="str">
        <f>VLOOKUP($B41,'3.Grades'!$C$6:$BN$50,39,FALSE)</f>
        <v/>
      </c>
      <c r="T41" s="92" t="str">
        <f>VLOOKUP($B41,'3.Grades'!$C$6:$BN$50,44,FALSE)</f>
        <v/>
      </c>
      <c r="U41" s="17" t="str">
        <f>VLOOKUP($B41,'3.Grades'!$C$6:$BN$50,49,FALSE)</f>
        <v/>
      </c>
      <c r="V41" s="95" t="str">
        <f>VLOOKUP($B41,'3.Grades'!$C$6:$BN$50,54,FALSE)</f>
        <v/>
      </c>
      <c r="W41" s="95" t="str">
        <f>VLOOKUP($B41,'3.Grades'!$C$6:$BN$50,59,FALSE)</f>
        <v/>
      </c>
      <c r="X41" s="18" t="str">
        <f>VLOOKUP($B41,'3.Grades'!$C$6:$BN$50,64,FALSE)</f>
        <v/>
      </c>
      <c r="Y41" s="78" t="str">
        <v/>
      </c>
      <c r="Z41" s="79" t="str">
        <v/>
      </c>
      <c r="AA41" s="79" t="str">
        <v/>
      </c>
      <c r="AB41" s="70" t="str">
        <v/>
      </c>
      <c r="AC41" s="70" t="str">
        <v/>
      </c>
      <c r="AD41" s="70" t="str">
        <v/>
      </c>
      <c r="AE41" s="79" t="str">
        <v/>
      </c>
      <c r="AF41" s="79" t="str">
        <v/>
      </c>
      <c r="AG41" s="70" t="str">
        <v/>
      </c>
      <c r="AH41" s="108" t="str">
        <v/>
      </c>
      <c r="AI41" s="108" t="str">
        <v/>
      </c>
      <c r="AJ41" s="71" t="str">
        <v/>
      </c>
      <c r="AK41" s="78" t="e">
        <f>IF(#REF!="มส","มส",IF(#REF!="","",IF($AK$7="","",IF($AK$7="SBMLD",SUM(#REF!),#REF!))))</f>
        <v>#REF!</v>
      </c>
      <c r="AL41" s="79" t="e">
        <f>IF(#REF!="มส","มส",IF(#REF!="","",IF($AL$7="","",IF($AL$7="SBMLD",SUM(#REF!),#REF!))))</f>
        <v>#REF!</v>
      </c>
      <c r="AM41" s="79" t="e">
        <f>IF(#REF!="มส","มส",IF(#REF!="","",IF($AM$7="","",IF($AM$7="SBMLD",SUM(#REF!),#REF!))))</f>
        <v>#REF!</v>
      </c>
      <c r="AN41" s="70" t="e">
        <f>IF(#REF!="มส","มส",IF(#REF!="","",IF($AN$7="","",IF($AN$7="SBMLD",SUM(#REF!),#REF!))))</f>
        <v>#REF!</v>
      </c>
      <c r="AO41" s="71" t="e">
        <f>IF(#REF!="มส","มส",IF(#REF!="","",IF($AO$7="","",IF($AO$7="SBMLD",SUM(#REF!),#REF!))))</f>
        <v>#REF!</v>
      </c>
      <c r="AP41" s="188"/>
      <c r="AQ41" s="78" t="str">
        <f t="shared" si="1"/>
        <v/>
      </c>
      <c r="AR41" s="79" t="str">
        <f t="shared" si="2"/>
        <v/>
      </c>
      <c r="AS41" s="79" t="str">
        <f t="shared" si="3"/>
        <v/>
      </c>
      <c r="AT41" s="70" t="str">
        <f t="shared" si="4"/>
        <v/>
      </c>
      <c r="AU41" s="70" t="str">
        <f t="shared" si="5"/>
        <v/>
      </c>
      <c r="AV41" s="70" t="str">
        <f t="shared" si="6"/>
        <v/>
      </c>
      <c r="AW41" s="79" t="str">
        <f t="shared" si="7"/>
        <v/>
      </c>
      <c r="AX41" s="79" t="str">
        <f t="shared" si="8"/>
        <v/>
      </c>
      <c r="AY41" s="70" t="str">
        <f t="shared" si="9"/>
        <v/>
      </c>
      <c r="AZ41" s="108" t="str">
        <f t="shared" si="10"/>
        <v/>
      </c>
      <c r="BA41" s="108" t="str">
        <f t="shared" si="11"/>
        <v/>
      </c>
      <c r="BB41" s="71" t="str">
        <f t="shared" si="16"/>
        <v/>
      </c>
      <c r="BC41" s="78" t="e">
        <f t="shared" si="12"/>
        <v>#REF!</v>
      </c>
      <c r="BD41" s="79" t="e">
        <f t="shared" si="13"/>
        <v>#REF!</v>
      </c>
      <c r="BE41" s="79" t="e">
        <f t="shared" si="14"/>
        <v>#REF!</v>
      </c>
      <c r="BF41" s="79" t="e">
        <f t="shared" si="17"/>
        <v>#REF!</v>
      </c>
      <c r="BG41" s="71" t="e">
        <f t="shared" si="15"/>
        <v>#REF!</v>
      </c>
      <c r="BH41" s="105" t="str">
        <f>IF('2.Students'' data'!R43="มส","",IF('2.Students'' data'!R43="ย้าย","",IF(C41="","",SUM(AQ41:BG41)/SUM(top))))</f>
        <v/>
      </c>
      <c r="BI41" s="18" t="str">
        <f>IF('2.Students'' data'!R43="มส","มส",IF('2.Students'' data'!R43="ย้าย","ย้าย",IF('2.Students'' data'!R43="ร","ร",IF(BH41="","",RANK(BH41,$BH$9:$BH$53,0)))))</f>
        <v/>
      </c>
    </row>
    <row r="42" spans="1:61" s="26" customFormat="1" ht="16.350000000000001" customHeight="1">
      <c r="A42" s="27">
        <v>34</v>
      </c>
      <c r="B42" s="204" t="str">
        <f>IF(IDstu34="","",IDstu34)</f>
        <v/>
      </c>
      <c r="C42" s="279" t="str">
        <f>IF(Name34="","",Name34)</f>
        <v/>
      </c>
      <c r="D42" s="276"/>
      <c r="E42" s="276"/>
      <c r="F42" s="276"/>
      <c r="G42" s="276"/>
      <c r="H42" s="276" t="str">
        <f>IF(Surname34="","",Surname34)</f>
        <v/>
      </c>
      <c r="I42" s="276"/>
      <c r="J42" s="276"/>
      <c r="K42" s="276"/>
      <c r="L42" s="277"/>
      <c r="M42" s="89" t="str">
        <f>VLOOKUP($B42,'3.Grades'!$C$6:$BN$50,9,FALSE)</f>
        <v/>
      </c>
      <c r="N42" s="92" t="str">
        <f>VLOOKUP($B42,'3.Grades'!$C$6:$BN$50,14,FALSE)</f>
        <v/>
      </c>
      <c r="O42" s="92" t="str">
        <f>VLOOKUP($B42,'3.Grades'!$C$6:$BN$50,19,FALSE)</f>
        <v/>
      </c>
      <c r="P42" s="17" t="str">
        <f>VLOOKUP($B42,'3.Grades'!$C$6:$BN$50,24,FALSE)</f>
        <v/>
      </c>
      <c r="Q42" s="92" t="str">
        <f>VLOOKUP($B42,'3.Grades'!$C$6:$BN$50,29,FALSE)</f>
        <v/>
      </c>
      <c r="R42" s="92" t="str">
        <f>VLOOKUP($B42,'3.Grades'!$C$6:$BN$50,34,FALSE)</f>
        <v/>
      </c>
      <c r="S42" s="92" t="str">
        <f>VLOOKUP($B42,'3.Grades'!$C$6:$BN$50,39,FALSE)</f>
        <v/>
      </c>
      <c r="T42" s="92" t="str">
        <f>VLOOKUP($B42,'3.Grades'!$C$6:$BN$50,44,FALSE)</f>
        <v/>
      </c>
      <c r="U42" s="17" t="str">
        <f>VLOOKUP($B42,'3.Grades'!$C$6:$BN$50,49,FALSE)</f>
        <v/>
      </c>
      <c r="V42" s="95" t="str">
        <f>VLOOKUP($B42,'3.Grades'!$C$6:$BN$50,54,FALSE)</f>
        <v/>
      </c>
      <c r="W42" s="95" t="str">
        <f>VLOOKUP($B42,'3.Grades'!$C$6:$BN$50,59,FALSE)</f>
        <v/>
      </c>
      <c r="X42" s="18" t="str">
        <f>VLOOKUP($B42,'3.Grades'!$C$6:$BN$50,64,FALSE)</f>
        <v/>
      </c>
      <c r="Y42" s="78" t="str">
        <v/>
      </c>
      <c r="Z42" s="79" t="str">
        <v/>
      </c>
      <c r="AA42" s="79" t="str">
        <v/>
      </c>
      <c r="AB42" s="70" t="str">
        <v/>
      </c>
      <c r="AC42" s="79" t="str">
        <v/>
      </c>
      <c r="AD42" s="79" t="str">
        <v/>
      </c>
      <c r="AE42" s="79" t="str">
        <v/>
      </c>
      <c r="AF42" s="79" t="str">
        <v/>
      </c>
      <c r="AG42" s="70" t="str">
        <v/>
      </c>
      <c r="AH42" s="108" t="str">
        <v/>
      </c>
      <c r="AI42" s="108" t="str">
        <v/>
      </c>
      <c r="AJ42" s="71" t="str">
        <v/>
      </c>
      <c r="AK42" s="78" t="e">
        <f>IF(#REF!="มส","มส",IF(#REF!="","",IF($AK$7="","",IF($AK$7="SBMLD",SUM(#REF!),#REF!))))</f>
        <v>#REF!</v>
      </c>
      <c r="AL42" s="79" t="e">
        <f>IF(#REF!="มส","มส",IF(#REF!="","",IF($AL$7="","",IF($AL$7="SBMLD",SUM(#REF!),#REF!))))</f>
        <v>#REF!</v>
      </c>
      <c r="AM42" s="79" t="e">
        <f>IF(#REF!="มส","มส",IF(#REF!="","",IF($AM$7="","",IF($AM$7="SBMLD",SUM(#REF!),#REF!))))</f>
        <v>#REF!</v>
      </c>
      <c r="AN42" s="70" t="e">
        <f>IF(#REF!="มส","มส",IF(#REF!="","",IF($AN$7="","",IF($AN$7="SBMLD",SUM(#REF!),#REF!))))</f>
        <v>#REF!</v>
      </c>
      <c r="AO42" s="71" t="e">
        <f>IF(#REF!="มส","มส",IF(#REF!="","",IF($AO$7="","",IF($AO$7="SBMLD",SUM(#REF!),#REF!))))</f>
        <v>#REF!</v>
      </c>
      <c r="AP42" s="188"/>
      <c r="AQ42" s="78" t="str">
        <f t="shared" si="1"/>
        <v/>
      </c>
      <c r="AR42" s="79" t="str">
        <f t="shared" si="2"/>
        <v/>
      </c>
      <c r="AS42" s="79" t="str">
        <f t="shared" si="3"/>
        <v/>
      </c>
      <c r="AT42" s="70" t="str">
        <f t="shared" si="4"/>
        <v/>
      </c>
      <c r="AU42" s="79" t="str">
        <f t="shared" si="5"/>
        <v/>
      </c>
      <c r="AV42" s="79" t="str">
        <f t="shared" si="6"/>
        <v/>
      </c>
      <c r="AW42" s="79" t="str">
        <f t="shared" si="7"/>
        <v/>
      </c>
      <c r="AX42" s="79" t="str">
        <f t="shared" si="8"/>
        <v/>
      </c>
      <c r="AY42" s="70" t="str">
        <f t="shared" si="9"/>
        <v/>
      </c>
      <c r="AZ42" s="108" t="str">
        <f t="shared" si="10"/>
        <v/>
      </c>
      <c r="BA42" s="108" t="str">
        <f t="shared" si="11"/>
        <v/>
      </c>
      <c r="BB42" s="71" t="str">
        <f t="shared" si="16"/>
        <v/>
      </c>
      <c r="BC42" s="78" t="e">
        <f t="shared" si="12"/>
        <v>#REF!</v>
      </c>
      <c r="BD42" s="79" t="e">
        <f t="shared" si="13"/>
        <v>#REF!</v>
      </c>
      <c r="BE42" s="79" t="e">
        <f t="shared" si="14"/>
        <v>#REF!</v>
      </c>
      <c r="BF42" s="79" t="e">
        <f t="shared" si="17"/>
        <v>#REF!</v>
      </c>
      <c r="BG42" s="71" t="e">
        <f t="shared" si="15"/>
        <v>#REF!</v>
      </c>
      <c r="BH42" s="105" t="str">
        <f>IF('2.Students'' data'!R44="มส","",IF('2.Students'' data'!R44="ย้าย","",IF(C42="","",SUM(AQ42:BG42)/SUM(top))))</f>
        <v/>
      </c>
      <c r="BI42" s="18" t="str">
        <f>IF('2.Students'' data'!R44="มส","มส",IF('2.Students'' data'!R44="ย้าย","ย้าย",IF('2.Students'' data'!R44="ร","ร",IF(BH42="","",RANK(BH42,$BH$9:$BH$53,0)))))</f>
        <v/>
      </c>
    </row>
    <row r="43" spans="1:61" s="26" customFormat="1" ht="16.350000000000001" customHeight="1">
      <c r="A43" s="27">
        <v>35</v>
      </c>
      <c r="B43" s="204" t="str">
        <f>IF(IDstu35="","",IDstu35)</f>
        <v/>
      </c>
      <c r="C43" s="279" t="str">
        <f>IF(Name35="","",Name35)</f>
        <v/>
      </c>
      <c r="D43" s="276"/>
      <c r="E43" s="276"/>
      <c r="F43" s="276"/>
      <c r="G43" s="276"/>
      <c r="H43" s="276" t="str">
        <f>IF(Surname35="","",Surname35)</f>
        <v/>
      </c>
      <c r="I43" s="276"/>
      <c r="J43" s="276"/>
      <c r="K43" s="276"/>
      <c r="L43" s="277"/>
      <c r="M43" s="89" t="str">
        <f>VLOOKUP($B43,'3.Grades'!$C$6:$BN$50,9,FALSE)</f>
        <v/>
      </c>
      <c r="N43" s="92" t="str">
        <f>VLOOKUP($B43,'3.Grades'!$C$6:$BN$50,14,FALSE)</f>
        <v/>
      </c>
      <c r="O43" s="92" t="str">
        <f>VLOOKUP($B43,'3.Grades'!$C$6:$BN$50,19,FALSE)</f>
        <v/>
      </c>
      <c r="P43" s="17" t="str">
        <f>VLOOKUP($B43,'3.Grades'!$C$6:$BN$50,24,FALSE)</f>
        <v/>
      </c>
      <c r="Q43" s="92" t="str">
        <f>VLOOKUP($B43,'3.Grades'!$C$6:$BN$50,29,FALSE)</f>
        <v/>
      </c>
      <c r="R43" s="92" t="str">
        <f>VLOOKUP($B43,'3.Grades'!$C$6:$BN$50,34,FALSE)</f>
        <v/>
      </c>
      <c r="S43" s="92" t="str">
        <f>VLOOKUP($B43,'3.Grades'!$C$6:$BN$50,39,FALSE)</f>
        <v/>
      </c>
      <c r="T43" s="92" t="str">
        <f>VLOOKUP($B43,'3.Grades'!$C$6:$BN$50,44,FALSE)</f>
        <v/>
      </c>
      <c r="U43" s="17" t="str">
        <f>VLOOKUP($B43,'3.Grades'!$C$6:$BN$50,49,FALSE)</f>
        <v/>
      </c>
      <c r="V43" s="95" t="str">
        <f>VLOOKUP($B43,'3.Grades'!$C$6:$BN$50,54,FALSE)</f>
        <v/>
      </c>
      <c r="W43" s="95" t="str">
        <f>VLOOKUP($B43,'3.Grades'!$C$6:$BN$50,59,FALSE)</f>
        <v/>
      </c>
      <c r="X43" s="18" t="str">
        <f>VLOOKUP($B43,'3.Grades'!$C$6:$BN$50,64,FALSE)</f>
        <v/>
      </c>
      <c r="Y43" s="78" t="str">
        <v/>
      </c>
      <c r="Z43" s="79" t="str">
        <v/>
      </c>
      <c r="AA43" s="79" t="str">
        <v/>
      </c>
      <c r="AB43" s="70" t="str">
        <v/>
      </c>
      <c r="AC43" s="79" t="str">
        <v/>
      </c>
      <c r="AD43" s="79" t="str">
        <v/>
      </c>
      <c r="AE43" s="79" t="str">
        <v/>
      </c>
      <c r="AF43" s="79" t="str">
        <v/>
      </c>
      <c r="AG43" s="70" t="str">
        <v/>
      </c>
      <c r="AH43" s="108" t="str">
        <v/>
      </c>
      <c r="AI43" s="108" t="str">
        <v/>
      </c>
      <c r="AJ43" s="71" t="str">
        <v/>
      </c>
      <c r="AK43" s="78" t="e">
        <f>IF(#REF!="มส","มส",IF(#REF!="","",IF($AK$7="","",IF($AK$7="SBMLD",SUM(#REF!),#REF!))))</f>
        <v>#REF!</v>
      </c>
      <c r="AL43" s="79" t="e">
        <f>IF(#REF!="มส","มส",IF(#REF!="","",IF($AL$7="","",IF($AL$7="SBMLD",SUM(#REF!),#REF!))))</f>
        <v>#REF!</v>
      </c>
      <c r="AM43" s="79" t="e">
        <f>IF(#REF!="มส","มส",IF(#REF!="","",IF($AM$7="","",IF($AM$7="SBMLD",SUM(#REF!),#REF!))))</f>
        <v>#REF!</v>
      </c>
      <c r="AN43" s="70" t="e">
        <f>IF(#REF!="มส","มส",IF(#REF!="","",IF($AN$7="","",IF($AN$7="SBMLD",SUM(#REF!),#REF!))))</f>
        <v>#REF!</v>
      </c>
      <c r="AO43" s="71" t="e">
        <f>IF(#REF!="มส","มส",IF(#REF!="","",IF($AO$7="","",IF($AO$7="SBMLD",SUM(#REF!),#REF!))))</f>
        <v>#REF!</v>
      </c>
      <c r="AP43" s="188"/>
      <c r="AQ43" s="78" t="str">
        <f t="shared" si="1"/>
        <v/>
      </c>
      <c r="AR43" s="79" t="str">
        <f t="shared" si="2"/>
        <v/>
      </c>
      <c r="AS43" s="79" t="str">
        <f t="shared" si="3"/>
        <v/>
      </c>
      <c r="AT43" s="70" t="str">
        <f t="shared" si="4"/>
        <v/>
      </c>
      <c r="AU43" s="79" t="str">
        <f t="shared" si="5"/>
        <v/>
      </c>
      <c r="AV43" s="79" t="str">
        <f t="shared" si="6"/>
        <v/>
      </c>
      <c r="AW43" s="79" t="str">
        <f t="shared" si="7"/>
        <v/>
      </c>
      <c r="AX43" s="79" t="str">
        <f t="shared" si="8"/>
        <v/>
      </c>
      <c r="AY43" s="70" t="str">
        <f t="shared" si="9"/>
        <v/>
      </c>
      <c r="AZ43" s="108" t="str">
        <f t="shared" si="10"/>
        <v/>
      </c>
      <c r="BA43" s="108" t="str">
        <f t="shared" si="11"/>
        <v/>
      </c>
      <c r="BB43" s="71" t="str">
        <f t="shared" si="16"/>
        <v/>
      </c>
      <c r="BC43" s="78" t="e">
        <f t="shared" si="12"/>
        <v>#REF!</v>
      </c>
      <c r="BD43" s="79" t="e">
        <f t="shared" si="13"/>
        <v>#REF!</v>
      </c>
      <c r="BE43" s="79" t="e">
        <f t="shared" si="14"/>
        <v>#REF!</v>
      </c>
      <c r="BF43" s="79" t="e">
        <f t="shared" si="17"/>
        <v>#REF!</v>
      </c>
      <c r="BG43" s="71" t="e">
        <f t="shared" si="15"/>
        <v>#REF!</v>
      </c>
      <c r="BH43" s="105" t="str">
        <f>IF('2.Students'' data'!R45="มส","",IF('2.Students'' data'!R45="ย้าย","",IF(C43="","",SUM(AQ43:BG43)/SUM(top))))</f>
        <v/>
      </c>
      <c r="BI43" s="18" t="str">
        <f>IF('2.Students'' data'!R45="มส","มส",IF('2.Students'' data'!R45="ย้าย","ย้าย",IF('2.Students'' data'!R45="ร","ร",IF(BH43="","",RANK(BH43,$BH$9:$BH$53,0)))))</f>
        <v/>
      </c>
    </row>
    <row r="44" spans="1:61" s="26" customFormat="1" ht="16.350000000000001" customHeight="1">
      <c r="A44" s="27">
        <v>36</v>
      </c>
      <c r="B44" s="204" t="str">
        <f>IF(IDstu36="","",IDstu36)</f>
        <v/>
      </c>
      <c r="C44" s="279" t="str">
        <f>IF(Name36="","",Name36)</f>
        <v/>
      </c>
      <c r="D44" s="276"/>
      <c r="E44" s="276"/>
      <c r="F44" s="276"/>
      <c r="G44" s="276"/>
      <c r="H44" s="276" t="str">
        <f>IF(Surname36="","",Surname36)</f>
        <v/>
      </c>
      <c r="I44" s="276"/>
      <c r="J44" s="276"/>
      <c r="K44" s="276"/>
      <c r="L44" s="277"/>
      <c r="M44" s="89" t="str">
        <f>VLOOKUP($B44,'3.Grades'!$C$6:$BN$50,9,FALSE)</f>
        <v/>
      </c>
      <c r="N44" s="92" t="str">
        <f>VLOOKUP($B44,'3.Grades'!$C$6:$BN$50,14,FALSE)</f>
        <v/>
      </c>
      <c r="O44" s="92" t="str">
        <f>VLOOKUP($B44,'3.Grades'!$C$6:$BN$50,19,FALSE)</f>
        <v/>
      </c>
      <c r="P44" s="17" t="str">
        <f>VLOOKUP($B44,'3.Grades'!$C$6:$BN$50,24,FALSE)</f>
        <v/>
      </c>
      <c r="Q44" s="92" t="str">
        <f>VLOOKUP($B44,'3.Grades'!$C$6:$BN$50,29,FALSE)</f>
        <v/>
      </c>
      <c r="R44" s="92" t="str">
        <f>VLOOKUP($B44,'3.Grades'!$C$6:$BN$50,34,FALSE)</f>
        <v/>
      </c>
      <c r="S44" s="92" t="str">
        <f>VLOOKUP($B44,'3.Grades'!$C$6:$BN$50,39,FALSE)</f>
        <v/>
      </c>
      <c r="T44" s="92" t="str">
        <f>VLOOKUP($B44,'3.Grades'!$C$6:$BN$50,44,FALSE)</f>
        <v/>
      </c>
      <c r="U44" s="17" t="str">
        <f>VLOOKUP($B44,'3.Grades'!$C$6:$BN$50,49,FALSE)</f>
        <v/>
      </c>
      <c r="V44" s="95" t="str">
        <f>VLOOKUP($B44,'3.Grades'!$C$6:$BN$50,54,FALSE)</f>
        <v/>
      </c>
      <c r="W44" s="95" t="str">
        <f>VLOOKUP($B44,'3.Grades'!$C$6:$BN$50,59,FALSE)</f>
        <v/>
      </c>
      <c r="X44" s="18" t="str">
        <f>VLOOKUP($B44,'3.Grades'!$C$6:$BN$50,64,FALSE)</f>
        <v/>
      </c>
      <c r="Y44" s="78" t="str">
        <v/>
      </c>
      <c r="Z44" s="79" t="str">
        <v/>
      </c>
      <c r="AA44" s="79" t="str">
        <v/>
      </c>
      <c r="AB44" s="70" t="str">
        <v/>
      </c>
      <c r="AC44" s="79" t="str">
        <v/>
      </c>
      <c r="AD44" s="79" t="str">
        <v/>
      </c>
      <c r="AE44" s="79" t="str">
        <v/>
      </c>
      <c r="AF44" s="79" t="str">
        <v/>
      </c>
      <c r="AG44" s="70" t="str">
        <v/>
      </c>
      <c r="AH44" s="108" t="str">
        <v/>
      </c>
      <c r="AI44" s="108" t="str">
        <v/>
      </c>
      <c r="AJ44" s="71" t="str">
        <v/>
      </c>
      <c r="AK44" s="78" t="e">
        <f>IF(#REF!="มส","มส",IF(#REF!="","",IF($AK$7="","",IF($AK$7="SBMLD",SUM(#REF!),#REF!))))</f>
        <v>#REF!</v>
      </c>
      <c r="AL44" s="79" t="e">
        <f>IF(#REF!="มส","มส",IF(#REF!="","",IF($AL$7="","",IF($AL$7="SBMLD",SUM(#REF!),#REF!))))</f>
        <v>#REF!</v>
      </c>
      <c r="AM44" s="79" t="e">
        <f>IF(#REF!="มส","มส",IF(#REF!="","",IF($AM$7="","",IF($AM$7="SBMLD",SUM(#REF!),#REF!))))</f>
        <v>#REF!</v>
      </c>
      <c r="AN44" s="70" t="e">
        <f>IF(#REF!="มส","มส",IF(#REF!="","",IF($AN$7="","",IF($AN$7="SBMLD",SUM(#REF!),#REF!))))</f>
        <v>#REF!</v>
      </c>
      <c r="AO44" s="71" t="e">
        <f>IF(#REF!="มส","มส",IF(#REF!="","",IF($AO$7="","",IF($AO$7="SBMLD",SUM(#REF!),#REF!))))</f>
        <v>#REF!</v>
      </c>
      <c r="AP44" s="188"/>
      <c r="AQ44" s="78" t="str">
        <f t="shared" si="1"/>
        <v/>
      </c>
      <c r="AR44" s="79" t="str">
        <f t="shared" si="2"/>
        <v/>
      </c>
      <c r="AS44" s="79" t="str">
        <f t="shared" si="3"/>
        <v/>
      </c>
      <c r="AT44" s="70" t="str">
        <f t="shared" si="4"/>
        <v/>
      </c>
      <c r="AU44" s="79" t="str">
        <f t="shared" si="5"/>
        <v/>
      </c>
      <c r="AV44" s="79" t="str">
        <f t="shared" si="6"/>
        <v/>
      </c>
      <c r="AW44" s="79" t="str">
        <f t="shared" si="7"/>
        <v/>
      </c>
      <c r="AX44" s="79" t="str">
        <f t="shared" si="8"/>
        <v/>
      </c>
      <c r="AY44" s="70" t="str">
        <f t="shared" si="9"/>
        <v/>
      </c>
      <c r="AZ44" s="108" t="str">
        <f t="shared" si="10"/>
        <v/>
      </c>
      <c r="BA44" s="108" t="str">
        <f t="shared" si="11"/>
        <v/>
      </c>
      <c r="BB44" s="71" t="str">
        <f t="shared" si="16"/>
        <v/>
      </c>
      <c r="BC44" s="78" t="e">
        <f t="shared" si="12"/>
        <v>#REF!</v>
      </c>
      <c r="BD44" s="79" t="e">
        <f t="shared" si="13"/>
        <v>#REF!</v>
      </c>
      <c r="BE44" s="79" t="e">
        <f t="shared" si="14"/>
        <v>#REF!</v>
      </c>
      <c r="BF44" s="79" t="e">
        <f t="shared" si="17"/>
        <v>#REF!</v>
      </c>
      <c r="BG44" s="71" t="e">
        <f t="shared" si="15"/>
        <v>#REF!</v>
      </c>
      <c r="BH44" s="105" t="str">
        <f>IF('2.Students'' data'!R46="มส","",IF('2.Students'' data'!R46="ย้าย","",IF(C44="","",SUM(AQ44:BG44)/SUM(top))))</f>
        <v/>
      </c>
      <c r="BI44" s="18" t="str">
        <f>IF('2.Students'' data'!R46="มส","มส",IF('2.Students'' data'!R46="ย้าย","ย้าย",IF('2.Students'' data'!R46="ร","ร",IF(BH44="","",RANK(BH44,$BH$9:$BH$53,0)))))</f>
        <v/>
      </c>
    </row>
    <row r="45" spans="1:61" s="26" customFormat="1" ht="16.350000000000001" customHeight="1">
      <c r="A45" s="27">
        <v>37</v>
      </c>
      <c r="B45" s="204" t="str">
        <f>IF(IDstu37="","",IDstu37)</f>
        <v/>
      </c>
      <c r="C45" s="279" t="str">
        <f>IF(Name37="","",Name37)</f>
        <v/>
      </c>
      <c r="D45" s="276"/>
      <c r="E45" s="276"/>
      <c r="F45" s="276"/>
      <c r="G45" s="276"/>
      <c r="H45" s="276" t="str">
        <f>IF(Surname37="","",Surname37)</f>
        <v/>
      </c>
      <c r="I45" s="276"/>
      <c r="J45" s="276"/>
      <c r="K45" s="276"/>
      <c r="L45" s="277"/>
      <c r="M45" s="89" t="str">
        <f>VLOOKUP($B45,'3.Grades'!$C$6:$BN$50,9,FALSE)</f>
        <v/>
      </c>
      <c r="N45" s="92" t="str">
        <f>VLOOKUP($B45,'3.Grades'!$C$6:$BN$50,14,FALSE)</f>
        <v/>
      </c>
      <c r="O45" s="92" t="str">
        <f>VLOOKUP($B45,'3.Grades'!$C$6:$BN$50,19,FALSE)</f>
        <v/>
      </c>
      <c r="P45" s="17" t="str">
        <f>VLOOKUP($B45,'3.Grades'!$C$6:$BN$50,24,FALSE)</f>
        <v/>
      </c>
      <c r="Q45" s="17" t="str">
        <f>VLOOKUP($B45,'3.Grades'!$C$6:$BN$50,29,FALSE)</f>
        <v/>
      </c>
      <c r="R45" s="17" t="str">
        <f>VLOOKUP($B45,'3.Grades'!$C$6:$BN$50,34,FALSE)</f>
        <v/>
      </c>
      <c r="S45" s="92" t="str">
        <f>VLOOKUP($B45,'3.Grades'!$C$6:$BN$50,39,FALSE)</f>
        <v/>
      </c>
      <c r="T45" s="92" t="str">
        <f>VLOOKUP($B45,'3.Grades'!$C$6:$BN$50,44,FALSE)</f>
        <v/>
      </c>
      <c r="U45" s="17" t="str">
        <f>VLOOKUP($B45,'3.Grades'!$C$6:$BN$50,49,FALSE)</f>
        <v/>
      </c>
      <c r="V45" s="95" t="str">
        <f>VLOOKUP($B45,'3.Grades'!$C$6:$BN$50,54,FALSE)</f>
        <v/>
      </c>
      <c r="W45" s="95" t="str">
        <f>VLOOKUP($B45,'3.Grades'!$C$6:$BN$50,59,FALSE)</f>
        <v/>
      </c>
      <c r="X45" s="18" t="str">
        <f>VLOOKUP($B45,'3.Grades'!$C$6:$BN$50,64,FALSE)</f>
        <v/>
      </c>
      <c r="Y45" s="78" t="str">
        <v/>
      </c>
      <c r="Z45" s="79" t="str">
        <v/>
      </c>
      <c r="AA45" s="79" t="str">
        <v/>
      </c>
      <c r="AB45" s="70" t="str">
        <v/>
      </c>
      <c r="AC45" s="70" t="str">
        <v/>
      </c>
      <c r="AD45" s="70" t="str">
        <v/>
      </c>
      <c r="AE45" s="79" t="str">
        <v/>
      </c>
      <c r="AF45" s="79" t="str">
        <v/>
      </c>
      <c r="AG45" s="70" t="str">
        <v/>
      </c>
      <c r="AH45" s="108" t="str">
        <v/>
      </c>
      <c r="AI45" s="108" t="str">
        <v/>
      </c>
      <c r="AJ45" s="71" t="str">
        <v/>
      </c>
      <c r="AK45" s="78" t="e">
        <f>IF(#REF!="มส","มส",IF(#REF!="","",IF($AK$7="","",IF($AK$7="SBMLD",SUM(#REF!),#REF!))))</f>
        <v>#REF!</v>
      </c>
      <c r="AL45" s="79" t="e">
        <f>IF(#REF!="มส","มส",IF(#REF!="","",IF($AL$7="","",IF($AL$7="SBMLD",SUM(#REF!),#REF!))))</f>
        <v>#REF!</v>
      </c>
      <c r="AM45" s="79" t="e">
        <f>IF(#REF!="มส","มส",IF(#REF!="","",IF($AM$7="","",IF($AM$7="SBMLD",SUM(#REF!),#REF!))))</f>
        <v>#REF!</v>
      </c>
      <c r="AN45" s="70" t="e">
        <f>IF(#REF!="มส","มส",IF(#REF!="","",IF($AN$7="","",IF($AN$7="SBMLD",SUM(#REF!),#REF!))))</f>
        <v>#REF!</v>
      </c>
      <c r="AO45" s="71" t="e">
        <f>IF(#REF!="มส","มส",IF(#REF!="","",IF($AO$7="","",IF($AO$7="SBMLD",SUM(#REF!),#REF!))))</f>
        <v>#REF!</v>
      </c>
      <c r="AP45" s="188"/>
      <c r="AQ45" s="78" t="str">
        <f t="shared" si="1"/>
        <v/>
      </c>
      <c r="AR45" s="79" t="str">
        <f t="shared" si="2"/>
        <v/>
      </c>
      <c r="AS45" s="79" t="str">
        <f t="shared" si="3"/>
        <v/>
      </c>
      <c r="AT45" s="70" t="str">
        <f t="shared" si="4"/>
        <v/>
      </c>
      <c r="AU45" s="70" t="str">
        <f t="shared" si="5"/>
        <v/>
      </c>
      <c r="AV45" s="70" t="str">
        <f t="shared" si="6"/>
        <v/>
      </c>
      <c r="AW45" s="79" t="str">
        <f t="shared" si="7"/>
        <v/>
      </c>
      <c r="AX45" s="79" t="str">
        <f t="shared" si="8"/>
        <v/>
      </c>
      <c r="AY45" s="70" t="str">
        <f t="shared" si="9"/>
        <v/>
      </c>
      <c r="AZ45" s="108" t="str">
        <f t="shared" si="10"/>
        <v/>
      </c>
      <c r="BA45" s="108" t="str">
        <f t="shared" si="11"/>
        <v/>
      </c>
      <c r="BB45" s="71" t="str">
        <f t="shared" si="16"/>
        <v/>
      </c>
      <c r="BC45" s="78" t="e">
        <f t="shared" si="12"/>
        <v>#REF!</v>
      </c>
      <c r="BD45" s="79" t="e">
        <f t="shared" si="13"/>
        <v>#REF!</v>
      </c>
      <c r="BE45" s="79" t="e">
        <f t="shared" si="14"/>
        <v>#REF!</v>
      </c>
      <c r="BF45" s="79" t="e">
        <f t="shared" si="17"/>
        <v>#REF!</v>
      </c>
      <c r="BG45" s="71" t="e">
        <f t="shared" si="15"/>
        <v>#REF!</v>
      </c>
      <c r="BH45" s="105" t="str">
        <f>IF('2.Students'' data'!R47="มส","",IF('2.Students'' data'!R47="ย้าย","",IF(C45="","",SUM(AQ45:BG45)/SUM(top))))</f>
        <v/>
      </c>
      <c r="BI45" s="18" t="str">
        <f>IF('2.Students'' data'!R47="มส","มส",IF('2.Students'' data'!R47="ย้าย","ย้าย",IF('2.Students'' data'!R47="ร","ร",IF(BH45="","",RANK(BH45,$BH$9:$BH$53,0)))))</f>
        <v/>
      </c>
    </row>
    <row r="46" spans="1:61" s="26" customFormat="1" ht="16.350000000000001" customHeight="1">
      <c r="A46" s="27">
        <v>38</v>
      </c>
      <c r="B46" s="204" t="str">
        <f>IF(IDstu38="","",IDstu38)</f>
        <v/>
      </c>
      <c r="C46" s="279" t="str">
        <f>IF(Name38="","",Name38)</f>
        <v/>
      </c>
      <c r="D46" s="276"/>
      <c r="E46" s="276"/>
      <c r="F46" s="276"/>
      <c r="G46" s="276"/>
      <c r="H46" s="276" t="str">
        <f>IF(Surname38="","",Surname38)</f>
        <v/>
      </c>
      <c r="I46" s="276"/>
      <c r="J46" s="276"/>
      <c r="K46" s="276"/>
      <c r="L46" s="277"/>
      <c r="M46" s="89" t="str">
        <f>VLOOKUP($B46,'3.Grades'!$C$6:$BN$50,9,FALSE)</f>
        <v/>
      </c>
      <c r="N46" s="92" t="str">
        <f>VLOOKUP($B46,'3.Grades'!$C$6:$BN$50,14,FALSE)</f>
        <v/>
      </c>
      <c r="O46" s="92" t="str">
        <f>VLOOKUP($B46,'3.Grades'!$C$6:$BN$50,19,FALSE)</f>
        <v/>
      </c>
      <c r="P46" s="17" t="str">
        <f>VLOOKUP($B46,'3.Grades'!$C$6:$BN$50,24,FALSE)</f>
        <v/>
      </c>
      <c r="Q46" s="17" t="str">
        <f>VLOOKUP($B46,'3.Grades'!$C$6:$BN$50,29,FALSE)</f>
        <v/>
      </c>
      <c r="R46" s="17" t="str">
        <f>VLOOKUP($B46,'3.Grades'!$C$6:$BN$50,34,FALSE)</f>
        <v/>
      </c>
      <c r="S46" s="92" t="str">
        <f>VLOOKUP($B46,'3.Grades'!$C$6:$BN$50,39,FALSE)</f>
        <v/>
      </c>
      <c r="T46" s="92" t="str">
        <f>VLOOKUP($B46,'3.Grades'!$C$6:$BN$50,44,FALSE)</f>
        <v/>
      </c>
      <c r="U46" s="17" t="str">
        <f>VLOOKUP($B46,'3.Grades'!$C$6:$BN$50,49,FALSE)</f>
        <v/>
      </c>
      <c r="V46" s="95" t="str">
        <f>VLOOKUP($B46,'3.Grades'!$C$6:$BN$50,54,FALSE)</f>
        <v/>
      </c>
      <c r="W46" s="95" t="str">
        <f>VLOOKUP($B46,'3.Grades'!$C$6:$BN$50,59,FALSE)</f>
        <v/>
      </c>
      <c r="X46" s="18" t="str">
        <f>VLOOKUP($B46,'3.Grades'!$C$6:$BN$50,64,FALSE)</f>
        <v/>
      </c>
      <c r="Y46" s="78" t="str">
        <v/>
      </c>
      <c r="Z46" s="79" t="str">
        <v/>
      </c>
      <c r="AA46" s="79" t="str">
        <v/>
      </c>
      <c r="AB46" s="70" t="str">
        <v/>
      </c>
      <c r="AC46" s="70" t="str">
        <v/>
      </c>
      <c r="AD46" s="70" t="str">
        <v/>
      </c>
      <c r="AE46" s="79" t="str">
        <v/>
      </c>
      <c r="AF46" s="79" t="str">
        <v/>
      </c>
      <c r="AG46" s="70" t="str">
        <v/>
      </c>
      <c r="AH46" s="108" t="str">
        <v/>
      </c>
      <c r="AI46" s="108" t="str">
        <v/>
      </c>
      <c r="AJ46" s="71" t="str">
        <v/>
      </c>
      <c r="AK46" s="78" t="e">
        <f>IF(#REF!="มส","มส",IF(#REF!="","",IF($AK$7="","",IF($AK$7="SBMLD",SUM(#REF!),#REF!))))</f>
        <v>#REF!</v>
      </c>
      <c r="AL46" s="79" t="e">
        <f>IF(#REF!="มส","มส",IF(#REF!="","",IF($AL$7="","",IF($AL$7="SBMLD",SUM(#REF!),#REF!))))</f>
        <v>#REF!</v>
      </c>
      <c r="AM46" s="79" t="e">
        <f>IF(#REF!="มส","มส",IF(#REF!="","",IF($AM$7="","",IF($AM$7="SBMLD",SUM(#REF!),#REF!))))</f>
        <v>#REF!</v>
      </c>
      <c r="AN46" s="70" t="e">
        <f>IF(#REF!="มส","มส",IF(#REF!="","",IF($AN$7="","",IF($AN$7="SBMLD",SUM(#REF!),#REF!))))</f>
        <v>#REF!</v>
      </c>
      <c r="AO46" s="71" t="e">
        <f>IF(#REF!="มส","มส",IF(#REF!="","",IF($AO$7="","",IF($AO$7="SBMLD",SUM(#REF!),#REF!))))</f>
        <v>#REF!</v>
      </c>
      <c r="AP46" s="188"/>
      <c r="AQ46" s="78" t="str">
        <f t="shared" si="1"/>
        <v/>
      </c>
      <c r="AR46" s="79" t="str">
        <f t="shared" si="2"/>
        <v/>
      </c>
      <c r="AS46" s="79" t="str">
        <f t="shared" si="3"/>
        <v/>
      </c>
      <c r="AT46" s="70" t="str">
        <f t="shared" si="4"/>
        <v/>
      </c>
      <c r="AU46" s="70" t="str">
        <f t="shared" si="5"/>
        <v/>
      </c>
      <c r="AV46" s="70" t="str">
        <f t="shared" si="6"/>
        <v/>
      </c>
      <c r="AW46" s="79" t="str">
        <f t="shared" si="7"/>
        <v/>
      </c>
      <c r="AX46" s="79" t="str">
        <f t="shared" si="8"/>
        <v/>
      </c>
      <c r="AY46" s="70" t="str">
        <f t="shared" si="9"/>
        <v/>
      </c>
      <c r="AZ46" s="108" t="str">
        <f t="shared" si="10"/>
        <v/>
      </c>
      <c r="BA46" s="108" t="str">
        <f t="shared" si="11"/>
        <v/>
      </c>
      <c r="BB46" s="71" t="str">
        <f t="shared" si="16"/>
        <v/>
      </c>
      <c r="BC46" s="78" t="e">
        <f t="shared" si="12"/>
        <v>#REF!</v>
      </c>
      <c r="BD46" s="79" t="e">
        <f t="shared" si="13"/>
        <v>#REF!</v>
      </c>
      <c r="BE46" s="79" t="e">
        <f t="shared" si="14"/>
        <v>#REF!</v>
      </c>
      <c r="BF46" s="79" t="e">
        <f t="shared" si="17"/>
        <v>#REF!</v>
      </c>
      <c r="BG46" s="71" t="e">
        <f t="shared" si="15"/>
        <v>#REF!</v>
      </c>
      <c r="BH46" s="105" t="str">
        <f>IF('2.Students'' data'!R48="มส","",IF('2.Students'' data'!R48="ย้าย","",IF(C46="","",SUM(AQ46:BG46)/SUM(top))))</f>
        <v/>
      </c>
      <c r="BI46" s="18" t="str">
        <f>IF('2.Students'' data'!R48="มส","มส",IF('2.Students'' data'!R48="ย้าย","ย้าย",IF('2.Students'' data'!R48="ร","ร",IF(BH46="","",RANK(BH46,$BH$9:$BH$53,0)))))</f>
        <v/>
      </c>
    </row>
    <row r="47" spans="1:61" s="26" customFormat="1" ht="16.350000000000001" customHeight="1">
      <c r="A47" s="27">
        <v>39</v>
      </c>
      <c r="B47" s="204" t="str">
        <f>IF(IDstu39="","",IDstu39)</f>
        <v/>
      </c>
      <c r="C47" s="279" t="str">
        <f>IF(Name39="","",Name39)</f>
        <v/>
      </c>
      <c r="D47" s="276"/>
      <c r="E47" s="276"/>
      <c r="F47" s="276"/>
      <c r="G47" s="276"/>
      <c r="H47" s="276" t="str">
        <f>IF(Surname39="","",Surname39)</f>
        <v/>
      </c>
      <c r="I47" s="276"/>
      <c r="J47" s="276"/>
      <c r="K47" s="276"/>
      <c r="L47" s="277"/>
      <c r="M47" s="89" t="str">
        <f>VLOOKUP($B47,'3.Grades'!$C$6:$BN$50,9,FALSE)</f>
        <v/>
      </c>
      <c r="N47" s="92" t="str">
        <f>VLOOKUP($B47,'3.Grades'!$C$6:$BN$50,14,FALSE)</f>
        <v/>
      </c>
      <c r="O47" s="92" t="str">
        <f>VLOOKUP($B47,'3.Grades'!$C$6:$BN$50,19,FALSE)</f>
        <v/>
      </c>
      <c r="P47" s="17" t="str">
        <f>VLOOKUP($B47,'3.Grades'!$C$6:$BN$50,24,FALSE)</f>
        <v/>
      </c>
      <c r="Q47" s="92" t="str">
        <f>VLOOKUP($B47,'3.Grades'!$C$6:$BN$50,29,FALSE)</f>
        <v/>
      </c>
      <c r="R47" s="92" t="str">
        <f>VLOOKUP($B47,'3.Grades'!$C$6:$BN$50,34,FALSE)</f>
        <v/>
      </c>
      <c r="S47" s="92" t="str">
        <f>VLOOKUP($B47,'3.Grades'!$C$6:$BN$50,39,FALSE)</f>
        <v/>
      </c>
      <c r="T47" s="92" t="str">
        <f>VLOOKUP($B47,'3.Grades'!$C$6:$BN$50,44,FALSE)</f>
        <v/>
      </c>
      <c r="U47" s="17" t="str">
        <f>VLOOKUP($B47,'3.Grades'!$C$6:$BN$50,49,FALSE)</f>
        <v/>
      </c>
      <c r="V47" s="95" t="str">
        <f>VLOOKUP($B47,'3.Grades'!$C$6:$BN$50,54,FALSE)</f>
        <v/>
      </c>
      <c r="W47" s="95" t="str">
        <f>VLOOKUP($B47,'3.Grades'!$C$6:$BN$50,59,FALSE)</f>
        <v/>
      </c>
      <c r="X47" s="18" t="str">
        <f>VLOOKUP($B47,'3.Grades'!$C$6:$BN$50,64,FALSE)</f>
        <v/>
      </c>
      <c r="Y47" s="78" t="str">
        <v/>
      </c>
      <c r="Z47" s="79" t="str">
        <v/>
      </c>
      <c r="AA47" s="79" t="str">
        <v/>
      </c>
      <c r="AB47" s="70" t="str">
        <v/>
      </c>
      <c r="AC47" s="79" t="str">
        <v/>
      </c>
      <c r="AD47" s="79" t="str">
        <v/>
      </c>
      <c r="AE47" s="79" t="str">
        <v/>
      </c>
      <c r="AF47" s="79" t="str">
        <v/>
      </c>
      <c r="AG47" s="70" t="str">
        <v/>
      </c>
      <c r="AH47" s="108" t="str">
        <v/>
      </c>
      <c r="AI47" s="108" t="str">
        <v/>
      </c>
      <c r="AJ47" s="71" t="str">
        <v/>
      </c>
      <c r="AK47" s="78" t="e">
        <f>IF(#REF!="มส","มส",IF(#REF!="","",IF($AK$7="","",IF($AK$7="SBMLD",SUM(#REF!),#REF!))))</f>
        <v>#REF!</v>
      </c>
      <c r="AL47" s="79" t="e">
        <f>IF(#REF!="มส","มส",IF(#REF!="","",IF($AL$7="","",IF($AL$7="SBMLD",SUM(#REF!),#REF!))))</f>
        <v>#REF!</v>
      </c>
      <c r="AM47" s="79" t="e">
        <f>IF(#REF!="มส","มส",IF(#REF!="","",IF($AM$7="","",IF($AM$7="SBMLD",SUM(#REF!),#REF!))))</f>
        <v>#REF!</v>
      </c>
      <c r="AN47" s="70" t="e">
        <f>IF(#REF!="มส","มส",IF(#REF!="","",IF($AN$7="","",IF($AN$7="SBMLD",SUM(#REF!),#REF!))))</f>
        <v>#REF!</v>
      </c>
      <c r="AO47" s="71" t="e">
        <f>IF(#REF!="มส","มส",IF(#REF!="","",IF($AO$7="","",IF($AO$7="SBMLD",SUM(#REF!),#REF!))))</f>
        <v>#REF!</v>
      </c>
      <c r="AP47" s="188"/>
      <c r="AQ47" s="78" t="str">
        <f t="shared" si="1"/>
        <v/>
      </c>
      <c r="AR47" s="79" t="str">
        <f t="shared" si="2"/>
        <v/>
      </c>
      <c r="AS47" s="79" t="str">
        <f t="shared" si="3"/>
        <v/>
      </c>
      <c r="AT47" s="70" t="str">
        <f t="shared" si="4"/>
        <v/>
      </c>
      <c r="AU47" s="79" t="str">
        <f t="shared" si="5"/>
        <v/>
      </c>
      <c r="AV47" s="79" t="str">
        <f t="shared" si="6"/>
        <v/>
      </c>
      <c r="AW47" s="79" t="str">
        <f t="shared" si="7"/>
        <v/>
      </c>
      <c r="AX47" s="79" t="str">
        <f t="shared" si="8"/>
        <v/>
      </c>
      <c r="AY47" s="70" t="str">
        <f t="shared" si="9"/>
        <v/>
      </c>
      <c r="AZ47" s="108" t="str">
        <f t="shared" si="10"/>
        <v/>
      </c>
      <c r="BA47" s="108" t="str">
        <f t="shared" si="11"/>
        <v/>
      </c>
      <c r="BB47" s="71" t="str">
        <f t="shared" si="16"/>
        <v/>
      </c>
      <c r="BC47" s="78" t="e">
        <f t="shared" si="12"/>
        <v>#REF!</v>
      </c>
      <c r="BD47" s="79" t="e">
        <f t="shared" si="13"/>
        <v>#REF!</v>
      </c>
      <c r="BE47" s="79" t="e">
        <f t="shared" si="14"/>
        <v>#REF!</v>
      </c>
      <c r="BF47" s="79" t="e">
        <f t="shared" si="17"/>
        <v>#REF!</v>
      </c>
      <c r="BG47" s="71" t="e">
        <f t="shared" si="15"/>
        <v>#REF!</v>
      </c>
      <c r="BH47" s="105" t="str">
        <f>IF('2.Students'' data'!R49="มส","",IF('2.Students'' data'!R49="ย้าย","",IF(C47="","",SUM(AQ47:BG47)/SUM(top))))</f>
        <v/>
      </c>
      <c r="BI47" s="18" t="str">
        <f>IF('2.Students'' data'!R49="มส","มส",IF('2.Students'' data'!R49="ย้าย","ย้าย",IF('2.Students'' data'!R49="ร","ร",IF(BH47="","",RANK(BH47,$BH$9:$BH$53,0)))))</f>
        <v/>
      </c>
    </row>
    <row r="48" spans="1:61" s="26" customFormat="1" ht="16.350000000000001" customHeight="1">
      <c r="A48" s="27">
        <v>40</v>
      </c>
      <c r="B48" s="204" t="str">
        <f>IF(IDstu40="","",IDstu40)</f>
        <v/>
      </c>
      <c r="C48" s="279" t="str">
        <f>IF(Name40="","",Name40)</f>
        <v/>
      </c>
      <c r="D48" s="276"/>
      <c r="E48" s="276"/>
      <c r="F48" s="276"/>
      <c r="G48" s="276"/>
      <c r="H48" s="276" t="str">
        <f>IF(Surname40="","",Surname40)</f>
        <v/>
      </c>
      <c r="I48" s="276"/>
      <c r="J48" s="276"/>
      <c r="K48" s="276"/>
      <c r="L48" s="277"/>
      <c r="M48" s="89" t="str">
        <f>VLOOKUP($B48,'3.Grades'!$C$6:$BN$50,9,FALSE)</f>
        <v/>
      </c>
      <c r="N48" s="92" t="str">
        <f>VLOOKUP($B48,'3.Grades'!$C$6:$BN$50,14,FALSE)</f>
        <v/>
      </c>
      <c r="O48" s="92" t="str">
        <f>VLOOKUP($B48,'3.Grades'!$C$6:$BN$50,19,FALSE)</f>
        <v/>
      </c>
      <c r="P48" s="17" t="str">
        <f>VLOOKUP($B48,'3.Grades'!$C$6:$BN$50,24,FALSE)</f>
        <v/>
      </c>
      <c r="Q48" s="92" t="str">
        <f>VLOOKUP($B48,'3.Grades'!$C$6:$BN$50,29,FALSE)</f>
        <v/>
      </c>
      <c r="R48" s="92" t="str">
        <f>VLOOKUP($B48,'3.Grades'!$C$6:$BN$50,34,FALSE)</f>
        <v/>
      </c>
      <c r="S48" s="92" t="str">
        <f>VLOOKUP($B48,'3.Grades'!$C$6:$BN$50,39,FALSE)</f>
        <v/>
      </c>
      <c r="T48" s="92" t="str">
        <f>VLOOKUP($B48,'3.Grades'!$C$6:$BN$50,44,FALSE)</f>
        <v/>
      </c>
      <c r="U48" s="17" t="str">
        <f>VLOOKUP($B48,'3.Grades'!$C$6:$BN$50,49,FALSE)</f>
        <v/>
      </c>
      <c r="V48" s="95" t="str">
        <f>VLOOKUP($B48,'3.Grades'!$C$6:$BN$50,54,FALSE)</f>
        <v/>
      </c>
      <c r="W48" s="95" t="str">
        <f>VLOOKUP($B48,'3.Grades'!$C$6:$BN$50,59,FALSE)</f>
        <v/>
      </c>
      <c r="X48" s="18" t="str">
        <f>VLOOKUP($B48,'3.Grades'!$C$6:$BN$50,64,FALSE)</f>
        <v/>
      </c>
      <c r="Y48" s="78" t="str">
        <v/>
      </c>
      <c r="Z48" s="79" t="str">
        <v/>
      </c>
      <c r="AA48" s="79" t="str">
        <v/>
      </c>
      <c r="AB48" s="70" t="str">
        <v/>
      </c>
      <c r="AC48" s="79" t="str">
        <v/>
      </c>
      <c r="AD48" s="79" t="str">
        <v/>
      </c>
      <c r="AE48" s="79" t="str">
        <v/>
      </c>
      <c r="AF48" s="79" t="str">
        <v/>
      </c>
      <c r="AG48" s="70" t="str">
        <v/>
      </c>
      <c r="AH48" s="108" t="str">
        <v/>
      </c>
      <c r="AI48" s="108" t="str">
        <v/>
      </c>
      <c r="AJ48" s="71" t="str">
        <v/>
      </c>
      <c r="AK48" s="78" t="e">
        <f>IF(#REF!="มส","มส",IF(#REF!="","",IF($AK$7="","",IF($AK$7="SBMLD",SUM(#REF!),#REF!))))</f>
        <v>#REF!</v>
      </c>
      <c r="AL48" s="79" t="e">
        <f>IF(#REF!="มส","มส",IF(#REF!="","",IF($AL$7="","",IF($AL$7="SBMLD",SUM(#REF!),#REF!))))</f>
        <v>#REF!</v>
      </c>
      <c r="AM48" s="79" t="e">
        <f>IF(#REF!="มส","มส",IF(#REF!="","",IF($AM$7="","",IF($AM$7="SBMLD",SUM(#REF!),#REF!))))</f>
        <v>#REF!</v>
      </c>
      <c r="AN48" s="70" t="e">
        <f>IF(#REF!="มส","มส",IF(#REF!="","",IF($AN$7="","",IF($AN$7="SBMLD",SUM(#REF!),#REF!))))</f>
        <v>#REF!</v>
      </c>
      <c r="AO48" s="71" t="e">
        <f>IF(#REF!="มส","มส",IF(#REF!="","",IF($AO$7="","",IF($AO$7="SBMLD",SUM(#REF!),#REF!))))</f>
        <v>#REF!</v>
      </c>
      <c r="AP48" s="188"/>
      <c r="AQ48" s="78" t="str">
        <f t="shared" si="1"/>
        <v/>
      </c>
      <c r="AR48" s="79" t="str">
        <f t="shared" si="2"/>
        <v/>
      </c>
      <c r="AS48" s="79" t="str">
        <f t="shared" si="3"/>
        <v/>
      </c>
      <c r="AT48" s="70" t="str">
        <f t="shared" si="4"/>
        <v/>
      </c>
      <c r="AU48" s="79" t="str">
        <f t="shared" si="5"/>
        <v/>
      </c>
      <c r="AV48" s="79" t="str">
        <f t="shared" si="6"/>
        <v/>
      </c>
      <c r="AW48" s="79" t="str">
        <f t="shared" si="7"/>
        <v/>
      </c>
      <c r="AX48" s="79" t="str">
        <f t="shared" si="8"/>
        <v/>
      </c>
      <c r="AY48" s="70" t="str">
        <f t="shared" si="9"/>
        <v/>
      </c>
      <c r="AZ48" s="108" t="str">
        <f t="shared" si="10"/>
        <v/>
      </c>
      <c r="BA48" s="108" t="str">
        <f t="shared" si="11"/>
        <v/>
      </c>
      <c r="BB48" s="71" t="str">
        <f t="shared" si="16"/>
        <v/>
      </c>
      <c r="BC48" s="78" t="e">
        <f t="shared" si="12"/>
        <v>#REF!</v>
      </c>
      <c r="BD48" s="79" t="e">
        <f t="shared" si="13"/>
        <v>#REF!</v>
      </c>
      <c r="BE48" s="79" t="e">
        <f t="shared" si="14"/>
        <v>#REF!</v>
      </c>
      <c r="BF48" s="79" t="e">
        <f t="shared" si="17"/>
        <v>#REF!</v>
      </c>
      <c r="BG48" s="71" t="e">
        <f t="shared" si="15"/>
        <v>#REF!</v>
      </c>
      <c r="BH48" s="105" t="str">
        <f>IF('2.Students'' data'!R50="มส","",IF('2.Students'' data'!R50="ย้าย","",IF(C48="","",SUM(AQ48:BG48)/SUM(top))))</f>
        <v/>
      </c>
      <c r="BI48" s="18" t="str">
        <f>IF('2.Students'' data'!R50="มส","มส",IF('2.Students'' data'!R50="ย้าย","ย้าย",IF('2.Students'' data'!R50="ร","ร",IF(BH48="","",RANK(BH48,$BH$9:$BH$53,0)))))</f>
        <v/>
      </c>
    </row>
    <row r="49" spans="1:61" s="26" customFormat="1" ht="16.350000000000001" customHeight="1">
      <c r="A49" s="27">
        <v>41</v>
      </c>
      <c r="B49" s="204" t="str">
        <f>IF(IDstu41="","",IDstu41)</f>
        <v/>
      </c>
      <c r="C49" s="279" t="str">
        <f>IF(Name41="","",Name41)</f>
        <v/>
      </c>
      <c r="D49" s="276"/>
      <c r="E49" s="276"/>
      <c r="F49" s="276"/>
      <c r="G49" s="276"/>
      <c r="H49" s="276" t="str">
        <f>IF(Surname41="","",Surname41)</f>
        <v/>
      </c>
      <c r="I49" s="276"/>
      <c r="J49" s="276"/>
      <c r="K49" s="276"/>
      <c r="L49" s="277"/>
      <c r="M49" s="89" t="str">
        <f>VLOOKUP($B49,'3.Grades'!$C$6:$BN$50,9,FALSE)</f>
        <v/>
      </c>
      <c r="N49" s="92" t="str">
        <f>VLOOKUP($B49,'3.Grades'!$C$6:$BN$50,14,FALSE)</f>
        <v/>
      </c>
      <c r="O49" s="92" t="str">
        <f>VLOOKUP($B49,'3.Grades'!$C$6:$BN$50,19,FALSE)</f>
        <v/>
      </c>
      <c r="P49" s="17" t="str">
        <f>VLOOKUP($B49,'3.Grades'!$C$6:$BN$50,24,FALSE)</f>
        <v/>
      </c>
      <c r="Q49" s="92" t="str">
        <f>VLOOKUP($B49,'3.Grades'!$C$6:$BN$50,29,FALSE)</f>
        <v/>
      </c>
      <c r="R49" s="92" t="str">
        <f>VLOOKUP($B49,'3.Grades'!$C$6:$BN$50,34,FALSE)</f>
        <v/>
      </c>
      <c r="S49" s="92" t="str">
        <f>VLOOKUP($B49,'3.Grades'!$C$6:$BN$50,39,FALSE)</f>
        <v/>
      </c>
      <c r="T49" s="92" t="str">
        <f>VLOOKUP($B49,'3.Grades'!$C$6:$BN$50,44,FALSE)</f>
        <v/>
      </c>
      <c r="U49" s="17" t="str">
        <f>VLOOKUP($B49,'3.Grades'!$C$6:$BN$50,49,FALSE)</f>
        <v/>
      </c>
      <c r="V49" s="95" t="str">
        <f>VLOOKUP($B49,'3.Grades'!$C$6:$BN$50,54,FALSE)</f>
        <v/>
      </c>
      <c r="W49" s="95" t="str">
        <f>VLOOKUP($B49,'3.Grades'!$C$6:$BN$50,59,FALSE)</f>
        <v/>
      </c>
      <c r="X49" s="18" t="str">
        <f>VLOOKUP($B49,'3.Grades'!$C$6:$BN$50,64,FALSE)</f>
        <v/>
      </c>
      <c r="Y49" s="78" t="str">
        <v/>
      </c>
      <c r="Z49" s="79" t="str">
        <v/>
      </c>
      <c r="AA49" s="79" t="str">
        <v/>
      </c>
      <c r="AB49" s="70" t="str">
        <v/>
      </c>
      <c r="AC49" s="79" t="str">
        <v/>
      </c>
      <c r="AD49" s="79" t="str">
        <v/>
      </c>
      <c r="AE49" s="79" t="str">
        <v/>
      </c>
      <c r="AF49" s="79" t="str">
        <v/>
      </c>
      <c r="AG49" s="70" t="str">
        <v/>
      </c>
      <c r="AH49" s="108" t="str">
        <v/>
      </c>
      <c r="AI49" s="108" t="str">
        <v/>
      </c>
      <c r="AJ49" s="71" t="str">
        <v/>
      </c>
      <c r="AK49" s="78" t="e">
        <f>IF(#REF!="มส","มส",IF(#REF!="","",IF($AK$7="","",IF($AK$7="SBMLD",SUM(#REF!),#REF!))))</f>
        <v>#REF!</v>
      </c>
      <c r="AL49" s="79" t="e">
        <f>IF(#REF!="มส","มส",IF(#REF!="","",IF($AL$7="","",IF($AL$7="SBMLD",SUM(#REF!),#REF!))))</f>
        <v>#REF!</v>
      </c>
      <c r="AM49" s="79" t="e">
        <f>IF(#REF!="มส","มส",IF(#REF!="","",IF($AM$7="","",IF($AM$7="SBMLD",SUM(#REF!),#REF!))))</f>
        <v>#REF!</v>
      </c>
      <c r="AN49" s="70" t="e">
        <f>IF(#REF!="มส","มส",IF(#REF!="","",IF($AN$7="","",IF($AN$7="SBMLD",SUM(#REF!),#REF!))))</f>
        <v>#REF!</v>
      </c>
      <c r="AO49" s="71" t="e">
        <f>IF(#REF!="มส","มส",IF(#REF!="","",IF($AO$7="","",IF($AO$7="SBMLD",SUM(#REF!),#REF!))))</f>
        <v>#REF!</v>
      </c>
      <c r="AP49" s="188"/>
      <c r="AQ49" s="78" t="str">
        <f t="shared" si="1"/>
        <v/>
      </c>
      <c r="AR49" s="79" t="str">
        <f t="shared" si="2"/>
        <v/>
      </c>
      <c r="AS49" s="79" t="str">
        <f t="shared" si="3"/>
        <v/>
      </c>
      <c r="AT49" s="70" t="str">
        <f t="shared" si="4"/>
        <v/>
      </c>
      <c r="AU49" s="79" t="str">
        <f t="shared" si="5"/>
        <v/>
      </c>
      <c r="AV49" s="79" t="str">
        <f t="shared" si="6"/>
        <v/>
      </c>
      <c r="AW49" s="79" t="str">
        <f t="shared" si="7"/>
        <v/>
      </c>
      <c r="AX49" s="79" t="str">
        <f t="shared" si="8"/>
        <v/>
      </c>
      <c r="AY49" s="70" t="str">
        <f t="shared" si="9"/>
        <v/>
      </c>
      <c r="AZ49" s="108" t="str">
        <f t="shared" si="10"/>
        <v/>
      </c>
      <c r="BA49" s="108" t="str">
        <f t="shared" si="11"/>
        <v/>
      </c>
      <c r="BB49" s="71" t="str">
        <f t="shared" si="16"/>
        <v/>
      </c>
      <c r="BC49" s="78" t="e">
        <f t="shared" si="12"/>
        <v>#REF!</v>
      </c>
      <c r="BD49" s="79" t="e">
        <f t="shared" si="13"/>
        <v>#REF!</v>
      </c>
      <c r="BE49" s="79" t="e">
        <f t="shared" si="14"/>
        <v>#REF!</v>
      </c>
      <c r="BF49" s="79" t="e">
        <f t="shared" si="17"/>
        <v>#REF!</v>
      </c>
      <c r="BG49" s="71" t="e">
        <f t="shared" si="15"/>
        <v>#REF!</v>
      </c>
      <c r="BH49" s="105" t="str">
        <f>IF('2.Students'' data'!R51="มส","",IF('2.Students'' data'!R51="ย้าย","",IF(C49="","",SUM(AQ49:BG49)/SUM(top))))</f>
        <v/>
      </c>
      <c r="BI49" s="18" t="str">
        <f>IF('2.Students'' data'!R51="มส","มส",IF('2.Students'' data'!R51="ย้าย","ย้าย",IF('2.Students'' data'!R51="ร","ร",IF(BH49="","",RANK(BH49,$BH$9:$BH$53,0)))))</f>
        <v/>
      </c>
    </row>
    <row r="50" spans="1:61" s="26" customFormat="1" ht="16.350000000000001" customHeight="1">
      <c r="A50" s="27">
        <v>42</v>
      </c>
      <c r="B50" s="204" t="str">
        <f>IF(IDstu42="","",IDstu42)</f>
        <v/>
      </c>
      <c r="C50" s="279" t="str">
        <f>IF(Name42="","",Name42)</f>
        <v/>
      </c>
      <c r="D50" s="276"/>
      <c r="E50" s="276"/>
      <c r="F50" s="276"/>
      <c r="G50" s="276"/>
      <c r="H50" s="276" t="str">
        <f>IF(Surname42="","",Surname42)</f>
        <v/>
      </c>
      <c r="I50" s="276"/>
      <c r="J50" s="276"/>
      <c r="K50" s="276"/>
      <c r="L50" s="277"/>
      <c r="M50" s="89" t="str">
        <f>VLOOKUP($B50,'3.Grades'!$C$6:$BN$50,9,FALSE)</f>
        <v/>
      </c>
      <c r="N50" s="92" t="str">
        <f>VLOOKUP($B50,'3.Grades'!$C$6:$BN$50,14,FALSE)</f>
        <v/>
      </c>
      <c r="O50" s="92" t="str">
        <f>VLOOKUP($B50,'3.Grades'!$C$6:$BN$50,19,FALSE)</f>
        <v/>
      </c>
      <c r="P50" s="17" t="str">
        <f>VLOOKUP($B50,'3.Grades'!$C$6:$BN$50,24,FALSE)</f>
        <v/>
      </c>
      <c r="Q50" s="92" t="str">
        <f>VLOOKUP($B50,'3.Grades'!$C$6:$BN$50,29,FALSE)</f>
        <v/>
      </c>
      <c r="R50" s="92" t="str">
        <f>VLOOKUP($B50,'3.Grades'!$C$6:$BN$50,34,FALSE)</f>
        <v/>
      </c>
      <c r="S50" s="92" t="str">
        <f>VLOOKUP($B50,'3.Grades'!$C$6:$BN$50,39,FALSE)</f>
        <v/>
      </c>
      <c r="T50" s="92" t="str">
        <f>VLOOKUP($B50,'3.Grades'!$C$6:$BN$50,44,FALSE)</f>
        <v/>
      </c>
      <c r="U50" s="17" t="str">
        <f>VLOOKUP($B50,'3.Grades'!$C$6:$BN$50,49,FALSE)</f>
        <v/>
      </c>
      <c r="V50" s="95" t="str">
        <f>VLOOKUP($B50,'3.Grades'!$C$6:$BN$50,54,FALSE)</f>
        <v/>
      </c>
      <c r="W50" s="95" t="str">
        <f>VLOOKUP($B50,'3.Grades'!$C$6:$BN$50,59,FALSE)</f>
        <v/>
      </c>
      <c r="X50" s="18" t="str">
        <f>VLOOKUP($B50,'3.Grades'!$C$6:$BN$50,64,FALSE)</f>
        <v/>
      </c>
      <c r="Y50" s="78" t="str">
        <v/>
      </c>
      <c r="Z50" s="79" t="str">
        <v/>
      </c>
      <c r="AA50" s="79" t="str">
        <v/>
      </c>
      <c r="AB50" s="70" t="str">
        <v/>
      </c>
      <c r="AC50" s="79" t="str">
        <v/>
      </c>
      <c r="AD50" s="79" t="str">
        <v/>
      </c>
      <c r="AE50" s="79" t="str">
        <v/>
      </c>
      <c r="AF50" s="79" t="str">
        <v/>
      </c>
      <c r="AG50" s="70" t="str">
        <v/>
      </c>
      <c r="AH50" s="108" t="str">
        <v/>
      </c>
      <c r="AI50" s="108" t="str">
        <v/>
      </c>
      <c r="AJ50" s="71" t="str">
        <v/>
      </c>
      <c r="AK50" s="78" t="e">
        <f>IF(#REF!="มส","มส",IF(#REF!="","",IF($AK$7="","",IF($AK$7="SBMLD",SUM(#REF!),#REF!))))</f>
        <v>#REF!</v>
      </c>
      <c r="AL50" s="79" t="e">
        <f>IF(#REF!="มส","มส",IF(#REF!="","",IF($AL$7="","",IF($AL$7="SBMLD",SUM(#REF!),#REF!))))</f>
        <v>#REF!</v>
      </c>
      <c r="AM50" s="79" t="e">
        <f>IF(#REF!="มส","มส",IF(#REF!="","",IF($AM$7="","",IF($AM$7="SBMLD",SUM(#REF!),#REF!))))</f>
        <v>#REF!</v>
      </c>
      <c r="AN50" s="70" t="e">
        <f>IF(#REF!="มส","มส",IF(#REF!="","",IF($AN$7="","",IF($AN$7="SBMLD",SUM(#REF!),#REF!))))</f>
        <v>#REF!</v>
      </c>
      <c r="AO50" s="71" t="e">
        <f>IF(#REF!="มส","มส",IF(#REF!="","",IF($AO$7="","",IF($AO$7="SBMLD",SUM(#REF!),#REF!))))</f>
        <v>#REF!</v>
      </c>
      <c r="AP50" s="188"/>
      <c r="AQ50" s="78" t="str">
        <f t="shared" si="1"/>
        <v/>
      </c>
      <c r="AR50" s="79" t="str">
        <f t="shared" si="2"/>
        <v/>
      </c>
      <c r="AS50" s="79" t="str">
        <f t="shared" si="3"/>
        <v/>
      </c>
      <c r="AT50" s="70" t="str">
        <f t="shared" si="4"/>
        <v/>
      </c>
      <c r="AU50" s="79" t="str">
        <f t="shared" si="5"/>
        <v/>
      </c>
      <c r="AV50" s="79" t="str">
        <f t="shared" si="6"/>
        <v/>
      </c>
      <c r="AW50" s="79" t="str">
        <f t="shared" si="7"/>
        <v/>
      </c>
      <c r="AX50" s="79" t="str">
        <f t="shared" si="8"/>
        <v/>
      </c>
      <c r="AY50" s="70" t="str">
        <f t="shared" si="9"/>
        <v/>
      </c>
      <c r="AZ50" s="108" t="str">
        <f t="shared" si="10"/>
        <v/>
      </c>
      <c r="BA50" s="108" t="str">
        <f t="shared" si="11"/>
        <v/>
      </c>
      <c r="BB50" s="71" t="str">
        <f t="shared" si="16"/>
        <v/>
      </c>
      <c r="BC50" s="78" t="e">
        <f t="shared" si="12"/>
        <v>#REF!</v>
      </c>
      <c r="BD50" s="79" t="e">
        <f t="shared" si="13"/>
        <v>#REF!</v>
      </c>
      <c r="BE50" s="79" t="e">
        <f t="shared" si="14"/>
        <v>#REF!</v>
      </c>
      <c r="BF50" s="79" t="e">
        <f t="shared" si="17"/>
        <v>#REF!</v>
      </c>
      <c r="BG50" s="71" t="e">
        <f t="shared" si="15"/>
        <v>#REF!</v>
      </c>
      <c r="BH50" s="105" t="str">
        <f>IF('2.Students'' data'!R52="มส","",IF('2.Students'' data'!R52="ย้าย","",IF(C50="","",SUM(AQ50:BG50)/SUM(top))))</f>
        <v/>
      </c>
      <c r="BI50" s="18" t="str">
        <f>IF('2.Students'' data'!R52="มส","มส",IF('2.Students'' data'!R52="ย้าย","ย้าย",IF('2.Students'' data'!R52="ร","ร",IF(BH50="","",RANK(BH50,$BH$9:$BH$53,0)))))</f>
        <v/>
      </c>
    </row>
    <row r="51" spans="1:61" s="26" customFormat="1" ht="16.350000000000001" customHeight="1">
      <c r="A51" s="27">
        <v>43</v>
      </c>
      <c r="B51" s="204" t="str">
        <f>IF(IDstu43="","",IDstu43)</f>
        <v/>
      </c>
      <c r="C51" s="279" t="str">
        <f>IF(Name43="","",Name43)</f>
        <v/>
      </c>
      <c r="D51" s="276"/>
      <c r="E51" s="276"/>
      <c r="F51" s="276"/>
      <c r="G51" s="276"/>
      <c r="H51" s="276" t="str">
        <f>IF(Surname43="","",Surname43)</f>
        <v/>
      </c>
      <c r="I51" s="276"/>
      <c r="J51" s="276"/>
      <c r="K51" s="276"/>
      <c r="L51" s="277"/>
      <c r="M51" s="89" t="str">
        <f>VLOOKUP($B51,'3.Grades'!$C$6:$BN$50,9,FALSE)</f>
        <v/>
      </c>
      <c r="N51" s="92" t="str">
        <f>VLOOKUP($B51,'3.Grades'!$C$6:$BN$50,14,FALSE)</f>
        <v/>
      </c>
      <c r="O51" s="92" t="str">
        <f>VLOOKUP($B51,'3.Grades'!$C$6:$BN$50,19,FALSE)</f>
        <v/>
      </c>
      <c r="P51" s="17" t="str">
        <f>VLOOKUP($B51,'3.Grades'!$C$6:$BN$50,24,FALSE)</f>
        <v/>
      </c>
      <c r="Q51" s="92" t="str">
        <f>VLOOKUP($B51,'3.Grades'!$C$6:$BN$50,29,FALSE)</f>
        <v/>
      </c>
      <c r="R51" s="92" t="str">
        <f>VLOOKUP($B51,'3.Grades'!$C$6:$BN$50,34,FALSE)</f>
        <v/>
      </c>
      <c r="S51" s="92" t="str">
        <f>VLOOKUP($B51,'3.Grades'!$C$6:$BN$50,39,FALSE)</f>
        <v/>
      </c>
      <c r="T51" s="92" t="str">
        <f>VLOOKUP($B51,'3.Grades'!$C$6:$BN$50,44,FALSE)</f>
        <v/>
      </c>
      <c r="U51" s="17" t="str">
        <f>VLOOKUP($B51,'3.Grades'!$C$6:$BN$50,49,FALSE)</f>
        <v/>
      </c>
      <c r="V51" s="95" t="str">
        <f>VLOOKUP($B51,'3.Grades'!$C$6:$BN$50,54,FALSE)</f>
        <v/>
      </c>
      <c r="W51" s="95" t="str">
        <f>VLOOKUP($B51,'3.Grades'!$C$6:$BN$50,59,FALSE)</f>
        <v/>
      </c>
      <c r="X51" s="18" t="str">
        <f>VLOOKUP($B51,'3.Grades'!$C$6:$BN$50,64,FALSE)</f>
        <v/>
      </c>
      <c r="Y51" s="78" t="str">
        <v/>
      </c>
      <c r="Z51" s="79" t="str">
        <v/>
      </c>
      <c r="AA51" s="79" t="str">
        <v/>
      </c>
      <c r="AB51" s="70" t="str">
        <v/>
      </c>
      <c r="AC51" s="79" t="str">
        <v/>
      </c>
      <c r="AD51" s="79" t="str">
        <v/>
      </c>
      <c r="AE51" s="79" t="str">
        <v/>
      </c>
      <c r="AF51" s="79" t="str">
        <v/>
      </c>
      <c r="AG51" s="70" t="str">
        <v/>
      </c>
      <c r="AH51" s="108" t="str">
        <v/>
      </c>
      <c r="AI51" s="108" t="str">
        <v/>
      </c>
      <c r="AJ51" s="71" t="str">
        <v/>
      </c>
      <c r="AK51" s="78" t="e">
        <f>IF(#REF!="มส","มส",IF(#REF!="","",IF($AK$7="","",IF($AK$7="SBMLD",SUM(#REF!),#REF!))))</f>
        <v>#REF!</v>
      </c>
      <c r="AL51" s="79" t="e">
        <f>IF(#REF!="มส","มส",IF(#REF!="","",IF($AL$7="","",IF($AL$7="SBMLD",SUM(#REF!),#REF!))))</f>
        <v>#REF!</v>
      </c>
      <c r="AM51" s="79" t="e">
        <f>IF(#REF!="มส","มส",IF(#REF!="","",IF($AM$7="","",IF($AM$7="SBMLD",SUM(#REF!),#REF!))))</f>
        <v>#REF!</v>
      </c>
      <c r="AN51" s="70" t="e">
        <f>IF(#REF!="มส","มส",IF(#REF!="","",IF($AN$7="","",IF($AN$7="SBMLD",SUM(#REF!),#REF!))))</f>
        <v>#REF!</v>
      </c>
      <c r="AO51" s="71" t="e">
        <f>IF(#REF!="มส","มส",IF(#REF!="","",IF($AO$7="","",IF($AO$7="SBMLD",SUM(#REF!),#REF!))))</f>
        <v>#REF!</v>
      </c>
      <c r="AP51" s="188"/>
      <c r="AQ51" s="78" t="str">
        <f t="shared" si="1"/>
        <v/>
      </c>
      <c r="AR51" s="79" t="str">
        <f t="shared" si="2"/>
        <v/>
      </c>
      <c r="AS51" s="79" t="str">
        <f t="shared" si="3"/>
        <v/>
      </c>
      <c r="AT51" s="70" t="str">
        <f t="shared" si="4"/>
        <v/>
      </c>
      <c r="AU51" s="79" t="str">
        <f t="shared" si="5"/>
        <v/>
      </c>
      <c r="AV51" s="79" t="str">
        <f t="shared" si="6"/>
        <v/>
      </c>
      <c r="AW51" s="79" t="str">
        <f t="shared" si="7"/>
        <v/>
      </c>
      <c r="AX51" s="79" t="str">
        <f t="shared" si="8"/>
        <v/>
      </c>
      <c r="AY51" s="70" t="str">
        <f t="shared" si="9"/>
        <v/>
      </c>
      <c r="AZ51" s="108" t="str">
        <f t="shared" si="10"/>
        <v/>
      </c>
      <c r="BA51" s="108" t="str">
        <f t="shared" si="11"/>
        <v/>
      </c>
      <c r="BB51" s="71" t="str">
        <f t="shared" si="16"/>
        <v/>
      </c>
      <c r="BC51" s="78" t="e">
        <f t="shared" si="12"/>
        <v>#REF!</v>
      </c>
      <c r="BD51" s="79" t="e">
        <f t="shared" si="13"/>
        <v>#REF!</v>
      </c>
      <c r="BE51" s="79" t="e">
        <f t="shared" si="14"/>
        <v>#REF!</v>
      </c>
      <c r="BF51" s="79" t="e">
        <f t="shared" si="17"/>
        <v>#REF!</v>
      </c>
      <c r="BG51" s="71" t="e">
        <f t="shared" si="15"/>
        <v>#REF!</v>
      </c>
      <c r="BH51" s="105" t="str">
        <f>IF('2.Students'' data'!R53="มส","",IF('2.Students'' data'!R53="ย้าย","",IF(C51="","",SUM(AQ51:BG51)/SUM(top))))</f>
        <v/>
      </c>
      <c r="BI51" s="18" t="str">
        <f>IF('2.Students'' data'!R53="มส","มส",IF('2.Students'' data'!R53="ย้าย","ย้าย",IF('2.Students'' data'!R53="ร","ร",IF(BH51="","",RANK(BH51,$BH$9:$BH$53,0)))))</f>
        <v/>
      </c>
    </row>
    <row r="52" spans="1:61" s="26" customFormat="1" ht="16.350000000000001" customHeight="1">
      <c r="A52" s="27">
        <v>44</v>
      </c>
      <c r="B52" s="204" t="str">
        <f>IF(IDstu44="","",IDstu44)</f>
        <v/>
      </c>
      <c r="C52" s="279" t="str">
        <f>IF(Name44="","",Name44)</f>
        <v/>
      </c>
      <c r="D52" s="276"/>
      <c r="E52" s="276"/>
      <c r="F52" s="276"/>
      <c r="G52" s="276"/>
      <c r="H52" s="276" t="str">
        <f>IF(Surname44="","",Surname44)</f>
        <v/>
      </c>
      <c r="I52" s="276"/>
      <c r="J52" s="276"/>
      <c r="K52" s="276"/>
      <c r="L52" s="277"/>
      <c r="M52" s="89" t="str">
        <f>VLOOKUP($B52,'3.Grades'!$C$6:$BN$50,9,FALSE)</f>
        <v/>
      </c>
      <c r="N52" s="92" t="str">
        <f>VLOOKUP($B52,'3.Grades'!$C$6:$BN$50,14,FALSE)</f>
        <v/>
      </c>
      <c r="O52" s="92" t="str">
        <f>VLOOKUP($B52,'3.Grades'!$C$6:$BN$50,19,FALSE)</f>
        <v/>
      </c>
      <c r="P52" s="17" t="str">
        <f>VLOOKUP($B52,'3.Grades'!$C$6:$BN$50,24,FALSE)</f>
        <v/>
      </c>
      <c r="Q52" s="92" t="str">
        <f>VLOOKUP($B52,'3.Grades'!$C$6:$BN$50,29,FALSE)</f>
        <v/>
      </c>
      <c r="R52" s="92" t="str">
        <f>VLOOKUP($B52,'3.Grades'!$C$6:$BN$50,34,FALSE)</f>
        <v/>
      </c>
      <c r="S52" s="92" t="str">
        <f>VLOOKUP($B52,'3.Grades'!$C$6:$BN$50,39,FALSE)</f>
        <v/>
      </c>
      <c r="T52" s="92" t="str">
        <f>VLOOKUP($B52,'3.Grades'!$C$6:$BN$50,44,FALSE)</f>
        <v/>
      </c>
      <c r="U52" s="17" t="str">
        <f>VLOOKUP($B52,'3.Grades'!$C$6:$BN$50,49,FALSE)</f>
        <v/>
      </c>
      <c r="V52" s="95" t="str">
        <f>VLOOKUP($B52,'3.Grades'!$C$6:$BN$50,54,FALSE)</f>
        <v/>
      </c>
      <c r="W52" s="95" t="str">
        <f>VLOOKUP($B52,'3.Grades'!$C$6:$BN$50,59,FALSE)</f>
        <v/>
      </c>
      <c r="X52" s="18" t="str">
        <f>VLOOKUP($B52,'3.Grades'!$C$6:$BN$50,64,FALSE)</f>
        <v/>
      </c>
      <c r="Y52" s="78" t="str">
        <v/>
      </c>
      <c r="Z52" s="79" t="str">
        <v/>
      </c>
      <c r="AA52" s="79" t="str">
        <v/>
      </c>
      <c r="AB52" s="70" t="str">
        <v/>
      </c>
      <c r="AC52" s="79" t="str">
        <v/>
      </c>
      <c r="AD52" s="79" t="str">
        <v/>
      </c>
      <c r="AE52" s="79" t="str">
        <v/>
      </c>
      <c r="AF52" s="79" t="str">
        <v/>
      </c>
      <c r="AG52" s="70" t="str">
        <v/>
      </c>
      <c r="AH52" s="108" t="str">
        <v/>
      </c>
      <c r="AI52" s="108" t="str">
        <v/>
      </c>
      <c r="AJ52" s="71" t="str">
        <v/>
      </c>
      <c r="AK52" s="78" t="e">
        <f>IF(#REF!="มส","มส",IF(#REF!="","",IF($AK$7="","",IF($AK$7="SBMLD",SUM(#REF!),#REF!))))</f>
        <v>#REF!</v>
      </c>
      <c r="AL52" s="79" t="e">
        <f>IF(#REF!="มส","มส",IF(#REF!="","",IF($AL$7="","",IF($AL$7="SBMLD",SUM(#REF!),#REF!))))</f>
        <v>#REF!</v>
      </c>
      <c r="AM52" s="79" t="e">
        <f>IF(#REF!="มส","มส",IF(#REF!="","",IF($AM$7="","",IF($AM$7="SBMLD",SUM(#REF!),#REF!))))</f>
        <v>#REF!</v>
      </c>
      <c r="AN52" s="70" t="e">
        <f>IF(#REF!="มส","มส",IF(#REF!="","",IF($AN$7="","",IF($AN$7="SBMLD",SUM(#REF!),#REF!))))</f>
        <v>#REF!</v>
      </c>
      <c r="AO52" s="71" t="e">
        <f>IF(#REF!="มส","มส",IF(#REF!="","",IF($AO$7="","",IF($AO$7="SBMLD",SUM(#REF!),#REF!))))</f>
        <v>#REF!</v>
      </c>
      <c r="AP52" s="188"/>
      <c r="AQ52" s="78" t="str">
        <f t="shared" si="1"/>
        <v/>
      </c>
      <c r="AR52" s="79" t="str">
        <f t="shared" si="2"/>
        <v/>
      </c>
      <c r="AS52" s="79" t="str">
        <f t="shared" si="3"/>
        <v/>
      </c>
      <c r="AT52" s="70" t="str">
        <f t="shared" si="4"/>
        <v/>
      </c>
      <c r="AU52" s="79" t="str">
        <f t="shared" si="5"/>
        <v/>
      </c>
      <c r="AV52" s="79" t="str">
        <f t="shared" si="6"/>
        <v/>
      </c>
      <c r="AW52" s="79" t="str">
        <f t="shared" si="7"/>
        <v/>
      </c>
      <c r="AX52" s="79" t="str">
        <f t="shared" si="8"/>
        <v/>
      </c>
      <c r="AY52" s="70" t="str">
        <f t="shared" si="9"/>
        <v/>
      </c>
      <c r="AZ52" s="108" t="str">
        <f t="shared" si="10"/>
        <v/>
      </c>
      <c r="BA52" s="108" t="str">
        <f t="shared" si="11"/>
        <v/>
      </c>
      <c r="BB52" s="71" t="str">
        <f t="shared" si="16"/>
        <v/>
      </c>
      <c r="BC52" s="78" t="e">
        <f t="shared" si="12"/>
        <v>#REF!</v>
      </c>
      <c r="BD52" s="79" t="e">
        <f t="shared" si="13"/>
        <v>#REF!</v>
      </c>
      <c r="BE52" s="79" t="e">
        <f t="shared" si="14"/>
        <v>#REF!</v>
      </c>
      <c r="BF52" s="79" t="e">
        <f t="shared" si="17"/>
        <v>#REF!</v>
      </c>
      <c r="BG52" s="71" t="e">
        <f t="shared" si="15"/>
        <v>#REF!</v>
      </c>
      <c r="BH52" s="105" t="str">
        <f>IF('2.Students'' data'!R54="มส","",IF('2.Students'' data'!R54="ย้าย","",IF(C52="","",SUM(AQ52:BG52)/SUM(top))))</f>
        <v/>
      </c>
      <c r="BI52" s="18" t="str">
        <f>IF('2.Students'' data'!R54="มส","มส",IF('2.Students'' data'!R54="ย้าย","ย้าย",IF('2.Students'' data'!R54="ร","ร",IF(BH52="","",RANK(BH52,$BH$9:$BH$53,0)))))</f>
        <v/>
      </c>
    </row>
    <row r="53" spans="1:61" s="26" customFormat="1" ht="16.350000000000001" customHeight="1" thickBot="1">
      <c r="A53" s="28">
        <v>45</v>
      </c>
      <c r="B53" s="205" t="str">
        <f>IF(IDstu45="","",IDstu45)</f>
        <v/>
      </c>
      <c r="C53" s="278" t="str">
        <f>IF(Name45="","",Name45)</f>
        <v/>
      </c>
      <c r="D53" s="274"/>
      <c r="E53" s="274"/>
      <c r="F53" s="274"/>
      <c r="G53" s="274"/>
      <c r="H53" s="274" t="str">
        <f>IF(Surname45="","",Surname45)</f>
        <v/>
      </c>
      <c r="I53" s="274"/>
      <c r="J53" s="274"/>
      <c r="K53" s="274"/>
      <c r="L53" s="275"/>
      <c r="M53" s="103" t="str">
        <f>VLOOKUP($B53,'3.Grades'!$C$6:$BN$50,9,FALSE)</f>
        <v/>
      </c>
      <c r="N53" s="93" t="str">
        <f>VLOOKUP($B53,'3.Grades'!$C$6:$BN$50,14,FALSE)</f>
        <v/>
      </c>
      <c r="O53" s="93" t="str">
        <f>VLOOKUP($B53,'3.Grades'!$C$6:$BN$50,19,FALSE)</f>
        <v/>
      </c>
      <c r="P53" s="91" t="str">
        <f>VLOOKUP($B53,'3.Grades'!$C$6:$BN$50,24,FALSE)</f>
        <v/>
      </c>
      <c r="Q53" s="93" t="str">
        <f>VLOOKUP($B53,'3.Grades'!$C$6:$BN$50,29,FALSE)</f>
        <v/>
      </c>
      <c r="R53" s="93" t="str">
        <f>VLOOKUP($B53,'3.Grades'!$C$6:$BN$50,34,FALSE)</f>
        <v/>
      </c>
      <c r="S53" s="93" t="str">
        <f>VLOOKUP($B53,'3.Grades'!$C$6:$BN$50,39,FALSE)</f>
        <v/>
      </c>
      <c r="T53" s="93" t="str">
        <f>VLOOKUP($B53,'3.Grades'!$C$6:$BN$50,44,FALSE)</f>
        <v/>
      </c>
      <c r="U53" s="91" t="str">
        <f>VLOOKUP($B53,'3.Grades'!$C$6:$BN$50,49,FALSE)</f>
        <v/>
      </c>
      <c r="V53" s="96" t="str">
        <f>VLOOKUP($B53,'3.Grades'!$C$6:$BN$50,54,FALSE)</f>
        <v/>
      </c>
      <c r="W53" s="96" t="str">
        <f>VLOOKUP($B53,'3.Grades'!$C$6:$BN$50,59,FALSE)</f>
        <v/>
      </c>
      <c r="X53" s="98" t="str">
        <f>VLOOKUP($B53,'3.Grades'!$C$6:$BN$50,64,FALSE)</f>
        <v/>
      </c>
      <c r="Y53" s="80" t="str">
        <v/>
      </c>
      <c r="Z53" s="81" t="str">
        <v/>
      </c>
      <c r="AA53" s="81" t="str">
        <v/>
      </c>
      <c r="AB53" s="82" t="str">
        <v/>
      </c>
      <c r="AC53" s="81" t="str">
        <v/>
      </c>
      <c r="AD53" s="81" t="str">
        <v/>
      </c>
      <c r="AE53" s="81" t="str">
        <v/>
      </c>
      <c r="AF53" s="81" t="str">
        <v/>
      </c>
      <c r="AG53" s="82" t="str">
        <v/>
      </c>
      <c r="AH53" s="110" t="str">
        <v/>
      </c>
      <c r="AI53" s="110" t="str">
        <v/>
      </c>
      <c r="AJ53" s="83" t="str">
        <v/>
      </c>
      <c r="AK53" s="80" t="e">
        <f>IF(#REF!="มส","มส",IF(#REF!="","",IF($AK$7="","",IF($AK$7="SBMLD",SUM(#REF!),#REF!))))</f>
        <v>#REF!</v>
      </c>
      <c r="AL53" s="81" t="e">
        <f>IF(#REF!="มส","มส",IF(#REF!="","",IF($AL$7="","",IF($AL$7="SBMLD",SUM(#REF!),#REF!))))</f>
        <v>#REF!</v>
      </c>
      <c r="AM53" s="81" t="e">
        <f>IF(#REF!="มส","มส",IF(#REF!="","",IF($AM$7="","",IF($AM$7="SBMLD",SUM(#REF!),#REF!))))</f>
        <v>#REF!</v>
      </c>
      <c r="AN53" s="82" t="e">
        <f>IF(#REF!="มส","มส",IF(#REF!="","",IF($AN$7="","",IF($AN$7="SBMLD",SUM(#REF!),#REF!))))</f>
        <v>#REF!</v>
      </c>
      <c r="AO53" s="83" t="e">
        <f>IF(#REF!="มส","มส",IF(#REF!="","",IF($AO$7="","",IF($AO$7="SBMLD",SUM(#REF!),#REF!))))</f>
        <v>#REF!</v>
      </c>
      <c r="AP53" s="188"/>
      <c r="AQ53" s="80" t="str">
        <f t="shared" si="1"/>
        <v/>
      </c>
      <c r="AR53" s="81" t="str">
        <f t="shared" si="2"/>
        <v/>
      </c>
      <c r="AS53" s="81" t="str">
        <f t="shared" si="3"/>
        <v/>
      </c>
      <c r="AT53" s="82" t="str">
        <f t="shared" si="4"/>
        <v/>
      </c>
      <c r="AU53" s="81" t="str">
        <f t="shared" si="5"/>
        <v/>
      </c>
      <c r="AV53" s="81" t="str">
        <f t="shared" si="6"/>
        <v/>
      </c>
      <c r="AW53" s="81" t="str">
        <f t="shared" si="7"/>
        <v/>
      </c>
      <c r="AX53" s="81" t="str">
        <f t="shared" si="8"/>
        <v/>
      </c>
      <c r="AY53" s="82" t="str">
        <f t="shared" si="9"/>
        <v/>
      </c>
      <c r="AZ53" s="110" t="str">
        <f t="shared" si="10"/>
        <v/>
      </c>
      <c r="BA53" s="110" t="str">
        <f t="shared" si="11"/>
        <v/>
      </c>
      <c r="BB53" s="83" t="str">
        <f t="shared" si="16"/>
        <v/>
      </c>
      <c r="BC53" s="80" t="e">
        <f t="shared" si="12"/>
        <v>#REF!</v>
      </c>
      <c r="BD53" s="81" t="e">
        <f t="shared" si="13"/>
        <v>#REF!</v>
      </c>
      <c r="BE53" s="81" t="e">
        <f t="shared" si="14"/>
        <v>#REF!</v>
      </c>
      <c r="BF53" s="81" t="e">
        <f t="shared" si="17"/>
        <v>#REF!</v>
      </c>
      <c r="BG53" s="83" t="e">
        <f t="shared" si="15"/>
        <v>#REF!</v>
      </c>
      <c r="BH53" s="106" t="str">
        <f>IF('2.Students'' data'!R55="มส","",IF('2.Students'' data'!R55="ย้าย","",IF(C53="","",SUM(AQ53:BG53)/SUM(top))))</f>
        <v/>
      </c>
      <c r="BI53" s="98" t="str">
        <f>IF('2.Students'' data'!R55="มส","มส",IF('2.Students'' data'!R55="ย้าย","ย้าย",IF('2.Students'' data'!R55="ร","ร",IF(BH53="","",RANK(BH53,$BH$9:$BH$53,0)))))</f>
        <v/>
      </c>
    </row>
    <row r="54" spans="1:61" s="31" customFormat="1" ht="16.5" customHeight="1">
      <c r="A54" s="30"/>
      <c r="B54" s="30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0"/>
      <c r="N54" s="30"/>
      <c r="Y54" s="84"/>
      <c r="Z54" s="84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4"/>
      <c r="AL54" s="84"/>
      <c r="AM54" s="85"/>
      <c r="AN54" s="85"/>
      <c r="AO54" s="85"/>
      <c r="AP54" s="85"/>
      <c r="AQ54" s="84"/>
      <c r="AR54" s="84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4"/>
      <c r="BD54" s="84"/>
      <c r="BE54" s="85"/>
      <c r="BF54" s="85"/>
      <c r="BG54" s="85"/>
    </row>
    <row r="55" spans="1:61" s="31" customFormat="1" ht="16.5" customHeight="1">
      <c r="A55" s="30"/>
      <c r="B55" s="30"/>
      <c r="C55" s="271" t="s">
        <v>715</v>
      </c>
      <c r="D55" s="271"/>
      <c r="E55" s="271"/>
      <c r="F55" s="271"/>
      <c r="G55" s="271"/>
      <c r="H55" s="271"/>
      <c r="I55" s="271"/>
      <c r="Q55" s="271" t="s">
        <v>715</v>
      </c>
      <c r="R55" s="271"/>
      <c r="S55" s="271"/>
      <c r="T55" s="271"/>
      <c r="U55" s="271"/>
      <c r="V55" s="271"/>
      <c r="W55" s="271"/>
      <c r="Y55" s="84"/>
      <c r="Z55" s="84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4"/>
      <c r="AL55" s="84"/>
      <c r="AM55" s="85"/>
      <c r="AN55" s="85"/>
      <c r="AO55" s="85"/>
      <c r="AP55" s="85"/>
      <c r="AQ55" s="84"/>
      <c r="AR55" s="84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4"/>
      <c r="BD55" s="84"/>
      <c r="BE55" s="85"/>
      <c r="BF55" s="85"/>
      <c r="BG55" s="85"/>
    </row>
    <row r="56" spans="1:61" s="31" customFormat="1" ht="16.5" customHeight="1">
      <c r="A56" s="30"/>
      <c r="B56" s="30"/>
      <c r="D56" s="272" t="str">
        <f>IF(Advisor="","(………………………………….)",CONCATENATE("(",Advisor,")"))</f>
        <v>(………………………………….)</v>
      </c>
      <c r="E56" s="272"/>
      <c r="F56" s="272"/>
      <c r="G56" s="272"/>
      <c r="H56" s="272"/>
      <c r="R56" s="272" t="s">
        <v>572</v>
      </c>
      <c r="S56" s="272"/>
      <c r="T56" s="272"/>
      <c r="U56" s="272"/>
      <c r="V56" s="272"/>
      <c r="W56" s="272"/>
      <c r="Y56" s="84"/>
      <c r="Z56" s="84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4"/>
      <c r="AL56" s="84"/>
      <c r="AM56" s="85"/>
      <c r="AN56" s="85"/>
      <c r="AO56" s="85"/>
      <c r="AP56" s="85"/>
      <c r="AQ56" s="84"/>
      <c r="AR56" s="84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4"/>
      <c r="BD56" s="84"/>
      <c r="BE56" s="85"/>
      <c r="BF56" s="85"/>
      <c r="BG56" s="85"/>
    </row>
    <row r="57" spans="1:61" ht="16.5" customHeight="1">
      <c r="A57" s="30"/>
      <c r="B57" s="30"/>
      <c r="D57" s="272" t="s">
        <v>689</v>
      </c>
      <c r="E57" s="272"/>
      <c r="F57" s="272"/>
      <c r="G57" s="272"/>
      <c r="H57" s="272"/>
      <c r="R57" s="272" t="s">
        <v>716</v>
      </c>
      <c r="S57" s="272"/>
      <c r="T57" s="272"/>
      <c r="U57" s="272"/>
      <c r="V57" s="272"/>
      <c r="W57" s="272"/>
      <c r="Y57" s="86"/>
      <c r="Z57" s="86"/>
      <c r="AK57" s="86"/>
      <c r="AL57" s="86"/>
      <c r="AQ57" s="86"/>
      <c r="AR57" s="86"/>
      <c r="BC57" s="86"/>
      <c r="BD57" s="86"/>
    </row>
    <row r="58" spans="1:61" ht="16.5" customHeight="1">
      <c r="A58" s="30"/>
      <c r="B58" s="30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3"/>
      <c r="N58" s="33"/>
      <c r="Y58" s="86"/>
      <c r="Z58" s="86"/>
      <c r="AK58" s="86"/>
      <c r="AL58" s="86"/>
      <c r="AQ58" s="86"/>
      <c r="AR58" s="86"/>
      <c r="BC58" s="86"/>
      <c r="BD58" s="86"/>
    </row>
    <row r="59" spans="1:61" ht="16.5" customHeight="1">
      <c r="A59" s="32"/>
      <c r="B59" s="32"/>
      <c r="C59" s="271" t="s">
        <v>715</v>
      </c>
      <c r="D59" s="271"/>
      <c r="E59" s="271"/>
      <c r="F59" s="271"/>
      <c r="G59" s="271"/>
      <c r="H59" s="271"/>
      <c r="I59" s="30"/>
      <c r="J59" s="32"/>
      <c r="K59" s="272" t="str">
        <f>IF(AssDirector="","","ลงชื่อ.......................................")</f>
        <v/>
      </c>
      <c r="L59" s="272"/>
      <c r="M59" s="272"/>
      <c r="N59" s="272"/>
      <c r="O59" s="272"/>
      <c r="P59" s="31"/>
      <c r="Q59" s="31"/>
      <c r="R59" s="272" t="str">
        <f>IF(Director="","",".......................................")</f>
        <v>.......................................</v>
      </c>
      <c r="S59" s="272"/>
      <c r="T59" s="272"/>
      <c r="U59" s="272"/>
      <c r="V59" s="272"/>
      <c r="W59" s="272"/>
      <c r="Y59" s="84"/>
      <c r="Z59" s="84"/>
      <c r="AK59" s="84"/>
      <c r="AL59" s="84"/>
      <c r="AQ59" s="84"/>
      <c r="AR59" s="84"/>
      <c r="BC59" s="84"/>
      <c r="BD59" s="84"/>
    </row>
    <row r="60" spans="1:61" ht="16.5" customHeight="1">
      <c r="A60" s="29"/>
      <c r="B60" s="29"/>
      <c r="C60" s="272" t="str">
        <f>IF(Eval="","(………………………………….)",CONCATENATE("(",Eval,")"))</f>
        <v>(Mrs. Kitiya  Middleton)</v>
      </c>
      <c r="D60" s="272"/>
      <c r="E60" s="272"/>
      <c r="F60" s="272"/>
      <c r="G60" s="272"/>
      <c r="H60" s="272"/>
      <c r="I60" s="26"/>
      <c r="J60" s="26"/>
      <c r="K60" s="272" t="str">
        <f>IF(AssDirector="","",CONCATENATE("(",AssDirector,")"))</f>
        <v/>
      </c>
      <c r="L60" s="272"/>
      <c r="M60" s="272"/>
      <c r="N60" s="272"/>
      <c r="O60" s="272"/>
      <c r="P60" s="29"/>
      <c r="R60" s="272" t="str">
        <f>IF(Director="","",CONCATENATE("(",Director,")"))</f>
        <v>(Mr. Asawin  Khongphetsak)</v>
      </c>
      <c r="S60" s="272"/>
      <c r="T60" s="272"/>
      <c r="U60" s="272"/>
      <c r="V60" s="272"/>
      <c r="W60" s="272"/>
    </row>
    <row r="61" spans="1:61" ht="16.350000000000001" customHeight="1">
      <c r="A61" s="29"/>
      <c r="B61" s="29"/>
      <c r="C61" s="273" t="s">
        <v>690</v>
      </c>
      <c r="D61" s="273"/>
      <c r="E61" s="273"/>
      <c r="F61" s="273"/>
      <c r="G61" s="273"/>
      <c r="H61" s="273"/>
      <c r="I61" s="26"/>
      <c r="J61" s="26"/>
      <c r="K61" s="272" t="str">
        <f>IF(AssDirector="","","Assistant Director")</f>
        <v/>
      </c>
      <c r="L61" s="272"/>
      <c r="M61" s="272"/>
      <c r="N61" s="272"/>
      <c r="O61" s="272"/>
      <c r="P61" s="29"/>
      <c r="R61" s="272" t="str">
        <f>IF(Director=AssDirector,"Assistant Director","Director")</f>
        <v>Director</v>
      </c>
      <c r="S61" s="272"/>
      <c r="T61" s="272"/>
      <c r="U61" s="272"/>
      <c r="V61" s="272"/>
      <c r="W61" s="272"/>
    </row>
    <row r="62" spans="1:61" ht="16.350000000000001" customHeight="1">
      <c r="J62" s="269"/>
      <c r="K62" s="269"/>
      <c r="L62" s="269"/>
      <c r="M62" s="269"/>
      <c r="N62" s="269"/>
      <c r="O62" s="269"/>
      <c r="P62" s="269"/>
      <c r="R62" s="270" t="str">
        <f>IF(Director=AssDirector,"รักษาราชการแทน ผู้อำนวยการสถานศึกษา","")</f>
        <v/>
      </c>
      <c r="S62" s="270"/>
      <c r="T62" s="270"/>
      <c r="U62" s="270"/>
      <c r="V62" s="270"/>
      <c r="W62" s="270"/>
      <c r="X62" s="270"/>
    </row>
  </sheetData>
  <sheetProtection sheet="1"/>
  <customSheetViews>
    <customSheetView guid="{D1BB6683-1C02-4800-8A34-4095A10BD8CF}" scale="106" showPageBreaks="1" printArea="1" hiddenRows="1" hiddenColumns="1" view="pageBreakPreview">
      <selection activeCell="D9" sqref="D9:R39"/>
      <pageMargins left="0.39370078740157483" right="0.39370078740157483" top="0.39370078740157483" bottom="0.39370078740157483" header="0.39370078740157483" footer="0.39370078740157483"/>
      <printOptions horizontalCentered="1" verticalCentered="1"/>
      <pageSetup paperSize="5" orientation="portrait" horizontalDpi="4294967293" r:id="rId1"/>
      <headerFooter alignWithMargins="0"/>
    </customSheetView>
  </customSheetViews>
  <mergeCells count="128">
    <mergeCell ref="A5:A8"/>
    <mergeCell ref="C5:L8"/>
    <mergeCell ref="M5:X5"/>
    <mergeCell ref="A1:X1"/>
    <mergeCell ref="A2:X2"/>
    <mergeCell ref="A3:X3"/>
    <mergeCell ref="BJ7:BN7"/>
    <mergeCell ref="BH5:BH8"/>
    <mergeCell ref="BI5:BI8"/>
    <mergeCell ref="BC5:BG5"/>
    <mergeCell ref="Y5:AJ5"/>
    <mergeCell ref="AK5:AO5"/>
    <mergeCell ref="BJ8:BN12"/>
    <mergeCell ref="AQ1:BF1"/>
    <mergeCell ref="AQ2:BF2"/>
    <mergeCell ref="AQ3:BF3"/>
    <mergeCell ref="AQ5:BB5"/>
    <mergeCell ref="Y1:AN1"/>
    <mergeCell ref="Y2:AN2"/>
    <mergeCell ref="Y3:AO3"/>
    <mergeCell ref="C9:G9"/>
    <mergeCell ref="C10:G10"/>
    <mergeCell ref="H9:L9"/>
    <mergeCell ref="H10:L10"/>
    <mergeCell ref="BJ13:BN16"/>
    <mergeCell ref="C44:G44"/>
    <mergeCell ref="C45:G45"/>
    <mergeCell ref="C46:G46"/>
    <mergeCell ref="C47:G47"/>
    <mergeCell ref="H31:L31"/>
    <mergeCell ref="H32:L32"/>
    <mergeCell ref="H33:L33"/>
    <mergeCell ref="C20:G20"/>
    <mergeCell ref="C21:G21"/>
    <mergeCell ref="C22:G22"/>
    <mergeCell ref="C38:G38"/>
    <mergeCell ref="C39:G39"/>
    <mergeCell ref="C40:G40"/>
    <mergeCell ref="H40:L40"/>
    <mergeCell ref="C41:G41"/>
    <mergeCell ref="C34:G34"/>
    <mergeCell ref="C35:G35"/>
    <mergeCell ref="H43:L43"/>
    <mergeCell ref="C42:G42"/>
    <mergeCell ref="H30:L30"/>
    <mergeCell ref="H39:L39"/>
    <mergeCell ref="H41:L41"/>
    <mergeCell ref="H42:L42"/>
    <mergeCell ref="H29:L29"/>
    <mergeCell ref="H24:L24"/>
    <mergeCell ref="H25:L25"/>
    <mergeCell ref="H26:L26"/>
    <mergeCell ref="H27:L27"/>
    <mergeCell ref="H28:L28"/>
    <mergeCell ref="H17:L17"/>
    <mergeCell ref="H18:L18"/>
    <mergeCell ref="H19:L19"/>
    <mergeCell ref="H20:L20"/>
    <mergeCell ref="H21:L21"/>
    <mergeCell ref="H22:L22"/>
    <mergeCell ref="H23:L23"/>
    <mergeCell ref="C19:G19"/>
    <mergeCell ref="C11:G11"/>
    <mergeCell ref="C12:G12"/>
    <mergeCell ref="C13:G13"/>
    <mergeCell ref="C23:G23"/>
    <mergeCell ref="H11:L11"/>
    <mergeCell ref="H14:L14"/>
    <mergeCell ref="H15:L15"/>
    <mergeCell ref="H16:L16"/>
    <mergeCell ref="C14:G14"/>
    <mergeCell ref="C15:G15"/>
    <mergeCell ref="C16:G16"/>
    <mergeCell ref="H12:L12"/>
    <mergeCell ref="C43:G43"/>
    <mergeCell ref="C17:G17"/>
    <mergeCell ref="H13:L13"/>
    <mergeCell ref="H44:L44"/>
    <mergeCell ref="H45:L45"/>
    <mergeCell ref="H46:L46"/>
    <mergeCell ref="H34:L34"/>
    <mergeCell ref="H35:L35"/>
    <mergeCell ref="H36:L36"/>
    <mergeCell ref="H37:L37"/>
    <mergeCell ref="H38:L38"/>
    <mergeCell ref="C36:G36"/>
    <mergeCell ref="C37:G37"/>
    <mergeCell ref="C28:G28"/>
    <mergeCell ref="C29:G29"/>
    <mergeCell ref="C30:G30"/>
    <mergeCell ref="C31:G31"/>
    <mergeCell ref="C32:G32"/>
    <mergeCell ref="C24:G24"/>
    <mergeCell ref="C25:G25"/>
    <mergeCell ref="C26:G26"/>
    <mergeCell ref="C27:G27"/>
    <mergeCell ref="C33:G33"/>
    <mergeCell ref="C18:G18"/>
    <mergeCell ref="H53:L53"/>
    <mergeCell ref="H47:L47"/>
    <mergeCell ref="H48:L48"/>
    <mergeCell ref="H49:L49"/>
    <mergeCell ref="H50:L50"/>
    <mergeCell ref="H51:L51"/>
    <mergeCell ref="H52:L52"/>
    <mergeCell ref="C53:G53"/>
    <mergeCell ref="C48:G48"/>
    <mergeCell ref="C49:G49"/>
    <mergeCell ref="C50:G50"/>
    <mergeCell ref="C51:G51"/>
    <mergeCell ref="C52:G52"/>
    <mergeCell ref="J62:P62"/>
    <mergeCell ref="R62:X62"/>
    <mergeCell ref="Q55:W55"/>
    <mergeCell ref="R57:W57"/>
    <mergeCell ref="R56:W56"/>
    <mergeCell ref="R59:W59"/>
    <mergeCell ref="R60:W60"/>
    <mergeCell ref="R61:W61"/>
    <mergeCell ref="D57:H57"/>
    <mergeCell ref="C59:H59"/>
    <mergeCell ref="C60:H60"/>
    <mergeCell ref="C61:H61"/>
    <mergeCell ref="C55:I55"/>
    <mergeCell ref="K60:O60"/>
    <mergeCell ref="K61:O61"/>
    <mergeCell ref="K59:O59"/>
    <mergeCell ref="D56:H56"/>
  </mergeCells>
  <printOptions horizontalCentered="1" verticalCentered="1"/>
  <pageMargins left="0.39370078740157499" right="0.39370078740157499" top="0.39370078740157499" bottom="0.39370078740157499" header="0.39370078740157499" footer="0.39370078740157499"/>
  <pageSetup paperSize="5" scale="91" orientation="portrait" horizontalDpi="4294967293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>
    <tabColor rgb="FFFFFF00"/>
  </sheetPr>
  <dimension ref="A1:W62"/>
  <sheetViews>
    <sheetView view="pageBreakPreview" topLeftCell="A2" zoomScale="99" zoomScaleSheetLayoutView="99" workbookViewId="0">
      <pane xSplit="3" ySplit="9" topLeftCell="H11" activePane="bottomRight" state="frozen"/>
      <selection activeCell="A8" sqref="A8"/>
      <selection pane="topRight" activeCell="A8" sqref="A8"/>
      <selection pane="bottomLeft" activeCell="A8" sqref="A8"/>
      <selection pane="bottomRight" activeCell="Q2" sqref="Q1:R1048576"/>
    </sheetView>
  </sheetViews>
  <sheetFormatPr defaultColWidth="9.42578125" defaultRowHeight="21"/>
  <cols>
    <col min="1" max="1" width="3.5703125" style="52" customWidth="1"/>
    <col min="2" max="2" width="14" style="52" customWidth="1"/>
    <col min="3" max="3" width="11.5703125" style="52" customWidth="1"/>
    <col min="4" max="4" width="9.42578125" style="52" customWidth="1"/>
    <col min="5" max="5" width="10" style="52" customWidth="1"/>
    <col min="6" max="7" width="7" style="52" customWidth="1"/>
    <col min="8" max="8" width="9.5703125" style="53" customWidth="1"/>
    <col min="9" max="10" width="7" style="52" customWidth="1"/>
    <col min="11" max="11" width="10.42578125" style="53" customWidth="1"/>
    <col min="12" max="13" width="7" style="52" customWidth="1"/>
    <col min="14" max="14" width="9.5703125" style="53" customWidth="1"/>
    <col min="15" max="16" width="7" style="52" customWidth="1"/>
    <col min="17" max="18" width="0" style="52" hidden="1" customWidth="1"/>
    <col min="19" max="16384" width="9.42578125" style="52"/>
  </cols>
  <sheetData>
    <row r="1" spans="1:23" s="51" customFormat="1" ht="24.75" customHeight="1">
      <c r="A1" s="327" t="s">
        <v>483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</row>
    <row r="2" spans="1:23" s="51" customFormat="1" ht="24.75" customHeight="1">
      <c r="A2" s="327" t="s">
        <v>530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R2" s="326" t="s">
        <v>508</v>
      </c>
      <c r="S2" s="326"/>
      <c r="T2" s="326"/>
      <c r="U2" s="326"/>
      <c r="V2" s="326"/>
      <c r="W2" s="326"/>
    </row>
    <row r="3" spans="1:23" s="51" customFormat="1" ht="24.75" hidden="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R3" s="326"/>
      <c r="S3" s="326"/>
      <c r="T3" s="326"/>
      <c r="U3" s="326"/>
      <c r="V3" s="326"/>
      <c r="W3" s="326"/>
    </row>
    <row r="4" spans="1:23" s="51" customFormat="1" ht="24.75" hidden="1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R4" s="326"/>
      <c r="S4" s="326"/>
      <c r="T4" s="326"/>
      <c r="U4" s="326"/>
      <c r="V4" s="326"/>
      <c r="W4" s="326"/>
    </row>
    <row r="5" spans="1:23" s="51" customFormat="1" ht="24.75" hidden="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R5" s="326"/>
      <c r="S5" s="326"/>
      <c r="T5" s="326"/>
      <c r="U5" s="326"/>
      <c r="V5" s="326"/>
      <c r="W5" s="326"/>
    </row>
    <row r="6" spans="1:23" s="51" customFormat="1" ht="24.75" hidden="1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R6" s="326"/>
      <c r="S6" s="326"/>
      <c r="T6" s="326"/>
      <c r="U6" s="326"/>
      <c r="V6" s="326"/>
      <c r="W6" s="326"/>
    </row>
    <row r="7" spans="1:23" s="51" customFormat="1" ht="24.75" hidden="1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R7" s="326"/>
      <c r="S7" s="326"/>
      <c r="T7" s="326"/>
      <c r="U7" s="326"/>
      <c r="V7" s="326"/>
      <c r="W7" s="326"/>
    </row>
    <row r="8" spans="1:23" s="51" customFormat="1" ht="20.25" customHeight="1" thickBo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R8" s="326"/>
      <c r="S8" s="326"/>
      <c r="T8" s="326"/>
      <c r="U8" s="326"/>
      <c r="V8" s="326"/>
      <c r="W8" s="326"/>
    </row>
    <row r="9" spans="1:23" ht="21" customHeight="1">
      <c r="A9" s="328" t="s">
        <v>0</v>
      </c>
      <c r="B9" s="330" t="s">
        <v>30</v>
      </c>
      <c r="C9" s="331"/>
      <c r="D9" s="334" t="s">
        <v>484</v>
      </c>
      <c r="E9" s="336">
        <v>43616</v>
      </c>
      <c r="F9" s="337"/>
      <c r="G9" s="337"/>
      <c r="H9" s="337">
        <v>43708</v>
      </c>
      <c r="I9" s="337"/>
      <c r="J9" s="337"/>
      <c r="K9" s="337">
        <v>43799</v>
      </c>
      <c r="L9" s="337"/>
      <c r="M9" s="337"/>
      <c r="N9" s="337">
        <v>43889</v>
      </c>
      <c r="O9" s="337"/>
      <c r="P9" s="338"/>
      <c r="R9" s="326"/>
      <c r="S9" s="326"/>
      <c r="T9" s="326"/>
      <c r="U9" s="326"/>
      <c r="V9" s="326"/>
      <c r="W9" s="326"/>
    </row>
    <row r="10" spans="1:23" s="65" customFormat="1" ht="17.25" customHeight="1" thickBot="1">
      <c r="A10" s="329"/>
      <c r="B10" s="332"/>
      <c r="C10" s="333"/>
      <c r="D10" s="335"/>
      <c r="E10" s="166" t="s">
        <v>485</v>
      </c>
      <c r="F10" s="167" t="s">
        <v>486</v>
      </c>
      <c r="G10" s="167" t="s">
        <v>487</v>
      </c>
      <c r="H10" s="167" t="s">
        <v>485</v>
      </c>
      <c r="I10" s="167" t="s">
        <v>486</v>
      </c>
      <c r="J10" s="167" t="s">
        <v>487</v>
      </c>
      <c r="K10" s="167" t="s">
        <v>485</v>
      </c>
      <c r="L10" s="167" t="s">
        <v>486</v>
      </c>
      <c r="M10" s="167" t="s">
        <v>487</v>
      </c>
      <c r="N10" s="167" t="s">
        <v>485</v>
      </c>
      <c r="O10" s="167" t="s">
        <v>486</v>
      </c>
      <c r="P10" s="168" t="s">
        <v>487</v>
      </c>
      <c r="R10" s="326"/>
      <c r="S10" s="326"/>
      <c r="T10" s="326"/>
      <c r="U10" s="326"/>
      <c r="V10" s="326"/>
      <c r="W10" s="326"/>
    </row>
    <row r="11" spans="1:23" s="56" customFormat="1" ht="16.5" customHeight="1">
      <c r="A11" s="54">
        <v>1</v>
      </c>
      <c r="B11" s="55" t="str">
        <f>IF('2.Students'' data'!C11="","",'2.Students'' data'!C11)</f>
        <v/>
      </c>
      <c r="C11" s="126" t="str">
        <f>IF('2.Students'' data'!D11="","",'2.Students'' data'!D11)</f>
        <v/>
      </c>
      <c r="D11" s="159">
        <v>38039</v>
      </c>
      <c r="E11" s="165" t="str">
        <f>DATEDIF(D11,$E$9,"y")&amp;" ปี "&amp;DATEDIF(D11,$E$9,"ym")&amp;" เดือน "</f>
        <v xml:space="preserve">15 ปี 3 เดือน </v>
      </c>
      <c r="F11" s="143" t="s">
        <v>79</v>
      </c>
      <c r="G11" s="143" t="s">
        <v>79</v>
      </c>
      <c r="H11" s="156" t="str">
        <f>DATEDIF(D11,$H$9,"y")&amp;" ปี "&amp;DATEDIF(D11,$H$9,"ym")&amp;" เดือน "</f>
        <v xml:space="preserve">15 ปี 6 เดือน </v>
      </c>
      <c r="I11" s="143" t="s">
        <v>79</v>
      </c>
      <c r="J11" s="143" t="s">
        <v>79</v>
      </c>
      <c r="K11" s="156" t="str">
        <f>DATEDIF(D11,$K$9,"y")&amp;" ปี "&amp;DATEDIF(D11,$K$9,"ym")&amp;" เดือน "</f>
        <v xml:space="preserve">15 ปี 9 เดือน </v>
      </c>
      <c r="L11" s="143" t="s">
        <v>79</v>
      </c>
      <c r="M11" s="143" t="s">
        <v>79</v>
      </c>
      <c r="N11" s="156" t="str">
        <f>DATEDIF(D11,$N$9,"y")&amp;" ปี "&amp;DATEDIF(D11,$N$9,"ym")&amp;" เดือน "</f>
        <v xml:space="preserve">16 ปี 0 เดือน </v>
      </c>
      <c r="O11" s="143" t="s">
        <v>79</v>
      </c>
      <c r="P11" s="144" t="s">
        <v>79</v>
      </c>
      <c r="R11" s="155"/>
      <c r="S11" s="155"/>
      <c r="T11" s="155"/>
      <c r="U11" s="155"/>
      <c r="V11" s="155"/>
      <c r="W11" s="155"/>
    </row>
    <row r="12" spans="1:23" s="56" customFormat="1" ht="16.5" customHeight="1">
      <c r="A12" s="57">
        <v>2</v>
      </c>
      <c r="B12" s="58" t="str">
        <f>IF('2.Students'' data'!C12="","",'2.Students'' data'!C12)</f>
        <v/>
      </c>
      <c r="C12" s="129" t="str">
        <f>IF('2.Students'' data'!D12="","",'2.Students'' data'!D12)</f>
        <v/>
      </c>
      <c r="D12" s="160">
        <v>38835</v>
      </c>
      <c r="E12" s="163" t="str">
        <f t="shared" ref="E12:E46" si="0">DATEDIF(D12,$E$9,"y")&amp;" ปี "&amp;DATEDIF(D12,$E$9,"ym")&amp;" เดือน "</f>
        <v xml:space="preserve">13 ปี 1 เดือน </v>
      </c>
      <c r="F12" s="145">
        <v>56.4</v>
      </c>
      <c r="G12" s="145">
        <v>171</v>
      </c>
      <c r="H12" s="157" t="str">
        <f t="shared" ref="H12:H46" si="1">DATEDIF(D12,$H$9,"y")&amp;" ปี "&amp;DATEDIF(D12,$H$9,"ym")&amp;" เดือน "</f>
        <v xml:space="preserve">13 ปี 4 เดือน </v>
      </c>
      <c r="I12" s="145">
        <v>56</v>
      </c>
      <c r="J12" s="145">
        <v>171</v>
      </c>
      <c r="K12" s="157" t="str">
        <f t="shared" ref="K12:K46" si="2">DATEDIF(D12,$K$9,"y")&amp;" ปี "&amp;DATEDIF(D12,$K$9,"ym")&amp;" เดือน "</f>
        <v xml:space="preserve">13 ปี 7 เดือน </v>
      </c>
      <c r="L12" s="145">
        <v>54</v>
      </c>
      <c r="M12" s="145">
        <v>173</v>
      </c>
      <c r="N12" s="157" t="str">
        <f t="shared" ref="N12:N46" si="3">DATEDIF(D12,$N$9,"y")&amp;" ปี "&amp;DATEDIF(D12,$N$9,"ym")&amp;" เดือน "</f>
        <v xml:space="preserve">13 ปี 10 เดือน </v>
      </c>
      <c r="O12" s="145">
        <v>58</v>
      </c>
      <c r="P12" s="146">
        <v>173</v>
      </c>
      <c r="R12" s="326"/>
      <c r="S12" s="326"/>
      <c r="T12" s="326"/>
      <c r="U12" s="326"/>
      <c r="V12" s="326"/>
      <c r="W12" s="326"/>
    </row>
    <row r="13" spans="1:23" s="56" customFormat="1" ht="16.5" customHeight="1">
      <c r="A13" s="57">
        <v>3</v>
      </c>
      <c r="B13" s="58" t="str">
        <f>IF('2.Students'' data'!C13="","",'2.Students'' data'!C13)</f>
        <v/>
      </c>
      <c r="C13" s="129" t="str">
        <f>IF('2.Students'' data'!D13="","",'2.Students'' data'!D13)</f>
        <v/>
      </c>
      <c r="D13" s="160">
        <v>39007</v>
      </c>
      <c r="E13" s="163" t="str">
        <f t="shared" si="0"/>
        <v xml:space="preserve">12 ปี 7 เดือน </v>
      </c>
      <c r="F13" s="145">
        <v>93.8</v>
      </c>
      <c r="G13" s="145">
        <v>172</v>
      </c>
      <c r="H13" s="157" t="str">
        <f t="shared" si="1"/>
        <v xml:space="preserve">12 ปี 10 เดือน </v>
      </c>
      <c r="I13" s="145">
        <v>91</v>
      </c>
      <c r="J13" s="145">
        <v>174</v>
      </c>
      <c r="K13" s="157" t="str">
        <f t="shared" si="2"/>
        <v xml:space="preserve">13 ปี 1 เดือน </v>
      </c>
      <c r="L13" s="145">
        <v>84</v>
      </c>
      <c r="M13" s="145">
        <v>176</v>
      </c>
      <c r="N13" s="157" t="str">
        <f t="shared" si="3"/>
        <v xml:space="preserve">13 ปี 4 เดือน </v>
      </c>
      <c r="O13" s="145">
        <v>84</v>
      </c>
      <c r="P13" s="146">
        <v>180</v>
      </c>
      <c r="R13" s="326"/>
      <c r="S13" s="326"/>
      <c r="T13" s="326"/>
      <c r="U13" s="326"/>
      <c r="V13" s="326"/>
      <c r="W13" s="326"/>
    </row>
    <row r="14" spans="1:23" s="56" customFormat="1" ht="16.5" customHeight="1">
      <c r="A14" s="57">
        <v>4</v>
      </c>
      <c r="B14" s="58" t="str">
        <f>IF('2.Students'' data'!C14="","",'2.Students'' data'!C14)</f>
        <v/>
      </c>
      <c r="C14" s="129" t="str">
        <f>IF('2.Students'' data'!D14="","",'2.Students'' data'!D14)</f>
        <v/>
      </c>
      <c r="D14" s="160">
        <v>39073</v>
      </c>
      <c r="E14" s="163" t="str">
        <f t="shared" si="0"/>
        <v xml:space="preserve">12 ปี 5 เดือน </v>
      </c>
      <c r="F14" s="145">
        <v>39.5</v>
      </c>
      <c r="G14" s="145">
        <v>146</v>
      </c>
      <c r="H14" s="157" t="str">
        <f t="shared" si="1"/>
        <v xml:space="preserve">12 ปี 8 เดือน </v>
      </c>
      <c r="I14" s="145">
        <v>40</v>
      </c>
      <c r="J14" s="145">
        <v>145</v>
      </c>
      <c r="K14" s="157" t="str">
        <f t="shared" si="2"/>
        <v xml:space="preserve">12 ปี 11 เดือน </v>
      </c>
      <c r="L14" s="145">
        <v>39</v>
      </c>
      <c r="M14" s="145">
        <v>148</v>
      </c>
      <c r="N14" s="157" t="str">
        <f t="shared" si="3"/>
        <v xml:space="preserve">13 ปี 2 เดือน </v>
      </c>
      <c r="O14" s="145">
        <v>41</v>
      </c>
      <c r="P14" s="146">
        <v>150</v>
      </c>
      <c r="R14" s="326"/>
      <c r="S14" s="326"/>
      <c r="T14" s="326"/>
      <c r="U14" s="326"/>
      <c r="V14" s="326"/>
      <c r="W14" s="326"/>
    </row>
    <row r="15" spans="1:23" s="56" customFormat="1" ht="16.5" customHeight="1">
      <c r="A15" s="57">
        <v>5</v>
      </c>
      <c r="B15" s="58" t="str">
        <f>IF('2.Students'' data'!C15="","",'2.Students'' data'!C15)</f>
        <v/>
      </c>
      <c r="C15" s="129" t="str">
        <f>IF('2.Students'' data'!D15="","",'2.Students'' data'!D15)</f>
        <v/>
      </c>
      <c r="D15" s="160">
        <v>39229</v>
      </c>
      <c r="E15" s="163" t="str">
        <f t="shared" si="0"/>
        <v xml:space="preserve">12 ปี 0 เดือน </v>
      </c>
      <c r="F15" s="145">
        <v>65.5</v>
      </c>
      <c r="G15" s="145">
        <v>161</v>
      </c>
      <c r="H15" s="157" t="str">
        <f t="shared" si="1"/>
        <v xml:space="preserve">12 ปี 3 เดือน </v>
      </c>
      <c r="I15" s="145">
        <v>66</v>
      </c>
      <c r="J15" s="145">
        <v>165</v>
      </c>
      <c r="K15" s="157" t="str">
        <f t="shared" si="2"/>
        <v xml:space="preserve">12 ปี 6 เดือน </v>
      </c>
      <c r="L15" s="145">
        <v>65</v>
      </c>
      <c r="M15" s="145">
        <v>164</v>
      </c>
      <c r="N15" s="157" t="str">
        <f t="shared" si="3"/>
        <v xml:space="preserve">12 ปี 9 เดือน </v>
      </c>
      <c r="O15" s="145">
        <v>66</v>
      </c>
      <c r="P15" s="146">
        <v>167</v>
      </c>
    </row>
    <row r="16" spans="1:23" s="56" customFormat="1" ht="16.5" customHeight="1">
      <c r="A16" s="57">
        <v>6</v>
      </c>
      <c r="B16" s="58" t="str">
        <f>IF('2.Students'' data'!C16="","",'2.Students'' data'!C16)</f>
        <v/>
      </c>
      <c r="C16" s="129" t="str">
        <f>IF('2.Students'' data'!D16="","",'2.Students'' data'!D16)</f>
        <v/>
      </c>
      <c r="D16" s="160">
        <v>39098</v>
      </c>
      <c r="E16" s="163" t="str">
        <f t="shared" si="0"/>
        <v xml:space="preserve">12 ปี 4 เดือน </v>
      </c>
      <c r="F16" s="145">
        <v>36.1</v>
      </c>
      <c r="G16" s="145">
        <v>148</v>
      </c>
      <c r="H16" s="157" t="str">
        <f t="shared" si="1"/>
        <v xml:space="preserve">12 ปี 7 เดือน </v>
      </c>
      <c r="I16" s="145">
        <v>39</v>
      </c>
      <c r="J16" s="145">
        <v>150</v>
      </c>
      <c r="K16" s="157" t="str">
        <f t="shared" si="2"/>
        <v xml:space="preserve">12 ปี 10 เดือน </v>
      </c>
      <c r="L16" s="145">
        <v>39</v>
      </c>
      <c r="M16" s="145">
        <v>155</v>
      </c>
      <c r="N16" s="157" t="str">
        <f t="shared" si="3"/>
        <v xml:space="preserve">13 ปี 1 เดือน </v>
      </c>
      <c r="O16" s="145">
        <v>44</v>
      </c>
      <c r="P16" s="146">
        <v>156</v>
      </c>
    </row>
    <row r="17" spans="1:16" s="56" customFormat="1" ht="16.5" customHeight="1">
      <c r="A17" s="57">
        <v>7</v>
      </c>
      <c r="B17" s="58" t="str">
        <f>IF('2.Students'' data'!C17="","",'2.Students'' data'!C17)</f>
        <v/>
      </c>
      <c r="C17" s="129" t="str">
        <f>IF('2.Students'' data'!D17="","",'2.Students'' data'!D17)</f>
        <v/>
      </c>
      <c r="D17" s="160">
        <v>38905</v>
      </c>
      <c r="E17" s="163" t="str">
        <f t="shared" si="0"/>
        <v xml:space="preserve">12 ปี 10 เดือน </v>
      </c>
      <c r="F17" s="145">
        <v>41.2</v>
      </c>
      <c r="G17" s="145">
        <v>151</v>
      </c>
      <c r="H17" s="157" t="str">
        <f t="shared" si="1"/>
        <v xml:space="preserve">13 ปี 1 เดือน </v>
      </c>
      <c r="I17" s="145">
        <v>42</v>
      </c>
      <c r="J17" s="145">
        <v>153</v>
      </c>
      <c r="K17" s="157" t="str">
        <f t="shared" si="2"/>
        <v xml:space="preserve">13 ปี 4 เดือน </v>
      </c>
      <c r="L17" s="145">
        <v>42</v>
      </c>
      <c r="M17" s="145">
        <v>157</v>
      </c>
      <c r="N17" s="157" t="str">
        <f t="shared" si="3"/>
        <v xml:space="preserve">13 ปี 7 เดือน </v>
      </c>
      <c r="O17" s="145">
        <v>45</v>
      </c>
      <c r="P17" s="146">
        <v>159</v>
      </c>
    </row>
    <row r="18" spans="1:16" s="56" customFormat="1" ht="16.5" customHeight="1">
      <c r="A18" s="57">
        <v>8</v>
      </c>
      <c r="B18" s="58" t="str">
        <f>IF('2.Students'' data'!C18="","",'2.Students'' data'!C18)</f>
        <v/>
      </c>
      <c r="C18" s="129" t="str">
        <f>IF('2.Students'' data'!D18="","",'2.Students'' data'!D18)</f>
        <v/>
      </c>
      <c r="D18" s="160">
        <v>39193</v>
      </c>
      <c r="E18" s="163" t="str">
        <f t="shared" si="0"/>
        <v xml:space="preserve">12 ปี 1 เดือน </v>
      </c>
      <c r="F18" s="145">
        <v>54.9</v>
      </c>
      <c r="G18" s="145">
        <v>150</v>
      </c>
      <c r="H18" s="157" t="str">
        <f t="shared" si="1"/>
        <v xml:space="preserve">12 ปี 4 เดือน </v>
      </c>
      <c r="I18" s="145">
        <v>55</v>
      </c>
      <c r="J18" s="145">
        <v>151</v>
      </c>
      <c r="K18" s="157" t="str">
        <f t="shared" si="2"/>
        <v xml:space="preserve">12 ปี 7 เดือน </v>
      </c>
      <c r="L18" s="145">
        <v>52</v>
      </c>
      <c r="M18" s="145">
        <v>152</v>
      </c>
      <c r="N18" s="157" t="str">
        <f t="shared" si="3"/>
        <v xml:space="preserve">12 ปี 10 เดือน </v>
      </c>
      <c r="O18" s="145">
        <v>55</v>
      </c>
      <c r="P18" s="146">
        <v>154</v>
      </c>
    </row>
    <row r="19" spans="1:16" s="56" customFormat="1" ht="16.5" customHeight="1">
      <c r="A19" s="57">
        <v>9</v>
      </c>
      <c r="B19" s="58" t="str">
        <f>IF('2.Students'' data'!C19="","",'2.Students'' data'!C19)</f>
        <v/>
      </c>
      <c r="C19" s="129" t="str">
        <f>IF('2.Students'' data'!D19="","",'2.Students'' data'!D19)</f>
        <v/>
      </c>
      <c r="D19" s="160">
        <v>38927</v>
      </c>
      <c r="E19" s="163" t="str">
        <f t="shared" si="0"/>
        <v xml:space="preserve">12 ปี 10 เดือน </v>
      </c>
      <c r="F19" s="145">
        <v>67.599999999999994</v>
      </c>
      <c r="G19" s="145">
        <v>165</v>
      </c>
      <c r="H19" s="157" t="str">
        <f t="shared" si="1"/>
        <v xml:space="preserve">13 ปี 1 เดือน </v>
      </c>
      <c r="I19" s="145">
        <v>70</v>
      </c>
      <c r="J19" s="145">
        <v>165</v>
      </c>
      <c r="K19" s="157" t="str">
        <f t="shared" si="2"/>
        <v xml:space="preserve">13 ปี 4 เดือน </v>
      </c>
      <c r="L19" s="145">
        <v>70</v>
      </c>
      <c r="M19" s="145">
        <v>165</v>
      </c>
      <c r="N19" s="157" t="str">
        <f t="shared" si="3"/>
        <v xml:space="preserve">13 ปี 6 เดือน </v>
      </c>
      <c r="O19" s="145">
        <v>70</v>
      </c>
      <c r="P19" s="146">
        <v>165</v>
      </c>
    </row>
    <row r="20" spans="1:16" s="56" customFormat="1" ht="16.5" customHeight="1">
      <c r="A20" s="57">
        <v>10</v>
      </c>
      <c r="B20" s="58" t="str">
        <f>IF('2.Students'' data'!C20="","",'2.Students'' data'!C20)</f>
        <v/>
      </c>
      <c r="C20" s="129" t="str">
        <f>IF('2.Students'' data'!D20="","",'2.Students'' data'!D20)</f>
        <v/>
      </c>
      <c r="D20" s="160">
        <v>38205</v>
      </c>
      <c r="E20" s="163" t="str">
        <f t="shared" si="0"/>
        <v xml:space="preserve">14 ปี 9 เดือน </v>
      </c>
      <c r="F20" s="145" t="s">
        <v>79</v>
      </c>
      <c r="G20" s="145" t="s">
        <v>79</v>
      </c>
      <c r="H20" s="157" t="str">
        <f t="shared" si="1"/>
        <v xml:space="preserve">15 ปี 0 เดือน </v>
      </c>
      <c r="I20" s="145" t="s">
        <v>79</v>
      </c>
      <c r="J20" s="145" t="s">
        <v>79</v>
      </c>
      <c r="K20" s="157" t="str">
        <f t="shared" si="2"/>
        <v xml:space="preserve">15 ปี 3 เดือน </v>
      </c>
      <c r="L20" s="145" t="s">
        <v>79</v>
      </c>
      <c r="M20" s="145" t="s">
        <v>79</v>
      </c>
      <c r="N20" s="157" t="str">
        <f t="shared" si="3"/>
        <v xml:space="preserve">15 ปี 6 เดือน </v>
      </c>
      <c r="O20" s="145" t="s">
        <v>79</v>
      </c>
      <c r="P20" s="146" t="s">
        <v>79</v>
      </c>
    </row>
    <row r="21" spans="1:16" s="56" customFormat="1" ht="16.5" customHeight="1">
      <c r="A21" s="57">
        <v>11</v>
      </c>
      <c r="B21" s="58" t="str">
        <f>IF('2.Students'' data'!C21="","",'2.Students'' data'!C21)</f>
        <v/>
      </c>
      <c r="C21" s="129" t="str">
        <f>IF('2.Students'' data'!D21="","",'2.Students'' data'!D21)</f>
        <v/>
      </c>
      <c r="D21" s="160">
        <v>38917</v>
      </c>
      <c r="E21" s="163" t="str">
        <f t="shared" si="0"/>
        <v xml:space="preserve">12 ปี 10 เดือน </v>
      </c>
      <c r="F21" s="145">
        <v>32.5</v>
      </c>
      <c r="G21" s="145">
        <v>150</v>
      </c>
      <c r="H21" s="157" t="str">
        <f t="shared" si="1"/>
        <v xml:space="preserve">13 ปี 1 เดือน </v>
      </c>
      <c r="I21" s="145">
        <v>34</v>
      </c>
      <c r="J21" s="145">
        <v>151</v>
      </c>
      <c r="K21" s="157" t="str">
        <f t="shared" si="2"/>
        <v xml:space="preserve">13 ปี 4 เดือน </v>
      </c>
      <c r="L21" s="145">
        <v>36</v>
      </c>
      <c r="M21" s="145">
        <v>154</v>
      </c>
      <c r="N21" s="157" t="str">
        <f t="shared" si="3"/>
        <v xml:space="preserve">13 ปี 7 เดือน </v>
      </c>
      <c r="O21" s="145">
        <v>37</v>
      </c>
      <c r="P21" s="146">
        <v>157</v>
      </c>
    </row>
    <row r="22" spans="1:16" s="56" customFormat="1" ht="16.5" customHeight="1">
      <c r="A22" s="57">
        <v>12</v>
      </c>
      <c r="B22" s="58" t="str">
        <f>IF('2.Students'' data'!C22="","",'2.Students'' data'!C22)</f>
        <v/>
      </c>
      <c r="C22" s="129" t="str">
        <f>IF('2.Students'' data'!D22="","",'2.Students'' data'!D22)</f>
        <v/>
      </c>
      <c r="D22" s="160">
        <v>38877</v>
      </c>
      <c r="E22" s="163" t="str">
        <f t="shared" si="0"/>
        <v xml:space="preserve">12 ปี 11 เดือน </v>
      </c>
      <c r="F22" s="145">
        <v>34.5</v>
      </c>
      <c r="G22" s="145">
        <v>152</v>
      </c>
      <c r="H22" s="157" t="str">
        <f t="shared" si="1"/>
        <v xml:space="preserve">13 ปี 2 เดือน </v>
      </c>
      <c r="I22" s="145">
        <v>36</v>
      </c>
      <c r="J22" s="145">
        <v>153</v>
      </c>
      <c r="K22" s="157" t="str">
        <f t="shared" si="2"/>
        <v xml:space="preserve">13 ปี 5 เดือน </v>
      </c>
      <c r="L22" s="145">
        <v>37</v>
      </c>
      <c r="M22" s="145">
        <v>155</v>
      </c>
      <c r="N22" s="157" t="str">
        <f t="shared" si="3"/>
        <v xml:space="preserve">13 ปี 8 เดือน </v>
      </c>
      <c r="O22" s="145">
        <v>39</v>
      </c>
      <c r="P22" s="146">
        <v>158</v>
      </c>
    </row>
    <row r="23" spans="1:16" s="56" customFormat="1" ht="16.5" customHeight="1">
      <c r="A23" s="57">
        <v>13</v>
      </c>
      <c r="B23" s="58" t="str">
        <f>IF('2.Students'' data'!C23="","",'2.Students'' data'!C23)</f>
        <v/>
      </c>
      <c r="C23" s="129" t="str">
        <f>IF('2.Students'' data'!D23="","",'2.Students'' data'!D23)</f>
        <v/>
      </c>
      <c r="D23" s="160">
        <v>38912</v>
      </c>
      <c r="E23" s="163" t="str">
        <f t="shared" si="0"/>
        <v xml:space="preserve">12 ปี 10 เดือน </v>
      </c>
      <c r="F23" s="145">
        <v>35.6</v>
      </c>
      <c r="G23" s="145">
        <v>146</v>
      </c>
      <c r="H23" s="157" t="str">
        <f t="shared" si="1"/>
        <v xml:space="preserve">13 ปี 1 เดือน </v>
      </c>
      <c r="I23" s="145">
        <v>35</v>
      </c>
      <c r="J23" s="145">
        <v>145</v>
      </c>
      <c r="K23" s="157" t="str">
        <f t="shared" si="2"/>
        <v xml:space="preserve">13 ปี 4 เดือน </v>
      </c>
      <c r="L23" s="145">
        <v>38</v>
      </c>
      <c r="M23" s="145">
        <v>148</v>
      </c>
      <c r="N23" s="157" t="str">
        <f t="shared" si="3"/>
        <v xml:space="preserve">13 ปี 7 เดือน </v>
      </c>
      <c r="O23" s="145">
        <v>40</v>
      </c>
      <c r="P23" s="146">
        <v>150</v>
      </c>
    </row>
    <row r="24" spans="1:16" s="56" customFormat="1" ht="16.5" customHeight="1">
      <c r="A24" s="57">
        <v>14</v>
      </c>
      <c r="B24" s="58" t="str">
        <f>IF('2.Students'' data'!C24="","",'2.Students'' data'!C24)</f>
        <v/>
      </c>
      <c r="C24" s="129" t="str">
        <f>IF('2.Students'' data'!D24="","",'2.Students'' data'!D24)</f>
        <v/>
      </c>
      <c r="D24" s="160">
        <v>38908</v>
      </c>
      <c r="E24" s="163" t="str">
        <f t="shared" si="0"/>
        <v xml:space="preserve">12 ปี 10 เดือน </v>
      </c>
      <c r="F24" s="145">
        <v>60</v>
      </c>
      <c r="G24" s="145">
        <v>167</v>
      </c>
      <c r="H24" s="157" t="str">
        <f t="shared" si="1"/>
        <v xml:space="preserve">13 ปี 1 เดือน </v>
      </c>
      <c r="I24" s="145">
        <v>61</v>
      </c>
      <c r="J24" s="145">
        <v>169</v>
      </c>
      <c r="K24" s="157" t="str">
        <f t="shared" si="2"/>
        <v xml:space="preserve">13 ปี 4 เดือน </v>
      </c>
      <c r="L24" s="145">
        <v>65</v>
      </c>
      <c r="M24" s="145">
        <v>171</v>
      </c>
      <c r="N24" s="157" t="str">
        <f t="shared" si="3"/>
        <v xml:space="preserve">13 ปี 7 เดือน </v>
      </c>
      <c r="O24" s="145">
        <v>63</v>
      </c>
      <c r="P24" s="146">
        <v>171</v>
      </c>
    </row>
    <row r="25" spans="1:16" s="56" customFormat="1" ht="16.5" customHeight="1">
      <c r="A25" s="57">
        <v>15</v>
      </c>
      <c r="B25" s="58" t="str">
        <f>IF('2.Students'' data'!C25="","",'2.Students'' data'!C25)</f>
        <v/>
      </c>
      <c r="C25" s="129" t="str">
        <f>IF('2.Students'' data'!D25="","",'2.Students'' data'!D25)</f>
        <v/>
      </c>
      <c r="D25" s="160">
        <v>39108</v>
      </c>
      <c r="E25" s="163" t="str">
        <f t="shared" si="0"/>
        <v xml:space="preserve">12 ปี 4 เดือน </v>
      </c>
      <c r="F25" s="145">
        <v>29.1</v>
      </c>
      <c r="G25" s="145">
        <v>148</v>
      </c>
      <c r="H25" s="157" t="str">
        <f t="shared" si="1"/>
        <v xml:space="preserve">12 ปี 7 เดือน </v>
      </c>
      <c r="I25" s="145">
        <v>30</v>
      </c>
      <c r="J25" s="145">
        <v>148</v>
      </c>
      <c r="K25" s="157" t="str">
        <f t="shared" si="2"/>
        <v xml:space="preserve">12 ปี 10 เดือน </v>
      </c>
      <c r="L25" s="145">
        <v>29</v>
      </c>
      <c r="M25" s="145">
        <v>148</v>
      </c>
      <c r="N25" s="157" t="str">
        <f t="shared" si="3"/>
        <v xml:space="preserve">13 ปี 1 เดือน </v>
      </c>
      <c r="O25" s="145">
        <v>31</v>
      </c>
      <c r="P25" s="146">
        <v>151</v>
      </c>
    </row>
    <row r="26" spans="1:16" s="56" customFormat="1" ht="16.5" customHeight="1">
      <c r="A26" s="57">
        <v>16</v>
      </c>
      <c r="B26" s="58" t="str">
        <f>IF('2.Students'' data'!C26="","",'2.Students'' data'!C26)</f>
        <v/>
      </c>
      <c r="C26" s="129" t="str">
        <f>IF('2.Students'' data'!D26="","",'2.Students'' data'!D26)</f>
        <v/>
      </c>
      <c r="D26" s="160">
        <v>38757</v>
      </c>
      <c r="E26" s="163" t="str">
        <f t="shared" si="0"/>
        <v xml:space="preserve">13 ปี 3 เดือน </v>
      </c>
      <c r="F26" s="145">
        <v>70</v>
      </c>
      <c r="G26" s="145">
        <v>150</v>
      </c>
      <c r="H26" s="157" t="str">
        <f t="shared" si="1"/>
        <v xml:space="preserve">13 ปี 6 เดือน </v>
      </c>
      <c r="I26" s="145">
        <v>69</v>
      </c>
      <c r="J26" s="145">
        <v>150</v>
      </c>
      <c r="K26" s="157" t="str">
        <f t="shared" si="2"/>
        <v xml:space="preserve">13 ปี 9 เดือน </v>
      </c>
      <c r="L26" s="145">
        <v>70</v>
      </c>
      <c r="M26" s="145">
        <v>151</v>
      </c>
      <c r="N26" s="157" t="str">
        <f t="shared" si="3"/>
        <v xml:space="preserve">14 ปี 0 เดือน </v>
      </c>
      <c r="O26" s="145">
        <v>68</v>
      </c>
      <c r="P26" s="146">
        <v>151</v>
      </c>
    </row>
    <row r="27" spans="1:16" s="56" customFormat="1" ht="16.5" customHeight="1">
      <c r="A27" s="57">
        <v>17</v>
      </c>
      <c r="B27" s="58" t="str">
        <f>IF('2.Students'' data'!C27="","",'2.Students'' data'!C27)</f>
        <v/>
      </c>
      <c r="C27" s="129" t="str">
        <f>IF('2.Students'' data'!D27="","",'2.Students'' data'!D27)</f>
        <v/>
      </c>
      <c r="D27" s="160">
        <v>38725</v>
      </c>
      <c r="E27" s="163" t="str">
        <f t="shared" si="0"/>
        <v xml:space="preserve">13 ปี 4 เดือน </v>
      </c>
      <c r="F27" s="145">
        <v>42.5</v>
      </c>
      <c r="G27" s="145">
        <v>153</v>
      </c>
      <c r="H27" s="157" t="str">
        <f t="shared" si="1"/>
        <v xml:space="preserve">13 ปี 7 เดือน </v>
      </c>
      <c r="I27" s="145">
        <v>44</v>
      </c>
      <c r="J27" s="145">
        <v>156</v>
      </c>
      <c r="K27" s="157" t="str">
        <f t="shared" si="2"/>
        <v xml:space="preserve">13 ปี 10 เดือน </v>
      </c>
      <c r="L27" s="145">
        <v>42</v>
      </c>
      <c r="M27" s="145">
        <v>159</v>
      </c>
      <c r="N27" s="157" t="str">
        <f t="shared" si="3"/>
        <v xml:space="preserve">14 ปี 1 เดือน </v>
      </c>
      <c r="O27" s="145"/>
      <c r="P27" s="146"/>
    </row>
    <row r="28" spans="1:16" s="56" customFormat="1" ht="16.5" customHeight="1">
      <c r="A28" s="57">
        <v>18</v>
      </c>
      <c r="B28" s="58" t="str">
        <f>IF('2.Students'' data'!C28="","",'2.Students'' data'!C28)</f>
        <v/>
      </c>
      <c r="C28" s="129" t="str">
        <f>IF('2.Students'' data'!D28="","",'2.Students'' data'!D28)</f>
        <v/>
      </c>
      <c r="D28" s="160">
        <v>39076</v>
      </c>
      <c r="E28" s="163" t="str">
        <f t="shared" si="0"/>
        <v xml:space="preserve">12 ปี 5 เดือน </v>
      </c>
      <c r="F28" s="145">
        <v>38.700000000000003</v>
      </c>
      <c r="G28" s="145">
        <v>156</v>
      </c>
      <c r="H28" s="157" t="str">
        <f t="shared" si="1"/>
        <v xml:space="preserve">12 ปี 8 เดือน </v>
      </c>
      <c r="I28" s="145">
        <v>40</v>
      </c>
      <c r="J28" s="145">
        <v>156</v>
      </c>
      <c r="K28" s="157" t="str">
        <f t="shared" si="2"/>
        <v xml:space="preserve">12 ปี 11 เดือน </v>
      </c>
      <c r="L28" s="145">
        <v>38</v>
      </c>
      <c r="M28" s="145">
        <v>158</v>
      </c>
      <c r="N28" s="157" t="str">
        <f t="shared" si="3"/>
        <v xml:space="preserve">13 ปี 2 เดือน </v>
      </c>
      <c r="O28" s="145">
        <v>40</v>
      </c>
      <c r="P28" s="146">
        <v>160</v>
      </c>
    </row>
    <row r="29" spans="1:16" s="56" customFormat="1" ht="16.5" customHeight="1">
      <c r="A29" s="57">
        <v>19</v>
      </c>
      <c r="B29" s="58" t="str">
        <f>IF('2.Students'' data'!C29="","",'2.Students'' data'!C29)</f>
        <v/>
      </c>
      <c r="C29" s="129" t="str">
        <f>IF('2.Students'' data'!D29="","",'2.Students'' data'!D29)</f>
        <v/>
      </c>
      <c r="D29" s="160">
        <v>38563</v>
      </c>
      <c r="E29" s="163" t="str">
        <f t="shared" si="0"/>
        <v xml:space="preserve">13 ปี 10 เดือน </v>
      </c>
      <c r="F29" s="145">
        <v>45</v>
      </c>
      <c r="G29" s="145">
        <v>155</v>
      </c>
      <c r="H29" s="157" t="str">
        <f t="shared" si="1"/>
        <v xml:space="preserve">14 ปี 1 เดือน </v>
      </c>
      <c r="I29" s="145">
        <v>45</v>
      </c>
      <c r="J29" s="145">
        <v>155</v>
      </c>
      <c r="K29" s="157" t="str">
        <f t="shared" si="2"/>
        <v xml:space="preserve">14 ปี 4 เดือน </v>
      </c>
      <c r="L29" s="145">
        <v>49</v>
      </c>
      <c r="M29" s="145">
        <v>159</v>
      </c>
      <c r="N29" s="157" t="str">
        <f t="shared" si="3"/>
        <v xml:space="preserve">14 ปี 6 เดือน </v>
      </c>
      <c r="O29" s="145">
        <v>44</v>
      </c>
      <c r="P29" s="146">
        <v>161</v>
      </c>
    </row>
    <row r="30" spans="1:16" s="56" customFormat="1" ht="16.5" customHeight="1">
      <c r="A30" s="57">
        <v>20</v>
      </c>
      <c r="B30" s="58" t="str">
        <f>IF('2.Students'' data'!C30="","",'2.Students'' data'!C30)</f>
        <v/>
      </c>
      <c r="C30" s="129" t="str">
        <f>IF('2.Students'' data'!D30="","",'2.Students'' data'!D30)</f>
        <v/>
      </c>
      <c r="D30" s="160">
        <v>37799</v>
      </c>
      <c r="E30" s="163" t="str">
        <f t="shared" si="0"/>
        <v xml:space="preserve">15 ปี 11 เดือน </v>
      </c>
      <c r="F30" s="145" t="s">
        <v>79</v>
      </c>
      <c r="G30" s="145" t="s">
        <v>79</v>
      </c>
      <c r="H30" s="157" t="str">
        <f t="shared" si="1"/>
        <v xml:space="preserve">16 ปี 2 เดือน </v>
      </c>
      <c r="I30" s="145" t="s">
        <v>79</v>
      </c>
      <c r="J30" s="145" t="s">
        <v>79</v>
      </c>
      <c r="K30" s="157" t="str">
        <f t="shared" si="2"/>
        <v xml:space="preserve">16 ปี 5 เดือน </v>
      </c>
      <c r="L30" s="145" t="s">
        <v>79</v>
      </c>
      <c r="M30" s="145" t="s">
        <v>79</v>
      </c>
      <c r="N30" s="157" t="str">
        <f t="shared" si="3"/>
        <v xml:space="preserve">16 ปี 8 เดือน </v>
      </c>
      <c r="O30" s="145" t="s">
        <v>79</v>
      </c>
      <c r="P30" s="146" t="s">
        <v>79</v>
      </c>
    </row>
    <row r="31" spans="1:16" s="56" customFormat="1" ht="16.5" customHeight="1">
      <c r="A31" s="57">
        <v>21</v>
      </c>
      <c r="B31" s="58" t="str">
        <f>IF('2.Students'' data'!C31="","",'2.Students'' data'!C31)</f>
        <v/>
      </c>
      <c r="C31" s="129" t="str">
        <f>IF('2.Students'' data'!D31="","",'2.Students'' data'!D31)</f>
        <v/>
      </c>
      <c r="D31" s="160">
        <v>39203</v>
      </c>
      <c r="E31" s="163" t="str">
        <f t="shared" si="0"/>
        <v xml:space="preserve">12 ปี 0 เดือน </v>
      </c>
      <c r="F31" s="145">
        <v>31.4</v>
      </c>
      <c r="G31" s="145">
        <v>143</v>
      </c>
      <c r="H31" s="157" t="str">
        <f t="shared" si="1"/>
        <v xml:space="preserve">12 ปี 3 เดือน </v>
      </c>
      <c r="I31" s="145">
        <v>33</v>
      </c>
      <c r="J31" s="145">
        <v>145</v>
      </c>
      <c r="K31" s="157" t="str">
        <f t="shared" si="2"/>
        <v xml:space="preserve">12 ปี 6 เดือน </v>
      </c>
      <c r="L31" s="145">
        <v>32</v>
      </c>
      <c r="M31" s="145">
        <v>146</v>
      </c>
      <c r="N31" s="157" t="str">
        <f t="shared" si="3"/>
        <v xml:space="preserve">12 ปี 9 เดือน </v>
      </c>
      <c r="O31" s="145">
        <v>35</v>
      </c>
      <c r="P31" s="146">
        <v>146</v>
      </c>
    </row>
    <row r="32" spans="1:16" s="56" customFormat="1" ht="16.5" customHeight="1">
      <c r="A32" s="57">
        <v>22</v>
      </c>
      <c r="B32" s="58" t="str">
        <f>IF('2.Students'' data'!C32="","",'2.Students'' data'!C32)</f>
        <v/>
      </c>
      <c r="C32" s="130" t="str">
        <f>IF('2.Students'' data'!D32="","",'2.Students'' data'!D32)</f>
        <v/>
      </c>
      <c r="D32" s="161">
        <v>38946</v>
      </c>
      <c r="E32" s="163" t="str">
        <f t="shared" si="0"/>
        <v xml:space="preserve">12 ปี 9 เดือน </v>
      </c>
      <c r="F32" s="145">
        <v>44.4</v>
      </c>
      <c r="G32" s="145">
        <v>160</v>
      </c>
      <c r="H32" s="157" t="str">
        <f t="shared" si="1"/>
        <v xml:space="preserve">13 ปี 0 เดือน </v>
      </c>
      <c r="I32" s="145">
        <v>45</v>
      </c>
      <c r="J32" s="145">
        <v>160</v>
      </c>
      <c r="K32" s="157" t="str">
        <f t="shared" si="2"/>
        <v xml:space="preserve">13 ปี 3 เดือน </v>
      </c>
      <c r="L32" s="145">
        <v>46</v>
      </c>
      <c r="M32" s="145">
        <v>159</v>
      </c>
      <c r="N32" s="157" t="str">
        <f t="shared" si="3"/>
        <v xml:space="preserve">13 ปี 6 เดือน </v>
      </c>
      <c r="O32" s="145">
        <v>47</v>
      </c>
      <c r="P32" s="146">
        <v>160</v>
      </c>
    </row>
    <row r="33" spans="1:16" s="56" customFormat="1" ht="16.5" customHeight="1">
      <c r="A33" s="57">
        <v>23</v>
      </c>
      <c r="B33" s="58" t="str">
        <f>IF('2.Students'' data'!C33="","",'2.Students'' data'!C33)</f>
        <v/>
      </c>
      <c r="C33" s="129" t="str">
        <f>IF('2.Students'' data'!D33="","",'2.Students'' data'!D33)</f>
        <v/>
      </c>
      <c r="D33" s="160">
        <v>38794</v>
      </c>
      <c r="E33" s="163" t="str">
        <f t="shared" si="0"/>
        <v xml:space="preserve">13 ปี 2 เดือน </v>
      </c>
      <c r="F33" s="145">
        <v>68.900000000000006</v>
      </c>
      <c r="G33" s="145">
        <v>156</v>
      </c>
      <c r="H33" s="157" t="str">
        <f t="shared" si="1"/>
        <v xml:space="preserve">13 ปี 5 เดือน </v>
      </c>
      <c r="I33" s="145">
        <v>67</v>
      </c>
      <c r="J33" s="145">
        <v>156</v>
      </c>
      <c r="K33" s="157" t="str">
        <f t="shared" si="2"/>
        <v xml:space="preserve">13 ปี 8 เดือน </v>
      </c>
      <c r="L33" s="145">
        <v>67</v>
      </c>
      <c r="M33" s="145">
        <v>156</v>
      </c>
      <c r="N33" s="157" t="str">
        <f t="shared" si="3"/>
        <v xml:space="preserve">13 ปี 11 เดือน </v>
      </c>
      <c r="O33" s="145">
        <v>61</v>
      </c>
      <c r="P33" s="146">
        <v>156</v>
      </c>
    </row>
    <row r="34" spans="1:16" s="56" customFormat="1" ht="16.5" customHeight="1">
      <c r="A34" s="57">
        <v>24</v>
      </c>
      <c r="B34" s="58" t="str">
        <f>IF('2.Students'' data'!C34="","",'2.Students'' data'!C34)</f>
        <v/>
      </c>
      <c r="C34" s="129" t="str">
        <f>IF('2.Students'' data'!D34="","",'2.Students'' data'!D34)</f>
        <v/>
      </c>
      <c r="D34" s="160">
        <v>39002</v>
      </c>
      <c r="E34" s="163" t="str">
        <f t="shared" si="0"/>
        <v xml:space="preserve">12 ปี 7 เดือน </v>
      </c>
      <c r="F34" s="145">
        <v>50.4</v>
      </c>
      <c r="G34" s="145">
        <v>153</v>
      </c>
      <c r="H34" s="157" t="str">
        <f t="shared" si="1"/>
        <v xml:space="preserve">12 ปี 10 เดือน </v>
      </c>
      <c r="I34" s="145">
        <v>49</v>
      </c>
      <c r="J34" s="145">
        <v>154</v>
      </c>
      <c r="K34" s="157" t="str">
        <f t="shared" si="2"/>
        <v xml:space="preserve">13 ปี 1 เดือน </v>
      </c>
      <c r="L34" s="145">
        <v>47</v>
      </c>
      <c r="M34" s="145">
        <v>155</v>
      </c>
      <c r="N34" s="157" t="str">
        <f t="shared" si="3"/>
        <v xml:space="preserve">13 ปี 4 เดือน </v>
      </c>
      <c r="O34" s="145">
        <v>49</v>
      </c>
      <c r="P34" s="146">
        <v>155</v>
      </c>
    </row>
    <row r="35" spans="1:16" s="56" customFormat="1" ht="16.5" customHeight="1">
      <c r="A35" s="57">
        <v>25</v>
      </c>
      <c r="B35" s="58" t="str">
        <f>IF('2.Students'' data'!C35="","",'2.Students'' data'!C35)</f>
        <v/>
      </c>
      <c r="C35" s="129" t="str">
        <f>IF('2.Students'' data'!D35="","",'2.Students'' data'!D35)</f>
        <v/>
      </c>
      <c r="D35" s="160">
        <v>37832</v>
      </c>
      <c r="E35" s="163" t="str">
        <f t="shared" si="0"/>
        <v xml:space="preserve">15 ปี 10 เดือน </v>
      </c>
      <c r="F35" s="145" t="s">
        <v>79</v>
      </c>
      <c r="G35" s="145" t="s">
        <v>79</v>
      </c>
      <c r="H35" s="157" t="str">
        <f t="shared" si="1"/>
        <v xml:space="preserve">16 ปี 1 เดือน </v>
      </c>
      <c r="I35" s="145" t="s">
        <v>79</v>
      </c>
      <c r="J35" s="145" t="s">
        <v>79</v>
      </c>
      <c r="K35" s="157" t="str">
        <f t="shared" si="2"/>
        <v xml:space="preserve">16 ปี 4 เดือน </v>
      </c>
      <c r="L35" s="145" t="s">
        <v>79</v>
      </c>
      <c r="M35" s="145"/>
      <c r="N35" s="157" t="str">
        <f>DATEDIF(D35,$N$9,"y")&amp;" ปี "&amp;DATEDIF(D35,$N$9,"ym")&amp;" เดือน "</f>
        <v xml:space="preserve">16 ปี 6 เดือน </v>
      </c>
      <c r="O35" s="145" t="s">
        <v>79</v>
      </c>
      <c r="P35" s="146" t="s">
        <v>79</v>
      </c>
    </row>
    <row r="36" spans="1:16" s="56" customFormat="1" ht="16.5" customHeight="1">
      <c r="A36" s="57">
        <v>26</v>
      </c>
      <c r="B36" s="58" t="str">
        <f>IF('2.Students'' data'!C36="","",'2.Students'' data'!C36)</f>
        <v/>
      </c>
      <c r="C36" s="129" t="str">
        <f>IF('2.Students'' data'!D36="","",'2.Students'' data'!D36)</f>
        <v/>
      </c>
      <c r="D36" s="160">
        <v>39143</v>
      </c>
      <c r="E36" s="163" t="str">
        <f t="shared" si="0"/>
        <v xml:space="preserve">12 ปี 2 เดือน </v>
      </c>
      <c r="F36" s="145">
        <v>45.1</v>
      </c>
      <c r="G36" s="145">
        <v>155</v>
      </c>
      <c r="H36" s="157" t="str">
        <f t="shared" si="1"/>
        <v xml:space="preserve">12 ปี 5 เดือน </v>
      </c>
      <c r="I36" s="145">
        <v>44</v>
      </c>
      <c r="J36" s="145">
        <v>155</v>
      </c>
      <c r="K36" s="157" t="str">
        <f t="shared" si="2"/>
        <v xml:space="preserve">12 ปี 8 เดือน </v>
      </c>
      <c r="L36" s="145">
        <v>46</v>
      </c>
      <c r="M36" s="145">
        <v>155</v>
      </c>
      <c r="N36" s="157" t="str">
        <f t="shared" si="3"/>
        <v xml:space="preserve">12 ปี 11 เดือน </v>
      </c>
      <c r="O36" s="145">
        <v>44</v>
      </c>
      <c r="P36" s="146">
        <v>157</v>
      </c>
    </row>
    <row r="37" spans="1:16" s="56" customFormat="1" ht="16.5" customHeight="1">
      <c r="A37" s="57">
        <v>27</v>
      </c>
      <c r="B37" s="58" t="str">
        <f>IF('2.Students'' data'!C37="","",'2.Students'' data'!C37)</f>
        <v/>
      </c>
      <c r="C37" s="129" t="str">
        <f>IF('2.Students'' data'!D37="","",'2.Students'' data'!D37)</f>
        <v/>
      </c>
      <c r="D37" s="160">
        <v>38969</v>
      </c>
      <c r="E37" s="163" t="str">
        <f t="shared" si="0"/>
        <v xml:space="preserve">12 ปี 8 เดือน </v>
      </c>
      <c r="F37" s="145">
        <v>55.8</v>
      </c>
      <c r="G37" s="145">
        <v>160</v>
      </c>
      <c r="H37" s="157" t="str">
        <f t="shared" si="1"/>
        <v xml:space="preserve">12 ปี 11 เดือน </v>
      </c>
      <c r="I37" s="145">
        <v>54</v>
      </c>
      <c r="J37" s="145">
        <v>162</v>
      </c>
      <c r="K37" s="157" t="str">
        <f t="shared" si="2"/>
        <v xml:space="preserve">13 ปี 2 เดือน </v>
      </c>
      <c r="L37" s="145" t="s">
        <v>79</v>
      </c>
      <c r="M37" s="145" t="s">
        <v>79</v>
      </c>
      <c r="N37" s="157" t="str">
        <f t="shared" si="3"/>
        <v xml:space="preserve">13 ปี 5 เดือน </v>
      </c>
      <c r="O37" s="145" t="s">
        <v>79</v>
      </c>
      <c r="P37" s="146" t="s">
        <v>79</v>
      </c>
    </row>
    <row r="38" spans="1:16" s="56" customFormat="1" ht="16.5" customHeight="1">
      <c r="A38" s="57">
        <v>28</v>
      </c>
      <c r="B38" s="58" t="str">
        <f>IF('2.Students'' data'!C38="","",'2.Students'' data'!C38)</f>
        <v/>
      </c>
      <c r="C38" s="129" t="str">
        <f>IF('2.Students'' data'!D38="","",'2.Students'' data'!D38)</f>
        <v/>
      </c>
      <c r="D38" s="160">
        <v>38313</v>
      </c>
      <c r="E38" s="163" t="str">
        <f t="shared" si="0"/>
        <v xml:space="preserve">14 ปี 6 เดือน </v>
      </c>
      <c r="F38" s="145" t="s">
        <v>79</v>
      </c>
      <c r="G38" s="145" t="s">
        <v>79</v>
      </c>
      <c r="H38" s="157" t="str">
        <f t="shared" si="1"/>
        <v xml:space="preserve">14 ปี 9 เดือน </v>
      </c>
      <c r="I38" s="145" t="s">
        <v>79</v>
      </c>
      <c r="J38" s="145" t="s">
        <v>79</v>
      </c>
      <c r="K38" s="157" t="str">
        <f t="shared" si="2"/>
        <v xml:space="preserve">15 ปี 0 เดือน </v>
      </c>
      <c r="L38" s="145" t="s">
        <v>79</v>
      </c>
      <c r="M38" s="145" t="s">
        <v>79</v>
      </c>
      <c r="N38" s="157" t="str">
        <f t="shared" si="3"/>
        <v xml:space="preserve">15 ปี 3 เดือน </v>
      </c>
      <c r="O38" s="145" t="s">
        <v>79</v>
      </c>
      <c r="P38" s="146" t="s">
        <v>79</v>
      </c>
    </row>
    <row r="39" spans="1:16" s="56" customFormat="1" ht="16.5" customHeight="1">
      <c r="A39" s="57">
        <v>29</v>
      </c>
      <c r="B39" s="58" t="str">
        <f>IF('2.Students'' data'!C39="","",'2.Students'' data'!C39)</f>
        <v/>
      </c>
      <c r="C39" s="129" t="str">
        <f>IF('2.Students'' data'!D39="","",'2.Students'' data'!D39)</f>
        <v/>
      </c>
      <c r="D39" s="160">
        <v>39050</v>
      </c>
      <c r="E39" s="163" t="str">
        <f t="shared" si="0"/>
        <v xml:space="preserve">12 ปี 6 เดือน </v>
      </c>
      <c r="F39" s="145">
        <v>42.7</v>
      </c>
      <c r="G39" s="145">
        <v>155</v>
      </c>
      <c r="H39" s="157" t="str">
        <f t="shared" si="1"/>
        <v xml:space="preserve">12 ปี 9 เดือน </v>
      </c>
      <c r="I39" s="145">
        <v>45</v>
      </c>
      <c r="J39" s="145">
        <v>155</v>
      </c>
      <c r="K39" s="157" t="str">
        <f t="shared" si="2"/>
        <v xml:space="preserve">13 ปี 0 เดือน </v>
      </c>
      <c r="L39" s="145">
        <v>43</v>
      </c>
      <c r="M39" s="145">
        <v>156</v>
      </c>
      <c r="N39" s="157" t="str">
        <f t="shared" si="3"/>
        <v xml:space="preserve">13 ปี 2 เดือน </v>
      </c>
      <c r="O39" s="145">
        <v>48</v>
      </c>
      <c r="P39" s="146">
        <v>157</v>
      </c>
    </row>
    <row r="40" spans="1:16" s="56" customFormat="1" ht="16.5" customHeight="1">
      <c r="A40" s="57">
        <v>30</v>
      </c>
      <c r="B40" s="58" t="str">
        <f>IF('2.Students'' data'!C40="","",'2.Students'' data'!C40)</f>
        <v/>
      </c>
      <c r="C40" s="129" t="str">
        <f>IF('2.Students'' data'!D40="","",'2.Students'' data'!D40)</f>
        <v/>
      </c>
      <c r="D40" s="160">
        <v>39079</v>
      </c>
      <c r="E40" s="163" t="str">
        <f t="shared" si="0"/>
        <v xml:space="preserve">12 ปี 5 เดือน </v>
      </c>
      <c r="F40" s="145">
        <v>31.1</v>
      </c>
      <c r="G40" s="145">
        <v>140</v>
      </c>
      <c r="H40" s="157" t="str">
        <f t="shared" si="1"/>
        <v xml:space="preserve">12 ปี 8 เดือน </v>
      </c>
      <c r="I40" s="145">
        <v>32</v>
      </c>
      <c r="J40" s="145">
        <v>141</v>
      </c>
      <c r="K40" s="157" t="str">
        <f t="shared" si="2"/>
        <v xml:space="preserve">12 ปี 11 เดือน </v>
      </c>
      <c r="L40" s="145">
        <v>34</v>
      </c>
      <c r="M40" s="145">
        <v>143</v>
      </c>
      <c r="N40" s="157" t="str">
        <f t="shared" si="3"/>
        <v xml:space="preserve">13 ปี 2 เดือน </v>
      </c>
      <c r="O40" s="145">
        <v>37</v>
      </c>
      <c r="P40" s="146">
        <v>145</v>
      </c>
    </row>
    <row r="41" spans="1:16" s="56" customFormat="1" ht="16.5" customHeight="1">
      <c r="A41" s="57">
        <v>31</v>
      </c>
      <c r="B41" s="58" t="str">
        <f>IF('2.Students'' data'!C41="","",'2.Students'' data'!C41)</f>
        <v/>
      </c>
      <c r="C41" s="129" t="str">
        <f>IF('2.Students'' data'!D41="","",'2.Students'' data'!D41)</f>
        <v/>
      </c>
      <c r="D41" s="160">
        <v>39095</v>
      </c>
      <c r="E41" s="163" t="str">
        <f t="shared" si="0"/>
        <v xml:space="preserve">12 ปี 4 เดือน </v>
      </c>
      <c r="F41" s="145">
        <v>50.2</v>
      </c>
      <c r="G41" s="145">
        <v>149</v>
      </c>
      <c r="H41" s="157" t="str">
        <f t="shared" si="1"/>
        <v xml:space="preserve">12 ปี 7 เดือน </v>
      </c>
      <c r="I41" s="145">
        <v>49</v>
      </c>
      <c r="J41" s="145">
        <v>152</v>
      </c>
      <c r="K41" s="157" t="str">
        <f t="shared" si="2"/>
        <v xml:space="preserve">12 ปี 10 เดือน </v>
      </c>
      <c r="L41" s="145">
        <v>47</v>
      </c>
      <c r="M41" s="145">
        <v>155</v>
      </c>
      <c r="N41" s="157" t="str">
        <f t="shared" si="3"/>
        <v xml:space="preserve">13 ปี 1 เดือน </v>
      </c>
      <c r="O41" s="145">
        <v>50</v>
      </c>
      <c r="P41" s="146">
        <v>155</v>
      </c>
    </row>
    <row r="42" spans="1:16" s="56" customFormat="1" ht="16.5" customHeight="1">
      <c r="A42" s="57">
        <v>32</v>
      </c>
      <c r="B42" s="58" t="str">
        <f>IF('2.Students'' data'!C42="","",'2.Students'' data'!C42)</f>
        <v/>
      </c>
      <c r="C42" s="129" t="str">
        <f>IF('2.Students'' data'!D42="","",'2.Students'' data'!D42)</f>
        <v/>
      </c>
      <c r="D42" s="160">
        <v>38957</v>
      </c>
      <c r="E42" s="163" t="str">
        <f t="shared" si="0"/>
        <v xml:space="preserve">12 ปี 9 เดือน </v>
      </c>
      <c r="F42" s="145">
        <v>53.2</v>
      </c>
      <c r="G42" s="145">
        <v>152</v>
      </c>
      <c r="H42" s="157" t="str">
        <f t="shared" si="1"/>
        <v xml:space="preserve">13 ปี 0 เดือน </v>
      </c>
      <c r="I42" s="145">
        <v>52</v>
      </c>
      <c r="J42" s="145">
        <v>152</v>
      </c>
      <c r="K42" s="157" t="str">
        <f t="shared" si="2"/>
        <v xml:space="preserve">13 ปี 3 เดือน </v>
      </c>
      <c r="L42" s="145">
        <v>49</v>
      </c>
      <c r="M42" s="145">
        <v>152</v>
      </c>
      <c r="N42" s="157" t="str">
        <f t="shared" si="3"/>
        <v xml:space="preserve">13 ปี 6 เดือน </v>
      </c>
      <c r="O42" s="145">
        <v>51</v>
      </c>
      <c r="P42" s="146">
        <v>152</v>
      </c>
    </row>
    <row r="43" spans="1:16" s="56" customFormat="1" ht="16.5" customHeight="1">
      <c r="A43" s="57">
        <v>33</v>
      </c>
      <c r="B43" s="58" t="str">
        <f>IF('2.Students'' data'!C43="","",'2.Students'' data'!C43)</f>
        <v/>
      </c>
      <c r="C43" s="129" t="str">
        <f>IF('2.Students'' data'!D43="","",'2.Students'' data'!D43)</f>
        <v/>
      </c>
      <c r="D43" s="160">
        <v>38932</v>
      </c>
      <c r="E43" s="163" t="str">
        <f t="shared" si="0"/>
        <v xml:space="preserve">12 ปี 9 เดือน </v>
      </c>
      <c r="F43" s="145">
        <v>39.700000000000003</v>
      </c>
      <c r="G43" s="145">
        <v>155</v>
      </c>
      <c r="H43" s="157" t="str">
        <f t="shared" si="1"/>
        <v xml:space="preserve">13 ปี 0 เดือน </v>
      </c>
      <c r="I43" s="145">
        <v>40</v>
      </c>
      <c r="J43" s="145">
        <v>156</v>
      </c>
      <c r="K43" s="157" t="str">
        <f t="shared" si="2"/>
        <v xml:space="preserve">13 ปี 3 เดือน </v>
      </c>
      <c r="L43" s="145">
        <v>41</v>
      </c>
      <c r="M43" s="145">
        <v>156</v>
      </c>
      <c r="N43" s="157" t="str">
        <f t="shared" si="3"/>
        <v xml:space="preserve">13 ปี 6 เดือน </v>
      </c>
      <c r="O43" s="145">
        <v>40</v>
      </c>
      <c r="P43" s="146">
        <v>157</v>
      </c>
    </row>
    <row r="44" spans="1:16" s="56" customFormat="1" ht="16.5" customHeight="1">
      <c r="A44" s="57">
        <v>34</v>
      </c>
      <c r="B44" s="58" t="str">
        <f>IF('2.Students'' data'!C44="","",'2.Students'' data'!C44)</f>
        <v/>
      </c>
      <c r="C44" s="129" t="str">
        <f>IF('2.Students'' data'!D44="","",'2.Students'' data'!D44)</f>
        <v/>
      </c>
      <c r="D44" s="160">
        <v>38757</v>
      </c>
      <c r="E44" s="163" t="str">
        <f t="shared" si="0"/>
        <v xml:space="preserve">13 ปี 3 เดือน </v>
      </c>
      <c r="F44" s="145">
        <v>45.1</v>
      </c>
      <c r="G44" s="145">
        <v>162</v>
      </c>
      <c r="H44" s="157" t="str">
        <f t="shared" si="1"/>
        <v xml:space="preserve">13 ปี 6 เดือน </v>
      </c>
      <c r="I44" s="145">
        <v>44</v>
      </c>
      <c r="J44" s="145">
        <v>162</v>
      </c>
      <c r="K44" s="157" t="str">
        <f t="shared" si="2"/>
        <v xml:space="preserve">13 ปี 9 เดือน </v>
      </c>
      <c r="L44" s="145" t="s">
        <v>79</v>
      </c>
      <c r="M44" s="145" t="s">
        <v>79</v>
      </c>
      <c r="N44" s="157" t="str">
        <f t="shared" si="3"/>
        <v xml:space="preserve">14 ปี 0 เดือน </v>
      </c>
      <c r="O44" s="145" t="s">
        <v>79</v>
      </c>
      <c r="P44" s="146" t="s">
        <v>79</v>
      </c>
    </row>
    <row r="45" spans="1:16" s="56" customFormat="1" ht="16.5" customHeight="1">
      <c r="A45" s="57">
        <v>35</v>
      </c>
      <c r="B45" s="58" t="str">
        <f>IF('2.Students'' data'!C45="","",'2.Students'' data'!C45)</f>
        <v/>
      </c>
      <c r="C45" s="129" t="str">
        <f>IF('2.Students'' data'!D45="","",'2.Students'' data'!D45)</f>
        <v/>
      </c>
      <c r="D45" s="160">
        <v>39225</v>
      </c>
      <c r="E45" s="163" t="str">
        <f t="shared" si="0"/>
        <v xml:space="preserve">12 ปี 0 เดือน </v>
      </c>
      <c r="F45" s="145" t="s">
        <v>79</v>
      </c>
      <c r="G45" s="145" t="s">
        <v>79</v>
      </c>
      <c r="H45" s="157" t="str">
        <f t="shared" si="1"/>
        <v xml:space="preserve">12 ปี 3 เดือน </v>
      </c>
      <c r="I45" s="145" t="s">
        <v>79</v>
      </c>
      <c r="J45" s="145" t="s">
        <v>79</v>
      </c>
      <c r="K45" s="157" t="str">
        <f t="shared" si="2"/>
        <v xml:space="preserve">12 ปี 6 เดือน </v>
      </c>
      <c r="L45" s="145">
        <v>57</v>
      </c>
      <c r="M45" s="145">
        <v>169</v>
      </c>
      <c r="N45" s="157" t="str">
        <f t="shared" si="3"/>
        <v xml:space="preserve">12 ปี 9 เดือน </v>
      </c>
      <c r="O45" s="145">
        <v>56</v>
      </c>
      <c r="P45" s="146">
        <v>170</v>
      </c>
    </row>
    <row r="46" spans="1:16" s="56" customFormat="1" ht="16.5" customHeight="1">
      <c r="A46" s="57">
        <v>36</v>
      </c>
      <c r="B46" s="58" t="str">
        <f>IF('2.Students'' data'!C46="","",'2.Students'' data'!C46)</f>
        <v/>
      </c>
      <c r="C46" s="129" t="str">
        <f>IF('2.Students'' data'!D46="","",'2.Students'' data'!D46)</f>
        <v/>
      </c>
      <c r="D46" s="160">
        <v>39107</v>
      </c>
      <c r="E46" s="163" t="str">
        <f t="shared" si="0"/>
        <v xml:space="preserve">12 ปี 4 เดือน </v>
      </c>
      <c r="F46" s="145" t="s">
        <v>79</v>
      </c>
      <c r="G46" s="145" t="s">
        <v>79</v>
      </c>
      <c r="H46" s="157" t="str">
        <f t="shared" si="1"/>
        <v xml:space="preserve">12 ปี 7 เดือน </v>
      </c>
      <c r="I46" s="145" t="s">
        <v>79</v>
      </c>
      <c r="J46" s="145" t="s">
        <v>79</v>
      </c>
      <c r="K46" s="157" t="str">
        <f t="shared" si="2"/>
        <v xml:space="preserve">12 ปี 10 เดือน </v>
      </c>
      <c r="L46" s="145" t="s">
        <v>79</v>
      </c>
      <c r="M46" s="145" t="s">
        <v>79</v>
      </c>
      <c r="N46" s="157" t="str">
        <f t="shared" si="3"/>
        <v xml:space="preserve">13 ปี 1 เดือน </v>
      </c>
      <c r="O46" s="145" t="s">
        <v>79</v>
      </c>
      <c r="P46" s="146" t="s">
        <v>79</v>
      </c>
    </row>
    <row r="47" spans="1:16" s="56" customFormat="1" ht="16.5" customHeight="1">
      <c r="A47" s="57">
        <v>37</v>
      </c>
      <c r="B47" s="58" t="str">
        <f>IF('2.Students'' data'!C47="","",'2.Students'' data'!C47)</f>
        <v/>
      </c>
      <c r="C47" s="129" t="str">
        <f>IF('2.Students'' data'!D47="","",'2.Students'' data'!D47)</f>
        <v/>
      </c>
      <c r="D47" s="160"/>
      <c r="E47" s="163"/>
      <c r="F47" s="145"/>
      <c r="G47" s="145"/>
      <c r="H47" s="157"/>
      <c r="I47" s="145"/>
      <c r="J47" s="145"/>
      <c r="K47" s="157"/>
      <c r="L47" s="145"/>
      <c r="M47" s="145"/>
      <c r="N47" s="157"/>
      <c r="O47" s="145"/>
      <c r="P47" s="146"/>
    </row>
    <row r="48" spans="1:16" s="56" customFormat="1" ht="16.5" customHeight="1">
      <c r="A48" s="57">
        <v>38</v>
      </c>
      <c r="B48" s="58" t="str">
        <f>IF('2.Students'' data'!C48="","",'2.Students'' data'!C48)</f>
        <v/>
      </c>
      <c r="C48" s="129" t="str">
        <f>IF('2.Students'' data'!D48="","",'2.Students'' data'!D48)</f>
        <v/>
      </c>
      <c r="D48" s="160"/>
      <c r="E48" s="163"/>
      <c r="F48" s="145"/>
      <c r="G48" s="145"/>
      <c r="H48" s="157"/>
      <c r="I48" s="145"/>
      <c r="J48" s="145"/>
      <c r="K48" s="157"/>
      <c r="L48" s="145"/>
      <c r="M48" s="145"/>
      <c r="N48" s="157"/>
      <c r="O48" s="145"/>
      <c r="P48" s="146"/>
    </row>
    <row r="49" spans="1:16" s="56" customFormat="1" ht="16.5" customHeight="1">
      <c r="A49" s="57">
        <v>39</v>
      </c>
      <c r="B49" s="58" t="str">
        <f>IF('2.Students'' data'!C49="","",'2.Students'' data'!C49)</f>
        <v/>
      </c>
      <c r="C49" s="129" t="str">
        <f>IF('2.Students'' data'!D49="","",'2.Students'' data'!D49)</f>
        <v/>
      </c>
      <c r="D49" s="160"/>
      <c r="E49" s="163"/>
      <c r="F49" s="145"/>
      <c r="G49" s="145"/>
      <c r="H49" s="157"/>
      <c r="I49" s="145"/>
      <c r="J49" s="145"/>
      <c r="K49" s="157"/>
      <c r="L49" s="145"/>
      <c r="M49" s="145"/>
      <c r="N49" s="157"/>
      <c r="O49" s="145"/>
      <c r="P49" s="146"/>
    </row>
    <row r="50" spans="1:16" s="56" customFormat="1" ht="16.5" customHeight="1">
      <c r="A50" s="57">
        <v>40</v>
      </c>
      <c r="B50" s="58" t="str">
        <f>IF('2.Students'' data'!C50="","",'2.Students'' data'!C50)</f>
        <v/>
      </c>
      <c r="C50" s="129" t="str">
        <f>IF('2.Students'' data'!D50="","",'2.Students'' data'!D50)</f>
        <v/>
      </c>
      <c r="D50" s="160"/>
      <c r="E50" s="163"/>
      <c r="F50" s="145"/>
      <c r="G50" s="145"/>
      <c r="H50" s="157"/>
      <c r="I50" s="145"/>
      <c r="J50" s="145"/>
      <c r="K50" s="157"/>
      <c r="L50" s="145"/>
      <c r="M50" s="145"/>
      <c r="N50" s="157"/>
      <c r="O50" s="145"/>
      <c r="P50" s="146"/>
    </row>
    <row r="51" spans="1:16" s="56" customFormat="1" ht="16.5" customHeight="1">
      <c r="A51" s="57">
        <v>41</v>
      </c>
      <c r="B51" s="58" t="str">
        <f>IF('2.Students'' data'!C51="","",'2.Students'' data'!C51)</f>
        <v/>
      </c>
      <c r="C51" s="129" t="str">
        <f>IF('2.Students'' data'!D51="","",'2.Students'' data'!D51)</f>
        <v/>
      </c>
      <c r="D51" s="160"/>
      <c r="E51" s="163"/>
      <c r="F51" s="145"/>
      <c r="G51" s="145"/>
      <c r="H51" s="157"/>
      <c r="I51" s="145"/>
      <c r="J51" s="145"/>
      <c r="K51" s="157"/>
      <c r="L51" s="145"/>
      <c r="M51" s="145"/>
      <c r="N51" s="157"/>
      <c r="O51" s="145"/>
      <c r="P51" s="146"/>
    </row>
    <row r="52" spans="1:16" s="56" customFormat="1" ht="16.5" customHeight="1">
      <c r="A52" s="57">
        <v>42</v>
      </c>
      <c r="B52" s="58" t="str">
        <f>IF('2.Students'' data'!C52="","",'2.Students'' data'!C52)</f>
        <v/>
      </c>
      <c r="C52" s="129" t="str">
        <f>IF('2.Students'' data'!D52="","",'2.Students'' data'!D52)</f>
        <v/>
      </c>
      <c r="D52" s="160"/>
      <c r="E52" s="163"/>
      <c r="F52" s="145"/>
      <c r="G52" s="145"/>
      <c r="H52" s="157"/>
      <c r="I52" s="145"/>
      <c r="J52" s="145"/>
      <c r="K52" s="157"/>
      <c r="L52" s="145"/>
      <c r="M52" s="145"/>
      <c r="N52" s="157"/>
      <c r="O52" s="145"/>
      <c r="P52" s="146"/>
    </row>
    <row r="53" spans="1:16" s="56" customFormat="1" ht="16.5" customHeight="1">
      <c r="A53" s="57">
        <v>43</v>
      </c>
      <c r="B53" s="58" t="str">
        <f>IF('2.Students'' data'!C53="","",'2.Students'' data'!C53)</f>
        <v/>
      </c>
      <c r="C53" s="129" t="str">
        <f>IF('2.Students'' data'!D53="","",'2.Students'' data'!D53)</f>
        <v/>
      </c>
      <c r="D53" s="160"/>
      <c r="E53" s="163"/>
      <c r="F53" s="145"/>
      <c r="G53" s="145"/>
      <c r="H53" s="157"/>
      <c r="I53" s="145"/>
      <c r="J53" s="145"/>
      <c r="K53" s="157"/>
      <c r="L53" s="145"/>
      <c r="M53" s="145"/>
      <c r="N53" s="157"/>
      <c r="O53" s="145"/>
      <c r="P53" s="146"/>
    </row>
    <row r="54" spans="1:16" s="56" customFormat="1" ht="16.5" customHeight="1">
      <c r="A54" s="57">
        <v>44</v>
      </c>
      <c r="B54" s="58" t="str">
        <f>IF('2.Students'' data'!C54="","",'2.Students'' data'!C54)</f>
        <v/>
      </c>
      <c r="C54" s="129" t="str">
        <f>IF('2.Students'' data'!D54="","",'2.Students'' data'!D54)</f>
        <v/>
      </c>
      <c r="D54" s="160"/>
      <c r="E54" s="163"/>
      <c r="F54" s="145"/>
      <c r="G54" s="145"/>
      <c r="H54" s="157"/>
      <c r="I54" s="145"/>
      <c r="J54" s="145"/>
      <c r="K54" s="157"/>
      <c r="L54" s="145"/>
      <c r="M54" s="145"/>
      <c r="N54" s="157"/>
      <c r="O54" s="145"/>
      <c r="P54" s="146"/>
    </row>
    <row r="55" spans="1:16" s="56" customFormat="1" ht="16.5" customHeight="1" thickBot="1">
      <c r="A55" s="131">
        <v>45</v>
      </c>
      <c r="B55" s="132" t="str">
        <f>IF('2.Students'' data'!C55="","",'2.Students'' data'!C55)</f>
        <v/>
      </c>
      <c r="C55" s="133" t="str">
        <f>IF('2.Students'' data'!D55="","",'2.Students'' data'!D55)</f>
        <v/>
      </c>
      <c r="D55" s="162"/>
      <c r="E55" s="164"/>
      <c r="F55" s="147"/>
      <c r="G55" s="147"/>
      <c r="H55" s="158"/>
      <c r="I55" s="147"/>
      <c r="J55" s="147"/>
      <c r="K55" s="158"/>
      <c r="L55" s="147"/>
      <c r="M55" s="147"/>
      <c r="N55" s="158"/>
      <c r="O55" s="147"/>
      <c r="P55" s="148"/>
    </row>
    <row r="56" spans="1:16" s="61" customFormat="1" ht="9.75" customHeight="1">
      <c r="A56" s="59"/>
      <c r="B56" s="60"/>
      <c r="C56" s="60"/>
      <c r="D56" s="60"/>
      <c r="E56" s="60"/>
      <c r="F56" s="59"/>
      <c r="G56" s="59"/>
      <c r="H56" s="59"/>
      <c r="I56" s="59"/>
      <c r="J56" s="59"/>
      <c r="K56" s="59"/>
      <c r="L56" s="59"/>
      <c r="M56" s="59"/>
      <c r="N56" s="59"/>
    </row>
    <row r="57" spans="1:16" s="63" customFormat="1" ht="16.5" customHeight="1">
      <c r="A57" s="59"/>
      <c r="B57" s="62"/>
      <c r="C57" s="62"/>
      <c r="D57" s="62"/>
      <c r="E57" s="62"/>
      <c r="F57" s="59"/>
      <c r="G57" s="59"/>
      <c r="H57" s="59"/>
      <c r="K57" s="149"/>
      <c r="N57" s="149"/>
    </row>
    <row r="58" spans="1:16" s="63" customFormat="1" ht="16.5" customHeight="1">
      <c r="A58" s="59"/>
      <c r="B58" s="62"/>
      <c r="C58" s="62"/>
      <c r="D58" s="62"/>
      <c r="E58" s="62"/>
      <c r="F58" s="59"/>
      <c r="G58" s="59"/>
      <c r="H58" s="59"/>
      <c r="K58" s="149"/>
      <c r="N58" s="149"/>
    </row>
    <row r="59" spans="1:16" s="63" customFormat="1" ht="16.5" customHeight="1">
      <c r="A59" s="59"/>
      <c r="B59" s="62"/>
      <c r="C59" s="62"/>
      <c r="D59" s="62"/>
      <c r="E59" s="62"/>
      <c r="F59" s="59"/>
      <c r="G59" s="59"/>
      <c r="H59" s="59"/>
      <c r="K59" s="149"/>
      <c r="N59" s="149"/>
    </row>
    <row r="60" spans="1:16" ht="16.5" customHeight="1">
      <c r="A60" s="59"/>
      <c r="B60" s="62"/>
      <c r="C60" s="62"/>
      <c r="D60" s="62"/>
      <c r="E60" s="62"/>
      <c r="F60" s="64"/>
      <c r="G60" s="64"/>
      <c r="H60" s="64"/>
    </row>
    <row r="61" spans="1:16" ht="16.5" customHeight="1">
      <c r="A61" s="59"/>
      <c r="B61" s="62"/>
      <c r="C61" s="62"/>
      <c r="D61" s="62"/>
      <c r="E61" s="62"/>
      <c r="F61" s="64"/>
      <c r="G61" s="64"/>
      <c r="H61" s="64"/>
    </row>
    <row r="62" spans="1:16" ht="12.75" customHeight="1">
      <c r="A62" s="59"/>
      <c r="B62" s="62"/>
      <c r="C62" s="62"/>
      <c r="D62" s="62"/>
      <c r="E62" s="62"/>
      <c r="F62" s="59"/>
      <c r="G62" s="59"/>
      <c r="H62" s="59"/>
    </row>
  </sheetData>
  <mergeCells count="11">
    <mergeCell ref="R12:W14"/>
    <mergeCell ref="R2:W10"/>
    <mergeCell ref="A1:P1"/>
    <mergeCell ref="A2:P2"/>
    <mergeCell ref="A9:A10"/>
    <mergeCell ref="B9:C10"/>
    <mergeCell ref="D9:D10"/>
    <mergeCell ref="E9:G9"/>
    <mergeCell ref="H9:J9"/>
    <mergeCell ref="K9:M9"/>
    <mergeCell ref="N9:P9"/>
  </mergeCells>
  <dataValidations count="1">
    <dataValidation allowBlank="1" showErrorMessage="1" sqref="F11:P55" xr:uid="{00000000-0002-0000-04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9" scale="57" orientation="portrait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2">
    <tabColor rgb="FFFFFF00"/>
    <pageSetUpPr fitToPage="1"/>
  </sheetPr>
  <dimension ref="A1:T62"/>
  <sheetViews>
    <sheetView view="pageBreakPreview" topLeftCell="B1" workbookViewId="0">
      <pane xSplit="2" ySplit="10" topLeftCell="D11" activePane="bottomRight" state="frozen"/>
      <selection activeCell="A8" sqref="A8"/>
      <selection pane="topRight" activeCell="A8" sqref="A8"/>
      <selection pane="bottomLeft" activeCell="A8" sqref="A8"/>
      <selection pane="bottomRight" activeCell="C26" sqref="C26"/>
    </sheetView>
  </sheetViews>
  <sheetFormatPr defaultColWidth="9.42578125" defaultRowHeight="21"/>
  <cols>
    <col min="1" max="1" width="3.5703125" style="52" customWidth="1"/>
    <col min="2" max="2" width="14" style="52" customWidth="1"/>
    <col min="3" max="3" width="12.5703125" style="52" customWidth="1"/>
    <col min="4" max="10" width="7.5703125" style="52" customWidth="1"/>
    <col min="11" max="11" width="44" style="52" customWidth="1"/>
    <col min="12" max="18" width="7.5703125" style="52" customWidth="1"/>
    <col min="19" max="19" width="44" style="154" customWidth="1"/>
    <col min="20" max="16384" width="9.42578125" style="52"/>
  </cols>
  <sheetData>
    <row r="1" spans="1:20" s="51" customFormat="1" ht="24.75" customHeight="1">
      <c r="A1" s="327" t="s">
        <v>488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</row>
    <row r="2" spans="1:20" s="51" customFormat="1" ht="24.75" customHeight="1">
      <c r="A2" s="327" t="s">
        <v>531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</row>
    <row r="3" spans="1:20" s="51" customFormat="1" ht="24.75" hidden="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50"/>
    </row>
    <row r="4" spans="1:20" s="51" customFormat="1" ht="24.75" hidden="1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50"/>
    </row>
    <row r="5" spans="1:20" s="51" customFormat="1" ht="24.75" hidden="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50"/>
    </row>
    <row r="6" spans="1:20" s="51" customFormat="1" ht="24.75" hidden="1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50"/>
    </row>
    <row r="7" spans="1:20" s="51" customFormat="1" ht="24.75" hidden="1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50"/>
    </row>
    <row r="8" spans="1:20" s="51" customFormat="1" ht="24.75" hidden="1" customHeigh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50"/>
    </row>
    <row r="9" spans="1:20" ht="21" customHeight="1">
      <c r="A9" s="339" t="s">
        <v>0</v>
      </c>
      <c r="B9" s="339" t="s">
        <v>30</v>
      </c>
      <c r="C9" s="339"/>
      <c r="D9" s="340" t="s">
        <v>489</v>
      </c>
      <c r="E9" s="341"/>
      <c r="F9" s="341"/>
      <c r="G9" s="341"/>
      <c r="H9" s="341"/>
      <c r="I9" s="341"/>
      <c r="J9" s="341"/>
      <c r="K9" s="341"/>
      <c r="L9" s="340" t="s">
        <v>490</v>
      </c>
      <c r="M9" s="341"/>
      <c r="N9" s="341"/>
      <c r="O9" s="341"/>
      <c r="P9" s="341"/>
      <c r="Q9" s="341"/>
      <c r="R9" s="341"/>
      <c r="S9" s="341"/>
    </row>
    <row r="10" spans="1:20" s="65" customFormat="1" ht="72.75" customHeight="1" thickBot="1">
      <c r="A10" s="339"/>
      <c r="B10" s="339"/>
      <c r="C10" s="339"/>
      <c r="D10" s="141" t="s">
        <v>491</v>
      </c>
      <c r="E10" s="142" t="s">
        <v>492</v>
      </c>
      <c r="F10" s="142" t="s">
        <v>493</v>
      </c>
      <c r="G10" s="142" t="s">
        <v>494</v>
      </c>
      <c r="H10" s="142" t="s">
        <v>495</v>
      </c>
      <c r="I10" s="142" t="s">
        <v>496</v>
      </c>
      <c r="J10" s="142" t="s">
        <v>497</v>
      </c>
      <c r="K10" s="151" t="s">
        <v>498</v>
      </c>
      <c r="L10" s="141" t="s">
        <v>491</v>
      </c>
      <c r="M10" s="142" t="s">
        <v>492</v>
      </c>
      <c r="N10" s="142" t="s">
        <v>493</v>
      </c>
      <c r="O10" s="142" t="s">
        <v>494</v>
      </c>
      <c r="P10" s="142" t="s">
        <v>495</v>
      </c>
      <c r="Q10" s="142" t="s">
        <v>496</v>
      </c>
      <c r="R10" s="142" t="s">
        <v>497</v>
      </c>
      <c r="S10" s="151" t="s">
        <v>498</v>
      </c>
    </row>
    <row r="11" spans="1:20" s="56" customFormat="1" ht="35.25" customHeight="1">
      <c r="A11" s="54">
        <v>1</v>
      </c>
      <c r="B11" s="55" t="str">
        <f>IF('2.Students'' data'!C11="","",'2.Students'' data'!C11)</f>
        <v/>
      </c>
      <c r="C11" s="126" t="str">
        <f>IF('2.Students'' data'!D11="","",'2.Students'' data'!D11)</f>
        <v/>
      </c>
      <c r="D11" s="127"/>
      <c r="E11" s="128"/>
      <c r="F11" s="128"/>
      <c r="G11" s="128"/>
      <c r="H11" s="128"/>
      <c r="I11" s="128"/>
      <c r="J11" s="128"/>
      <c r="K11" s="169" t="s">
        <v>79</v>
      </c>
      <c r="L11" s="127">
        <v>5</v>
      </c>
      <c r="M11" s="128">
        <v>5</v>
      </c>
      <c r="N11" s="128">
        <v>5</v>
      </c>
      <c r="O11" s="128">
        <v>5</v>
      </c>
      <c r="P11" s="128">
        <v>5</v>
      </c>
      <c r="Q11" s="128">
        <v>5</v>
      </c>
      <c r="R11" s="128">
        <v>5</v>
      </c>
      <c r="S11" s="170" t="s">
        <v>79</v>
      </c>
      <c r="T11" s="56" t="s">
        <v>29</v>
      </c>
    </row>
    <row r="12" spans="1:20" s="56" customFormat="1" ht="35.25" customHeight="1">
      <c r="A12" s="57">
        <v>2</v>
      </c>
      <c r="B12" s="58" t="str">
        <f>IF('2.Students'' data'!C12="","",'2.Students'' data'!C12)</f>
        <v/>
      </c>
      <c r="C12" s="129" t="str">
        <f>IF('2.Students'' data'!D12="","",'2.Students'' data'!D12)</f>
        <v/>
      </c>
      <c r="D12" s="113">
        <v>3</v>
      </c>
      <c r="E12" s="114">
        <v>2</v>
      </c>
      <c r="F12" s="114">
        <v>3</v>
      </c>
      <c r="G12" s="114">
        <v>2</v>
      </c>
      <c r="H12" s="114">
        <v>5</v>
      </c>
      <c r="I12" s="114">
        <v>4</v>
      </c>
      <c r="J12" s="114">
        <v>4</v>
      </c>
      <c r="K12" s="170" t="s">
        <v>499</v>
      </c>
      <c r="L12" s="113">
        <v>3</v>
      </c>
      <c r="M12" s="114">
        <v>2</v>
      </c>
      <c r="N12" s="114">
        <v>3</v>
      </c>
      <c r="O12" s="114">
        <v>2</v>
      </c>
      <c r="P12" s="114">
        <v>5</v>
      </c>
      <c r="Q12" s="114">
        <v>4</v>
      </c>
      <c r="R12" s="114">
        <v>4</v>
      </c>
      <c r="S12" s="170" t="s">
        <v>500</v>
      </c>
      <c r="T12" s="56" t="s">
        <v>28</v>
      </c>
    </row>
    <row r="13" spans="1:20" s="56" customFormat="1" ht="35.25" customHeight="1">
      <c r="A13" s="57">
        <v>3</v>
      </c>
      <c r="B13" s="58" t="str">
        <f>IF('2.Students'' data'!C13="","",'2.Students'' data'!C13)</f>
        <v/>
      </c>
      <c r="C13" s="129" t="str">
        <f>IF('2.Students'' data'!D13="","",'2.Students'' data'!D13)</f>
        <v/>
      </c>
      <c r="D13" s="113">
        <v>2</v>
      </c>
      <c r="E13" s="114">
        <v>2</v>
      </c>
      <c r="F13" s="114">
        <v>3</v>
      </c>
      <c r="G13" s="114">
        <v>2</v>
      </c>
      <c r="H13" s="114">
        <v>5</v>
      </c>
      <c r="I13" s="114">
        <v>4</v>
      </c>
      <c r="J13" s="114">
        <v>4</v>
      </c>
      <c r="K13" s="170" t="s">
        <v>501</v>
      </c>
      <c r="L13" s="113">
        <v>2</v>
      </c>
      <c r="M13" s="114">
        <v>2</v>
      </c>
      <c r="N13" s="114">
        <v>3</v>
      </c>
      <c r="O13" s="114">
        <v>2</v>
      </c>
      <c r="P13" s="114">
        <v>5</v>
      </c>
      <c r="Q13" s="114">
        <v>4</v>
      </c>
      <c r="R13" s="114">
        <v>4</v>
      </c>
      <c r="S13" s="170" t="s">
        <v>502</v>
      </c>
      <c r="T13" s="56" t="s">
        <v>28</v>
      </c>
    </row>
    <row r="14" spans="1:20" s="56" customFormat="1" ht="35.25" customHeight="1">
      <c r="A14" s="57">
        <v>4</v>
      </c>
      <c r="B14" s="58" t="str">
        <f>IF('2.Students'' data'!C14="","",'2.Students'' data'!C14)</f>
        <v/>
      </c>
      <c r="C14" s="129" t="str">
        <f>IF('2.Students'' data'!D14="","",'2.Students'' data'!D14)</f>
        <v/>
      </c>
      <c r="D14" s="113">
        <v>4</v>
      </c>
      <c r="E14" s="114">
        <v>3</v>
      </c>
      <c r="F14" s="114">
        <v>3</v>
      </c>
      <c r="G14" s="114">
        <v>3</v>
      </c>
      <c r="H14" s="114">
        <v>5</v>
      </c>
      <c r="I14" s="114">
        <v>4</v>
      </c>
      <c r="J14" s="114">
        <v>4</v>
      </c>
      <c r="K14" s="170" t="s">
        <v>499</v>
      </c>
      <c r="L14" s="113">
        <v>4</v>
      </c>
      <c r="M14" s="114">
        <v>3</v>
      </c>
      <c r="N14" s="114">
        <v>3</v>
      </c>
      <c r="O14" s="114">
        <v>3</v>
      </c>
      <c r="P14" s="114">
        <v>5</v>
      </c>
      <c r="Q14" s="114">
        <v>4</v>
      </c>
      <c r="R14" s="114">
        <v>4</v>
      </c>
      <c r="S14" s="170" t="s">
        <v>500</v>
      </c>
      <c r="T14" s="56" t="s">
        <v>28</v>
      </c>
    </row>
    <row r="15" spans="1:20" s="56" customFormat="1" ht="35.25" customHeight="1">
      <c r="A15" s="57">
        <v>5</v>
      </c>
      <c r="B15" s="58" t="str">
        <f>IF('2.Students'' data'!C15="","",'2.Students'' data'!C15)</f>
        <v/>
      </c>
      <c r="C15" s="129" t="str">
        <f>IF('2.Students'' data'!D15="","",'2.Students'' data'!D15)</f>
        <v/>
      </c>
      <c r="D15" s="113">
        <v>2</v>
      </c>
      <c r="E15" s="114">
        <v>2</v>
      </c>
      <c r="F15" s="114">
        <v>3</v>
      </c>
      <c r="G15" s="114">
        <v>2</v>
      </c>
      <c r="H15" s="114">
        <v>5</v>
      </c>
      <c r="I15" s="114">
        <v>4</v>
      </c>
      <c r="J15" s="114">
        <v>4</v>
      </c>
      <c r="K15" s="170" t="s">
        <v>499</v>
      </c>
      <c r="L15" s="113">
        <v>2</v>
      </c>
      <c r="M15" s="114">
        <v>2</v>
      </c>
      <c r="N15" s="114">
        <v>3</v>
      </c>
      <c r="O15" s="114">
        <v>2</v>
      </c>
      <c r="P15" s="114">
        <v>5</v>
      </c>
      <c r="Q15" s="114">
        <v>4</v>
      </c>
      <c r="R15" s="114">
        <v>4</v>
      </c>
      <c r="S15" s="170" t="s">
        <v>500</v>
      </c>
      <c r="T15" s="56" t="s">
        <v>28</v>
      </c>
    </row>
    <row r="16" spans="1:20" s="56" customFormat="1" ht="35.25" customHeight="1">
      <c r="A16" s="57">
        <v>6</v>
      </c>
      <c r="B16" s="58" t="str">
        <f>IF('2.Students'' data'!C16="","",'2.Students'' data'!C16)</f>
        <v/>
      </c>
      <c r="C16" s="129" t="str">
        <f>IF('2.Students'' data'!D16="","",'2.Students'' data'!D16)</f>
        <v/>
      </c>
      <c r="D16" s="113">
        <v>4</v>
      </c>
      <c r="E16" s="114">
        <v>3</v>
      </c>
      <c r="F16" s="114">
        <v>3</v>
      </c>
      <c r="G16" s="114">
        <v>3</v>
      </c>
      <c r="H16" s="114">
        <v>5</v>
      </c>
      <c r="I16" s="114">
        <v>4</v>
      </c>
      <c r="J16" s="114">
        <v>4</v>
      </c>
      <c r="K16" s="170" t="s">
        <v>499</v>
      </c>
      <c r="L16" s="113">
        <v>4</v>
      </c>
      <c r="M16" s="114">
        <v>3</v>
      </c>
      <c r="N16" s="114">
        <v>3</v>
      </c>
      <c r="O16" s="114">
        <v>3</v>
      </c>
      <c r="P16" s="114">
        <v>5</v>
      </c>
      <c r="Q16" s="114">
        <v>4</v>
      </c>
      <c r="R16" s="114">
        <v>4</v>
      </c>
      <c r="S16" s="170" t="s">
        <v>500</v>
      </c>
      <c r="T16" s="56" t="s">
        <v>28</v>
      </c>
    </row>
    <row r="17" spans="1:20" s="56" customFormat="1" ht="35.25" customHeight="1">
      <c r="A17" s="57">
        <v>7</v>
      </c>
      <c r="B17" s="58" t="str">
        <f>IF('2.Students'' data'!C17="","",'2.Students'' data'!C17)</f>
        <v/>
      </c>
      <c r="C17" s="129" t="str">
        <f>IF('2.Students'' data'!D17="","",'2.Students'' data'!D17)</f>
        <v/>
      </c>
      <c r="D17" s="113">
        <v>3</v>
      </c>
      <c r="E17" s="114">
        <v>4</v>
      </c>
      <c r="F17" s="114">
        <v>3</v>
      </c>
      <c r="G17" s="114">
        <v>4</v>
      </c>
      <c r="H17" s="114">
        <v>5</v>
      </c>
      <c r="I17" s="114">
        <v>5</v>
      </c>
      <c r="J17" s="114">
        <v>5</v>
      </c>
      <c r="K17" s="170" t="s">
        <v>503</v>
      </c>
      <c r="L17" s="113">
        <v>3</v>
      </c>
      <c r="M17" s="114">
        <v>4</v>
      </c>
      <c r="N17" s="114">
        <v>3</v>
      </c>
      <c r="O17" s="114">
        <v>4</v>
      </c>
      <c r="P17" s="114">
        <v>5</v>
      </c>
      <c r="Q17" s="114">
        <v>5</v>
      </c>
      <c r="R17" s="114">
        <v>5</v>
      </c>
      <c r="S17" s="170" t="s">
        <v>504</v>
      </c>
      <c r="T17" s="56" t="s">
        <v>28</v>
      </c>
    </row>
    <row r="18" spans="1:20" s="56" customFormat="1" ht="35.25" customHeight="1">
      <c r="A18" s="57">
        <v>8</v>
      </c>
      <c r="B18" s="58" t="str">
        <f>IF('2.Students'' data'!C18="","",'2.Students'' data'!C18)</f>
        <v/>
      </c>
      <c r="C18" s="129" t="str">
        <f>IF('2.Students'' data'!D18="","",'2.Students'' data'!D18)</f>
        <v/>
      </c>
      <c r="D18" s="113">
        <v>3</v>
      </c>
      <c r="E18" s="114">
        <v>3</v>
      </c>
      <c r="F18" s="114">
        <v>3</v>
      </c>
      <c r="G18" s="114">
        <v>3</v>
      </c>
      <c r="H18" s="114">
        <v>5</v>
      </c>
      <c r="I18" s="114">
        <v>5</v>
      </c>
      <c r="J18" s="114">
        <v>5</v>
      </c>
      <c r="K18" s="170" t="s">
        <v>499</v>
      </c>
      <c r="L18" s="113">
        <v>3</v>
      </c>
      <c r="M18" s="114">
        <v>3</v>
      </c>
      <c r="N18" s="114">
        <v>3</v>
      </c>
      <c r="O18" s="114">
        <v>3</v>
      </c>
      <c r="P18" s="114">
        <v>5</v>
      </c>
      <c r="Q18" s="114">
        <v>5</v>
      </c>
      <c r="R18" s="114">
        <v>5</v>
      </c>
      <c r="S18" s="170" t="s">
        <v>500</v>
      </c>
      <c r="T18" s="56" t="s">
        <v>28</v>
      </c>
    </row>
    <row r="19" spans="1:20" s="56" customFormat="1" ht="35.25" customHeight="1">
      <c r="A19" s="57">
        <v>9</v>
      </c>
      <c r="B19" s="58" t="str">
        <f>IF('2.Students'' data'!C19="","",'2.Students'' data'!C19)</f>
        <v/>
      </c>
      <c r="C19" s="129" t="str">
        <f>IF('2.Students'' data'!D19="","",'2.Students'' data'!D19)</f>
        <v/>
      </c>
      <c r="D19" s="113">
        <v>4</v>
      </c>
      <c r="E19" s="114">
        <v>2</v>
      </c>
      <c r="F19" s="114">
        <v>3</v>
      </c>
      <c r="G19" s="114">
        <v>3</v>
      </c>
      <c r="H19" s="114">
        <v>5</v>
      </c>
      <c r="I19" s="114">
        <v>5</v>
      </c>
      <c r="J19" s="114">
        <v>5</v>
      </c>
      <c r="K19" s="170" t="s">
        <v>499</v>
      </c>
      <c r="L19" s="113">
        <v>4</v>
      </c>
      <c r="M19" s="114">
        <v>3</v>
      </c>
      <c r="N19" s="114">
        <v>3</v>
      </c>
      <c r="O19" s="114">
        <v>3</v>
      </c>
      <c r="P19" s="114">
        <v>5</v>
      </c>
      <c r="Q19" s="114">
        <v>5</v>
      </c>
      <c r="R19" s="114">
        <v>5</v>
      </c>
      <c r="S19" s="170" t="s">
        <v>500</v>
      </c>
      <c r="T19" s="56" t="s">
        <v>28</v>
      </c>
    </row>
    <row r="20" spans="1:20" s="56" customFormat="1" ht="35.25" customHeight="1">
      <c r="A20" s="57">
        <v>10</v>
      </c>
      <c r="B20" s="58" t="str">
        <f>IF('2.Students'' data'!C20="","",'2.Students'' data'!C20)</f>
        <v/>
      </c>
      <c r="C20" s="129" t="str">
        <f>IF('2.Students'' data'!D20="","",'2.Students'' data'!D20)</f>
        <v/>
      </c>
      <c r="D20" s="113"/>
      <c r="E20" s="114"/>
      <c r="F20" s="114"/>
      <c r="G20" s="114"/>
      <c r="H20" s="114"/>
      <c r="I20" s="114"/>
      <c r="J20" s="114"/>
      <c r="K20" s="169" t="s">
        <v>79</v>
      </c>
      <c r="L20" s="113"/>
      <c r="M20" s="114"/>
      <c r="N20" s="114"/>
      <c r="O20" s="114"/>
      <c r="P20" s="114"/>
      <c r="Q20" s="114"/>
      <c r="R20" s="114"/>
      <c r="S20" s="170"/>
      <c r="T20" s="56" t="s">
        <v>29</v>
      </c>
    </row>
    <row r="21" spans="1:20" s="56" customFormat="1" ht="35.25" customHeight="1">
      <c r="A21" s="57">
        <v>11</v>
      </c>
      <c r="B21" s="58" t="str">
        <f>IF('2.Students'' data'!C21="","",'2.Students'' data'!C21)</f>
        <v/>
      </c>
      <c r="C21" s="129" t="str">
        <f>IF('2.Students'' data'!D21="","",'2.Students'' data'!D21)</f>
        <v/>
      </c>
      <c r="D21" s="113">
        <v>3</v>
      </c>
      <c r="E21" s="114">
        <v>3</v>
      </c>
      <c r="F21" s="114">
        <v>3</v>
      </c>
      <c r="G21" s="114">
        <v>3</v>
      </c>
      <c r="H21" s="114">
        <v>5</v>
      </c>
      <c r="I21" s="114">
        <v>5</v>
      </c>
      <c r="J21" s="114">
        <v>5</v>
      </c>
      <c r="K21" s="170" t="s">
        <v>499</v>
      </c>
      <c r="L21" s="113">
        <v>3</v>
      </c>
      <c r="M21" s="114">
        <v>3</v>
      </c>
      <c r="N21" s="114">
        <v>3</v>
      </c>
      <c r="O21" s="114">
        <v>3</v>
      </c>
      <c r="P21" s="114">
        <v>5</v>
      </c>
      <c r="Q21" s="114">
        <v>5</v>
      </c>
      <c r="R21" s="114">
        <v>5</v>
      </c>
      <c r="S21" s="170" t="s">
        <v>500</v>
      </c>
      <c r="T21" s="56" t="s">
        <v>28</v>
      </c>
    </row>
    <row r="22" spans="1:20" s="56" customFormat="1" ht="35.25" customHeight="1">
      <c r="A22" s="57">
        <v>12</v>
      </c>
      <c r="B22" s="58" t="str">
        <f>IF('2.Students'' data'!C22="","",'2.Students'' data'!C22)</f>
        <v/>
      </c>
      <c r="C22" s="129" t="str">
        <f>IF('2.Students'' data'!D22="","",'2.Students'' data'!D22)</f>
        <v/>
      </c>
      <c r="D22" s="113">
        <v>3</v>
      </c>
      <c r="E22" s="114">
        <v>2</v>
      </c>
      <c r="F22" s="114">
        <v>3</v>
      </c>
      <c r="G22" s="114">
        <v>2</v>
      </c>
      <c r="H22" s="114">
        <v>5</v>
      </c>
      <c r="I22" s="114">
        <v>5</v>
      </c>
      <c r="J22" s="114">
        <v>5</v>
      </c>
      <c r="K22" s="170" t="s">
        <v>499</v>
      </c>
      <c r="L22" s="113">
        <v>3</v>
      </c>
      <c r="M22" s="114">
        <v>2</v>
      </c>
      <c r="N22" s="114">
        <v>3</v>
      </c>
      <c r="O22" s="114">
        <v>2</v>
      </c>
      <c r="P22" s="114">
        <v>5</v>
      </c>
      <c r="Q22" s="114">
        <v>5</v>
      </c>
      <c r="R22" s="114">
        <v>5</v>
      </c>
      <c r="S22" s="170" t="s">
        <v>500</v>
      </c>
      <c r="T22" s="56" t="s">
        <v>28</v>
      </c>
    </row>
    <row r="23" spans="1:20" s="56" customFormat="1" ht="35.25" customHeight="1">
      <c r="A23" s="57">
        <v>13</v>
      </c>
      <c r="B23" s="58" t="str">
        <f>IF('2.Students'' data'!C23="","",'2.Students'' data'!C23)</f>
        <v/>
      </c>
      <c r="C23" s="129" t="str">
        <f>IF('2.Students'' data'!D23="","",'2.Students'' data'!D23)</f>
        <v/>
      </c>
      <c r="D23" s="113">
        <v>4</v>
      </c>
      <c r="E23" s="114">
        <v>3</v>
      </c>
      <c r="F23" s="114">
        <v>3</v>
      </c>
      <c r="G23" s="114">
        <v>3</v>
      </c>
      <c r="H23" s="114">
        <v>5</v>
      </c>
      <c r="I23" s="114">
        <v>4</v>
      </c>
      <c r="J23" s="114">
        <v>4</v>
      </c>
      <c r="K23" s="170" t="s">
        <v>499</v>
      </c>
      <c r="L23" s="113">
        <v>4</v>
      </c>
      <c r="M23" s="114">
        <v>3</v>
      </c>
      <c r="N23" s="114">
        <v>3</v>
      </c>
      <c r="O23" s="114">
        <v>3</v>
      </c>
      <c r="P23" s="114">
        <v>5</v>
      </c>
      <c r="Q23" s="114">
        <v>4</v>
      </c>
      <c r="R23" s="114">
        <v>4</v>
      </c>
      <c r="S23" s="170" t="s">
        <v>500</v>
      </c>
      <c r="T23" s="56" t="s">
        <v>28</v>
      </c>
    </row>
    <row r="24" spans="1:20" s="56" customFormat="1" ht="35.25" customHeight="1">
      <c r="A24" s="57">
        <v>14</v>
      </c>
      <c r="B24" s="58" t="str">
        <f>IF('2.Students'' data'!C24="","",'2.Students'' data'!C24)</f>
        <v/>
      </c>
      <c r="C24" s="129" t="str">
        <f>IF('2.Students'' data'!D24="","",'2.Students'' data'!D24)</f>
        <v/>
      </c>
      <c r="D24" s="113">
        <v>5</v>
      </c>
      <c r="E24" s="114">
        <v>3</v>
      </c>
      <c r="F24" s="114">
        <v>3</v>
      </c>
      <c r="G24" s="114">
        <v>3</v>
      </c>
      <c r="H24" s="114">
        <v>5</v>
      </c>
      <c r="I24" s="114">
        <v>4</v>
      </c>
      <c r="J24" s="114">
        <v>4</v>
      </c>
      <c r="K24" s="170" t="s">
        <v>499</v>
      </c>
      <c r="L24" s="113">
        <v>5</v>
      </c>
      <c r="M24" s="114">
        <v>3</v>
      </c>
      <c r="N24" s="114">
        <v>3</v>
      </c>
      <c r="O24" s="114">
        <v>3</v>
      </c>
      <c r="P24" s="114">
        <v>5</v>
      </c>
      <c r="Q24" s="114">
        <v>4</v>
      </c>
      <c r="R24" s="114">
        <v>4</v>
      </c>
      <c r="S24" s="170" t="s">
        <v>500</v>
      </c>
      <c r="T24" s="56" t="s">
        <v>28</v>
      </c>
    </row>
    <row r="25" spans="1:20" s="56" customFormat="1" ht="35.25" customHeight="1">
      <c r="A25" s="57">
        <v>15</v>
      </c>
      <c r="B25" s="58" t="str">
        <f>IF('2.Students'' data'!C25="","",'2.Students'' data'!C25)</f>
        <v/>
      </c>
      <c r="C25" s="129" t="str">
        <f>IF('2.Students'' data'!D25="","",'2.Students'' data'!D25)</f>
        <v/>
      </c>
      <c r="D25" s="113">
        <v>4</v>
      </c>
      <c r="E25" s="114">
        <v>4</v>
      </c>
      <c r="F25" s="114">
        <v>3</v>
      </c>
      <c r="G25" s="114">
        <v>4</v>
      </c>
      <c r="H25" s="114">
        <v>5</v>
      </c>
      <c r="I25" s="114">
        <v>4</v>
      </c>
      <c r="J25" s="114">
        <v>4</v>
      </c>
      <c r="K25" s="170" t="s">
        <v>505</v>
      </c>
      <c r="L25" s="113">
        <v>4</v>
      </c>
      <c r="M25" s="114">
        <v>4</v>
      </c>
      <c r="N25" s="114">
        <v>3</v>
      </c>
      <c r="O25" s="114">
        <v>4</v>
      </c>
      <c r="P25" s="114">
        <v>5</v>
      </c>
      <c r="Q25" s="114">
        <v>4</v>
      </c>
      <c r="R25" s="114">
        <v>4</v>
      </c>
      <c r="S25" s="170" t="s">
        <v>504</v>
      </c>
      <c r="T25" s="56" t="s">
        <v>28</v>
      </c>
    </row>
    <row r="26" spans="1:20" s="56" customFormat="1" ht="35.25" customHeight="1">
      <c r="A26" s="57">
        <v>16</v>
      </c>
      <c r="B26" s="58" t="str">
        <f>IF('2.Students'' data'!C26="","",'2.Students'' data'!C26)</f>
        <v/>
      </c>
      <c r="C26" s="129" t="str">
        <f>IF('2.Students'' data'!D26="","",'2.Students'' data'!D26)</f>
        <v/>
      </c>
      <c r="D26" s="113">
        <v>3</v>
      </c>
      <c r="E26" s="114">
        <v>2</v>
      </c>
      <c r="F26" s="114">
        <v>3</v>
      </c>
      <c r="G26" s="114">
        <v>2</v>
      </c>
      <c r="H26" s="114">
        <v>5</v>
      </c>
      <c r="I26" s="114">
        <v>4</v>
      </c>
      <c r="J26" s="114">
        <v>4</v>
      </c>
      <c r="K26" s="170" t="s">
        <v>499</v>
      </c>
      <c r="L26" s="113">
        <v>3</v>
      </c>
      <c r="M26" s="114">
        <v>2</v>
      </c>
      <c r="N26" s="114">
        <v>3</v>
      </c>
      <c r="O26" s="114">
        <v>2</v>
      </c>
      <c r="P26" s="114">
        <v>5</v>
      </c>
      <c r="Q26" s="114">
        <v>4</v>
      </c>
      <c r="R26" s="114">
        <v>4</v>
      </c>
      <c r="S26" s="170" t="s">
        <v>500</v>
      </c>
      <c r="T26" s="56" t="s">
        <v>28</v>
      </c>
    </row>
    <row r="27" spans="1:20" s="56" customFormat="1" ht="35.25" customHeight="1">
      <c r="A27" s="57">
        <v>17</v>
      </c>
      <c r="B27" s="58" t="str">
        <f>IF('2.Students'' data'!C27="","",'2.Students'' data'!C27)</f>
        <v/>
      </c>
      <c r="C27" s="129" t="str">
        <f>IF('2.Students'' data'!D27="","",'2.Students'' data'!D27)</f>
        <v/>
      </c>
      <c r="D27" s="113"/>
      <c r="E27" s="114"/>
      <c r="F27" s="114"/>
      <c r="G27" s="114"/>
      <c r="H27" s="114"/>
      <c r="I27" s="114"/>
      <c r="J27" s="114"/>
      <c r="K27" s="169" t="s">
        <v>79</v>
      </c>
      <c r="L27" s="113"/>
      <c r="M27" s="114"/>
      <c r="N27" s="114"/>
      <c r="O27" s="114"/>
      <c r="P27" s="114"/>
      <c r="Q27" s="114"/>
      <c r="R27" s="114"/>
      <c r="S27" s="170" t="s">
        <v>500</v>
      </c>
      <c r="T27" s="56" t="s">
        <v>29</v>
      </c>
    </row>
    <row r="28" spans="1:20" s="56" customFormat="1" ht="35.25" customHeight="1">
      <c r="A28" s="57">
        <v>18</v>
      </c>
      <c r="B28" s="58" t="str">
        <f>IF('2.Students'' data'!C28="","",'2.Students'' data'!C28)</f>
        <v/>
      </c>
      <c r="C28" s="129" t="str">
        <f>IF('2.Students'' data'!D28="","",'2.Students'' data'!D28)</f>
        <v/>
      </c>
      <c r="D28" s="113">
        <v>3</v>
      </c>
      <c r="E28" s="114">
        <v>2</v>
      </c>
      <c r="F28" s="114">
        <v>3</v>
      </c>
      <c r="G28" s="114">
        <v>2</v>
      </c>
      <c r="H28" s="114">
        <v>5</v>
      </c>
      <c r="I28" s="114">
        <v>4</v>
      </c>
      <c r="J28" s="114">
        <v>4</v>
      </c>
      <c r="K28" s="170" t="s">
        <v>499</v>
      </c>
      <c r="L28" s="113">
        <v>3</v>
      </c>
      <c r="M28" s="114">
        <v>2</v>
      </c>
      <c r="N28" s="114">
        <v>3</v>
      </c>
      <c r="O28" s="114">
        <v>2</v>
      </c>
      <c r="P28" s="114">
        <v>5</v>
      </c>
      <c r="Q28" s="114">
        <v>4</v>
      </c>
      <c r="R28" s="114">
        <v>4</v>
      </c>
      <c r="S28" s="170" t="s">
        <v>500</v>
      </c>
      <c r="T28" s="56" t="s">
        <v>28</v>
      </c>
    </row>
    <row r="29" spans="1:20" s="56" customFormat="1" ht="35.25" customHeight="1">
      <c r="A29" s="57">
        <v>19</v>
      </c>
      <c r="B29" s="58" t="str">
        <f>IF('2.Students'' data'!C29="","",'2.Students'' data'!C29)</f>
        <v/>
      </c>
      <c r="C29" s="129" t="str">
        <f>IF('2.Students'' data'!D29="","",'2.Students'' data'!D29)</f>
        <v/>
      </c>
      <c r="D29" s="113">
        <v>3</v>
      </c>
      <c r="E29" s="114">
        <v>3</v>
      </c>
      <c r="F29" s="114">
        <v>3</v>
      </c>
      <c r="G29" s="114">
        <v>3</v>
      </c>
      <c r="H29" s="114">
        <v>5</v>
      </c>
      <c r="I29" s="114">
        <v>4</v>
      </c>
      <c r="J29" s="114">
        <v>4</v>
      </c>
      <c r="K29" s="170" t="s">
        <v>499</v>
      </c>
      <c r="L29" s="113">
        <v>3</v>
      </c>
      <c r="M29" s="114">
        <v>3</v>
      </c>
      <c r="N29" s="114">
        <v>3</v>
      </c>
      <c r="O29" s="114">
        <v>3</v>
      </c>
      <c r="P29" s="114">
        <v>5</v>
      </c>
      <c r="Q29" s="114">
        <v>4</v>
      </c>
      <c r="R29" s="114">
        <v>4</v>
      </c>
      <c r="S29" s="170" t="s">
        <v>500</v>
      </c>
      <c r="T29" s="56" t="s">
        <v>28</v>
      </c>
    </row>
    <row r="30" spans="1:20" s="56" customFormat="1" ht="35.25" customHeight="1">
      <c r="A30" s="57">
        <v>20</v>
      </c>
      <c r="B30" s="58" t="str">
        <f>IF('2.Students'' data'!C30="","",'2.Students'' data'!C30)</f>
        <v/>
      </c>
      <c r="C30" s="129" t="str">
        <f>IF('2.Students'' data'!D30="","",'2.Students'' data'!D30)</f>
        <v/>
      </c>
      <c r="D30" s="113"/>
      <c r="E30" s="114"/>
      <c r="F30" s="114"/>
      <c r="G30" s="114"/>
      <c r="H30" s="114"/>
      <c r="I30" s="114"/>
      <c r="J30" s="114"/>
      <c r="K30" s="169" t="s">
        <v>79</v>
      </c>
      <c r="L30" s="113"/>
      <c r="M30" s="114"/>
      <c r="N30" s="114"/>
      <c r="O30" s="114"/>
      <c r="P30" s="114"/>
      <c r="Q30" s="114"/>
      <c r="R30" s="114"/>
      <c r="S30" s="170"/>
      <c r="T30" s="56" t="s">
        <v>29</v>
      </c>
    </row>
    <row r="31" spans="1:20" s="56" customFormat="1" ht="35.25" customHeight="1">
      <c r="A31" s="57">
        <v>21</v>
      </c>
      <c r="B31" s="58" t="str">
        <f>IF('2.Students'' data'!C31="","",'2.Students'' data'!C31)</f>
        <v/>
      </c>
      <c r="C31" s="129" t="str">
        <f>IF('2.Students'' data'!D31="","",'2.Students'' data'!D31)</f>
        <v/>
      </c>
      <c r="D31" s="113">
        <v>3</v>
      </c>
      <c r="E31" s="114">
        <v>2</v>
      </c>
      <c r="F31" s="114">
        <v>3</v>
      </c>
      <c r="G31" s="114">
        <v>2</v>
      </c>
      <c r="H31" s="114">
        <v>4</v>
      </c>
      <c r="I31" s="114">
        <v>4</v>
      </c>
      <c r="J31" s="114">
        <v>4</v>
      </c>
      <c r="K31" s="170" t="s">
        <v>499</v>
      </c>
      <c r="L31" s="113">
        <v>3</v>
      </c>
      <c r="M31" s="114">
        <v>2</v>
      </c>
      <c r="N31" s="114">
        <v>3</v>
      </c>
      <c r="O31" s="114">
        <v>2</v>
      </c>
      <c r="P31" s="114">
        <v>4</v>
      </c>
      <c r="Q31" s="114">
        <v>4</v>
      </c>
      <c r="R31" s="114">
        <v>4</v>
      </c>
      <c r="S31" s="170" t="s">
        <v>500</v>
      </c>
      <c r="T31" s="56" t="s">
        <v>28</v>
      </c>
    </row>
    <row r="32" spans="1:20" s="56" customFormat="1" ht="35.25" customHeight="1">
      <c r="A32" s="57">
        <v>22</v>
      </c>
      <c r="B32" s="58" t="str">
        <f>IF('2.Students'' data'!C32="","",'2.Students'' data'!C32)</f>
        <v/>
      </c>
      <c r="C32" s="130" t="str">
        <f>IF('2.Students'' data'!D32="","",'2.Students'' data'!D32)</f>
        <v/>
      </c>
      <c r="D32" s="113">
        <v>3</v>
      </c>
      <c r="E32" s="114">
        <v>3</v>
      </c>
      <c r="F32" s="114">
        <v>3</v>
      </c>
      <c r="G32" s="114">
        <v>3</v>
      </c>
      <c r="H32" s="114">
        <v>4</v>
      </c>
      <c r="I32" s="114">
        <v>4</v>
      </c>
      <c r="J32" s="114">
        <v>4</v>
      </c>
      <c r="K32" s="170" t="s">
        <v>505</v>
      </c>
      <c r="L32" s="113">
        <v>3</v>
      </c>
      <c r="M32" s="114">
        <v>3</v>
      </c>
      <c r="N32" s="114">
        <v>3</v>
      </c>
      <c r="O32" s="114">
        <v>3</v>
      </c>
      <c r="P32" s="114">
        <v>4</v>
      </c>
      <c r="Q32" s="114">
        <v>4</v>
      </c>
      <c r="R32" s="114">
        <v>4</v>
      </c>
      <c r="S32" s="170" t="s">
        <v>504</v>
      </c>
      <c r="T32" s="56" t="s">
        <v>28</v>
      </c>
    </row>
    <row r="33" spans="1:20" s="56" customFormat="1" ht="35.25" customHeight="1">
      <c r="A33" s="57">
        <v>23</v>
      </c>
      <c r="B33" s="58" t="str">
        <f>IF('2.Students'' data'!C33="","",'2.Students'' data'!C33)</f>
        <v/>
      </c>
      <c r="C33" s="129" t="str">
        <f>IF('2.Students'' data'!D33="","",'2.Students'' data'!D33)</f>
        <v/>
      </c>
      <c r="D33" s="113">
        <v>2</v>
      </c>
      <c r="E33" s="114">
        <v>2</v>
      </c>
      <c r="F33" s="114">
        <v>3</v>
      </c>
      <c r="G33" s="114">
        <v>2</v>
      </c>
      <c r="H33" s="114">
        <v>4</v>
      </c>
      <c r="I33" s="114">
        <v>4</v>
      </c>
      <c r="J33" s="114">
        <v>4</v>
      </c>
      <c r="K33" s="170" t="s">
        <v>499</v>
      </c>
      <c r="L33" s="113">
        <v>2</v>
      </c>
      <c r="M33" s="114">
        <v>2</v>
      </c>
      <c r="N33" s="114">
        <v>3</v>
      </c>
      <c r="O33" s="114">
        <v>2</v>
      </c>
      <c r="P33" s="114">
        <v>4</v>
      </c>
      <c r="Q33" s="114">
        <v>4</v>
      </c>
      <c r="R33" s="114">
        <v>4</v>
      </c>
      <c r="S33" s="170" t="s">
        <v>500</v>
      </c>
      <c r="T33" s="56" t="s">
        <v>28</v>
      </c>
    </row>
    <row r="34" spans="1:20" s="56" customFormat="1" ht="35.25" customHeight="1">
      <c r="A34" s="57">
        <v>24</v>
      </c>
      <c r="B34" s="58" t="str">
        <f>IF('2.Students'' data'!C34="","",'2.Students'' data'!C34)</f>
        <v/>
      </c>
      <c r="C34" s="129" t="str">
        <f>IF('2.Students'' data'!D34="","",'2.Students'' data'!D34)</f>
        <v/>
      </c>
      <c r="D34" s="113">
        <v>4</v>
      </c>
      <c r="E34" s="114">
        <v>4</v>
      </c>
      <c r="F34" s="114">
        <v>5</v>
      </c>
      <c r="G34" s="114">
        <v>4</v>
      </c>
      <c r="H34" s="114">
        <v>5</v>
      </c>
      <c r="I34" s="114">
        <v>5</v>
      </c>
      <c r="J34" s="114">
        <v>5</v>
      </c>
      <c r="K34" s="170" t="s">
        <v>505</v>
      </c>
      <c r="L34" s="113">
        <v>4</v>
      </c>
      <c r="M34" s="114">
        <v>4</v>
      </c>
      <c r="N34" s="114">
        <v>5</v>
      </c>
      <c r="O34" s="114">
        <v>4</v>
      </c>
      <c r="P34" s="114">
        <v>5</v>
      </c>
      <c r="Q34" s="114">
        <v>5</v>
      </c>
      <c r="R34" s="114">
        <v>5</v>
      </c>
      <c r="S34" s="170" t="s">
        <v>504</v>
      </c>
      <c r="T34" s="56" t="s">
        <v>28</v>
      </c>
    </row>
    <row r="35" spans="1:20" s="56" customFormat="1" ht="35.25" customHeight="1">
      <c r="A35" s="57">
        <v>25</v>
      </c>
      <c r="B35" s="58" t="str">
        <f>IF('2.Students'' data'!C35="","",'2.Students'' data'!C35)</f>
        <v/>
      </c>
      <c r="C35" s="129" t="str">
        <f>IF('2.Students'' data'!D35="","",'2.Students'' data'!D35)</f>
        <v/>
      </c>
      <c r="D35" s="113"/>
      <c r="E35" s="114"/>
      <c r="F35" s="114"/>
      <c r="G35" s="114"/>
      <c r="H35" s="114"/>
      <c r="I35" s="114"/>
      <c r="J35" s="114"/>
      <c r="K35" s="169" t="s">
        <v>79</v>
      </c>
      <c r="L35" s="113"/>
      <c r="M35" s="114"/>
      <c r="N35" s="114"/>
      <c r="O35" s="114"/>
      <c r="P35" s="114"/>
      <c r="Q35" s="114"/>
      <c r="R35" s="114"/>
      <c r="S35" s="170"/>
      <c r="T35" s="56" t="s">
        <v>29</v>
      </c>
    </row>
    <row r="36" spans="1:20" s="56" customFormat="1" ht="35.25" customHeight="1">
      <c r="A36" s="57">
        <v>26</v>
      </c>
      <c r="B36" s="58" t="str">
        <f>IF('2.Students'' data'!C36="","",'2.Students'' data'!C36)</f>
        <v/>
      </c>
      <c r="C36" s="129" t="str">
        <f>IF('2.Students'' data'!D36="","",'2.Students'' data'!D36)</f>
        <v/>
      </c>
      <c r="D36" s="113">
        <v>5</v>
      </c>
      <c r="E36" s="114">
        <v>3</v>
      </c>
      <c r="F36" s="114">
        <v>5</v>
      </c>
      <c r="G36" s="114">
        <v>3</v>
      </c>
      <c r="H36" s="114">
        <v>5</v>
      </c>
      <c r="I36" s="114">
        <v>4</v>
      </c>
      <c r="J36" s="114">
        <v>4</v>
      </c>
      <c r="K36" s="170" t="s">
        <v>505</v>
      </c>
      <c r="L36" s="113">
        <v>5</v>
      </c>
      <c r="M36" s="114">
        <v>3</v>
      </c>
      <c r="N36" s="114">
        <v>5</v>
      </c>
      <c r="O36" s="114">
        <v>3</v>
      </c>
      <c r="P36" s="114">
        <v>5</v>
      </c>
      <c r="Q36" s="114">
        <v>4</v>
      </c>
      <c r="R36" s="114">
        <v>4</v>
      </c>
      <c r="S36" s="170" t="s">
        <v>500</v>
      </c>
      <c r="T36" s="56" t="s">
        <v>28</v>
      </c>
    </row>
    <row r="37" spans="1:20" s="56" customFormat="1" ht="35.25" customHeight="1">
      <c r="A37" s="57">
        <v>27</v>
      </c>
      <c r="B37" s="58" t="str">
        <f>IF('2.Students'' data'!C37="","",'2.Students'' data'!C37)</f>
        <v/>
      </c>
      <c r="C37" s="129" t="str">
        <f>IF('2.Students'' data'!D37="","",'2.Students'' data'!D37)</f>
        <v/>
      </c>
      <c r="D37" s="113"/>
      <c r="E37" s="114"/>
      <c r="F37" s="114"/>
      <c r="G37" s="114"/>
      <c r="H37" s="114"/>
      <c r="I37" s="114"/>
      <c r="J37" s="114"/>
      <c r="K37" s="169" t="s">
        <v>79</v>
      </c>
      <c r="L37" s="113"/>
      <c r="M37" s="114"/>
      <c r="N37" s="114"/>
      <c r="O37" s="114"/>
      <c r="P37" s="114"/>
      <c r="Q37" s="114"/>
      <c r="R37" s="114"/>
      <c r="S37" s="170"/>
      <c r="T37" s="56" t="s">
        <v>29</v>
      </c>
    </row>
    <row r="38" spans="1:20" s="56" customFormat="1" ht="35.25" customHeight="1">
      <c r="A38" s="57">
        <v>28</v>
      </c>
      <c r="B38" s="58" t="str">
        <f>IF('2.Students'' data'!C38="","",'2.Students'' data'!C38)</f>
        <v/>
      </c>
      <c r="C38" s="129" t="str">
        <f>IF('2.Students'' data'!D38="","",'2.Students'' data'!D38)</f>
        <v/>
      </c>
      <c r="D38" s="113"/>
      <c r="E38" s="114"/>
      <c r="F38" s="114"/>
      <c r="G38" s="114"/>
      <c r="H38" s="114"/>
      <c r="I38" s="114"/>
      <c r="J38" s="114"/>
      <c r="K38" s="169" t="s">
        <v>79</v>
      </c>
      <c r="L38" s="113"/>
      <c r="M38" s="114"/>
      <c r="N38" s="114"/>
      <c r="O38" s="114"/>
      <c r="P38" s="114"/>
      <c r="Q38" s="114"/>
      <c r="R38" s="114"/>
      <c r="S38" s="170"/>
      <c r="T38" s="56" t="s">
        <v>29</v>
      </c>
    </row>
    <row r="39" spans="1:20" s="56" customFormat="1" ht="35.25" customHeight="1">
      <c r="A39" s="57">
        <v>29</v>
      </c>
      <c r="B39" s="58" t="str">
        <f>IF('2.Students'' data'!C39="","",'2.Students'' data'!C39)</f>
        <v/>
      </c>
      <c r="C39" s="129" t="str">
        <f>IF('2.Students'' data'!D39="","",'2.Students'' data'!D39)</f>
        <v/>
      </c>
      <c r="D39" s="113">
        <v>5</v>
      </c>
      <c r="E39" s="114">
        <v>4</v>
      </c>
      <c r="F39" s="114">
        <v>5</v>
      </c>
      <c r="G39" s="114">
        <v>4</v>
      </c>
      <c r="H39" s="114">
        <v>5</v>
      </c>
      <c r="I39" s="114">
        <v>5</v>
      </c>
      <c r="J39" s="114">
        <v>5</v>
      </c>
      <c r="K39" s="170" t="s">
        <v>505</v>
      </c>
      <c r="L39" s="113">
        <v>5</v>
      </c>
      <c r="M39" s="114">
        <v>4</v>
      </c>
      <c r="N39" s="114">
        <v>5</v>
      </c>
      <c r="O39" s="114">
        <v>4</v>
      </c>
      <c r="P39" s="114">
        <v>5</v>
      </c>
      <c r="Q39" s="114">
        <v>5</v>
      </c>
      <c r="R39" s="114">
        <v>5</v>
      </c>
      <c r="S39" s="170" t="s">
        <v>506</v>
      </c>
      <c r="T39" s="56" t="s">
        <v>28</v>
      </c>
    </row>
    <row r="40" spans="1:20" s="56" customFormat="1" ht="35.25" customHeight="1">
      <c r="A40" s="57">
        <v>30</v>
      </c>
      <c r="B40" s="58" t="str">
        <f>IF('2.Students'' data'!C40="","",'2.Students'' data'!C40)</f>
        <v/>
      </c>
      <c r="C40" s="129" t="str">
        <f>IF('2.Students'' data'!D40="","",'2.Students'' data'!D40)</f>
        <v/>
      </c>
      <c r="D40" s="113">
        <v>3</v>
      </c>
      <c r="E40" s="114">
        <v>3</v>
      </c>
      <c r="F40" s="114">
        <v>3</v>
      </c>
      <c r="G40" s="114">
        <v>3</v>
      </c>
      <c r="H40" s="114">
        <v>4</v>
      </c>
      <c r="I40" s="114">
        <v>4</v>
      </c>
      <c r="J40" s="114">
        <v>4</v>
      </c>
      <c r="K40" s="170" t="s">
        <v>499</v>
      </c>
      <c r="L40" s="113">
        <v>3</v>
      </c>
      <c r="M40" s="114">
        <v>3</v>
      </c>
      <c r="N40" s="114">
        <v>3</v>
      </c>
      <c r="O40" s="114">
        <v>3</v>
      </c>
      <c r="P40" s="114">
        <v>4</v>
      </c>
      <c r="Q40" s="114">
        <v>4</v>
      </c>
      <c r="R40" s="114">
        <v>4</v>
      </c>
      <c r="S40" s="170" t="s">
        <v>500</v>
      </c>
      <c r="T40" s="56" t="s">
        <v>28</v>
      </c>
    </row>
    <row r="41" spans="1:20" s="56" customFormat="1" ht="35.25" customHeight="1">
      <c r="A41" s="57">
        <v>31</v>
      </c>
      <c r="B41" s="58" t="str">
        <f>IF('2.Students'' data'!C41="","",'2.Students'' data'!C41)</f>
        <v/>
      </c>
      <c r="C41" s="129" t="str">
        <f>IF('2.Students'' data'!D41="","",'2.Students'' data'!D41)</f>
        <v/>
      </c>
      <c r="D41" s="113">
        <v>2</v>
      </c>
      <c r="E41" s="114">
        <v>2</v>
      </c>
      <c r="F41" s="114">
        <v>3</v>
      </c>
      <c r="G41" s="114">
        <v>2</v>
      </c>
      <c r="H41" s="114">
        <v>3</v>
      </c>
      <c r="I41" s="114">
        <v>2</v>
      </c>
      <c r="J41" s="114">
        <v>2</v>
      </c>
      <c r="K41" s="170" t="s">
        <v>507</v>
      </c>
      <c r="L41" s="113">
        <v>2</v>
      </c>
      <c r="M41" s="114">
        <v>2</v>
      </c>
      <c r="N41" s="114">
        <v>3</v>
      </c>
      <c r="O41" s="114">
        <v>2</v>
      </c>
      <c r="P41" s="114">
        <v>3</v>
      </c>
      <c r="Q41" s="114">
        <v>2</v>
      </c>
      <c r="R41" s="114">
        <v>2</v>
      </c>
      <c r="S41" s="170" t="s">
        <v>507</v>
      </c>
      <c r="T41" s="56" t="s">
        <v>28</v>
      </c>
    </row>
    <row r="42" spans="1:20" s="56" customFormat="1" ht="35.25" customHeight="1">
      <c r="A42" s="57">
        <v>32</v>
      </c>
      <c r="B42" s="58" t="str">
        <f>IF('2.Students'' data'!C42="","",'2.Students'' data'!C42)</f>
        <v/>
      </c>
      <c r="C42" s="129" t="str">
        <f>IF('2.Students'' data'!D42="","",'2.Students'' data'!D42)</f>
        <v/>
      </c>
      <c r="D42" s="113"/>
      <c r="E42" s="114"/>
      <c r="F42" s="114"/>
      <c r="G42" s="114"/>
      <c r="H42" s="114"/>
      <c r="I42" s="114"/>
      <c r="J42" s="114"/>
      <c r="K42" s="169" t="s">
        <v>79</v>
      </c>
      <c r="L42" s="113"/>
      <c r="M42" s="114"/>
      <c r="N42" s="114"/>
      <c r="O42" s="114"/>
      <c r="P42" s="114"/>
      <c r="Q42" s="114"/>
      <c r="R42" s="114"/>
      <c r="S42" s="170"/>
      <c r="T42" s="56" t="s">
        <v>78</v>
      </c>
    </row>
    <row r="43" spans="1:20" s="56" customFormat="1" ht="35.25" customHeight="1">
      <c r="A43" s="57">
        <v>33</v>
      </c>
      <c r="B43" s="58" t="str">
        <f>IF('2.Students'' data'!C43="","",'2.Students'' data'!C43)</f>
        <v/>
      </c>
      <c r="C43" s="129" t="str">
        <f>IF('2.Students'' data'!D43="","",'2.Students'' data'!D43)</f>
        <v/>
      </c>
      <c r="D43" s="113">
        <v>3</v>
      </c>
      <c r="E43" s="114">
        <v>2</v>
      </c>
      <c r="F43" s="114">
        <v>3</v>
      </c>
      <c r="G43" s="114">
        <v>2</v>
      </c>
      <c r="H43" s="114">
        <v>3</v>
      </c>
      <c r="I43" s="114">
        <v>2</v>
      </c>
      <c r="J43" s="114">
        <v>2</v>
      </c>
      <c r="K43" s="170" t="s">
        <v>499</v>
      </c>
      <c r="L43" s="113">
        <v>3</v>
      </c>
      <c r="M43" s="114">
        <v>2</v>
      </c>
      <c r="N43" s="114">
        <v>3</v>
      </c>
      <c r="O43" s="114">
        <v>2</v>
      </c>
      <c r="P43" s="114">
        <v>3</v>
      </c>
      <c r="Q43" s="114">
        <v>2</v>
      </c>
      <c r="R43" s="114">
        <v>2</v>
      </c>
      <c r="S43" s="170" t="s">
        <v>500</v>
      </c>
      <c r="T43" s="56" t="s">
        <v>28</v>
      </c>
    </row>
    <row r="44" spans="1:20" s="56" customFormat="1" ht="35.25" customHeight="1">
      <c r="A44" s="57">
        <v>34</v>
      </c>
      <c r="B44" s="58" t="str">
        <f>IF('2.Students'' data'!C44="","",'2.Students'' data'!C44)</f>
        <v/>
      </c>
      <c r="C44" s="129" t="str">
        <f>IF('2.Students'' data'!D44="","",'2.Students'' data'!D44)</f>
        <v/>
      </c>
      <c r="D44" s="113"/>
      <c r="E44" s="114"/>
      <c r="F44" s="114"/>
      <c r="G44" s="114"/>
      <c r="H44" s="114"/>
      <c r="I44" s="114"/>
      <c r="J44" s="114"/>
      <c r="K44" s="169" t="s">
        <v>79</v>
      </c>
      <c r="L44" s="113"/>
      <c r="M44" s="114"/>
      <c r="N44" s="114"/>
      <c r="O44" s="114"/>
      <c r="P44" s="114"/>
      <c r="Q44" s="114"/>
      <c r="R44" s="114"/>
      <c r="S44" s="170"/>
      <c r="T44" s="56" t="s">
        <v>29</v>
      </c>
    </row>
    <row r="45" spans="1:20" s="56" customFormat="1" ht="35.25" customHeight="1">
      <c r="A45" s="57">
        <v>35</v>
      </c>
      <c r="B45" s="58" t="str">
        <f>IF('2.Students'' data'!C45="","",'2.Students'' data'!C45)</f>
        <v/>
      </c>
      <c r="C45" s="129" t="str">
        <f>IF('2.Students'' data'!D45="","",'2.Students'' data'!D45)</f>
        <v/>
      </c>
      <c r="D45" s="113"/>
      <c r="E45" s="114"/>
      <c r="F45" s="114"/>
      <c r="G45" s="114"/>
      <c r="H45" s="114"/>
      <c r="I45" s="114"/>
      <c r="J45" s="114"/>
      <c r="K45" s="169" t="s">
        <v>79</v>
      </c>
      <c r="L45" s="113">
        <v>4</v>
      </c>
      <c r="M45" s="114">
        <v>3</v>
      </c>
      <c r="N45" s="114">
        <v>5</v>
      </c>
      <c r="O45" s="114">
        <v>3</v>
      </c>
      <c r="P45" s="114">
        <v>5</v>
      </c>
      <c r="Q45" s="114">
        <v>5</v>
      </c>
      <c r="R45" s="114">
        <v>5</v>
      </c>
      <c r="S45" s="170" t="s">
        <v>504</v>
      </c>
      <c r="T45" s="56" t="s">
        <v>28</v>
      </c>
    </row>
    <row r="46" spans="1:20" s="56" customFormat="1" ht="35.25" customHeight="1">
      <c r="A46" s="57">
        <v>36</v>
      </c>
      <c r="B46" s="58" t="str">
        <f>IF('2.Students'' data'!C46="","",'2.Students'' data'!C46)</f>
        <v/>
      </c>
      <c r="C46" s="129" t="str">
        <f>IF('2.Students'' data'!D46="","",'2.Students'' data'!D46)</f>
        <v/>
      </c>
      <c r="D46" s="113"/>
      <c r="E46" s="114"/>
      <c r="F46" s="114"/>
      <c r="G46" s="114"/>
      <c r="H46" s="114"/>
      <c r="I46" s="114"/>
      <c r="J46" s="114"/>
      <c r="K46" s="169" t="s">
        <v>79</v>
      </c>
      <c r="L46" s="113"/>
      <c r="M46" s="114"/>
      <c r="N46" s="114"/>
      <c r="O46" s="114"/>
      <c r="P46" s="114"/>
      <c r="Q46" s="114"/>
      <c r="R46" s="114"/>
      <c r="S46" s="170"/>
      <c r="T46" s="56" t="s">
        <v>29</v>
      </c>
    </row>
    <row r="47" spans="1:20" s="56" customFormat="1" ht="35.25" customHeight="1">
      <c r="A47" s="57">
        <v>37</v>
      </c>
      <c r="B47" s="58" t="str">
        <f>IF('2.Students'' data'!C47="","",'2.Students'' data'!C47)</f>
        <v/>
      </c>
      <c r="C47" s="129" t="str">
        <f>IF('2.Students'' data'!D47="","",'2.Students'' data'!D47)</f>
        <v/>
      </c>
      <c r="D47" s="113"/>
      <c r="E47" s="114"/>
      <c r="F47" s="114"/>
      <c r="G47" s="114"/>
      <c r="H47" s="114"/>
      <c r="I47" s="114"/>
      <c r="J47" s="114"/>
      <c r="K47" s="169"/>
      <c r="L47" s="113"/>
      <c r="M47" s="114"/>
      <c r="N47" s="114"/>
      <c r="O47" s="114"/>
      <c r="P47" s="114"/>
      <c r="Q47" s="114"/>
      <c r="R47" s="114"/>
      <c r="S47" s="170"/>
      <c r="T47" s="56" t="s">
        <v>28</v>
      </c>
    </row>
    <row r="48" spans="1:20" s="56" customFormat="1" ht="35.25" customHeight="1">
      <c r="A48" s="57">
        <v>38</v>
      </c>
      <c r="B48" s="58" t="str">
        <f>IF('2.Students'' data'!C48="","",'2.Students'' data'!C48)</f>
        <v/>
      </c>
      <c r="C48" s="129" t="str">
        <f>IF('2.Students'' data'!D48="","",'2.Students'' data'!D48)</f>
        <v/>
      </c>
      <c r="D48" s="113"/>
      <c r="E48" s="114"/>
      <c r="F48" s="114"/>
      <c r="G48" s="114"/>
      <c r="H48" s="114"/>
      <c r="I48" s="114"/>
      <c r="J48" s="114"/>
      <c r="K48" s="169"/>
      <c r="L48" s="113"/>
      <c r="M48" s="114"/>
      <c r="N48" s="114"/>
      <c r="O48" s="114"/>
      <c r="P48" s="114"/>
      <c r="Q48" s="114"/>
      <c r="R48" s="114"/>
      <c r="S48" s="170"/>
      <c r="T48" s="56" t="s">
        <v>28</v>
      </c>
    </row>
    <row r="49" spans="1:20" s="56" customFormat="1" ht="35.25" customHeight="1">
      <c r="A49" s="57">
        <v>39</v>
      </c>
      <c r="B49" s="58" t="str">
        <f>IF('2.Students'' data'!C49="","",'2.Students'' data'!C49)</f>
        <v/>
      </c>
      <c r="C49" s="129" t="str">
        <f>IF('2.Students'' data'!D49="","",'2.Students'' data'!D49)</f>
        <v/>
      </c>
      <c r="D49" s="113"/>
      <c r="E49" s="114"/>
      <c r="F49" s="114"/>
      <c r="G49" s="114"/>
      <c r="H49" s="114"/>
      <c r="I49" s="114"/>
      <c r="J49" s="114"/>
      <c r="K49" s="169"/>
      <c r="L49" s="113"/>
      <c r="M49" s="114"/>
      <c r="N49" s="114"/>
      <c r="O49" s="114"/>
      <c r="P49" s="114"/>
      <c r="Q49" s="114"/>
      <c r="R49" s="114"/>
      <c r="S49" s="170"/>
      <c r="T49" s="56" t="s">
        <v>28</v>
      </c>
    </row>
    <row r="50" spans="1:20" s="56" customFormat="1" ht="35.25" customHeight="1">
      <c r="A50" s="57">
        <v>40</v>
      </c>
      <c r="B50" s="58" t="str">
        <f>IF('2.Students'' data'!C50="","",'2.Students'' data'!C50)</f>
        <v/>
      </c>
      <c r="C50" s="129" t="str">
        <f>IF('2.Students'' data'!D50="","",'2.Students'' data'!D50)</f>
        <v/>
      </c>
      <c r="D50" s="113"/>
      <c r="E50" s="114"/>
      <c r="F50" s="114"/>
      <c r="G50" s="114"/>
      <c r="H50" s="114"/>
      <c r="I50" s="114"/>
      <c r="J50" s="114"/>
      <c r="K50" s="169"/>
      <c r="L50" s="113"/>
      <c r="M50" s="114"/>
      <c r="N50" s="114"/>
      <c r="O50" s="114"/>
      <c r="P50" s="114"/>
      <c r="Q50" s="114"/>
      <c r="R50" s="114"/>
      <c r="S50" s="170"/>
      <c r="T50" s="56" t="s">
        <v>28</v>
      </c>
    </row>
    <row r="51" spans="1:20" s="56" customFormat="1" ht="35.25" customHeight="1">
      <c r="A51" s="57">
        <v>41</v>
      </c>
      <c r="B51" s="58" t="str">
        <f>IF('2.Students'' data'!C51="","",'2.Students'' data'!C51)</f>
        <v/>
      </c>
      <c r="C51" s="129" t="str">
        <f>IF('2.Students'' data'!D51="","",'2.Students'' data'!D51)</f>
        <v/>
      </c>
      <c r="D51" s="113"/>
      <c r="E51" s="114"/>
      <c r="F51" s="114"/>
      <c r="G51" s="114"/>
      <c r="H51" s="114"/>
      <c r="I51" s="114"/>
      <c r="J51" s="114"/>
      <c r="K51" s="169"/>
      <c r="L51" s="113"/>
      <c r="M51" s="114"/>
      <c r="N51" s="114"/>
      <c r="O51" s="114"/>
      <c r="P51" s="114"/>
      <c r="Q51" s="114"/>
      <c r="R51" s="114"/>
      <c r="S51" s="170"/>
      <c r="T51" s="56" t="s">
        <v>28</v>
      </c>
    </row>
    <row r="52" spans="1:20" s="56" customFormat="1" ht="35.25" customHeight="1">
      <c r="A52" s="57">
        <v>42</v>
      </c>
      <c r="B52" s="58" t="str">
        <f>IF('2.Students'' data'!C52="","",'2.Students'' data'!C52)</f>
        <v/>
      </c>
      <c r="C52" s="129" t="str">
        <f>IF('2.Students'' data'!D52="","",'2.Students'' data'!D52)</f>
        <v/>
      </c>
      <c r="D52" s="113"/>
      <c r="E52" s="114"/>
      <c r="F52" s="114"/>
      <c r="G52" s="114"/>
      <c r="H52" s="114"/>
      <c r="I52" s="114"/>
      <c r="J52" s="114"/>
      <c r="K52" s="169"/>
      <c r="L52" s="113"/>
      <c r="M52" s="114"/>
      <c r="N52" s="114"/>
      <c r="O52" s="114"/>
      <c r="P52" s="114"/>
      <c r="Q52" s="114"/>
      <c r="R52" s="114"/>
      <c r="S52" s="170"/>
      <c r="T52" s="56" t="s">
        <v>28</v>
      </c>
    </row>
    <row r="53" spans="1:20" s="56" customFormat="1" ht="35.25" customHeight="1">
      <c r="A53" s="57">
        <v>43</v>
      </c>
      <c r="B53" s="58" t="str">
        <f>IF('2.Students'' data'!C53="","",'2.Students'' data'!C53)</f>
        <v/>
      </c>
      <c r="C53" s="129" t="str">
        <f>IF('2.Students'' data'!D53="","",'2.Students'' data'!D53)</f>
        <v/>
      </c>
      <c r="D53" s="113"/>
      <c r="E53" s="114"/>
      <c r="F53" s="114"/>
      <c r="G53" s="114"/>
      <c r="H53" s="114"/>
      <c r="I53" s="114"/>
      <c r="J53" s="114"/>
      <c r="K53" s="169"/>
      <c r="L53" s="113"/>
      <c r="M53" s="114"/>
      <c r="N53" s="114"/>
      <c r="O53" s="114"/>
      <c r="P53" s="114"/>
      <c r="Q53" s="114"/>
      <c r="R53" s="114"/>
      <c r="S53" s="170"/>
      <c r="T53" s="56" t="s">
        <v>28</v>
      </c>
    </row>
    <row r="54" spans="1:20" s="56" customFormat="1" ht="35.25" customHeight="1">
      <c r="A54" s="57">
        <v>44</v>
      </c>
      <c r="B54" s="58" t="str">
        <f>IF('2.Students'' data'!C54="","",'2.Students'' data'!C54)</f>
        <v/>
      </c>
      <c r="C54" s="129" t="str">
        <f>IF('2.Students'' data'!D54="","",'2.Students'' data'!D54)</f>
        <v/>
      </c>
      <c r="D54" s="113"/>
      <c r="E54" s="114"/>
      <c r="F54" s="114"/>
      <c r="G54" s="114"/>
      <c r="H54" s="114"/>
      <c r="I54" s="114"/>
      <c r="J54" s="114"/>
      <c r="K54" s="169"/>
      <c r="L54" s="113"/>
      <c r="M54" s="114"/>
      <c r="N54" s="114"/>
      <c r="O54" s="114"/>
      <c r="P54" s="114"/>
      <c r="Q54" s="114"/>
      <c r="R54" s="114"/>
      <c r="S54" s="170"/>
      <c r="T54" s="56" t="s">
        <v>28</v>
      </c>
    </row>
    <row r="55" spans="1:20" s="56" customFormat="1" ht="35.25" customHeight="1" thickBot="1">
      <c r="A55" s="131">
        <v>45</v>
      </c>
      <c r="B55" s="132" t="str">
        <f>IF('2.Students'' data'!C55="","",'2.Students'' data'!C55)</f>
        <v/>
      </c>
      <c r="C55" s="133" t="str">
        <f>IF('2.Students'' data'!D55="","",'2.Students'' data'!D55)</f>
        <v/>
      </c>
      <c r="D55" s="134"/>
      <c r="E55" s="135"/>
      <c r="F55" s="135"/>
      <c r="G55" s="135"/>
      <c r="H55" s="135"/>
      <c r="I55" s="135"/>
      <c r="J55" s="135"/>
      <c r="K55" s="169"/>
      <c r="L55" s="134"/>
      <c r="M55" s="135"/>
      <c r="N55" s="135"/>
      <c r="O55" s="135"/>
      <c r="P55" s="135"/>
      <c r="Q55" s="135"/>
      <c r="R55" s="135"/>
      <c r="S55" s="170"/>
      <c r="T55" s="56" t="s">
        <v>28</v>
      </c>
    </row>
    <row r="56" spans="1:20" s="61" customFormat="1" ht="9.75" customHeight="1">
      <c r="A56" s="59"/>
      <c r="B56" s="60"/>
      <c r="C56" s="60"/>
      <c r="D56" s="59"/>
      <c r="E56" s="59"/>
      <c r="F56" s="59"/>
      <c r="G56" s="59"/>
      <c r="H56" s="59"/>
      <c r="I56" s="59"/>
      <c r="L56" s="59"/>
      <c r="M56" s="59"/>
      <c r="N56" s="59"/>
      <c r="O56" s="59"/>
      <c r="P56" s="59"/>
      <c r="Q56" s="59"/>
      <c r="S56" s="152"/>
    </row>
    <row r="57" spans="1:20" s="63" customFormat="1" ht="16.5" customHeight="1">
      <c r="A57" s="59"/>
      <c r="B57" s="62"/>
      <c r="C57" s="62"/>
      <c r="D57" s="59"/>
      <c r="E57" s="59"/>
      <c r="L57" s="59"/>
      <c r="M57" s="59"/>
      <c r="S57" s="153"/>
    </row>
    <row r="58" spans="1:20" s="63" customFormat="1" ht="16.5" customHeight="1">
      <c r="A58" s="59"/>
      <c r="B58" s="62"/>
      <c r="C58" s="62"/>
      <c r="D58" s="59"/>
      <c r="E58" s="59"/>
      <c r="L58" s="59"/>
      <c r="M58" s="59"/>
      <c r="S58" s="153"/>
    </row>
    <row r="59" spans="1:20" s="63" customFormat="1" ht="16.5" customHeight="1">
      <c r="A59" s="59"/>
      <c r="B59" s="62"/>
      <c r="C59" s="62"/>
      <c r="D59" s="59"/>
      <c r="E59" s="59"/>
      <c r="L59" s="59"/>
      <c r="M59" s="59"/>
      <c r="S59" s="153"/>
    </row>
    <row r="60" spans="1:20" ht="16.5" customHeight="1">
      <c r="A60" s="59"/>
      <c r="B60" s="62"/>
      <c r="C60" s="62"/>
      <c r="D60" s="64"/>
      <c r="E60" s="64"/>
      <c r="L60" s="64"/>
      <c r="M60" s="64"/>
    </row>
    <row r="61" spans="1:20" ht="16.5" customHeight="1">
      <c r="A61" s="59"/>
      <c r="B61" s="62"/>
      <c r="C61" s="62"/>
      <c r="D61" s="64"/>
      <c r="E61" s="64"/>
      <c r="L61" s="64"/>
      <c r="M61" s="64"/>
    </row>
    <row r="62" spans="1:20" ht="12.75" customHeight="1">
      <c r="A62" s="59"/>
      <c r="B62" s="62"/>
      <c r="C62" s="62"/>
      <c r="D62" s="59"/>
      <c r="E62" s="59"/>
      <c r="L62" s="59"/>
      <c r="M62" s="59"/>
    </row>
  </sheetData>
  <mergeCells count="6">
    <mergeCell ref="A1:S1"/>
    <mergeCell ref="A2:S2"/>
    <mergeCell ref="A9:A10"/>
    <mergeCell ref="B9:C10"/>
    <mergeCell ref="D9:K9"/>
    <mergeCell ref="L9:S9"/>
  </mergeCells>
  <dataValidations count="1">
    <dataValidation type="list" allowBlank="1" showInputMessage="1" showErrorMessage="1" error="พิมพ์ได้เฉพาะค่า 0,1,2,3" prompt="5=ดีเยี่ยม_x000a_4=ดีมาก_x000a_3=ดี_x000a_2=พอใช้_x000a_1=ปรับปรุง" sqref="L11:R55 D11:J55" xr:uid="{00000000-0002-0000-0500-000000000000}">
      <formula1>"1,2,3,4,5"</formula1>
    </dataValidation>
  </dataValidations>
  <printOptions horizontalCentered="1" verticalCentered="1"/>
  <pageMargins left="0.39370078740157483" right="0.19685039370078741" top="0.19685039370078741" bottom="0.19685039370078741" header="0.39370078740157483" footer="0.39370078740157483"/>
  <pageSetup paperSize="5" scale="45" orientation="portrait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P62"/>
  <sheetViews>
    <sheetView view="pageBreakPreview" topLeftCell="A2" zoomScale="178" zoomScaleNormal="100" zoomScaleSheetLayoutView="178" workbookViewId="0">
      <pane xSplit="3" ySplit="9" topLeftCell="D11" activePane="bottomRight" state="frozen"/>
      <selection activeCell="A2" sqref="A2"/>
      <selection pane="topRight" activeCell="D2" sqref="D2"/>
      <selection pane="bottomLeft" activeCell="A11" sqref="A11"/>
      <selection pane="bottomRight" activeCell="N10" sqref="N10"/>
    </sheetView>
  </sheetViews>
  <sheetFormatPr defaultColWidth="9.140625" defaultRowHeight="21"/>
  <cols>
    <col min="1" max="1" width="3.5703125" style="52" customWidth="1"/>
    <col min="2" max="2" width="14" style="52" customWidth="1"/>
    <col min="3" max="3" width="11.5703125" style="52" customWidth="1"/>
    <col min="4" max="4" width="9.42578125" style="52" customWidth="1"/>
    <col min="5" max="5" width="10" style="52" customWidth="1"/>
    <col min="6" max="7" width="7" style="52" customWidth="1"/>
    <col min="8" max="8" width="9.85546875" style="53" customWidth="1"/>
    <col min="9" max="10" width="7" style="52" customWidth="1"/>
    <col min="11" max="11" width="10.42578125" style="53" customWidth="1"/>
    <col min="12" max="13" width="7" style="52" customWidth="1"/>
    <col min="14" max="14" width="9.5703125" style="53" customWidth="1"/>
    <col min="15" max="16" width="7" style="52" customWidth="1"/>
    <col min="17" max="16384" width="9.140625" style="52"/>
  </cols>
  <sheetData>
    <row r="1" spans="1:16" s="51" customFormat="1" ht="24.75" customHeight="1">
      <c r="A1" s="327" t="s">
        <v>483</v>
      </c>
      <c r="B1" s="327"/>
      <c r="C1" s="327"/>
      <c r="D1" s="327"/>
      <c r="E1" s="327"/>
      <c r="F1" s="327"/>
      <c r="G1" s="327"/>
      <c r="H1" s="327"/>
      <c r="I1" s="327"/>
      <c r="J1" s="327"/>
      <c r="K1" s="211"/>
      <c r="L1" s="211"/>
      <c r="M1" s="211"/>
      <c r="N1" s="211"/>
      <c r="O1" s="211"/>
      <c r="P1" s="211"/>
    </row>
    <row r="2" spans="1:16" s="51" customFormat="1" ht="24.75" customHeight="1">
      <c r="A2" s="327" t="s">
        <v>530</v>
      </c>
      <c r="B2" s="327"/>
      <c r="C2" s="327"/>
      <c r="D2" s="327"/>
      <c r="E2" s="327"/>
      <c r="F2" s="327"/>
      <c r="G2" s="327"/>
      <c r="H2" s="327"/>
      <c r="I2" s="327"/>
      <c r="J2" s="327"/>
      <c r="K2" s="211"/>
      <c r="L2" s="211"/>
      <c r="M2" s="211"/>
      <c r="N2" s="211"/>
      <c r="O2" s="211"/>
      <c r="P2" s="211"/>
    </row>
    <row r="3" spans="1:16" s="51" customFormat="1" ht="24.75" hidden="1" customHeight="1">
      <c r="A3" s="111"/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</row>
    <row r="4" spans="1:16" s="51" customFormat="1" ht="24.75" hidden="1" customHeight="1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</row>
    <row r="5" spans="1:16" s="51" customFormat="1" ht="24.75" hidden="1" customHeight="1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</row>
    <row r="6" spans="1:16" s="51" customFormat="1" ht="24.75" hidden="1" customHeight="1">
      <c r="A6" s="111"/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spans="1:16" s="51" customFormat="1" ht="24.75" hidden="1" customHeight="1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</row>
    <row r="8" spans="1:16" s="51" customFormat="1" ht="20.25" customHeight="1" thickBot="1">
      <c r="A8" s="111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</row>
    <row r="9" spans="1:16" ht="21" customHeight="1">
      <c r="A9" s="328" t="s">
        <v>0</v>
      </c>
      <c r="B9" s="330" t="s">
        <v>30</v>
      </c>
      <c r="C9" s="331"/>
      <c r="D9" s="334" t="s">
        <v>484</v>
      </c>
      <c r="E9" s="342">
        <v>44196</v>
      </c>
      <c r="F9" s="343"/>
      <c r="G9" s="344"/>
      <c r="H9" s="342">
        <v>44227</v>
      </c>
      <c r="I9" s="343"/>
      <c r="J9" s="344"/>
      <c r="K9" s="342">
        <v>44255</v>
      </c>
      <c r="L9" s="343"/>
      <c r="M9" s="344"/>
      <c r="N9" s="342">
        <v>44286</v>
      </c>
      <c r="O9" s="343"/>
      <c r="P9" s="344"/>
    </row>
    <row r="10" spans="1:16" s="65" customFormat="1" ht="17.25" customHeight="1" thickBot="1">
      <c r="A10" s="329"/>
      <c r="B10" s="332"/>
      <c r="C10" s="333"/>
      <c r="D10" s="335"/>
      <c r="E10" s="166" t="s">
        <v>485</v>
      </c>
      <c r="F10" s="167" t="s">
        <v>486</v>
      </c>
      <c r="G10" s="168" t="s">
        <v>487</v>
      </c>
      <c r="H10" s="166" t="s">
        <v>485</v>
      </c>
      <c r="I10" s="167" t="s">
        <v>486</v>
      </c>
      <c r="J10" s="168" t="s">
        <v>487</v>
      </c>
      <c r="K10" s="166" t="s">
        <v>485</v>
      </c>
      <c r="L10" s="167" t="s">
        <v>486</v>
      </c>
      <c r="M10" s="168" t="s">
        <v>487</v>
      </c>
      <c r="N10" s="166" t="s">
        <v>485</v>
      </c>
      <c r="O10" s="167" t="s">
        <v>486</v>
      </c>
      <c r="P10" s="168" t="s">
        <v>487</v>
      </c>
    </row>
    <row r="11" spans="1:16" s="56" customFormat="1" ht="16.5" customHeight="1">
      <c r="A11" s="54">
        <v>1</v>
      </c>
      <c r="B11" s="55" t="str">
        <f>IF(Name1="","",Name1)</f>
        <v/>
      </c>
      <c r="C11" s="126" t="str">
        <f>IF(Surname1="","",Surname1)</f>
        <v/>
      </c>
      <c r="D11" s="159"/>
      <c r="E11" s="165" t="str">
        <f>IF(D11="","",DATEDIF(D11,$E$9,"y")&amp;" ปี "&amp;DATEDIF(D11,$E$9,"ym")&amp;" เดือน ")</f>
        <v/>
      </c>
      <c r="F11" s="143"/>
      <c r="G11" s="144"/>
      <c r="H11" s="208" t="str">
        <f>IF(D11="","",DATEDIF(D11,$H$9,"y")&amp;" ปี "&amp;DATEDIF(D11,$H$9,"ym")&amp;" เดือน ")</f>
        <v/>
      </c>
      <c r="I11" s="143"/>
      <c r="J11" s="144"/>
      <c r="K11" s="208" t="str">
        <f>IF(D11="","",DATEDIF(D11,$K$9,"y")&amp;" ปี "&amp;DATEDIF(D11,$K$9,"ym")&amp;" เดือน ")</f>
        <v/>
      </c>
      <c r="L11" s="143"/>
      <c r="M11" s="144"/>
      <c r="N11" s="208" t="str">
        <f>IF(D11="","",DATEDIF(D11,$N$9,"y")&amp;" ปี "&amp;DATEDIF(D11,$N$9,"ym")&amp;" เดือน ")</f>
        <v/>
      </c>
      <c r="O11" s="143"/>
      <c r="P11" s="144"/>
    </row>
    <row r="12" spans="1:16" s="56" customFormat="1" ht="16.5" customHeight="1">
      <c r="A12" s="57">
        <v>2</v>
      </c>
      <c r="B12" s="58" t="str">
        <f>IF(Name2="","",Name2)</f>
        <v/>
      </c>
      <c r="C12" s="129" t="str">
        <f>IF(Surname2="","",Surname2)</f>
        <v/>
      </c>
      <c r="D12" s="160"/>
      <c r="E12" s="163" t="str">
        <f t="shared" ref="E12:E55" si="0">IF(D12="","",DATEDIF(D12,$E$9,"y")&amp;" ปี "&amp;DATEDIF(D12,$E$9,"ym")&amp;" เดือน ")</f>
        <v/>
      </c>
      <c r="F12" s="145"/>
      <c r="G12" s="146"/>
      <c r="H12" s="209" t="str">
        <f t="shared" ref="H12:H55" si="1">IF(D12="","",DATEDIF(D12,$H$9,"y")&amp;" ปี "&amp;DATEDIF(D12,$H$9,"ym")&amp;" เดือน ")</f>
        <v/>
      </c>
      <c r="I12" s="145"/>
      <c r="J12" s="146"/>
      <c r="K12" s="209" t="str">
        <f t="shared" ref="K12:K55" si="2">IF(D12="","",DATEDIF(D12,$K$9,"y")&amp;" ปี "&amp;DATEDIF(D12,$K$9,"ym")&amp;" เดือน ")</f>
        <v/>
      </c>
      <c r="L12" s="145"/>
      <c r="M12" s="146"/>
      <c r="N12" s="209" t="str">
        <f t="shared" ref="N12:N55" si="3">IF(D12="","",DATEDIF(D12,$N$9,"y")&amp;" ปี "&amp;DATEDIF(D12,$N$9,"ym")&amp;" เดือน ")</f>
        <v/>
      </c>
      <c r="O12" s="145"/>
      <c r="P12" s="146"/>
    </row>
    <row r="13" spans="1:16" s="56" customFormat="1" ht="16.5" customHeight="1">
      <c r="A13" s="57">
        <v>3</v>
      </c>
      <c r="B13" s="58" t="str">
        <f>IF(Name3="","",Name3)</f>
        <v/>
      </c>
      <c r="C13" s="129" t="str">
        <f>IF(Surname3="","",Surname3)</f>
        <v/>
      </c>
      <c r="D13" s="160"/>
      <c r="E13" s="163" t="str">
        <f t="shared" si="0"/>
        <v/>
      </c>
      <c r="F13" s="145"/>
      <c r="G13" s="146"/>
      <c r="H13" s="209" t="str">
        <f t="shared" si="1"/>
        <v/>
      </c>
      <c r="I13" s="145"/>
      <c r="J13" s="146"/>
      <c r="K13" s="209" t="str">
        <f t="shared" si="2"/>
        <v/>
      </c>
      <c r="L13" s="145"/>
      <c r="M13" s="146"/>
      <c r="N13" s="209" t="str">
        <f t="shared" si="3"/>
        <v/>
      </c>
      <c r="O13" s="145"/>
      <c r="P13" s="146"/>
    </row>
    <row r="14" spans="1:16" s="56" customFormat="1" ht="16.5" customHeight="1">
      <c r="A14" s="57">
        <v>4</v>
      </c>
      <c r="B14" s="58" t="str">
        <f>IF(Name4="","",Name4)</f>
        <v/>
      </c>
      <c r="C14" s="129" t="str">
        <f>IF(Surname4="","",Surname4)</f>
        <v/>
      </c>
      <c r="D14" s="160"/>
      <c r="E14" s="163" t="str">
        <f t="shared" si="0"/>
        <v/>
      </c>
      <c r="F14" s="145"/>
      <c r="G14" s="146"/>
      <c r="H14" s="209" t="str">
        <f t="shared" si="1"/>
        <v/>
      </c>
      <c r="I14" s="145"/>
      <c r="J14" s="146"/>
      <c r="K14" s="209" t="str">
        <f t="shared" si="2"/>
        <v/>
      </c>
      <c r="L14" s="145"/>
      <c r="M14" s="146"/>
      <c r="N14" s="209" t="str">
        <f t="shared" si="3"/>
        <v/>
      </c>
      <c r="O14" s="145"/>
      <c r="P14" s="146"/>
    </row>
    <row r="15" spans="1:16" s="56" customFormat="1" ht="16.5" customHeight="1">
      <c r="A15" s="57">
        <v>5</v>
      </c>
      <c r="B15" s="58" t="str">
        <f>IF(Name5="","",Name5)</f>
        <v/>
      </c>
      <c r="C15" s="129" t="str">
        <f>IF(Surname5="","",Surname5)</f>
        <v/>
      </c>
      <c r="D15" s="160"/>
      <c r="E15" s="163" t="str">
        <f t="shared" si="0"/>
        <v/>
      </c>
      <c r="F15" s="145"/>
      <c r="G15" s="146"/>
      <c r="H15" s="209" t="str">
        <f t="shared" si="1"/>
        <v/>
      </c>
      <c r="I15" s="145"/>
      <c r="J15" s="146"/>
      <c r="K15" s="209" t="str">
        <f t="shared" si="2"/>
        <v/>
      </c>
      <c r="L15" s="145"/>
      <c r="M15" s="146"/>
      <c r="N15" s="209" t="str">
        <f t="shared" si="3"/>
        <v/>
      </c>
      <c r="O15" s="145"/>
      <c r="P15" s="146"/>
    </row>
    <row r="16" spans="1:16" s="56" customFormat="1" ht="16.5" customHeight="1">
      <c r="A16" s="57">
        <v>6</v>
      </c>
      <c r="B16" s="58" t="str">
        <f>IF(Name6="","",Name6)</f>
        <v/>
      </c>
      <c r="C16" s="129" t="str">
        <f>IF(Surname6="","",Surname6)</f>
        <v/>
      </c>
      <c r="D16" s="160"/>
      <c r="E16" s="163" t="str">
        <f t="shared" si="0"/>
        <v/>
      </c>
      <c r="F16" s="145"/>
      <c r="G16" s="146"/>
      <c r="H16" s="209" t="str">
        <f t="shared" si="1"/>
        <v/>
      </c>
      <c r="I16" s="145"/>
      <c r="J16" s="146"/>
      <c r="K16" s="209" t="str">
        <f t="shared" si="2"/>
        <v/>
      </c>
      <c r="L16" s="145"/>
      <c r="M16" s="146"/>
      <c r="N16" s="209" t="str">
        <f t="shared" si="3"/>
        <v/>
      </c>
      <c r="O16" s="145"/>
      <c r="P16" s="146"/>
    </row>
    <row r="17" spans="1:16" s="56" customFormat="1" ht="16.5" customHeight="1">
      <c r="A17" s="57">
        <v>7</v>
      </c>
      <c r="B17" s="58" t="str">
        <f>IF(Name7="","",Name7)</f>
        <v/>
      </c>
      <c r="C17" s="129" t="str">
        <f>IF(Surname7="","",Surname7)</f>
        <v/>
      </c>
      <c r="D17" s="160"/>
      <c r="E17" s="163" t="str">
        <f t="shared" si="0"/>
        <v/>
      </c>
      <c r="F17" s="145"/>
      <c r="G17" s="146"/>
      <c r="H17" s="209" t="str">
        <f t="shared" si="1"/>
        <v/>
      </c>
      <c r="I17" s="145"/>
      <c r="J17" s="146"/>
      <c r="K17" s="209" t="str">
        <f t="shared" si="2"/>
        <v/>
      </c>
      <c r="L17" s="145"/>
      <c r="M17" s="146"/>
      <c r="N17" s="209" t="str">
        <f t="shared" si="3"/>
        <v/>
      </c>
      <c r="O17" s="145"/>
      <c r="P17" s="146"/>
    </row>
    <row r="18" spans="1:16" s="56" customFormat="1" ht="16.5" customHeight="1">
      <c r="A18" s="57">
        <v>8</v>
      </c>
      <c r="B18" s="58" t="str">
        <f>IF(Name8="","",Name8)</f>
        <v/>
      </c>
      <c r="C18" s="129" t="str">
        <f>IF(Surname8="","",Surname8)</f>
        <v/>
      </c>
      <c r="D18" s="160"/>
      <c r="E18" s="163" t="str">
        <f t="shared" si="0"/>
        <v/>
      </c>
      <c r="F18" s="145"/>
      <c r="G18" s="146"/>
      <c r="H18" s="209" t="str">
        <f t="shared" si="1"/>
        <v/>
      </c>
      <c r="I18" s="145"/>
      <c r="J18" s="146"/>
      <c r="K18" s="209" t="str">
        <f t="shared" si="2"/>
        <v/>
      </c>
      <c r="L18" s="145"/>
      <c r="M18" s="146"/>
      <c r="N18" s="209" t="str">
        <f t="shared" si="3"/>
        <v/>
      </c>
      <c r="O18" s="145"/>
      <c r="P18" s="146"/>
    </row>
    <row r="19" spans="1:16" s="56" customFormat="1" ht="16.5" customHeight="1">
      <c r="A19" s="57">
        <v>9</v>
      </c>
      <c r="B19" s="58" t="str">
        <f>IF(Name9="","",Name9)</f>
        <v/>
      </c>
      <c r="C19" s="129" t="str">
        <f>IF(Surname9="","",Surname9)</f>
        <v/>
      </c>
      <c r="D19" s="160"/>
      <c r="E19" s="163" t="str">
        <f t="shared" si="0"/>
        <v/>
      </c>
      <c r="F19" s="145"/>
      <c r="G19" s="146"/>
      <c r="H19" s="209" t="str">
        <f t="shared" si="1"/>
        <v/>
      </c>
      <c r="I19" s="145"/>
      <c r="J19" s="146"/>
      <c r="K19" s="209" t="str">
        <f t="shared" si="2"/>
        <v/>
      </c>
      <c r="L19" s="145"/>
      <c r="M19" s="146"/>
      <c r="N19" s="209" t="str">
        <f t="shared" si="3"/>
        <v/>
      </c>
      <c r="O19" s="145"/>
      <c r="P19" s="146"/>
    </row>
    <row r="20" spans="1:16" s="56" customFormat="1" ht="16.5" customHeight="1">
      <c r="A20" s="57">
        <v>10</v>
      </c>
      <c r="B20" s="58" t="str">
        <f>IF(Name10="","",Name10)</f>
        <v/>
      </c>
      <c r="C20" s="129" t="str">
        <f>IF(Surname10="","",Surname10)</f>
        <v/>
      </c>
      <c r="D20" s="160"/>
      <c r="E20" s="163" t="str">
        <f t="shared" si="0"/>
        <v/>
      </c>
      <c r="F20" s="145"/>
      <c r="G20" s="146"/>
      <c r="H20" s="209" t="str">
        <f t="shared" si="1"/>
        <v/>
      </c>
      <c r="I20" s="145"/>
      <c r="J20" s="146"/>
      <c r="K20" s="209" t="str">
        <f t="shared" si="2"/>
        <v/>
      </c>
      <c r="L20" s="145"/>
      <c r="M20" s="146"/>
      <c r="N20" s="209" t="str">
        <f t="shared" si="3"/>
        <v/>
      </c>
      <c r="O20" s="145"/>
      <c r="P20" s="146"/>
    </row>
    <row r="21" spans="1:16" s="56" customFormat="1" ht="16.5" customHeight="1">
      <c r="A21" s="57">
        <v>11</v>
      </c>
      <c r="B21" s="58" t="str">
        <f>IF(Name11="","",Name11)</f>
        <v/>
      </c>
      <c r="C21" s="129" t="str">
        <f>IF(Surname11="","",Surname11)</f>
        <v/>
      </c>
      <c r="D21" s="160"/>
      <c r="E21" s="163" t="str">
        <f t="shared" si="0"/>
        <v/>
      </c>
      <c r="F21" s="145"/>
      <c r="G21" s="146"/>
      <c r="H21" s="209" t="str">
        <f t="shared" si="1"/>
        <v/>
      </c>
      <c r="I21" s="145"/>
      <c r="J21" s="146"/>
      <c r="K21" s="209" t="str">
        <f t="shared" si="2"/>
        <v/>
      </c>
      <c r="L21" s="145"/>
      <c r="M21" s="146"/>
      <c r="N21" s="209" t="str">
        <f t="shared" si="3"/>
        <v/>
      </c>
      <c r="O21" s="145"/>
      <c r="P21" s="146"/>
    </row>
    <row r="22" spans="1:16" s="56" customFormat="1" ht="16.5" customHeight="1">
      <c r="A22" s="57">
        <v>12</v>
      </c>
      <c r="B22" s="58" t="str">
        <f>IF(Name12="","",Name12)</f>
        <v/>
      </c>
      <c r="C22" s="129" t="str">
        <f>IF(Surname12="","",Surname12)</f>
        <v/>
      </c>
      <c r="D22" s="160"/>
      <c r="E22" s="163" t="str">
        <f t="shared" si="0"/>
        <v/>
      </c>
      <c r="F22" s="145"/>
      <c r="G22" s="146"/>
      <c r="H22" s="209" t="str">
        <f t="shared" si="1"/>
        <v/>
      </c>
      <c r="I22" s="145"/>
      <c r="J22" s="146"/>
      <c r="K22" s="209" t="str">
        <f t="shared" si="2"/>
        <v/>
      </c>
      <c r="L22" s="145"/>
      <c r="M22" s="146"/>
      <c r="N22" s="209" t="str">
        <f t="shared" si="3"/>
        <v/>
      </c>
      <c r="O22" s="145"/>
      <c r="P22" s="146"/>
    </row>
    <row r="23" spans="1:16" s="56" customFormat="1" ht="16.5" customHeight="1">
      <c r="A23" s="57">
        <v>13</v>
      </c>
      <c r="B23" s="58" t="str">
        <f>IF(Name13="","",Name13)</f>
        <v/>
      </c>
      <c r="C23" s="129" t="str">
        <f>IF(Surname13="","",Surname13)</f>
        <v/>
      </c>
      <c r="D23" s="160"/>
      <c r="E23" s="163" t="str">
        <f t="shared" si="0"/>
        <v/>
      </c>
      <c r="F23" s="145"/>
      <c r="G23" s="146"/>
      <c r="H23" s="209" t="str">
        <f t="shared" si="1"/>
        <v/>
      </c>
      <c r="I23" s="145"/>
      <c r="J23" s="146"/>
      <c r="K23" s="209" t="str">
        <f t="shared" si="2"/>
        <v/>
      </c>
      <c r="L23" s="145"/>
      <c r="M23" s="146"/>
      <c r="N23" s="209" t="str">
        <f t="shared" si="3"/>
        <v/>
      </c>
      <c r="O23" s="145"/>
      <c r="P23" s="146"/>
    </row>
    <row r="24" spans="1:16" s="56" customFormat="1" ht="16.5" customHeight="1">
      <c r="A24" s="57">
        <v>14</v>
      </c>
      <c r="B24" s="58" t="str">
        <f>IF(Name14="","",Name14)</f>
        <v/>
      </c>
      <c r="C24" s="129" t="str">
        <f>IF(Surname14="","",Surname14)</f>
        <v/>
      </c>
      <c r="D24" s="160"/>
      <c r="E24" s="163" t="str">
        <f t="shared" si="0"/>
        <v/>
      </c>
      <c r="F24" s="145"/>
      <c r="G24" s="146"/>
      <c r="H24" s="209" t="str">
        <f t="shared" si="1"/>
        <v/>
      </c>
      <c r="I24" s="145"/>
      <c r="J24" s="146"/>
      <c r="K24" s="209" t="str">
        <f t="shared" si="2"/>
        <v/>
      </c>
      <c r="L24" s="145"/>
      <c r="M24" s="146"/>
      <c r="N24" s="209" t="str">
        <f t="shared" si="3"/>
        <v/>
      </c>
      <c r="O24" s="145"/>
      <c r="P24" s="146"/>
    </row>
    <row r="25" spans="1:16" s="56" customFormat="1" ht="16.5" customHeight="1">
      <c r="A25" s="57">
        <v>15</v>
      </c>
      <c r="B25" s="58" t="str">
        <f>IF(Name15="","",Name15)</f>
        <v/>
      </c>
      <c r="C25" s="129" t="str">
        <f>IF(Surname15="","",Surname15)</f>
        <v/>
      </c>
      <c r="D25" s="160"/>
      <c r="E25" s="163" t="str">
        <f t="shared" si="0"/>
        <v/>
      </c>
      <c r="F25" s="145"/>
      <c r="G25" s="146"/>
      <c r="H25" s="209" t="str">
        <f t="shared" si="1"/>
        <v/>
      </c>
      <c r="I25" s="145"/>
      <c r="J25" s="146"/>
      <c r="K25" s="209" t="str">
        <f t="shared" si="2"/>
        <v/>
      </c>
      <c r="L25" s="145"/>
      <c r="M25" s="146"/>
      <c r="N25" s="209" t="str">
        <f t="shared" si="3"/>
        <v/>
      </c>
      <c r="O25" s="145"/>
      <c r="P25" s="146"/>
    </row>
    <row r="26" spans="1:16" s="56" customFormat="1" ht="16.5" customHeight="1">
      <c r="A26" s="57">
        <v>16</v>
      </c>
      <c r="B26" s="58" t="str">
        <f>IF(Name16="","",Name16)</f>
        <v/>
      </c>
      <c r="C26" s="129" t="str">
        <f>IF(Surname16="","",Surname16)</f>
        <v/>
      </c>
      <c r="D26" s="160"/>
      <c r="E26" s="163" t="str">
        <f t="shared" si="0"/>
        <v/>
      </c>
      <c r="F26" s="145"/>
      <c r="G26" s="146"/>
      <c r="H26" s="209" t="str">
        <f t="shared" si="1"/>
        <v/>
      </c>
      <c r="I26" s="145"/>
      <c r="J26" s="146"/>
      <c r="K26" s="209" t="str">
        <f t="shared" si="2"/>
        <v/>
      </c>
      <c r="L26" s="145"/>
      <c r="M26" s="146"/>
      <c r="N26" s="209" t="str">
        <f t="shared" si="3"/>
        <v/>
      </c>
      <c r="O26" s="145"/>
      <c r="P26" s="146"/>
    </row>
    <row r="27" spans="1:16" s="56" customFormat="1" ht="16.5" customHeight="1">
      <c r="A27" s="57">
        <v>17</v>
      </c>
      <c r="B27" s="58" t="str">
        <f>IF(Name17="","",Name17)</f>
        <v/>
      </c>
      <c r="C27" s="129" t="str">
        <f>IF(Surname17="","",Surname17)</f>
        <v/>
      </c>
      <c r="D27" s="160"/>
      <c r="E27" s="163" t="str">
        <f t="shared" si="0"/>
        <v/>
      </c>
      <c r="F27" s="145"/>
      <c r="G27" s="146"/>
      <c r="H27" s="209" t="str">
        <f t="shared" si="1"/>
        <v/>
      </c>
      <c r="I27" s="145"/>
      <c r="J27" s="146"/>
      <c r="K27" s="209" t="str">
        <f t="shared" si="2"/>
        <v/>
      </c>
      <c r="L27" s="145"/>
      <c r="M27" s="146"/>
      <c r="N27" s="209" t="str">
        <f t="shared" si="3"/>
        <v/>
      </c>
      <c r="O27" s="145"/>
      <c r="P27" s="146"/>
    </row>
    <row r="28" spans="1:16" s="56" customFormat="1" ht="16.5" customHeight="1">
      <c r="A28" s="57">
        <v>18</v>
      </c>
      <c r="B28" s="58" t="str">
        <f>IF(Name18="","",Name18)</f>
        <v/>
      </c>
      <c r="C28" s="129" t="str">
        <f>IF(Surname18="","",Surname18)</f>
        <v/>
      </c>
      <c r="D28" s="160"/>
      <c r="E28" s="163" t="str">
        <f t="shared" si="0"/>
        <v/>
      </c>
      <c r="F28" s="145"/>
      <c r="G28" s="146"/>
      <c r="H28" s="209" t="str">
        <f t="shared" si="1"/>
        <v/>
      </c>
      <c r="I28" s="145"/>
      <c r="J28" s="146"/>
      <c r="K28" s="209" t="str">
        <f t="shared" si="2"/>
        <v/>
      </c>
      <c r="L28" s="145"/>
      <c r="M28" s="146"/>
      <c r="N28" s="209" t="str">
        <f t="shared" si="3"/>
        <v/>
      </c>
      <c r="O28" s="145"/>
      <c r="P28" s="146"/>
    </row>
    <row r="29" spans="1:16" s="56" customFormat="1" ht="16.5" customHeight="1">
      <c r="A29" s="57">
        <v>19</v>
      </c>
      <c r="B29" s="58" t="str">
        <f>IF(Name19="","",Name19)</f>
        <v/>
      </c>
      <c r="C29" s="129" t="str">
        <f>IF(Surname19="","",Surname19)</f>
        <v/>
      </c>
      <c r="D29" s="160"/>
      <c r="E29" s="163" t="str">
        <f t="shared" si="0"/>
        <v/>
      </c>
      <c r="F29" s="145"/>
      <c r="G29" s="146"/>
      <c r="H29" s="209" t="str">
        <f t="shared" si="1"/>
        <v/>
      </c>
      <c r="I29" s="145"/>
      <c r="J29" s="146"/>
      <c r="K29" s="209" t="str">
        <f t="shared" si="2"/>
        <v/>
      </c>
      <c r="L29" s="145"/>
      <c r="M29" s="146"/>
      <c r="N29" s="209" t="str">
        <f t="shared" si="3"/>
        <v/>
      </c>
      <c r="O29" s="145"/>
      <c r="P29" s="146"/>
    </row>
    <row r="30" spans="1:16" s="56" customFormat="1" ht="16.5" customHeight="1">
      <c r="A30" s="57">
        <v>20</v>
      </c>
      <c r="B30" s="58" t="str">
        <f>IF(Name20="","",Name20)</f>
        <v/>
      </c>
      <c r="C30" s="129" t="str">
        <f>IF(Surname20="","",Surname20)</f>
        <v/>
      </c>
      <c r="D30" s="160"/>
      <c r="E30" s="163" t="str">
        <f t="shared" si="0"/>
        <v/>
      </c>
      <c r="F30" s="145"/>
      <c r="G30" s="146"/>
      <c r="H30" s="209" t="str">
        <f t="shared" si="1"/>
        <v/>
      </c>
      <c r="I30" s="145"/>
      <c r="J30" s="146"/>
      <c r="K30" s="209" t="str">
        <f t="shared" si="2"/>
        <v/>
      </c>
      <c r="L30" s="145"/>
      <c r="M30" s="146"/>
      <c r="N30" s="209" t="str">
        <f t="shared" si="3"/>
        <v/>
      </c>
      <c r="O30" s="145"/>
      <c r="P30" s="146"/>
    </row>
    <row r="31" spans="1:16" s="56" customFormat="1" ht="16.5" customHeight="1">
      <c r="A31" s="57">
        <v>21</v>
      </c>
      <c r="B31" s="58" t="str">
        <f>IF(Name21="","",Name21)</f>
        <v/>
      </c>
      <c r="C31" s="129" t="str">
        <f>IF(Surname21="","",Surname21)</f>
        <v/>
      </c>
      <c r="D31" s="160"/>
      <c r="E31" s="163" t="str">
        <f t="shared" si="0"/>
        <v/>
      </c>
      <c r="F31" s="145"/>
      <c r="G31" s="146"/>
      <c r="H31" s="209" t="str">
        <f t="shared" si="1"/>
        <v/>
      </c>
      <c r="I31" s="145"/>
      <c r="J31" s="146"/>
      <c r="K31" s="209" t="str">
        <f t="shared" si="2"/>
        <v/>
      </c>
      <c r="L31" s="145"/>
      <c r="M31" s="146"/>
      <c r="N31" s="209" t="str">
        <f t="shared" si="3"/>
        <v/>
      </c>
      <c r="O31" s="145"/>
      <c r="P31" s="146"/>
    </row>
    <row r="32" spans="1:16" s="56" customFormat="1" ht="16.5" customHeight="1">
      <c r="A32" s="57">
        <v>22</v>
      </c>
      <c r="B32" s="58" t="str">
        <f>IF(Name22="","",Name22)</f>
        <v/>
      </c>
      <c r="C32" s="130" t="str">
        <f>IF(Surname22="","",Surname22)</f>
        <v/>
      </c>
      <c r="D32" s="161"/>
      <c r="E32" s="163" t="str">
        <f t="shared" si="0"/>
        <v/>
      </c>
      <c r="F32" s="145"/>
      <c r="G32" s="146"/>
      <c r="H32" s="209" t="str">
        <f t="shared" si="1"/>
        <v/>
      </c>
      <c r="I32" s="145"/>
      <c r="J32" s="146"/>
      <c r="K32" s="209" t="str">
        <f t="shared" si="2"/>
        <v/>
      </c>
      <c r="L32" s="145"/>
      <c r="M32" s="146"/>
      <c r="N32" s="209" t="str">
        <f t="shared" si="3"/>
        <v/>
      </c>
      <c r="O32" s="145"/>
      <c r="P32" s="146"/>
    </row>
    <row r="33" spans="1:16" s="56" customFormat="1" ht="16.5" customHeight="1">
      <c r="A33" s="57">
        <v>23</v>
      </c>
      <c r="B33" s="58" t="str">
        <f>IF(Name23="","",Name23)</f>
        <v/>
      </c>
      <c r="C33" s="129" t="str">
        <f>IF(Surname23="","",Surname23)</f>
        <v/>
      </c>
      <c r="D33" s="160"/>
      <c r="E33" s="163" t="str">
        <f t="shared" si="0"/>
        <v/>
      </c>
      <c r="F33" s="145"/>
      <c r="G33" s="146"/>
      <c r="H33" s="209" t="str">
        <f t="shared" si="1"/>
        <v/>
      </c>
      <c r="I33" s="145"/>
      <c r="J33" s="146"/>
      <c r="K33" s="209" t="str">
        <f t="shared" si="2"/>
        <v/>
      </c>
      <c r="L33" s="145"/>
      <c r="M33" s="146"/>
      <c r="N33" s="209" t="str">
        <f t="shared" si="3"/>
        <v/>
      </c>
      <c r="O33" s="145"/>
      <c r="P33" s="146"/>
    </row>
    <row r="34" spans="1:16" s="56" customFormat="1" ht="16.5" customHeight="1">
      <c r="A34" s="57">
        <v>24</v>
      </c>
      <c r="B34" s="58" t="str">
        <f>IF(Name24="","",Name24)</f>
        <v/>
      </c>
      <c r="C34" s="129" t="str">
        <f>IF(Surname24="","",Surname24)</f>
        <v/>
      </c>
      <c r="D34" s="160"/>
      <c r="E34" s="163" t="str">
        <f t="shared" si="0"/>
        <v/>
      </c>
      <c r="F34" s="145"/>
      <c r="G34" s="146"/>
      <c r="H34" s="209" t="str">
        <f t="shared" si="1"/>
        <v/>
      </c>
      <c r="I34" s="145"/>
      <c r="J34" s="146"/>
      <c r="K34" s="209" t="str">
        <f t="shared" si="2"/>
        <v/>
      </c>
      <c r="L34" s="145"/>
      <c r="M34" s="146"/>
      <c r="N34" s="209" t="str">
        <f t="shared" si="3"/>
        <v/>
      </c>
      <c r="O34" s="145"/>
      <c r="P34" s="146"/>
    </row>
    <row r="35" spans="1:16" s="56" customFormat="1" ht="16.5" customHeight="1">
      <c r="A35" s="57">
        <v>25</v>
      </c>
      <c r="B35" s="58" t="str">
        <f>IF(Name25="","",Name25)</f>
        <v/>
      </c>
      <c r="C35" s="129" t="str">
        <f>IF(Surname25="","",Surname25)</f>
        <v/>
      </c>
      <c r="D35" s="160"/>
      <c r="E35" s="163" t="str">
        <f t="shared" si="0"/>
        <v/>
      </c>
      <c r="F35" s="145"/>
      <c r="G35" s="146"/>
      <c r="H35" s="209" t="str">
        <f t="shared" si="1"/>
        <v/>
      </c>
      <c r="I35" s="145"/>
      <c r="J35" s="146"/>
      <c r="K35" s="209" t="str">
        <f t="shared" si="2"/>
        <v/>
      </c>
      <c r="L35" s="145"/>
      <c r="M35" s="146"/>
      <c r="N35" s="209" t="str">
        <f t="shared" si="3"/>
        <v/>
      </c>
      <c r="O35" s="145"/>
      <c r="P35" s="146"/>
    </row>
    <row r="36" spans="1:16" s="56" customFormat="1" ht="16.5" customHeight="1">
      <c r="A36" s="57">
        <v>26</v>
      </c>
      <c r="B36" s="58" t="str">
        <f>IF(Name26="","",Name26)</f>
        <v/>
      </c>
      <c r="C36" s="129" t="str">
        <f>IF(Surname26="","",Surname26)</f>
        <v/>
      </c>
      <c r="D36" s="160"/>
      <c r="E36" s="163" t="str">
        <f t="shared" si="0"/>
        <v/>
      </c>
      <c r="F36" s="145"/>
      <c r="G36" s="146"/>
      <c r="H36" s="209" t="str">
        <f t="shared" si="1"/>
        <v/>
      </c>
      <c r="I36" s="145"/>
      <c r="J36" s="146"/>
      <c r="K36" s="209" t="str">
        <f t="shared" si="2"/>
        <v/>
      </c>
      <c r="L36" s="145"/>
      <c r="M36" s="146"/>
      <c r="N36" s="209" t="str">
        <f t="shared" si="3"/>
        <v/>
      </c>
      <c r="O36" s="145"/>
      <c r="P36" s="146"/>
    </row>
    <row r="37" spans="1:16" s="56" customFormat="1" ht="16.5" customHeight="1">
      <c r="A37" s="57">
        <v>27</v>
      </c>
      <c r="B37" s="58" t="str">
        <f>IF(Name27="","",Name27)</f>
        <v/>
      </c>
      <c r="C37" s="129" t="str">
        <f>IF(Surname27="","",Surname27)</f>
        <v/>
      </c>
      <c r="D37" s="160"/>
      <c r="E37" s="163" t="str">
        <f t="shared" si="0"/>
        <v/>
      </c>
      <c r="F37" s="145"/>
      <c r="G37" s="146"/>
      <c r="H37" s="209" t="str">
        <f t="shared" si="1"/>
        <v/>
      </c>
      <c r="I37" s="145"/>
      <c r="J37" s="146"/>
      <c r="K37" s="209" t="str">
        <f t="shared" si="2"/>
        <v/>
      </c>
      <c r="L37" s="145"/>
      <c r="M37" s="146"/>
      <c r="N37" s="209" t="str">
        <f t="shared" si="3"/>
        <v/>
      </c>
      <c r="O37" s="145"/>
      <c r="P37" s="146"/>
    </row>
    <row r="38" spans="1:16" s="56" customFormat="1" ht="16.5" customHeight="1">
      <c r="A38" s="57">
        <v>28</v>
      </c>
      <c r="B38" s="58" t="str">
        <f>IF(Name28="","",Name28)</f>
        <v/>
      </c>
      <c r="C38" s="129" t="str">
        <f>IF(Surname28="","",Surname28)</f>
        <v/>
      </c>
      <c r="D38" s="160"/>
      <c r="E38" s="163" t="str">
        <f t="shared" si="0"/>
        <v/>
      </c>
      <c r="F38" s="145"/>
      <c r="G38" s="146"/>
      <c r="H38" s="209" t="str">
        <f t="shared" si="1"/>
        <v/>
      </c>
      <c r="I38" s="145"/>
      <c r="J38" s="146"/>
      <c r="K38" s="209" t="str">
        <f t="shared" si="2"/>
        <v/>
      </c>
      <c r="L38" s="145"/>
      <c r="M38" s="146"/>
      <c r="N38" s="209" t="str">
        <f t="shared" si="3"/>
        <v/>
      </c>
      <c r="O38" s="145"/>
      <c r="P38" s="146"/>
    </row>
    <row r="39" spans="1:16" s="56" customFormat="1" ht="16.5" customHeight="1">
      <c r="A39" s="57">
        <v>29</v>
      </c>
      <c r="B39" s="58" t="str">
        <f>IF(Name29="","",Name29)</f>
        <v/>
      </c>
      <c r="C39" s="129" t="str">
        <f>IF(Surname29="","",Surname29)</f>
        <v/>
      </c>
      <c r="D39" s="160"/>
      <c r="E39" s="163" t="str">
        <f t="shared" si="0"/>
        <v/>
      </c>
      <c r="F39" s="145"/>
      <c r="G39" s="146"/>
      <c r="H39" s="209" t="str">
        <f t="shared" si="1"/>
        <v/>
      </c>
      <c r="I39" s="145"/>
      <c r="J39" s="146"/>
      <c r="K39" s="209" t="str">
        <f t="shared" si="2"/>
        <v/>
      </c>
      <c r="L39" s="145"/>
      <c r="M39" s="146"/>
      <c r="N39" s="209" t="str">
        <f t="shared" si="3"/>
        <v/>
      </c>
      <c r="O39" s="145"/>
      <c r="P39" s="146"/>
    </row>
    <row r="40" spans="1:16" s="56" customFormat="1" ht="16.5" customHeight="1">
      <c r="A40" s="57">
        <v>30</v>
      </c>
      <c r="B40" s="58" t="str">
        <f>IF(Name30="","",Name30)</f>
        <v/>
      </c>
      <c r="C40" s="129" t="str">
        <f>IF(Surname30="","",Surname30)</f>
        <v/>
      </c>
      <c r="D40" s="160"/>
      <c r="E40" s="163" t="str">
        <f t="shared" si="0"/>
        <v/>
      </c>
      <c r="F40" s="145"/>
      <c r="G40" s="146"/>
      <c r="H40" s="209" t="str">
        <f t="shared" si="1"/>
        <v/>
      </c>
      <c r="I40" s="145"/>
      <c r="J40" s="146"/>
      <c r="K40" s="209" t="str">
        <f t="shared" si="2"/>
        <v/>
      </c>
      <c r="L40" s="145"/>
      <c r="M40" s="146"/>
      <c r="N40" s="209" t="str">
        <f t="shared" si="3"/>
        <v/>
      </c>
      <c r="O40" s="145"/>
      <c r="P40" s="146"/>
    </row>
    <row r="41" spans="1:16" s="56" customFormat="1" ht="16.5" customHeight="1">
      <c r="A41" s="57">
        <v>31</v>
      </c>
      <c r="B41" s="58" t="str">
        <f>IF(Name31="","",Name31)</f>
        <v/>
      </c>
      <c r="C41" s="129" t="str">
        <f>IF(Surname31="","",Surname31)</f>
        <v/>
      </c>
      <c r="D41" s="160"/>
      <c r="E41" s="163" t="str">
        <f t="shared" si="0"/>
        <v/>
      </c>
      <c r="F41" s="145"/>
      <c r="G41" s="146"/>
      <c r="H41" s="209" t="str">
        <f t="shared" si="1"/>
        <v/>
      </c>
      <c r="I41" s="145"/>
      <c r="J41" s="146"/>
      <c r="K41" s="209" t="str">
        <f t="shared" si="2"/>
        <v/>
      </c>
      <c r="L41" s="145"/>
      <c r="M41" s="146"/>
      <c r="N41" s="209" t="str">
        <f t="shared" si="3"/>
        <v/>
      </c>
      <c r="O41" s="145"/>
      <c r="P41" s="146"/>
    </row>
    <row r="42" spans="1:16" s="56" customFormat="1" ht="16.5" customHeight="1">
      <c r="A42" s="57">
        <v>32</v>
      </c>
      <c r="B42" s="58" t="str">
        <f>IF(Name32="","",Name32)</f>
        <v/>
      </c>
      <c r="C42" s="129" t="str">
        <f>IF(Surname32="","",Surname32)</f>
        <v/>
      </c>
      <c r="D42" s="160"/>
      <c r="E42" s="163" t="str">
        <f t="shared" si="0"/>
        <v/>
      </c>
      <c r="F42" s="145"/>
      <c r="G42" s="146"/>
      <c r="H42" s="209" t="str">
        <f t="shared" si="1"/>
        <v/>
      </c>
      <c r="I42" s="145"/>
      <c r="J42" s="146"/>
      <c r="K42" s="209" t="str">
        <f t="shared" si="2"/>
        <v/>
      </c>
      <c r="L42" s="145"/>
      <c r="M42" s="146"/>
      <c r="N42" s="209" t="str">
        <f t="shared" si="3"/>
        <v/>
      </c>
      <c r="O42" s="145"/>
      <c r="P42" s="146"/>
    </row>
    <row r="43" spans="1:16" s="56" customFormat="1" ht="16.5" customHeight="1">
      <c r="A43" s="57">
        <v>33</v>
      </c>
      <c r="B43" s="58" t="str">
        <f>IF(Name33="","",Name33)</f>
        <v/>
      </c>
      <c r="C43" s="129" t="str">
        <f>IF(Surname33="","",Surname33)</f>
        <v/>
      </c>
      <c r="D43" s="160"/>
      <c r="E43" s="163" t="str">
        <f t="shared" si="0"/>
        <v/>
      </c>
      <c r="F43" s="145"/>
      <c r="G43" s="146"/>
      <c r="H43" s="209" t="str">
        <f t="shared" si="1"/>
        <v/>
      </c>
      <c r="I43" s="145"/>
      <c r="J43" s="146"/>
      <c r="K43" s="209" t="str">
        <f t="shared" si="2"/>
        <v/>
      </c>
      <c r="L43" s="145"/>
      <c r="M43" s="146"/>
      <c r="N43" s="209" t="str">
        <f t="shared" si="3"/>
        <v/>
      </c>
      <c r="O43" s="145"/>
      <c r="P43" s="146"/>
    </row>
    <row r="44" spans="1:16" s="56" customFormat="1" ht="16.5" customHeight="1">
      <c r="A44" s="57">
        <v>34</v>
      </c>
      <c r="B44" s="58" t="str">
        <f>IF(Name34="","",Name34)</f>
        <v/>
      </c>
      <c r="C44" s="129" t="str">
        <f>IF(Surname34="","",Surname34)</f>
        <v/>
      </c>
      <c r="D44" s="160"/>
      <c r="E44" s="163" t="str">
        <f t="shared" si="0"/>
        <v/>
      </c>
      <c r="F44" s="145"/>
      <c r="G44" s="146"/>
      <c r="H44" s="209" t="str">
        <f t="shared" si="1"/>
        <v/>
      </c>
      <c r="I44" s="145"/>
      <c r="J44" s="146"/>
      <c r="K44" s="209" t="str">
        <f t="shared" si="2"/>
        <v/>
      </c>
      <c r="L44" s="145"/>
      <c r="M44" s="146"/>
      <c r="N44" s="209" t="str">
        <f t="shared" si="3"/>
        <v/>
      </c>
      <c r="O44" s="145"/>
      <c r="P44" s="146"/>
    </row>
    <row r="45" spans="1:16" s="56" customFormat="1" ht="16.5" customHeight="1">
      <c r="A45" s="57">
        <v>35</v>
      </c>
      <c r="B45" s="58" t="str">
        <f>IF(Name35="","",Name35)</f>
        <v/>
      </c>
      <c r="C45" s="129" t="str">
        <f>IF(Surname35="","",Surname35)</f>
        <v/>
      </c>
      <c r="D45" s="160"/>
      <c r="E45" s="163" t="str">
        <f t="shared" si="0"/>
        <v/>
      </c>
      <c r="F45" s="145"/>
      <c r="G45" s="146"/>
      <c r="H45" s="209" t="str">
        <f t="shared" si="1"/>
        <v/>
      </c>
      <c r="I45" s="145"/>
      <c r="J45" s="146"/>
      <c r="K45" s="209" t="str">
        <f t="shared" si="2"/>
        <v/>
      </c>
      <c r="L45" s="145"/>
      <c r="M45" s="146"/>
      <c r="N45" s="209" t="str">
        <f t="shared" si="3"/>
        <v/>
      </c>
      <c r="O45" s="145"/>
      <c r="P45" s="146"/>
    </row>
    <row r="46" spans="1:16" s="56" customFormat="1" ht="16.5" customHeight="1">
      <c r="A46" s="57">
        <v>36</v>
      </c>
      <c r="B46" s="58" t="str">
        <f>IF(Name36="","",Name36)</f>
        <v/>
      </c>
      <c r="C46" s="129" t="str">
        <f>IF(Surname36="","",Surname36)</f>
        <v/>
      </c>
      <c r="D46" s="160"/>
      <c r="E46" s="163" t="str">
        <f t="shared" si="0"/>
        <v/>
      </c>
      <c r="F46" s="145"/>
      <c r="G46" s="146"/>
      <c r="H46" s="209" t="str">
        <f t="shared" si="1"/>
        <v/>
      </c>
      <c r="I46" s="145"/>
      <c r="J46" s="146"/>
      <c r="K46" s="209" t="str">
        <f t="shared" si="2"/>
        <v/>
      </c>
      <c r="L46" s="145"/>
      <c r="M46" s="146"/>
      <c r="N46" s="209" t="str">
        <f t="shared" si="3"/>
        <v/>
      </c>
      <c r="O46" s="145"/>
      <c r="P46" s="146"/>
    </row>
    <row r="47" spans="1:16" s="56" customFormat="1" ht="16.5" customHeight="1">
      <c r="A47" s="57">
        <v>37</v>
      </c>
      <c r="B47" s="58" t="str">
        <f>IF(Name37="","",Name37)</f>
        <v/>
      </c>
      <c r="C47" s="129" t="str">
        <f>IF(Surname37="","",Surname37)</f>
        <v/>
      </c>
      <c r="D47" s="160"/>
      <c r="E47" s="163" t="str">
        <f t="shared" si="0"/>
        <v/>
      </c>
      <c r="F47" s="145"/>
      <c r="G47" s="146"/>
      <c r="H47" s="209" t="str">
        <f t="shared" si="1"/>
        <v/>
      </c>
      <c r="I47" s="145"/>
      <c r="J47" s="146"/>
      <c r="K47" s="209" t="str">
        <f t="shared" si="2"/>
        <v/>
      </c>
      <c r="L47" s="145"/>
      <c r="M47" s="146"/>
      <c r="N47" s="209" t="str">
        <f t="shared" si="3"/>
        <v/>
      </c>
      <c r="O47" s="145"/>
      <c r="P47" s="146"/>
    </row>
    <row r="48" spans="1:16" s="56" customFormat="1" ht="16.5" customHeight="1">
      <c r="A48" s="57">
        <v>38</v>
      </c>
      <c r="B48" s="58" t="str">
        <f>IF(Name38="","",Name38)</f>
        <v/>
      </c>
      <c r="C48" s="129" t="str">
        <f>IF(Surname38="","",Surname38)</f>
        <v/>
      </c>
      <c r="D48" s="160"/>
      <c r="E48" s="163" t="str">
        <f t="shared" si="0"/>
        <v/>
      </c>
      <c r="F48" s="145"/>
      <c r="G48" s="146"/>
      <c r="H48" s="209" t="str">
        <f t="shared" si="1"/>
        <v/>
      </c>
      <c r="I48" s="145"/>
      <c r="J48" s="146"/>
      <c r="K48" s="209" t="str">
        <f t="shared" si="2"/>
        <v/>
      </c>
      <c r="L48" s="145"/>
      <c r="M48" s="146"/>
      <c r="N48" s="209" t="str">
        <f t="shared" si="3"/>
        <v/>
      </c>
      <c r="O48" s="145"/>
      <c r="P48" s="146"/>
    </row>
    <row r="49" spans="1:16" s="56" customFormat="1" ht="16.5" customHeight="1">
      <c r="A49" s="57">
        <v>39</v>
      </c>
      <c r="B49" s="58" t="str">
        <f>IF(Name39="","",Name39)</f>
        <v/>
      </c>
      <c r="C49" s="129" t="str">
        <f>IF(Surname39="","",Surname39)</f>
        <v/>
      </c>
      <c r="D49" s="160"/>
      <c r="E49" s="163" t="str">
        <f t="shared" si="0"/>
        <v/>
      </c>
      <c r="F49" s="145"/>
      <c r="G49" s="146"/>
      <c r="H49" s="209" t="str">
        <f t="shared" si="1"/>
        <v/>
      </c>
      <c r="I49" s="145"/>
      <c r="J49" s="146"/>
      <c r="K49" s="209" t="str">
        <f t="shared" si="2"/>
        <v/>
      </c>
      <c r="L49" s="145"/>
      <c r="M49" s="146"/>
      <c r="N49" s="209" t="str">
        <f t="shared" si="3"/>
        <v/>
      </c>
      <c r="O49" s="145"/>
      <c r="P49" s="146"/>
    </row>
    <row r="50" spans="1:16" s="56" customFormat="1" ht="16.5" customHeight="1">
      <c r="A50" s="57">
        <v>40</v>
      </c>
      <c r="B50" s="58" t="str">
        <f>IF(Name40="","",Name40)</f>
        <v/>
      </c>
      <c r="C50" s="129" t="str">
        <f>IF(Surname40="","",Surname40)</f>
        <v/>
      </c>
      <c r="D50" s="160"/>
      <c r="E50" s="163" t="str">
        <f t="shared" si="0"/>
        <v/>
      </c>
      <c r="F50" s="145"/>
      <c r="G50" s="146"/>
      <c r="H50" s="209" t="str">
        <f t="shared" si="1"/>
        <v/>
      </c>
      <c r="I50" s="145"/>
      <c r="J50" s="146"/>
      <c r="K50" s="209" t="str">
        <f t="shared" si="2"/>
        <v/>
      </c>
      <c r="L50" s="145"/>
      <c r="M50" s="146"/>
      <c r="N50" s="209" t="str">
        <f t="shared" si="3"/>
        <v/>
      </c>
      <c r="O50" s="145"/>
      <c r="P50" s="146"/>
    </row>
    <row r="51" spans="1:16" s="56" customFormat="1" ht="16.5" customHeight="1">
      <c r="A51" s="57">
        <v>41</v>
      </c>
      <c r="B51" s="58" t="str">
        <f>IF(Name41="","",Name41)</f>
        <v/>
      </c>
      <c r="C51" s="129" t="str">
        <f>IF(Surname41="","",Surname41)</f>
        <v/>
      </c>
      <c r="D51" s="160"/>
      <c r="E51" s="163" t="str">
        <f t="shared" si="0"/>
        <v/>
      </c>
      <c r="F51" s="145"/>
      <c r="G51" s="146"/>
      <c r="H51" s="209" t="str">
        <f t="shared" si="1"/>
        <v/>
      </c>
      <c r="I51" s="145"/>
      <c r="J51" s="146"/>
      <c r="K51" s="209" t="str">
        <f t="shared" si="2"/>
        <v/>
      </c>
      <c r="L51" s="145"/>
      <c r="M51" s="146"/>
      <c r="N51" s="209" t="str">
        <f t="shared" si="3"/>
        <v/>
      </c>
      <c r="O51" s="145"/>
      <c r="P51" s="146"/>
    </row>
    <row r="52" spans="1:16" s="56" customFormat="1" ht="16.5" customHeight="1">
      <c r="A52" s="57">
        <v>42</v>
      </c>
      <c r="B52" s="58" t="str">
        <f>IF(Name42="","",Name42)</f>
        <v/>
      </c>
      <c r="C52" s="129" t="str">
        <f>IF(Surname42="","",Surname42)</f>
        <v/>
      </c>
      <c r="D52" s="160"/>
      <c r="E52" s="163" t="str">
        <f t="shared" si="0"/>
        <v/>
      </c>
      <c r="F52" s="145"/>
      <c r="G52" s="146"/>
      <c r="H52" s="209" t="str">
        <f t="shared" si="1"/>
        <v/>
      </c>
      <c r="I52" s="145"/>
      <c r="J52" s="146"/>
      <c r="K52" s="209" t="str">
        <f t="shared" si="2"/>
        <v/>
      </c>
      <c r="L52" s="145"/>
      <c r="M52" s="146"/>
      <c r="N52" s="209" t="str">
        <f t="shared" si="3"/>
        <v/>
      </c>
      <c r="O52" s="145"/>
      <c r="P52" s="146"/>
    </row>
    <row r="53" spans="1:16" s="56" customFormat="1" ht="16.5" customHeight="1">
      <c r="A53" s="57">
        <v>43</v>
      </c>
      <c r="B53" s="58" t="str">
        <f>IF(Name43="","",Name43)</f>
        <v/>
      </c>
      <c r="C53" s="129" t="str">
        <f>IF(Surname43="","",Surname43)</f>
        <v/>
      </c>
      <c r="D53" s="160"/>
      <c r="E53" s="163" t="str">
        <f t="shared" si="0"/>
        <v/>
      </c>
      <c r="F53" s="145"/>
      <c r="G53" s="146"/>
      <c r="H53" s="209" t="str">
        <f t="shared" si="1"/>
        <v/>
      </c>
      <c r="I53" s="145"/>
      <c r="J53" s="146"/>
      <c r="K53" s="209" t="str">
        <f t="shared" si="2"/>
        <v/>
      </c>
      <c r="L53" s="145"/>
      <c r="M53" s="146"/>
      <c r="N53" s="209" t="str">
        <f t="shared" si="3"/>
        <v/>
      </c>
      <c r="O53" s="145"/>
      <c r="P53" s="146"/>
    </row>
    <row r="54" spans="1:16" s="56" customFormat="1" ht="16.5" customHeight="1">
      <c r="A54" s="57">
        <v>44</v>
      </c>
      <c r="B54" s="58" t="str">
        <f>IF(Name44="","",Name44)</f>
        <v/>
      </c>
      <c r="C54" s="129" t="str">
        <f>IF(Surname44="","",Surname44)</f>
        <v/>
      </c>
      <c r="D54" s="160"/>
      <c r="E54" s="163" t="str">
        <f t="shared" si="0"/>
        <v/>
      </c>
      <c r="F54" s="145"/>
      <c r="G54" s="146"/>
      <c r="H54" s="209" t="str">
        <f t="shared" si="1"/>
        <v/>
      </c>
      <c r="I54" s="145"/>
      <c r="J54" s="146"/>
      <c r="K54" s="209" t="str">
        <f t="shared" si="2"/>
        <v/>
      </c>
      <c r="L54" s="145"/>
      <c r="M54" s="146"/>
      <c r="N54" s="209" t="str">
        <f t="shared" si="3"/>
        <v/>
      </c>
      <c r="O54" s="145"/>
      <c r="P54" s="146"/>
    </row>
    <row r="55" spans="1:16" s="56" customFormat="1" ht="16.5" customHeight="1" thickBot="1">
      <c r="A55" s="131">
        <v>45</v>
      </c>
      <c r="B55" s="132" t="str">
        <f>IF(Name45="","",Name45)</f>
        <v/>
      </c>
      <c r="C55" s="133" t="str">
        <f>IF(Surname45="","",Surname45)</f>
        <v/>
      </c>
      <c r="D55" s="162"/>
      <c r="E55" s="164" t="str">
        <f t="shared" si="0"/>
        <v/>
      </c>
      <c r="F55" s="147"/>
      <c r="G55" s="148"/>
      <c r="H55" s="210" t="str">
        <f t="shared" si="1"/>
        <v/>
      </c>
      <c r="I55" s="147"/>
      <c r="J55" s="148"/>
      <c r="K55" s="210" t="str">
        <f t="shared" si="2"/>
        <v/>
      </c>
      <c r="L55" s="147"/>
      <c r="M55" s="148"/>
      <c r="N55" s="210" t="str">
        <f t="shared" si="3"/>
        <v/>
      </c>
      <c r="O55" s="147"/>
      <c r="P55" s="148"/>
    </row>
    <row r="56" spans="1:16" s="61" customFormat="1" ht="9.75" customHeight="1">
      <c r="A56" s="59"/>
      <c r="B56" s="60"/>
      <c r="C56" s="60"/>
      <c r="D56" s="60"/>
      <c r="E56" s="60"/>
      <c r="F56" s="59"/>
      <c r="G56" s="59"/>
      <c r="H56" s="59"/>
      <c r="I56" s="59"/>
      <c r="J56" s="59"/>
      <c r="K56" s="59"/>
      <c r="L56" s="59"/>
      <c r="M56" s="59"/>
      <c r="N56" s="59"/>
    </row>
    <row r="57" spans="1:16" s="63" customFormat="1" ht="16.5" customHeight="1">
      <c r="A57" s="59"/>
      <c r="B57" s="62"/>
      <c r="C57" s="62"/>
      <c r="D57" s="62"/>
      <c r="E57" s="62"/>
      <c r="F57" s="59"/>
      <c r="G57" s="59"/>
      <c r="H57" s="59"/>
      <c r="K57" s="149"/>
      <c r="N57" s="149"/>
    </row>
    <row r="58" spans="1:16" s="63" customFormat="1" ht="16.5" customHeight="1">
      <c r="A58" s="59"/>
      <c r="B58" s="62"/>
      <c r="C58" s="62"/>
      <c r="D58" s="62"/>
      <c r="E58" s="62"/>
      <c r="F58" s="59"/>
      <c r="G58" s="59"/>
      <c r="H58" s="59"/>
      <c r="K58" s="149"/>
      <c r="N58" s="149"/>
    </row>
    <row r="59" spans="1:16" s="63" customFormat="1" ht="16.5" customHeight="1">
      <c r="A59" s="59"/>
      <c r="B59" s="62"/>
      <c r="C59" s="62"/>
      <c r="D59" s="62"/>
      <c r="E59" s="62"/>
      <c r="F59" s="59"/>
      <c r="G59" s="59"/>
      <c r="H59" s="59"/>
      <c r="K59" s="149"/>
      <c r="N59" s="149"/>
    </row>
    <row r="60" spans="1:16" ht="16.5" customHeight="1">
      <c r="A60" s="59"/>
      <c r="B60" s="62"/>
      <c r="C60" s="62"/>
      <c r="D60" s="62"/>
      <c r="E60" s="62"/>
      <c r="F60" s="64"/>
      <c r="G60" s="64"/>
      <c r="H60" s="64"/>
    </row>
    <row r="61" spans="1:16" ht="16.5" customHeight="1">
      <c r="A61" s="59"/>
      <c r="B61" s="62"/>
      <c r="C61" s="62"/>
      <c r="D61" s="62"/>
      <c r="E61" s="62"/>
      <c r="F61" s="64"/>
      <c r="G61" s="64"/>
      <c r="H61" s="64"/>
    </row>
    <row r="62" spans="1:16" ht="12.75" customHeight="1">
      <c r="A62" s="59"/>
      <c r="B62" s="62"/>
      <c r="C62" s="62"/>
      <c r="D62" s="62"/>
      <c r="E62" s="62"/>
      <c r="F62" s="59"/>
      <c r="G62" s="59"/>
      <c r="H62" s="59"/>
    </row>
  </sheetData>
  <mergeCells count="9">
    <mergeCell ref="K9:M9"/>
    <mergeCell ref="N9:P9"/>
    <mergeCell ref="A2:J2"/>
    <mergeCell ref="A1:J1"/>
    <mergeCell ref="A9:A10"/>
    <mergeCell ref="B9:C10"/>
    <mergeCell ref="D9:D10"/>
    <mergeCell ref="E9:G9"/>
    <mergeCell ref="H9:J9"/>
  </mergeCells>
  <dataValidations count="1">
    <dataValidation allowBlank="1" showErrorMessage="1" sqref="F11:P55" xr:uid="{00000000-0002-0000-0600-000000000000}"/>
  </dataValidations>
  <printOptions horizontalCentered="1" verticalCentered="1"/>
  <pageMargins left="0.39370078740157499" right="0.196850393700787" top="0.196850393700787" bottom="0.196850393700787" header="0.39370078740157499" footer="0.39370078740157499"/>
  <pageSetup paperSize="5" scale="98" orientation="portrait" horizontalDpi="4294967293" r:id="rId1"/>
  <headerFooter alignWithMargins="0"/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tabColor rgb="FF00B050"/>
  </sheetPr>
  <dimension ref="A2:EU49"/>
  <sheetViews>
    <sheetView view="pageBreakPreview" zoomScale="79" zoomScaleNormal="79" zoomScaleSheetLayoutView="79" zoomScalePageLayoutView="64" workbookViewId="0">
      <pane ySplit="3" topLeftCell="A4" activePane="bottomLeft" state="frozen"/>
      <selection pane="bottomLeft" activeCell="BA16" sqref="BA16:BG16"/>
    </sheetView>
  </sheetViews>
  <sheetFormatPr defaultColWidth="9.42578125" defaultRowHeight="21"/>
  <cols>
    <col min="1" max="73" width="1.42578125" style="172" customWidth="1"/>
    <col min="74" max="143" width="1.42578125" style="172" hidden="1" customWidth="1"/>
    <col min="144" max="145" width="9.42578125" style="172" hidden="1" customWidth="1"/>
    <col min="146" max="146" width="9.42578125" style="172" customWidth="1"/>
    <col min="147" max="16384" width="9.42578125" style="172"/>
  </cols>
  <sheetData>
    <row r="2" spans="1:151" ht="45.75">
      <c r="A2" s="171" t="s">
        <v>509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AL2" s="346">
        <v>1</v>
      </c>
      <c r="AM2" s="347"/>
      <c r="AN2" s="347"/>
      <c r="AO2" s="347"/>
      <c r="AP2" s="347"/>
      <c r="AQ2" s="347"/>
      <c r="AR2" s="347"/>
      <c r="AS2" s="347"/>
      <c r="AT2" s="347"/>
      <c r="AU2" s="347"/>
      <c r="AV2" s="347"/>
      <c r="AW2" s="347"/>
      <c r="AX2" s="347"/>
      <c r="AY2" s="347"/>
      <c r="AZ2" s="347"/>
      <c r="BA2" s="347"/>
      <c r="BB2" s="347"/>
      <c r="BC2" s="347"/>
      <c r="BD2" s="347"/>
      <c r="BE2" s="347"/>
      <c r="BF2" s="347"/>
      <c r="BG2" s="347"/>
      <c r="BH2" s="347"/>
      <c r="BI2" s="347"/>
      <c r="BJ2" s="347"/>
      <c r="BK2" s="347"/>
      <c r="BL2" s="347"/>
      <c r="BM2" s="347"/>
      <c r="BN2" s="347"/>
      <c r="BO2" s="347"/>
      <c r="BP2" s="347"/>
      <c r="BQ2" s="347"/>
      <c r="BR2" s="347"/>
      <c r="BS2" s="347"/>
      <c r="BT2" s="347"/>
      <c r="BU2" s="348"/>
    </row>
    <row r="3" spans="1:151" ht="9.75" customHeight="1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</row>
    <row r="4" spans="1:151" ht="22.5" customHeight="1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</row>
    <row r="5" spans="1:151" ht="22.5" customHeight="1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</row>
    <row r="6" spans="1:151" ht="22.5" customHeight="1">
      <c r="A6" s="171"/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3"/>
      <c r="BN6" s="173"/>
      <c r="BO6" s="173"/>
      <c r="BP6" s="173"/>
      <c r="BQ6" s="173"/>
      <c r="BR6" s="173"/>
      <c r="BS6" s="173"/>
      <c r="BT6" s="173"/>
      <c r="BU6" s="173"/>
    </row>
    <row r="7" spans="1:151" ht="32.25" customHeight="1">
      <c r="A7" s="352" t="s">
        <v>725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2"/>
      <c r="AH7" s="352"/>
      <c r="AI7" s="352"/>
      <c r="AJ7" s="352"/>
      <c r="AK7" s="352"/>
      <c r="AL7" s="352"/>
      <c r="AM7" s="352"/>
      <c r="AN7" s="352"/>
      <c r="AO7" s="352"/>
      <c r="AP7" s="352"/>
      <c r="AQ7" s="352"/>
      <c r="AR7" s="352"/>
      <c r="AS7" s="352"/>
      <c r="AT7" s="352"/>
      <c r="AU7" s="352"/>
      <c r="AV7" s="352"/>
      <c r="AW7" s="352"/>
      <c r="AX7" s="352"/>
      <c r="AY7" s="352"/>
      <c r="AZ7" s="352"/>
      <c r="BA7" s="352"/>
      <c r="BB7" s="352"/>
      <c r="BC7" s="352"/>
      <c r="BD7" s="352"/>
      <c r="BE7" s="352"/>
      <c r="BF7" s="352"/>
      <c r="BG7" s="352"/>
      <c r="BH7" s="352"/>
      <c r="BI7" s="352"/>
      <c r="BJ7" s="352"/>
      <c r="BK7" s="352"/>
      <c r="BL7" s="352"/>
      <c r="BM7" s="352"/>
      <c r="BN7" s="352"/>
      <c r="BO7" s="352"/>
      <c r="BP7" s="352"/>
      <c r="BQ7" s="352"/>
      <c r="BR7" s="352"/>
      <c r="BS7" s="352"/>
      <c r="BT7" s="352"/>
    </row>
    <row r="8" spans="1:151" ht="24" customHeight="1">
      <c r="A8" s="353" t="s">
        <v>718</v>
      </c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53"/>
      <c r="BC8" s="353"/>
      <c r="BD8" s="353"/>
      <c r="BE8" s="353"/>
      <c r="BF8" s="353"/>
      <c r="BG8" s="353"/>
      <c r="BH8" s="353"/>
      <c r="BI8" s="353"/>
      <c r="BJ8" s="353"/>
      <c r="BK8" s="353"/>
      <c r="BL8" s="353"/>
      <c r="BM8" s="353"/>
      <c r="BN8" s="353"/>
      <c r="BO8" s="353"/>
      <c r="BP8" s="353"/>
      <c r="BQ8" s="353"/>
      <c r="BR8" s="353"/>
      <c r="BS8" s="353"/>
      <c r="BT8" s="353"/>
      <c r="EP8" s="349"/>
      <c r="EQ8" s="350"/>
      <c r="ER8" s="350"/>
      <c r="ES8" s="350"/>
      <c r="ET8" s="350"/>
      <c r="EU8" s="351"/>
    </row>
    <row r="9" spans="1:151" ht="24" customHeight="1">
      <c r="A9" s="353" t="str">
        <f>IF(A16="","Calss: ......................................... Semester: ...........................Academic Year: ....................",CONCATENATE("  Class: ",Class,"   Semester: ",Semester," Academic Year: ",Year))</f>
        <v xml:space="preserve">  Class: 9/3   Semester:  Academic Year: 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353"/>
      <c r="AY9" s="353"/>
      <c r="AZ9" s="353"/>
      <c r="BA9" s="353"/>
      <c r="BB9" s="353"/>
      <c r="BC9" s="353"/>
      <c r="BD9" s="353"/>
      <c r="BE9" s="353"/>
      <c r="BF9" s="353"/>
      <c r="BG9" s="353"/>
      <c r="BH9" s="353"/>
      <c r="BI9" s="353"/>
      <c r="BJ9" s="353"/>
      <c r="BK9" s="353"/>
      <c r="BL9" s="353"/>
      <c r="BM9" s="353"/>
      <c r="BN9" s="353"/>
      <c r="BO9" s="353"/>
      <c r="BP9" s="353"/>
      <c r="BQ9" s="353"/>
      <c r="BR9" s="353"/>
      <c r="BS9" s="353"/>
      <c r="BT9" s="353"/>
      <c r="EP9" s="354" t="s">
        <v>529</v>
      </c>
      <c r="EQ9" s="355"/>
      <c r="ER9" s="355"/>
      <c r="ES9" s="355"/>
      <c r="ET9" s="355"/>
      <c r="EU9" s="356"/>
    </row>
    <row r="10" spans="1:151" ht="10.5" customHeight="1">
      <c r="A10" s="353"/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53"/>
      <c r="BA10" s="353"/>
      <c r="BB10" s="353"/>
      <c r="BC10" s="353"/>
      <c r="BD10" s="353"/>
      <c r="BE10" s="353"/>
      <c r="BF10" s="353"/>
      <c r="BG10" s="353"/>
      <c r="BH10" s="353"/>
      <c r="BI10" s="353"/>
      <c r="BJ10" s="353"/>
      <c r="BK10" s="353"/>
      <c r="BL10" s="353"/>
      <c r="BM10" s="353"/>
      <c r="BN10" s="353"/>
      <c r="BO10" s="353"/>
      <c r="BP10" s="353"/>
      <c r="BQ10" s="353"/>
      <c r="BR10" s="353"/>
      <c r="BS10" s="353"/>
      <c r="BT10" s="353"/>
      <c r="EP10" s="354"/>
      <c r="EQ10" s="355"/>
      <c r="ER10" s="355"/>
      <c r="ES10" s="355"/>
      <c r="ET10" s="355"/>
      <c r="EU10" s="356"/>
    </row>
    <row r="11" spans="1:151" ht="24" customHeight="1">
      <c r="A11" s="353" t="str">
        <f>IF($AL$2="","ชื่อ.......................................................................เลขประจำตัว...................เลขที่.............",CONCATENATE(VLOOKUP($AL$2,'2.Students'' data'!$A$11:$S$55,3),"   ",VLOOKUP($AL$2,'2.Students'' data'!$A$11:$S$55,4),"        Student ID:  ",VLOOKUP($AL$2,'2.Students'' data'!$A$11:$S$55,2),"      No.:  ",VLOOKUP($AL$2,'2.Students'' data'!$A$11:$S$55,1)))</f>
        <v xml:space="preserve">           Student ID:        No.:  1</v>
      </c>
      <c r="B11" s="353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3"/>
      <c r="AM11" s="353"/>
      <c r="AN11" s="353"/>
      <c r="AO11" s="353"/>
      <c r="AP11" s="353"/>
      <c r="AQ11" s="353"/>
      <c r="AR11" s="353"/>
      <c r="AS11" s="353"/>
      <c r="AT11" s="353"/>
      <c r="AU11" s="353"/>
      <c r="AV11" s="353"/>
      <c r="AW11" s="353"/>
      <c r="AX11" s="353"/>
      <c r="AY11" s="353"/>
      <c r="AZ11" s="353"/>
      <c r="BA11" s="353"/>
      <c r="BB11" s="353"/>
      <c r="BC11" s="353"/>
      <c r="BD11" s="353"/>
      <c r="BE11" s="353"/>
      <c r="BF11" s="353"/>
      <c r="BG11" s="353"/>
      <c r="BH11" s="353"/>
      <c r="BI11" s="353"/>
      <c r="BJ11" s="353"/>
      <c r="BK11" s="353"/>
      <c r="BL11" s="353"/>
      <c r="BM11" s="353"/>
      <c r="BN11" s="353"/>
      <c r="BO11" s="353"/>
      <c r="BP11" s="353"/>
      <c r="BQ11" s="353"/>
      <c r="BR11" s="353"/>
      <c r="BS11" s="353"/>
      <c r="BT11" s="353"/>
      <c r="EP11" s="357"/>
      <c r="EQ11" s="358"/>
      <c r="ER11" s="358"/>
      <c r="ES11" s="358"/>
      <c r="ET11" s="358"/>
      <c r="EU11" s="359"/>
    </row>
    <row r="12" spans="1:151" ht="9" customHeight="1" thickBot="1">
      <c r="A12" s="176"/>
      <c r="B12" s="176"/>
      <c r="C12" s="177"/>
      <c r="D12" s="177"/>
      <c r="E12" s="177"/>
      <c r="F12" s="178"/>
      <c r="G12" s="175"/>
      <c r="H12" s="175"/>
      <c r="I12" s="178"/>
      <c r="J12" s="177"/>
      <c r="BV12" s="176"/>
      <c r="BW12" s="176"/>
      <c r="BX12" s="177"/>
      <c r="BY12" s="177"/>
      <c r="BZ12" s="177"/>
      <c r="CA12" s="178"/>
      <c r="CB12" s="175"/>
      <c r="CC12" s="175"/>
      <c r="CD12" s="178"/>
      <c r="CE12" s="177"/>
    </row>
    <row r="13" spans="1:151" s="183" customFormat="1" ht="23.25" customHeight="1">
      <c r="A13" s="364" t="s">
        <v>710</v>
      </c>
      <c r="B13" s="365"/>
      <c r="C13" s="365"/>
      <c r="D13" s="365"/>
      <c r="E13" s="365"/>
      <c r="F13" s="365"/>
      <c r="G13" s="365"/>
      <c r="H13" s="368" t="s">
        <v>711</v>
      </c>
      <c r="I13" s="368"/>
      <c r="J13" s="368"/>
      <c r="K13" s="368"/>
      <c r="L13" s="368"/>
      <c r="M13" s="368"/>
      <c r="N13" s="368"/>
      <c r="O13" s="368"/>
      <c r="P13" s="368"/>
      <c r="Q13" s="368"/>
      <c r="R13" s="368"/>
      <c r="S13" s="368"/>
      <c r="T13" s="368"/>
      <c r="U13" s="368"/>
      <c r="V13" s="368"/>
      <c r="W13" s="368"/>
      <c r="X13" s="368"/>
      <c r="Y13" s="368"/>
      <c r="Z13" s="368"/>
      <c r="AA13" s="368"/>
      <c r="AB13" s="368"/>
      <c r="AC13" s="368"/>
      <c r="AD13" s="368"/>
      <c r="AE13" s="368"/>
      <c r="AF13" s="370" t="s">
        <v>712</v>
      </c>
      <c r="AG13" s="371"/>
      <c r="AH13" s="371"/>
      <c r="AI13" s="371"/>
      <c r="AJ13" s="371"/>
      <c r="AK13" s="371"/>
      <c r="AL13" s="372"/>
      <c r="AM13" s="360" t="s">
        <v>721</v>
      </c>
      <c r="AN13" s="360"/>
      <c r="AO13" s="360"/>
      <c r="AP13" s="360"/>
      <c r="AQ13" s="360"/>
      <c r="AR13" s="360"/>
      <c r="AS13" s="360"/>
      <c r="AT13" s="360"/>
      <c r="AU13" s="360"/>
      <c r="AV13" s="360"/>
      <c r="AW13" s="360"/>
      <c r="AX13" s="360"/>
      <c r="AY13" s="360"/>
      <c r="AZ13" s="360"/>
      <c r="BA13" s="360"/>
      <c r="BB13" s="360"/>
      <c r="BC13" s="360"/>
      <c r="BD13" s="360"/>
      <c r="BE13" s="360"/>
      <c r="BF13" s="360"/>
      <c r="BG13" s="360"/>
      <c r="BH13" s="360" t="s">
        <v>720</v>
      </c>
      <c r="BI13" s="360"/>
      <c r="BJ13" s="360"/>
      <c r="BK13" s="360"/>
      <c r="BL13" s="360"/>
      <c r="BM13" s="360"/>
      <c r="BN13" s="360"/>
      <c r="BO13" s="360"/>
      <c r="BP13" s="360"/>
      <c r="BQ13" s="360"/>
      <c r="BR13" s="360"/>
      <c r="BS13" s="360"/>
      <c r="BT13" s="361"/>
      <c r="BV13" s="376" t="s">
        <v>17</v>
      </c>
      <c r="BW13" s="368"/>
      <c r="BX13" s="368"/>
      <c r="BY13" s="368"/>
      <c r="BZ13" s="368"/>
      <c r="CA13" s="368"/>
      <c r="CB13" s="368"/>
      <c r="CC13" s="368" t="s">
        <v>18</v>
      </c>
      <c r="CD13" s="368"/>
      <c r="CE13" s="368"/>
      <c r="CF13" s="368"/>
      <c r="CG13" s="368"/>
      <c r="CH13" s="368"/>
      <c r="CI13" s="368"/>
      <c r="CJ13" s="368"/>
      <c r="CK13" s="368"/>
      <c r="CL13" s="368"/>
      <c r="CM13" s="368"/>
      <c r="CN13" s="368"/>
      <c r="CO13" s="368"/>
      <c r="CP13" s="368"/>
      <c r="CQ13" s="368"/>
      <c r="CR13" s="368"/>
      <c r="CS13" s="368"/>
      <c r="CT13" s="368"/>
      <c r="CU13" s="368"/>
      <c r="CV13" s="368"/>
      <c r="CW13" s="368"/>
      <c r="CX13" s="368"/>
      <c r="CY13" s="368"/>
      <c r="CZ13" s="368"/>
      <c r="DA13" s="370" t="s">
        <v>510</v>
      </c>
      <c r="DB13" s="371"/>
      <c r="DC13" s="371"/>
      <c r="DD13" s="371"/>
      <c r="DE13" s="371"/>
      <c r="DF13" s="371"/>
      <c r="DG13" s="372"/>
      <c r="DH13" s="360" t="s">
        <v>511</v>
      </c>
      <c r="DI13" s="360"/>
      <c r="DJ13" s="360"/>
      <c r="DK13" s="360"/>
      <c r="DL13" s="360"/>
      <c r="DM13" s="360"/>
      <c r="DN13" s="360"/>
      <c r="DO13" s="360"/>
      <c r="DP13" s="360"/>
      <c r="DQ13" s="360"/>
      <c r="DR13" s="360"/>
      <c r="DS13" s="360"/>
      <c r="DT13" s="360"/>
      <c r="DU13" s="360"/>
      <c r="DV13" s="360"/>
      <c r="DW13" s="360"/>
      <c r="DX13" s="360"/>
      <c r="DY13" s="360"/>
      <c r="DZ13" s="360"/>
      <c r="EA13" s="360"/>
      <c r="EB13" s="360"/>
      <c r="EC13" s="360" t="s">
        <v>19</v>
      </c>
      <c r="ED13" s="360"/>
      <c r="EE13" s="360"/>
      <c r="EF13" s="360"/>
      <c r="EG13" s="360"/>
      <c r="EH13" s="360"/>
      <c r="EI13" s="360"/>
      <c r="EJ13" s="360"/>
      <c r="EK13" s="360"/>
      <c r="EL13" s="360"/>
      <c r="EM13" s="360"/>
      <c r="EN13" s="360"/>
      <c r="EO13" s="361"/>
      <c r="EP13" s="172"/>
      <c r="EQ13" s="172"/>
      <c r="ER13" s="172"/>
      <c r="ES13" s="172"/>
      <c r="ET13" s="172"/>
      <c r="EU13" s="172"/>
    </row>
    <row r="14" spans="1:151" s="183" customFormat="1" ht="23.25" customHeight="1">
      <c r="A14" s="366"/>
      <c r="B14" s="367"/>
      <c r="C14" s="367"/>
      <c r="D14" s="367"/>
      <c r="E14" s="367"/>
      <c r="F14" s="367"/>
      <c r="G14" s="367"/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  <c r="W14" s="369"/>
      <c r="X14" s="369"/>
      <c r="Y14" s="369"/>
      <c r="Z14" s="369"/>
      <c r="AA14" s="369"/>
      <c r="AB14" s="369"/>
      <c r="AC14" s="369"/>
      <c r="AD14" s="369"/>
      <c r="AE14" s="369"/>
      <c r="AF14" s="373"/>
      <c r="AG14" s="374"/>
      <c r="AH14" s="374"/>
      <c r="AI14" s="374"/>
      <c r="AJ14" s="374"/>
      <c r="AK14" s="374"/>
      <c r="AL14" s="375"/>
      <c r="AM14" s="362" t="s">
        <v>713</v>
      </c>
      <c r="AN14" s="362"/>
      <c r="AO14" s="362"/>
      <c r="AP14" s="362"/>
      <c r="AQ14" s="362"/>
      <c r="AR14" s="362"/>
      <c r="AS14" s="362"/>
      <c r="AT14" s="362" t="s">
        <v>686</v>
      </c>
      <c r="AU14" s="362"/>
      <c r="AV14" s="362"/>
      <c r="AW14" s="362"/>
      <c r="AX14" s="362"/>
      <c r="AY14" s="362"/>
      <c r="AZ14" s="362"/>
      <c r="BA14" s="362" t="s">
        <v>719</v>
      </c>
      <c r="BB14" s="362"/>
      <c r="BC14" s="362"/>
      <c r="BD14" s="362"/>
      <c r="BE14" s="362"/>
      <c r="BF14" s="362"/>
      <c r="BG14" s="362"/>
      <c r="BH14" s="362"/>
      <c r="BI14" s="362"/>
      <c r="BJ14" s="362"/>
      <c r="BK14" s="362"/>
      <c r="BL14" s="362"/>
      <c r="BM14" s="362"/>
      <c r="BN14" s="362"/>
      <c r="BO14" s="362"/>
      <c r="BP14" s="362"/>
      <c r="BQ14" s="362"/>
      <c r="BR14" s="362"/>
      <c r="BS14" s="362"/>
      <c r="BT14" s="363"/>
      <c r="BV14" s="377"/>
      <c r="BW14" s="369"/>
      <c r="BX14" s="369"/>
      <c r="BY14" s="369"/>
      <c r="BZ14" s="369"/>
      <c r="CA14" s="369"/>
      <c r="CB14" s="369"/>
      <c r="CC14" s="369"/>
      <c r="CD14" s="369"/>
      <c r="CE14" s="369"/>
      <c r="CF14" s="369"/>
      <c r="CG14" s="369"/>
      <c r="CH14" s="369"/>
      <c r="CI14" s="369"/>
      <c r="CJ14" s="369"/>
      <c r="CK14" s="369"/>
      <c r="CL14" s="369"/>
      <c r="CM14" s="369"/>
      <c r="CN14" s="369"/>
      <c r="CO14" s="369"/>
      <c r="CP14" s="369"/>
      <c r="CQ14" s="369"/>
      <c r="CR14" s="369"/>
      <c r="CS14" s="369"/>
      <c r="CT14" s="369"/>
      <c r="CU14" s="369"/>
      <c r="CV14" s="369"/>
      <c r="CW14" s="369"/>
      <c r="CX14" s="369"/>
      <c r="CY14" s="369"/>
      <c r="CZ14" s="369"/>
      <c r="DA14" s="373"/>
      <c r="DB14" s="374"/>
      <c r="DC14" s="374"/>
      <c r="DD14" s="374"/>
      <c r="DE14" s="374"/>
      <c r="DF14" s="374"/>
      <c r="DG14" s="375"/>
      <c r="DH14" s="362" t="s">
        <v>512</v>
      </c>
      <c r="DI14" s="362"/>
      <c r="DJ14" s="362"/>
      <c r="DK14" s="362"/>
      <c r="DL14" s="362"/>
      <c r="DM14" s="362"/>
      <c r="DN14" s="362"/>
      <c r="DO14" s="362" t="s">
        <v>514</v>
      </c>
      <c r="DP14" s="362"/>
      <c r="DQ14" s="362"/>
      <c r="DR14" s="362"/>
      <c r="DS14" s="362"/>
      <c r="DT14" s="362"/>
      <c r="DU14" s="362"/>
      <c r="DV14" s="362" t="s">
        <v>515</v>
      </c>
      <c r="DW14" s="362"/>
      <c r="DX14" s="362"/>
      <c r="DY14" s="362"/>
      <c r="DZ14" s="362"/>
      <c r="EA14" s="362"/>
      <c r="EB14" s="362"/>
      <c r="EC14" s="362"/>
      <c r="ED14" s="362"/>
      <c r="EE14" s="362"/>
      <c r="EF14" s="362"/>
      <c r="EG14" s="362"/>
      <c r="EH14" s="362"/>
      <c r="EI14" s="362"/>
      <c r="EJ14" s="362"/>
      <c r="EK14" s="362"/>
      <c r="EL14" s="362"/>
      <c r="EM14" s="362"/>
      <c r="EN14" s="362"/>
      <c r="EO14" s="363"/>
    </row>
    <row r="15" spans="1:151" ht="19.5" customHeight="1">
      <c r="A15" s="380" t="s">
        <v>722</v>
      </c>
      <c r="B15" s="381"/>
      <c r="C15" s="381"/>
      <c r="D15" s="381"/>
      <c r="E15" s="381"/>
      <c r="F15" s="381"/>
      <c r="G15" s="381"/>
      <c r="H15" s="381"/>
      <c r="I15" s="381"/>
      <c r="J15" s="381"/>
      <c r="K15" s="381"/>
      <c r="L15" s="381"/>
      <c r="M15" s="381"/>
      <c r="N15" s="381"/>
      <c r="O15" s="381"/>
      <c r="P15" s="381"/>
      <c r="Q15" s="381"/>
      <c r="R15" s="381"/>
      <c r="S15" s="381"/>
      <c r="T15" s="381"/>
      <c r="U15" s="381"/>
      <c r="V15" s="381"/>
      <c r="W15" s="381"/>
      <c r="X15" s="381"/>
      <c r="Y15" s="381"/>
      <c r="Z15" s="381"/>
      <c r="AA15" s="381"/>
      <c r="AB15" s="381"/>
      <c r="AC15" s="381"/>
      <c r="AD15" s="381"/>
      <c r="AE15" s="381"/>
      <c r="AF15" s="381"/>
      <c r="AG15" s="381"/>
      <c r="AH15" s="381"/>
      <c r="AI15" s="381"/>
      <c r="AJ15" s="381"/>
      <c r="AK15" s="381"/>
      <c r="AL15" s="381"/>
      <c r="AM15" s="381"/>
      <c r="AN15" s="381"/>
      <c r="AO15" s="381"/>
      <c r="AP15" s="381"/>
      <c r="AQ15" s="381"/>
      <c r="AR15" s="381"/>
      <c r="AS15" s="381"/>
      <c r="AT15" s="381"/>
      <c r="AU15" s="381"/>
      <c r="AV15" s="381"/>
      <c r="AW15" s="381"/>
      <c r="AX15" s="381"/>
      <c r="AY15" s="381"/>
      <c r="AZ15" s="381"/>
      <c r="BA15" s="381"/>
      <c r="BB15" s="381"/>
      <c r="BC15" s="381"/>
      <c r="BD15" s="381"/>
      <c r="BE15" s="381"/>
      <c r="BF15" s="381"/>
      <c r="BG15" s="381"/>
      <c r="BH15" s="381"/>
      <c r="BI15" s="381"/>
      <c r="BJ15" s="381"/>
      <c r="BK15" s="381"/>
      <c r="BL15" s="381"/>
      <c r="BM15" s="381"/>
      <c r="BN15" s="381"/>
      <c r="BO15" s="381"/>
      <c r="BP15" s="381"/>
      <c r="BQ15" s="381"/>
      <c r="BR15" s="381"/>
      <c r="BS15" s="381"/>
      <c r="BT15" s="382"/>
      <c r="BV15" s="380" t="s">
        <v>20</v>
      </c>
      <c r="BW15" s="381"/>
      <c r="BX15" s="381"/>
      <c r="BY15" s="381"/>
      <c r="BZ15" s="381"/>
      <c r="CA15" s="381"/>
      <c r="CB15" s="381"/>
      <c r="CC15" s="381"/>
      <c r="CD15" s="381"/>
      <c r="CE15" s="381"/>
      <c r="CF15" s="381"/>
      <c r="CG15" s="381"/>
      <c r="CH15" s="381"/>
      <c r="CI15" s="381"/>
      <c r="CJ15" s="381"/>
      <c r="CK15" s="381"/>
      <c r="CL15" s="381"/>
      <c r="CM15" s="381"/>
      <c r="CN15" s="381"/>
      <c r="CO15" s="381"/>
      <c r="CP15" s="381"/>
      <c r="CQ15" s="381"/>
      <c r="CR15" s="381"/>
      <c r="CS15" s="381"/>
      <c r="CT15" s="381"/>
      <c r="CU15" s="381"/>
      <c r="CV15" s="381"/>
      <c r="CW15" s="381"/>
      <c r="CX15" s="381"/>
      <c r="CY15" s="381"/>
      <c r="CZ15" s="381"/>
      <c r="DA15" s="381"/>
      <c r="DB15" s="381"/>
      <c r="DC15" s="381"/>
      <c r="DD15" s="381"/>
      <c r="DE15" s="381"/>
      <c r="DF15" s="381"/>
      <c r="DG15" s="381"/>
      <c r="DH15" s="381"/>
      <c r="DI15" s="381"/>
      <c r="DJ15" s="381"/>
      <c r="DK15" s="381"/>
      <c r="DL15" s="381"/>
      <c r="DM15" s="381"/>
      <c r="DN15" s="381"/>
      <c r="DO15" s="381"/>
      <c r="DP15" s="381"/>
      <c r="DQ15" s="381"/>
      <c r="DR15" s="381"/>
      <c r="DS15" s="381"/>
      <c r="DT15" s="381"/>
      <c r="DU15" s="381"/>
      <c r="DV15" s="381"/>
      <c r="DW15" s="381"/>
      <c r="DX15" s="381"/>
      <c r="DY15" s="381"/>
      <c r="DZ15" s="381"/>
      <c r="EA15" s="381"/>
      <c r="EB15" s="381"/>
      <c r="EC15" s="381"/>
      <c r="ED15" s="381"/>
      <c r="EE15" s="381"/>
      <c r="EF15" s="381"/>
      <c r="EG15" s="381"/>
      <c r="EH15" s="381"/>
      <c r="EI15" s="381"/>
      <c r="EJ15" s="381"/>
      <c r="EK15" s="381"/>
      <c r="EL15" s="381"/>
      <c r="EM15" s="381"/>
      <c r="EN15" s="381"/>
      <c r="EO15" s="382"/>
      <c r="EP15" s="183"/>
      <c r="EQ15" s="183"/>
      <c r="ER15" s="183"/>
      <c r="ES15" s="183"/>
      <c r="ET15" s="183"/>
      <c r="EU15" s="183"/>
    </row>
    <row r="16" spans="1:151" ht="19.5" customHeight="1">
      <c r="A16" s="383" t="str">
        <f>IF(codegen1="","",codegen1)</f>
        <v>M23301</v>
      </c>
      <c r="B16" s="384"/>
      <c r="C16" s="384"/>
      <c r="D16" s="384"/>
      <c r="E16" s="384"/>
      <c r="F16" s="384"/>
      <c r="G16" s="384"/>
      <c r="H16" s="385" t="str">
        <f>IF(SubGen1="","",SubGen1)</f>
        <v>Mathematics 5</v>
      </c>
      <c r="I16" s="386"/>
      <c r="J16" s="386"/>
      <c r="K16" s="386"/>
      <c r="L16" s="386"/>
      <c r="M16" s="386"/>
      <c r="N16" s="386"/>
      <c r="O16" s="386"/>
      <c r="P16" s="386"/>
      <c r="Q16" s="386"/>
      <c r="R16" s="386"/>
      <c r="S16" s="386"/>
      <c r="T16" s="386"/>
      <c r="U16" s="386"/>
      <c r="V16" s="386"/>
      <c r="W16" s="386"/>
      <c r="X16" s="386"/>
      <c r="Y16" s="386"/>
      <c r="Z16" s="386"/>
      <c r="AA16" s="386"/>
      <c r="AB16" s="386"/>
      <c r="AC16" s="386"/>
      <c r="AD16" s="386"/>
      <c r="AE16" s="387"/>
      <c r="AF16" s="388">
        <f>IF(CreditGen1="","",CreditGen1)</f>
        <v>1.5</v>
      </c>
      <c r="AG16" s="389"/>
      <c r="AH16" s="389"/>
      <c r="AI16" s="389"/>
      <c r="AJ16" s="389"/>
      <c r="AK16" s="389"/>
      <c r="AL16" s="390"/>
      <c r="AM16" s="388">
        <f>IF($AL$2="","",IF(A16="","",VLOOKUP($AL$2,'3.Grades'!$A$6:$BN$50,10,FALSE)))</f>
        <v>0</v>
      </c>
      <c r="AN16" s="389"/>
      <c r="AO16" s="389"/>
      <c r="AP16" s="389"/>
      <c r="AQ16" s="389"/>
      <c r="AR16" s="389"/>
      <c r="AS16" s="390"/>
      <c r="AT16" s="391" t="str">
        <f>IF($AL$2="","",IF(A16="","",VLOOKUP($AL$2,'3.Grades'!$A$6:$BN$50,11,FALSE)))</f>
        <v/>
      </c>
      <c r="AU16" s="391" t="str">
        <f t="shared" ref="AU16:AZ16" si="0">IF(AT16="","",IF(AT16="ร","ร",IF(AT16="มส","มส",IF(AT16&gt;=80,4,IF(AT16&gt;=75,3.5,IF(AT16&gt;=70,3,IF(AT16&gt;=65,2.5,IF(AT16&gt;=60,2,IF(AT16&gt;=55,1.5,IF(AT16&gt;=50,1,0))))))))))</f>
        <v/>
      </c>
      <c r="AV16" s="391" t="str">
        <f t="shared" si="0"/>
        <v/>
      </c>
      <c r="AW16" s="391" t="str">
        <f t="shared" si="0"/>
        <v/>
      </c>
      <c r="AX16" s="391" t="str">
        <f t="shared" si="0"/>
        <v/>
      </c>
      <c r="AY16" s="391" t="str">
        <f t="shared" si="0"/>
        <v/>
      </c>
      <c r="AZ16" s="391" t="str">
        <f t="shared" si="0"/>
        <v/>
      </c>
      <c r="BA16" s="378"/>
      <c r="BB16" s="378"/>
      <c r="BC16" s="378"/>
      <c r="BD16" s="378"/>
      <c r="BE16" s="378"/>
      <c r="BF16" s="378"/>
      <c r="BG16" s="378"/>
      <c r="BH16" s="378"/>
      <c r="BI16" s="378"/>
      <c r="BJ16" s="378"/>
      <c r="BK16" s="378"/>
      <c r="BL16" s="378"/>
      <c r="BM16" s="378"/>
      <c r="BN16" s="378"/>
      <c r="BO16" s="378"/>
      <c r="BP16" s="378"/>
      <c r="BQ16" s="378"/>
      <c r="BR16" s="378"/>
      <c r="BS16" s="378"/>
      <c r="BT16" s="379"/>
      <c r="BV16" s="383" t="str">
        <f>IF(codegen1="","",codegen1)</f>
        <v>M23301</v>
      </c>
      <c r="BW16" s="384"/>
      <c r="BX16" s="384"/>
      <c r="BY16" s="384"/>
      <c r="BZ16" s="384"/>
      <c r="CA16" s="384"/>
      <c r="CB16" s="384"/>
      <c r="CC16" s="385" t="str">
        <f>IF(SubGen1="","",SubGen1)</f>
        <v>Mathematics 5</v>
      </c>
      <c r="CD16" s="386"/>
      <c r="CE16" s="386"/>
      <c r="CF16" s="386"/>
      <c r="CG16" s="386"/>
      <c r="CH16" s="386"/>
      <c r="CI16" s="386"/>
      <c r="CJ16" s="386"/>
      <c r="CK16" s="386"/>
      <c r="CL16" s="386"/>
      <c r="CM16" s="386"/>
      <c r="CN16" s="386"/>
      <c r="CO16" s="386"/>
      <c r="CP16" s="386"/>
      <c r="CQ16" s="386"/>
      <c r="CR16" s="386"/>
      <c r="CS16" s="386"/>
      <c r="CT16" s="386"/>
      <c r="CU16" s="386"/>
      <c r="CV16" s="386"/>
      <c r="CW16" s="386"/>
      <c r="CX16" s="386"/>
      <c r="CY16" s="386"/>
      <c r="CZ16" s="387"/>
      <c r="DA16" s="388">
        <f>IF(CreditGen1="","",CreditGen1)</f>
        <v>1.5</v>
      </c>
      <c r="DB16" s="389"/>
      <c r="DC16" s="389"/>
      <c r="DD16" s="389"/>
      <c r="DE16" s="389"/>
      <c r="DF16" s="389"/>
      <c r="DG16" s="390"/>
      <c r="DH16" s="388">
        <f>IF($AL$2="","",IF(BV16="","",VLOOKUP($AL$2,'3.Grades'!$A$6:$BN$50,10,FALSE)))</f>
        <v>0</v>
      </c>
      <c r="DI16" s="389"/>
      <c r="DJ16" s="389"/>
      <c r="DK16" s="389"/>
      <c r="DL16" s="389"/>
      <c r="DM16" s="389"/>
      <c r="DN16" s="390"/>
      <c r="DO16" s="391" t="str">
        <f>IF($AL$2="","",IF(BV16="","",VLOOKUP($AL$2,'3.Grades'!$A$6:$BN$50,11,FALSE)))</f>
        <v/>
      </c>
      <c r="DP16" s="391" t="str">
        <f t="shared" ref="DP16:DP27" si="1">IF(DO16="","",IF(DO16="ร","ร",IF(DO16="มส","มส",IF(DO16&gt;=80,4,IF(DO16&gt;=75,3.5,IF(DO16&gt;=70,3,IF(DO16&gt;=65,2.5,IF(DO16&gt;=60,2,IF(DO16&gt;=55,1.5,IF(DO16&gt;=50,1,0))))))))))</f>
        <v/>
      </c>
      <c r="DQ16" s="391" t="str">
        <f t="shared" ref="DQ16:DQ27" si="2">IF(DP16="","",IF(DP16="ร","ร",IF(DP16="มส","มส",IF(DP16&gt;=80,4,IF(DP16&gt;=75,3.5,IF(DP16&gt;=70,3,IF(DP16&gt;=65,2.5,IF(DP16&gt;=60,2,IF(DP16&gt;=55,1.5,IF(DP16&gt;=50,1,0))))))))))</f>
        <v/>
      </c>
      <c r="DR16" s="391" t="str">
        <f t="shared" ref="DR16:DR27" si="3">IF(DQ16="","",IF(DQ16="ร","ร",IF(DQ16="มส","มส",IF(DQ16&gt;=80,4,IF(DQ16&gt;=75,3.5,IF(DQ16&gt;=70,3,IF(DQ16&gt;=65,2.5,IF(DQ16&gt;=60,2,IF(DQ16&gt;=55,1.5,IF(DQ16&gt;=50,1,0))))))))))</f>
        <v/>
      </c>
      <c r="DS16" s="391" t="str">
        <f t="shared" ref="DS16:DS27" si="4">IF(DR16="","",IF(DR16="ร","ร",IF(DR16="มส","มส",IF(DR16&gt;=80,4,IF(DR16&gt;=75,3.5,IF(DR16&gt;=70,3,IF(DR16&gt;=65,2.5,IF(DR16&gt;=60,2,IF(DR16&gt;=55,1.5,IF(DR16&gt;=50,1,0))))))))))</f>
        <v/>
      </c>
      <c r="DT16" s="391" t="str">
        <f t="shared" ref="DT16:DT27" si="5">IF(DS16="","",IF(DS16="ร","ร",IF(DS16="มส","มส",IF(DS16&gt;=80,4,IF(DS16&gt;=75,3.5,IF(DS16&gt;=70,3,IF(DS16&gt;=65,2.5,IF(DS16&gt;=60,2,IF(DS16&gt;=55,1.5,IF(DS16&gt;=50,1,0))))))))))</f>
        <v/>
      </c>
      <c r="DU16" s="391" t="str">
        <f t="shared" ref="DU16:DU27" si="6">IF(DT16="","",IF(DT16="ร","ร",IF(DT16="มส","มส",IF(DT16&gt;=80,4,IF(DT16&gt;=75,3.5,IF(DT16&gt;=70,3,IF(DT16&gt;=65,2.5,IF(DT16&gt;=60,2,IF(DT16&gt;=55,1.5,IF(DT16&gt;=50,1,0))))))))))</f>
        <v/>
      </c>
      <c r="DV16" s="391">
        <f>IF(DH16&lt;50,0,IF(DH16="ร",0,IF(DH16="มส",0,IF(DH16="","",DA16))))</f>
        <v>0</v>
      </c>
      <c r="DW16" s="391"/>
      <c r="DX16" s="391"/>
      <c r="DY16" s="391"/>
      <c r="DZ16" s="391"/>
      <c r="EA16" s="391"/>
      <c r="EB16" s="391"/>
      <c r="EC16" s="378"/>
      <c r="ED16" s="378"/>
      <c r="EE16" s="378"/>
      <c r="EF16" s="378"/>
      <c r="EG16" s="378"/>
      <c r="EH16" s="378"/>
      <c r="EI16" s="378"/>
      <c r="EJ16" s="378"/>
      <c r="EK16" s="378"/>
      <c r="EL16" s="378"/>
      <c r="EM16" s="378"/>
      <c r="EN16" s="378"/>
      <c r="EO16" s="379"/>
    </row>
    <row r="17" spans="1:145" ht="19.5" customHeight="1">
      <c r="A17" s="383" t="str">
        <f>IF(codegen2="","",codegen2)</f>
        <v>Sc23301</v>
      </c>
      <c r="B17" s="384"/>
      <c r="C17" s="384"/>
      <c r="D17" s="384"/>
      <c r="E17" s="384"/>
      <c r="F17" s="384"/>
      <c r="G17" s="384"/>
      <c r="H17" s="385" t="str">
        <f>IF(SubGen2="","",SubGen2)</f>
        <v>Science and Technology 5</v>
      </c>
      <c r="I17" s="386"/>
      <c r="J17" s="386"/>
      <c r="K17" s="386"/>
      <c r="L17" s="386"/>
      <c r="M17" s="386"/>
      <c r="N17" s="386"/>
      <c r="O17" s="386"/>
      <c r="P17" s="386"/>
      <c r="Q17" s="386"/>
      <c r="R17" s="386"/>
      <c r="S17" s="386"/>
      <c r="T17" s="386"/>
      <c r="U17" s="386"/>
      <c r="V17" s="386"/>
      <c r="W17" s="386"/>
      <c r="X17" s="386"/>
      <c r="Y17" s="386"/>
      <c r="Z17" s="386"/>
      <c r="AA17" s="386"/>
      <c r="AB17" s="386"/>
      <c r="AC17" s="386"/>
      <c r="AD17" s="386"/>
      <c r="AE17" s="387"/>
      <c r="AF17" s="388">
        <f>IF(CreditGen2="","",CreditGen2)</f>
        <v>1.5</v>
      </c>
      <c r="AG17" s="389"/>
      <c r="AH17" s="389"/>
      <c r="AI17" s="389"/>
      <c r="AJ17" s="389"/>
      <c r="AK17" s="389"/>
      <c r="AL17" s="390"/>
      <c r="AM17" s="388">
        <f>IF($AL$2="","",IF(A17="","",VLOOKUP($AL$2,'3.Grades'!$A$6:$BN$50,15,FALSE)))</f>
        <v>0</v>
      </c>
      <c r="AN17" s="389"/>
      <c r="AO17" s="389"/>
      <c r="AP17" s="389"/>
      <c r="AQ17" s="389"/>
      <c r="AR17" s="389"/>
      <c r="AS17" s="390"/>
      <c r="AT17" s="391" t="str">
        <f>IF($AL$2="","",IF(A17="","",VLOOKUP($AL$2,'3.Grades'!$A$6:$BN$50,16,FALSE)))</f>
        <v/>
      </c>
      <c r="AU17" s="391" t="str">
        <f t="shared" ref="AU17:AU27" si="7">IF(AT17="","",IF(AT17="ร","ร",IF(AT17="มส","มส",IF(AT17&gt;=80,4,IF(AT17&gt;=75,3.5,IF(AT17&gt;=70,3,IF(AT17&gt;=65,2.5,IF(AT17&gt;=60,2,IF(AT17&gt;=55,1.5,IF(AT17&gt;=50,1,0))))))))))</f>
        <v/>
      </c>
      <c r="AV17" s="391" t="str">
        <f t="shared" ref="AV17:AV27" si="8">IF(AU17="","",IF(AU17="ร","ร",IF(AU17="มส","มส",IF(AU17&gt;=80,4,IF(AU17&gt;=75,3.5,IF(AU17&gt;=70,3,IF(AU17&gt;=65,2.5,IF(AU17&gt;=60,2,IF(AU17&gt;=55,1.5,IF(AU17&gt;=50,1,0))))))))))</f>
        <v/>
      </c>
      <c r="AW17" s="391" t="str">
        <f t="shared" ref="AW17:AW27" si="9">IF(AV17="","",IF(AV17="ร","ร",IF(AV17="มส","มส",IF(AV17&gt;=80,4,IF(AV17&gt;=75,3.5,IF(AV17&gt;=70,3,IF(AV17&gt;=65,2.5,IF(AV17&gt;=60,2,IF(AV17&gt;=55,1.5,IF(AV17&gt;=50,1,0))))))))))</f>
        <v/>
      </c>
      <c r="AX17" s="391" t="str">
        <f t="shared" ref="AX17:AX27" si="10">IF(AW17="","",IF(AW17="ร","ร",IF(AW17="มส","มส",IF(AW17&gt;=80,4,IF(AW17&gt;=75,3.5,IF(AW17&gt;=70,3,IF(AW17&gt;=65,2.5,IF(AW17&gt;=60,2,IF(AW17&gt;=55,1.5,IF(AW17&gt;=50,1,0))))))))))</f>
        <v/>
      </c>
      <c r="AY17" s="391" t="str">
        <f t="shared" ref="AY17:AY27" si="11">IF(AX17="","",IF(AX17="ร","ร",IF(AX17="มส","มส",IF(AX17&gt;=80,4,IF(AX17&gt;=75,3.5,IF(AX17&gt;=70,3,IF(AX17&gt;=65,2.5,IF(AX17&gt;=60,2,IF(AX17&gt;=55,1.5,IF(AX17&gt;=50,1,0))))))))))</f>
        <v/>
      </c>
      <c r="AZ17" s="391" t="str">
        <f t="shared" ref="AZ17:AZ27" si="12">IF(AY17="","",IF(AY17="ร","ร",IF(AY17="มส","มส",IF(AY17&gt;=80,4,IF(AY17&gt;=75,3.5,IF(AY17&gt;=70,3,IF(AY17&gt;=65,2.5,IF(AY17&gt;=60,2,IF(AY17&gt;=55,1.5,IF(AY17&gt;=50,1,0))))))))))</f>
        <v/>
      </c>
      <c r="BA17" s="378"/>
      <c r="BB17" s="378"/>
      <c r="BC17" s="378"/>
      <c r="BD17" s="378"/>
      <c r="BE17" s="378"/>
      <c r="BF17" s="378"/>
      <c r="BG17" s="378"/>
      <c r="BH17" s="378"/>
      <c r="BI17" s="378"/>
      <c r="BJ17" s="378"/>
      <c r="BK17" s="378"/>
      <c r="BL17" s="378"/>
      <c r="BM17" s="378"/>
      <c r="BN17" s="378"/>
      <c r="BO17" s="378"/>
      <c r="BP17" s="378"/>
      <c r="BQ17" s="378"/>
      <c r="BR17" s="378"/>
      <c r="BS17" s="378"/>
      <c r="BT17" s="379"/>
      <c r="BV17" s="383" t="str">
        <f>IF(codegen2="","",codegen2)</f>
        <v>Sc23301</v>
      </c>
      <c r="BW17" s="384"/>
      <c r="BX17" s="384"/>
      <c r="BY17" s="384"/>
      <c r="BZ17" s="384"/>
      <c r="CA17" s="384"/>
      <c r="CB17" s="384"/>
      <c r="CC17" s="385" t="str">
        <f>IF(SubGen2="","",SubGen2)</f>
        <v>Science and Technology 5</v>
      </c>
      <c r="CD17" s="386"/>
      <c r="CE17" s="386"/>
      <c r="CF17" s="386"/>
      <c r="CG17" s="386"/>
      <c r="CH17" s="386"/>
      <c r="CI17" s="386"/>
      <c r="CJ17" s="386"/>
      <c r="CK17" s="386"/>
      <c r="CL17" s="386"/>
      <c r="CM17" s="386"/>
      <c r="CN17" s="386"/>
      <c r="CO17" s="386"/>
      <c r="CP17" s="386"/>
      <c r="CQ17" s="386"/>
      <c r="CR17" s="386"/>
      <c r="CS17" s="386"/>
      <c r="CT17" s="386"/>
      <c r="CU17" s="386"/>
      <c r="CV17" s="386"/>
      <c r="CW17" s="386"/>
      <c r="CX17" s="386"/>
      <c r="CY17" s="386"/>
      <c r="CZ17" s="387"/>
      <c r="DA17" s="388">
        <f>IF(CreditGen2="","",CreditGen2)</f>
        <v>1.5</v>
      </c>
      <c r="DB17" s="389"/>
      <c r="DC17" s="389"/>
      <c r="DD17" s="389"/>
      <c r="DE17" s="389"/>
      <c r="DF17" s="389"/>
      <c r="DG17" s="390"/>
      <c r="DH17" s="388">
        <f>IF($AL$2="","",IF(BV17="","",VLOOKUP($AL$2,'3.Grades'!$A$6:$BN$50,15,FALSE)))</f>
        <v>0</v>
      </c>
      <c r="DI17" s="389"/>
      <c r="DJ17" s="389"/>
      <c r="DK17" s="389"/>
      <c r="DL17" s="389"/>
      <c r="DM17" s="389"/>
      <c r="DN17" s="390"/>
      <c r="DO17" s="391" t="str">
        <f>IF($AL$2="","",IF(BV17="","",VLOOKUP($AL$2,'3.Grades'!$A$6:$BN$50,16,FALSE)))</f>
        <v/>
      </c>
      <c r="DP17" s="391" t="str">
        <f t="shared" si="1"/>
        <v/>
      </c>
      <c r="DQ17" s="391" t="str">
        <f t="shared" si="2"/>
        <v/>
      </c>
      <c r="DR17" s="391" t="str">
        <f t="shared" si="3"/>
        <v/>
      </c>
      <c r="DS17" s="391" t="str">
        <f t="shared" si="4"/>
        <v/>
      </c>
      <c r="DT17" s="391" t="str">
        <f t="shared" si="5"/>
        <v/>
      </c>
      <c r="DU17" s="391" t="str">
        <f t="shared" si="6"/>
        <v/>
      </c>
      <c r="DV17" s="391">
        <f t="shared" ref="DV17:DV27" si="13">IF(DH17&lt;50,0,IF(DH17="ร",0,IF(DH17="มส",0,IF(DH17="","",DA17))))</f>
        <v>0</v>
      </c>
      <c r="DW17" s="391"/>
      <c r="DX17" s="391"/>
      <c r="DY17" s="391"/>
      <c r="DZ17" s="391"/>
      <c r="EA17" s="391"/>
      <c r="EB17" s="391"/>
      <c r="EC17" s="378"/>
      <c r="ED17" s="378"/>
      <c r="EE17" s="378"/>
      <c r="EF17" s="378"/>
      <c r="EG17" s="378"/>
      <c r="EH17" s="378"/>
      <c r="EI17" s="378"/>
      <c r="EJ17" s="378"/>
      <c r="EK17" s="378"/>
      <c r="EL17" s="378"/>
      <c r="EM17" s="378"/>
      <c r="EN17" s="378"/>
      <c r="EO17" s="379"/>
    </row>
    <row r="18" spans="1:145" ht="19.5" customHeight="1">
      <c r="A18" s="383" t="str">
        <f>IF(codegen3="","",codegen3)</f>
        <v>H23301</v>
      </c>
      <c r="B18" s="384"/>
      <c r="C18" s="384"/>
      <c r="D18" s="384"/>
      <c r="E18" s="384"/>
      <c r="F18" s="384"/>
      <c r="G18" s="384"/>
      <c r="H18" s="385" t="str">
        <f>IF(SubGen3="","",SubGen3)</f>
        <v>Health and Physical Education 5</v>
      </c>
      <c r="I18" s="386"/>
      <c r="J18" s="386"/>
      <c r="K18" s="386"/>
      <c r="L18" s="386"/>
      <c r="M18" s="386"/>
      <c r="N18" s="386"/>
      <c r="O18" s="386"/>
      <c r="P18" s="386"/>
      <c r="Q18" s="386"/>
      <c r="R18" s="386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7"/>
      <c r="AF18" s="388">
        <f>IF(CreditGen3="","",CreditGen3)</f>
        <v>1</v>
      </c>
      <c r="AG18" s="389"/>
      <c r="AH18" s="389"/>
      <c r="AI18" s="389"/>
      <c r="AJ18" s="389"/>
      <c r="AK18" s="389"/>
      <c r="AL18" s="390"/>
      <c r="AM18" s="388">
        <f>IF($AL$2="","",IF(A18="","",VLOOKUP($AL$2,'3.Grades'!$A$6:$BN$50,20,FALSE)))</f>
        <v>0</v>
      </c>
      <c r="AN18" s="389"/>
      <c r="AO18" s="389"/>
      <c r="AP18" s="389"/>
      <c r="AQ18" s="389"/>
      <c r="AR18" s="389"/>
      <c r="AS18" s="390"/>
      <c r="AT18" s="391" t="str">
        <f>IF($AL$2="","",IF(A18="","",VLOOKUP($AL$2,'3.Grades'!$A$6:$BN$50,21,FALSE)))</f>
        <v/>
      </c>
      <c r="AU18" s="391" t="str">
        <f t="shared" si="7"/>
        <v/>
      </c>
      <c r="AV18" s="391" t="str">
        <f t="shared" si="8"/>
        <v/>
      </c>
      <c r="AW18" s="391" t="str">
        <f t="shared" si="9"/>
        <v/>
      </c>
      <c r="AX18" s="391" t="str">
        <f t="shared" si="10"/>
        <v/>
      </c>
      <c r="AY18" s="391" t="str">
        <f t="shared" si="11"/>
        <v/>
      </c>
      <c r="AZ18" s="391" t="str">
        <f t="shared" si="12"/>
        <v/>
      </c>
      <c r="BA18" s="378"/>
      <c r="BB18" s="378"/>
      <c r="BC18" s="378"/>
      <c r="BD18" s="378"/>
      <c r="BE18" s="378"/>
      <c r="BF18" s="378"/>
      <c r="BG18" s="378"/>
      <c r="BH18" s="378"/>
      <c r="BI18" s="378"/>
      <c r="BJ18" s="378"/>
      <c r="BK18" s="378"/>
      <c r="BL18" s="378"/>
      <c r="BM18" s="378"/>
      <c r="BN18" s="378"/>
      <c r="BO18" s="378"/>
      <c r="BP18" s="378"/>
      <c r="BQ18" s="378"/>
      <c r="BR18" s="378"/>
      <c r="BS18" s="378"/>
      <c r="BT18" s="379"/>
      <c r="BV18" s="383" t="str">
        <f>IF(codegen3="","",codegen3)</f>
        <v>H23301</v>
      </c>
      <c r="BW18" s="384"/>
      <c r="BX18" s="384"/>
      <c r="BY18" s="384"/>
      <c r="BZ18" s="384"/>
      <c r="CA18" s="384"/>
      <c r="CB18" s="384"/>
      <c r="CC18" s="385" t="str">
        <f>IF(SubGen3="","",SubGen3)</f>
        <v>Health and Physical Education 5</v>
      </c>
      <c r="CD18" s="386"/>
      <c r="CE18" s="386"/>
      <c r="CF18" s="386"/>
      <c r="CG18" s="386"/>
      <c r="CH18" s="386"/>
      <c r="CI18" s="386"/>
      <c r="CJ18" s="386"/>
      <c r="CK18" s="386"/>
      <c r="CL18" s="386"/>
      <c r="CM18" s="386"/>
      <c r="CN18" s="386"/>
      <c r="CO18" s="386"/>
      <c r="CP18" s="386"/>
      <c r="CQ18" s="386"/>
      <c r="CR18" s="386"/>
      <c r="CS18" s="386"/>
      <c r="CT18" s="386"/>
      <c r="CU18" s="386"/>
      <c r="CV18" s="386"/>
      <c r="CW18" s="386"/>
      <c r="CX18" s="386"/>
      <c r="CY18" s="386"/>
      <c r="CZ18" s="387"/>
      <c r="DA18" s="388">
        <f>IF(CreditGen3="","",CreditGen3)</f>
        <v>1</v>
      </c>
      <c r="DB18" s="389"/>
      <c r="DC18" s="389"/>
      <c r="DD18" s="389"/>
      <c r="DE18" s="389"/>
      <c r="DF18" s="389"/>
      <c r="DG18" s="390"/>
      <c r="DH18" s="388">
        <f>IF($AL$2="","",IF(BV18="","",VLOOKUP($AL$2,'3.Grades'!$A$6:$BN$50,20,FALSE)))</f>
        <v>0</v>
      </c>
      <c r="DI18" s="389"/>
      <c r="DJ18" s="389"/>
      <c r="DK18" s="389"/>
      <c r="DL18" s="389"/>
      <c r="DM18" s="389"/>
      <c r="DN18" s="390"/>
      <c r="DO18" s="391" t="str">
        <f>IF($AL$2="","",IF(BV18="","",VLOOKUP($AL$2,'3.Grades'!$A$6:$BN$50,21,FALSE)))</f>
        <v/>
      </c>
      <c r="DP18" s="391" t="str">
        <f t="shared" si="1"/>
        <v/>
      </c>
      <c r="DQ18" s="391" t="str">
        <f t="shared" si="2"/>
        <v/>
      </c>
      <c r="DR18" s="391" t="str">
        <f t="shared" si="3"/>
        <v/>
      </c>
      <c r="DS18" s="391" t="str">
        <f t="shared" si="4"/>
        <v/>
      </c>
      <c r="DT18" s="391" t="str">
        <f t="shared" si="5"/>
        <v/>
      </c>
      <c r="DU18" s="391" t="str">
        <f t="shared" si="6"/>
        <v/>
      </c>
      <c r="DV18" s="391">
        <f t="shared" si="13"/>
        <v>0</v>
      </c>
      <c r="DW18" s="391"/>
      <c r="DX18" s="391"/>
      <c r="DY18" s="391"/>
      <c r="DZ18" s="391"/>
      <c r="EA18" s="391"/>
      <c r="EB18" s="391"/>
      <c r="EC18" s="378"/>
      <c r="ED18" s="378"/>
      <c r="EE18" s="378"/>
      <c r="EF18" s="378"/>
      <c r="EG18" s="378"/>
      <c r="EH18" s="378"/>
      <c r="EI18" s="378"/>
      <c r="EJ18" s="378"/>
      <c r="EK18" s="378"/>
      <c r="EL18" s="378"/>
      <c r="EM18" s="378"/>
      <c r="EN18" s="378"/>
      <c r="EO18" s="379"/>
    </row>
    <row r="19" spans="1:145" ht="19.5" customHeight="1">
      <c r="A19" s="383" t="str">
        <f>IF(codegen4="","",codegen4)</f>
        <v>En23301</v>
      </c>
      <c r="B19" s="384"/>
      <c r="C19" s="384"/>
      <c r="D19" s="384"/>
      <c r="E19" s="384"/>
      <c r="F19" s="384"/>
      <c r="G19" s="384"/>
      <c r="H19" s="385" t="str">
        <f>IF(SubGen4="","",SubGen4)</f>
        <v>English for Communication 5</v>
      </c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7"/>
      <c r="AF19" s="388">
        <f>IF(CreditGen4="","",CreditGen4)</f>
        <v>1</v>
      </c>
      <c r="AG19" s="389"/>
      <c r="AH19" s="389"/>
      <c r="AI19" s="389"/>
      <c r="AJ19" s="389"/>
      <c r="AK19" s="389"/>
      <c r="AL19" s="390"/>
      <c r="AM19" s="388">
        <f>IF($AL$2="","",IF(A19="","",VLOOKUP($AL$2,'3.Grades'!$A$6:$BN$50,25,FALSE)))</f>
        <v>0</v>
      </c>
      <c r="AN19" s="389"/>
      <c r="AO19" s="389"/>
      <c r="AP19" s="389"/>
      <c r="AQ19" s="389"/>
      <c r="AR19" s="389"/>
      <c r="AS19" s="390"/>
      <c r="AT19" s="391" t="str">
        <f>IF($AL$2="","",IF(A19="","",VLOOKUP($AL$2,'3.Grades'!$A$6:$BN$50,26,FALSE)))</f>
        <v/>
      </c>
      <c r="AU19" s="391" t="str">
        <f t="shared" si="7"/>
        <v/>
      </c>
      <c r="AV19" s="391" t="str">
        <f t="shared" si="8"/>
        <v/>
      </c>
      <c r="AW19" s="391" t="str">
        <f t="shared" si="9"/>
        <v/>
      </c>
      <c r="AX19" s="391" t="str">
        <f t="shared" si="10"/>
        <v/>
      </c>
      <c r="AY19" s="391" t="str">
        <f t="shared" si="11"/>
        <v/>
      </c>
      <c r="AZ19" s="391" t="str">
        <f t="shared" si="12"/>
        <v/>
      </c>
      <c r="BA19" s="378"/>
      <c r="BB19" s="378"/>
      <c r="BC19" s="378"/>
      <c r="BD19" s="378"/>
      <c r="BE19" s="378"/>
      <c r="BF19" s="378"/>
      <c r="BG19" s="378"/>
      <c r="BH19" s="378"/>
      <c r="BI19" s="378"/>
      <c r="BJ19" s="378"/>
      <c r="BK19" s="378"/>
      <c r="BL19" s="378"/>
      <c r="BM19" s="378"/>
      <c r="BN19" s="378"/>
      <c r="BO19" s="378"/>
      <c r="BP19" s="378"/>
      <c r="BQ19" s="378"/>
      <c r="BR19" s="378"/>
      <c r="BS19" s="378"/>
      <c r="BT19" s="379"/>
      <c r="BV19" s="383" t="str">
        <f>IF(codegen4="","",codegen4)</f>
        <v>En23301</v>
      </c>
      <c r="BW19" s="384"/>
      <c r="BX19" s="384"/>
      <c r="BY19" s="384"/>
      <c r="BZ19" s="384"/>
      <c r="CA19" s="384"/>
      <c r="CB19" s="384"/>
      <c r="CC19" s="385" t="str">
        <f>IF(SubGen4="","",SubGen4)</f>
        <v>English for Communication 5</v>
      </c>
      <c r="CD19" s="386"/>
      <c r="CE19" s="386"/>
      <c r="CF19" s="386"/>
      <c r="CG19" s="386"/>
      <c r="CH19" s="386"/>
      <c r="CI19" s="386"/>
      <c r="CJ19" s="386"/>
      <c r="CK19" s="386"/>
      <c r="CL19" s="386"/>
      <c r="CM19" s="386"/>
      <c r="CN19" s="386"/>
      <c r="CO19" s="386"/>
      <c r="CP19" s="386"/>
      <c r="CQ19" s="386"/>
      <c r="CR19" s="386"/>
      <c r="CS19" s="386"/>
      <c r="CT19" s="386"/>
      <c r="CU19" s="386"/>
      <c r="CV19" s="386"/>
      <c r="CW19" s="386"/>
      <c r="CX19" s="386"/>
      <c r="CY19" s="386"/>
      <c r="CZ19" s="387"/>
      <c r="DA19" s="388">
        <f>IF(CreditGen4="","",CreditGen4)</f>
        <v>1</v>
      </c>
      <c r="DB19" s="389"/>
      <c r="DC19" s="389"/>
      <c r="DD19" s="389"/>
      <c r="DE19" s="389"/>
      <c r="DF19" s="389"/>
      <c r="DG19" s="390"/>
      <c r="DH19" s="388">
        <f>IF($AL$2="","",IF(BV19="","",VLOOKUP($AL$2,'3.Grades'!$A$6:$BN$50,25,FALSE)))</f>
        <v>0</v>
      </c>
      <c r="DI19" s="389"/>
      <c r="DJ19" s="389"/>
      <c r="DK19" s="389"/>
      <c r="DL19" s="389"/>
      <c r="DM19" s="389"/>
      <c r="DN19" s="390"/>
      <c r="DO19" s="391" t="str">
        <f>IF($AL$2="","",IF(BV19="","",VLOOKUP($AL$2,'3.Grades'!$A$6:$BN$50,26,FALSE)))</f>
        <v/>
      </c>
      <c r="DP19" s="391" t="str">
        <f t="shared" si="1"/>
        <v/>
      </c>
      <c r="DQ19" s="391" t="str">
        <f t="shared" si="2"/>
        <v/>
      </c>
      <c r="DR19" s="391" t="str">
        <f t="shared" si="3"/>
        <v/>
      </c>
      <c r="DS19" s="391" t="str">
        <f t="shared" si="4"/>
        <v/>
      </c>
      <c r="DT19" s="391" t="str">
        <f t="shared" si="5"/>
        <v/>
      </c>
      <c r="DU19" s="391" t="str">
        <f t="shared" si="6"/>
        <v/>
      </c>
      <c r="DV19" s="391">
        <f t="shared" si="13"/>
        <v>0</v>
      </c>
      <c r="DW19" s="391"/>
      <c r="DX19" s="391"/>
      <c r="DY19" s="391"/>
      <c r="DZ19" s="391"/>
      <c r="EA19" s="391"/>
      <c r="EB19" s="391"/>
      <c r="EC19" s="378"/>
      <c r="ED19" s="378"/>
      <c r="EE19" s="378"/>
      <c r="EF19" s="378"/>
      <c r="EG19" s="378"/>
      <c r="EH19" s="378"/>
      <c r="EI19" s="378"/>
      <c r="EJ19" s="378"/>
      <c r="EK19" s="378"/>
      <c r="EL19" s="378"/>
      <c r="EM19" s="378"/>
      <c r="EN19" s="378"/>
      <c r="EO19" s="379"/>
    </row>
    <row r="20" spans="1:145" ht="19.5" customHeight="1">
      <c r="A20" s="383" t="str">
        <f>IF(codegen5="","",codegen5)</f>
        <v>Ch23301</v>
      </c>
      <c r="B20" s="384"/>
      <c r="C20" s="384"/>
      <c r="D20" s="384"/>
      <c r="E20" s="384"/>
      <c r="F20" s="384"/>
      <c r="G20" s="384"/>
      <c r="H20" s="385" t="str">
        <f>IF(SubGen5="","",SubGen5)</f>
        <v>Chinese Language 5</v>
      </c>
      <c r="I20" s="386"/>
      <c r="J20" s="386"/>
      <c r="K20" s="386"/>
      <c r="L20" s="386"/>
      <c r="M20" s="386"/>
      <c r="N20" s="386"/>
      <c r="O20" s="386"/>
      <c r="P20" s="386"/>
      <c r="Q20" s="386"/>
      <c r="R20" s="386"/>
      <c r="S20" s="386"/>
      <c r="T20" s="386"/>
      <c r="U20" s="386"/>
      <c r="V20" s="386"/>
      <c r="W20" s="386"/>
      <c r="X20" s="386"/>
      <c r="Y20" s="386"/>
      <c r="Z20" s="386"/>
      <c r="AA20" s="386"/>
      <c r="AB20" s="386"/>
      <c r="AC20" s="386"/>
      <c r="AD20" s="386"/>
      <c r="AE20" s="387"/>
      <c r="AF20" s="388">
        <f>IF(CreditGen5="","",CreditGen5)</f>
        <v>1</v>
      </c>
      <c r="AG20" s="389"/>
      <c r="AH20" s="389"/>
      <c r="AI20" s="389"/>
      <c r="AJ20" s="389"/>
      <c r="AK20" s="389"/>
      <c r="AL20" s="390"/>
      <c r="AM20" s="388">
        <f>IF($AL$2="","",IF(A20="","",VLOOKUP($AL$2,'3.Grades'!$A$6:$BN$50,30,FALSE)))</f>
        <v>0</v>
      </c>
      <c r="AN20" s="389"/>
      <c r="AO20" s="389"/>
      <c r="AP20" s="389"/>
      <c r="AQ20" s="389"/>
      <c r="AR20" s="389"/>
      <c r="AS20" s="390"/>
      <c r="AT20" s="391" t="str">
        <f>IF($AL$2="","",IF(A20="","",VLOOKUP($AL$2,'3.Grades'!$A$6:$BN$50,31,FALSE)))</f>
        <v/>
      </c>
      <c r="AU20" s="391" t="str">
        <f t="shared" si="7"/>
        <v/>
      </c>
      <c r="AV20" s="391" t="str">
        <f t="shared" si="8"/>
        <v/>
      </c>
      <c r="AW20" s="391" t="str">
        <f t="shared" si="9"/>
        <v/>
      </c>
      <c r="AX20" s="391" t="str">
        <f t="shared" si="10"/>
        <v/>
      </c>
      <c r="AY20" s="391" t="str">
        <f t="shared" si="11"/>
        <v/>
      </c>
      <c r="AZ20" s="391" t="str">
        <f t="shared" si="12"/>
        <v/>
      </c>
      <c r="BA20" s="378"/>
      <c r="BB20" s="378"/>
      <c r="BC20" s="378"/>
      <c r="BD20" s="378"/>
      <c r="BE20" s="378"/>
      <c r="BF20" s="378"/>
      <c r="BG20" s="378"/>
      <c r="BH20" s="378"/>
      <c r="BI20" s="378"/>
      <c r="BJ20" s="378"/>
      <c r="BK20" s="378"/>
      <c r="BL20" s="378"/>
      <c r="BM20" s="378"/>
      <c r="BN20" s="378"/>
      <c r="BO20" s="378"/>
      <c r="BP20" s="378"/>
      <c r="BQ20" s="378"/>
      <c r="BR20" s="378"/>
      <c r="BS20" s="378"/>
      <c r="BT20" s="379"/>
      <c r="BV20" s="383" t="str">
        <f>IF(codegen5="","",codegen5)</f>
        <v>Ch23301</v>
      </c>
      <c r="BW20" s="384"/>
      <c r="BX20" s="384"/>
      <c r="BY20" s="384"/>
      <c r="BZ20" s="384"/>
      <c r="CA20" s="384"/>
      <c r="CB20" s="384"/>
      <c r="CC20" s="385" t="str">
        <f>IF(SubGen5="","",SubGen5)</f>
        <v>Chinese Language 5</v>
      </c>
      <c r="CD20" s="386"/>
      <c r="CE20" s="386"/>
      <c r="CF20" s="386"/>
      <c r="CG20" s="386"/>
      <c r="CH20" s="386"/>
      <c r="CI20" s="386"/>
      <c r="CJ20" s="386"/>
      <c r="CK20" s="386"/>
      <c r="CL20" s="386"/>
      <c r="CM20" s="386"/>
      <c r="CN20" s="386"/>
      <c r="CO20" s="386"/>
      <c r="CP20" s="386"/>
      <c r="CQ20" s="386"/>
      <c r="CR20" s="386"/>
      <c r="CS20" s="386"/>
      <c r="CT20" s="386"/>
      <c r="CU20" s="386"/>
      <c r="CV20" s="386"/>
      <c r="CW20" s="386"/>
      <c r="CX20" s="386"/>
      <c r="CY20" s="386"/>
      <c r="CZ20" s="387"/>
      <c r="DA20" s="388">
        <f>IF(CreditGen5="","",CreditGen5)</f>
        <v>1</v>
      </c>
      <c r="DB20" s="389"/>
      <c r="DC20" s="389"/>
      <c r="DD20" s="389"/>
      <c r="DE20" s="389"/>
      <c r="DF20" s="389"/>
      <c r="DG20" s="390"/>
      <c r="DH20" s="388">
        <f>IF($AL$2="","",IF(BV20="","",VLOOKUP($AL$2,'3.Grades'!$A$6:$BN$50,30,FALSE)))</f>
        <v>0</v>
      </c>
      <c r="DI20" s="389"/>
      <c r="DJ20" s="389"/>
      <c r="DK20" s="389"/>
      <c r="DL20" s="389"/>
      <c r="DM20" s="389"/>
      <c r="DN20" s="390"/>
      <c r="DO20" s="391" t="str">
        <f>IF($AL$2="","",IF(BV20="","",VLOOKUP($AL$2,'3.Grades'!$A$6:$BN$50,31,FALSE)))</f>
        <v/>
      </c>
      <c r="DP20" s="391" t="str">
        <f t="shared" si="1"/>
        <v/>
      </c>
      <c r="DQ20" s="391" t="str">
        <f t="shared" si="2"/>
        <v/>
      </c>
      <c r="DR20" s="391" t="str">
        <f t="shared" si="3"/>
        <v/>
      </c>
      <c r="DS20" s="391" t="str">
        <f t="shared" si="4"/>
        <v/>
      </c>
      <c r="DT20" s="391" t="str">
        <f t="shared" si="5"/>
        <v/>
      </c>
      <c r="DU20" s="391" t="str">
        <f t="shared" si="6"/>
        <v/>
      </c>
      <c r="DV20" s="391">
        <f t="shared" si="13"/>
        <v>0</v>
      </c>
      <c r="DW20" s="391"/>
      <c r="DX20" s="391"/>
      <c r="DY20" s="391"/>
      <c r="DZ20" s="391"/>
      <c r="EA20" s="391"/>
      <c r="EB20" s="391"/>
      <c r="EC20" s="378"/>
      <c r="ED20" s="378"/>
      <c r="EE20" s="378"/>
      <c r="EF20" s="378"/>
      <c r="EG20" s="378"/>
      <c r="EH20" s="378"/>
      <c r="EI20" s="378"/>
      <c r="EJ20" s="378"/>
      <c r="EK20" s="378"/>
      <c r="EL20" s="378"/>
      <c r="EM20" s="378"/>
      <c r="EN20" s="378"/>
      <c r="EO20" s="379"/>
    </row>
    <row r="21" spans="1:145" ht="19.5" customHeight="1">
      <c r="A21" s="383" t="str">
        <f>IF(codegen6="","",codegen6)</f>
        <v/>
      </c>
      <c r="B21" s="384"/>
      <c r="C21" s="384"/>
      <c r="D21" s="384"/>
      <c r="E21" s="384"/>
      <c r="F21" s="384"/>
      <c r="G21" s="384"/>
      <c r="H21" s="385" t="str">
        <f>IF(SubGen6="","",SubGen6)</f>
        <v/>
      </c>
      <c r="I21" s="386"/>
      <c r="J21" s="386"/>
      <c r="K21" s="386"/>
      <c r="L21" s="386"/>
      <c r="M21" s="386"/>
      <c r="N21" s="386"/>
      <c r="O21" s="386"/>
      <c r="P21" s="386"/>
      <c r="Q21" s="386"/>
      <c r="R21" s="386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7"/>
      <c r="AF21" s="388" t="str">
        <f>IF(CreditGen6="","",CreditGen6)</f>
        <v/>
      </c>
      <c r="AG21" s="389"/>
      <c r="AH21" s="389"/>
      <c r="AI21" s="389"/>
      <c r="AJ21" s="389"/>
      <c r="AK21" s="389"/>
      <c r="AL21" s="390"/>
      <c r="AM21" s="388" t="str">
        <f>IF($AL$2="","",IF(A21="","",VLOOKUP($AL$2,'3.Grades'!$A$6:$BN$50,35,FALSE)))</f>
        <v/>
      </c>
      <c r="AN21" s="389"/>
      <c r="AO21" s="389"/>
      <c r="AP21" s="389"/>
      <c r="AQ21" s="389"/>
      <c r="AR21" s="389"/>
      <c r="AS21" s="390"/>
      <c r="AT21" s="391" t="str">
        <f>IF($AL$2="","",IF(A21="","",VLOOKUP($AL$2,'3.Grades'!$A$6:$BN$50,36,FALSE)))</f>
        <v/>
      </c>
      <c r="AU21" s="391" t="str">
        <f t="shared" si="7"/>
        <v/>
      </c>
      <c r="AV21" s="391" t="str">
        <f t="shared" si="8"/>
        <v/>
      </c>
      <c r="AW21" s="391" t="str">
        <f t="shared" si="9"/>
        <v/>
      </c>
      <c r="AX21" s="391" t="str">
        <f t="shared" si="10"/>
        <v/>
      </c>
      <c r="AY21" s="391" t="str">
        <f t="shared" si="11"/>
        <v/>
      </c>
      <c r="AZ21" s="391" t="str">
        <f t="shared" si="12"/>
        <v/>
      </c>
      <c r="BA21" s="378"/>
      <c r="BB21" s="378"/>
      <c r="BC21" s="378"/>
      <c r="BD21" s="378"/>
      <c r="BE21" s="378"/>
      <c r="BF21" s="378"/>
      <c r="BG21" s="378"/>
      <c r="BH21" s="378"/>
      <c r="BI21" s="378"/>
      <c r="BJ21" s="378"/>
      <c r="BK21" s="378"/>
      <c r="BL21" s="378"/>
      <c r="BM21" s="378"/>
      <c r="BN21" s="378"/>
      <c r="BO21" s="378"/>
      <c r="BP21" s="378"/>
      <c r="BQ21" s="378"/>
      <c r="BR21" s="378"/>
      <c r="BS21" s="378"/>
      <c r="BT21" s="379"/>
      <c r="BV21" s="383" t="str">
        <f>IF(codegen6="","",codegen6)</f>
        <v/>
      </c>
      <c r="BW21" s="384"/>
      <c r="BX21" s="384"/>
      <c r="BY21" s="384"/>
      <c r="BZ21" s="384"/>
      <c r="CA21" s="384"/>
      <c r="CB21" s="384"/>
      <c r="CC21" s="385" t="str">
        <f>IF(SubGen6="","",SubGen6)</f>
        <v/>
      </c>
      <c r="CD21" s="386"/>
      <c r="CE21" s="386"/>
      <c r="CF21" s="386"/>
      <c r="CG21" s="386"/>
      <c r="CH21" s="386"/>
      <c r="CI21" s="386"/>
      <c r="CJ21" s="386"/>
      <c r="CK21" s="386"/>
      <c r="CL21" s="386"/>
      <c r="CM21" s="386"/>
      <c r="CN21" s="386"/>
      <c r="CO21" s="386"/>
      <c r="CP21" s="386"/>
      <c r="CQ21" s="386"/>
      <c r="CR21" s="386"/>
      <c r="CS21" s="386"/>
      <c r="CT21" s="386"/>
      <c r="CU21" s="386"/>
      <c r="CV21" s="386"/>
      <c r="CW21" s="386"/>
      <c r="CX21" s="386"/>
      <c r="CY21" s="386"/>
      <c r="CZ21" s="387"/>
      <c r="DA21" s="388" t="str">
        <f>IF(CreditGen6="","",CreditGen6)</f>
        <v/>
      </c>
      <c r="DB21" s="389"/>
      <c r="DC21" s="389"/>
      <c r="DD21" s="389"/>
      <c r="DE21" s="389"/>
      <c r="DF21" s="389"/>
      <c r="DG21" s="390"/>
      <c r="DH21" s="388" t="str">
        <f>IF($AL$2="","",IF(BV21="","",VLOOKUP($AL$2,'3.Grades'!$A$6:$BN$50,35,FALSE)))</f>
        <v/>
      </c>
      <c r="DI21" s="389"/>
      <c r="DJ21" s="389"/>
      <c r="DK21" s="389"/>
      <c r="DL21" s="389"/>
      <c r="DM21" s="389"/>
      <c r="DN21" s="390"/>
      <c r="DO21" s="391" t="str">
        <f>IF($AL$2="","",IF(BV21="","",VLOOKUP($AL$2,'3.Grades'!$A$6:$BN$50,36,FALSE)))</f>
        <v/>
      </c>
      <c r="DP21" s="391" t="str">
        <f t="shared" si="1"/>
        <v/>
      </c>
      <c r="DQ21" s="391" t="str">
        <f t="shared" si="2"/>
        <v/>
      </c>
      <c r="DR21" s="391" t="str">
        <f t="shared" si="3"/>
        <v/>
      </c>
      <c r="DS21" s="391" t="str">
        <f t="shared" si="4"/>
        <v/>
      </c>
      <c r="DT21" s="391" t="str">
        <f t="shared" si="5"/>
        <v/>
      </c>
      <c r="DU21" s="391" t="str">
        <f t="shared" si="6"/>
        <v/>
      </c>
      <c r="DV21" s="391" t="str">
        <f t="shared" si="13"/>
        <v/>
      </c>
      <c r="DW21" s="391"/>
      <c r="DX21" s="391"/>
      <c r="DY21" s="391"/>
      <c r="DZ21" s="391"/>
      <c r="EA21" s="391"/>
      <c r="EB21" s="391"/>
      <c r="EC21" s="378"/>
      <c r="ED21" s="378"/>
      <c r="EE21" s="378"/>
      <c r="EF21" s="378"/>
      <c r="EG21" s="378"/>
      <c r="EH21" s="378"/>
      <c r="EI21" s="378"/>
      <c r="EJ21" s="378"/>
      <c r="EK21" s="378"/>
      <c r="EL21" s="378"/>
      <c r="EM21" s="378"/>
      <c r="EN21" s="378"/>
      <c r="EO21" s="379"/>
    </row>
    <row r="22" spans="1:145" ht="19.5" customHeight="1">
      <c r="A22" s="383" t="str">
        <f>IF(codegen7="","",codegen7)</f>
        <v/>
      </c>
      <c r="B22" s="384"/>
      <c r="C22" s="384"/>
      <c r="D22" s="384"/>
      <c r="E22" s="384"/>
      <c r="F22" s="384"/>
      <c r="G22" s="384"/>
      <c r="H22" s="385" t="str">
        <f>IF(SubGen7="","",SubGen7)</f>
        <v/>
      </c>
      <c r="I22" s="386"/>
      <c r="J22" s="386"/>
      <c r="K22" s="386"/>
      <c r="L22" s="386"/>
      <c r="M22" s="386"/>
      <c r="N22" s="386"/>
      <c r="O22" s="386"/>
      <c r="P22" s="386"/>
      <c r="Q22" s="386"/>
      <c r="R22" s="386"/>
      <c r="S22" s="386"/>
      <c r="T22" s="386"/>
      <c r="U22" s="386"/>
      <c r="V22" s="386"/>
      <c r="W22" s="386"/>
      <c r="X22" s="386"/>
      <c r="Y22" s="386"/>
      <c r="Z22" s="386"/>
      <c r="AA22" s="386"/>
      <c r="AB22" s="386"/>
      <c r="AC22" s="386"/>
      <c r="AD22" s="386"/>
      <c r="AE22" s="387"/>
      <c r="AF22" s="388" t="str">
        <f>IF(CreditGen7="","",CreditGen7)</f>
        <v/>
      </c>
      <c r="AG22" s="389"/>
      <c r="AH22" s="389"/>
      <c r="AI22" s="389"/>
      <c r="AJ22" s="389"/>
      <c r="AK22" s="389"/>
      <c r="AL22" s="390"/>
      <c r="AM22" s="388" t="str">
        <f>IF($AL$2="","",IF(A22="","",VLOOKUP($AL$2,'3.Grades'!$A$6:$BN$50,40,FALSE)))</f>
        <v/>
      </c>
      <c r="AN22" s="389"/>
      <c r="AO22" s="389"/>
      <c r="AP22" s="389"/>
      <c r="AQ22" s="389"/>
      <c r="AR22" s="389"/>
      <c r="AS22" s="390"/>
      <c r="AT22" s="391" t="str">
        <f>IF($AL$2="","",IF(A22="","",VLOOKUP($AL$2,'3.Grades'!$A$6:$BN$50,41,FALSE)))</f>
        <v/>
      </c>
      <c r="AU22" s="391" t="str">
        <f t="shared" si="7"/>
        <v/>
      </c>
      <c r="AV22" s="391" t="str">
        <f t="shared" si="8"/>
        <v/>
      </c>
      <c r="AW22" s="391" t="str">
        <f t="shared" si="9"/>
        <v/>
      </c>
      <c r="AX22" s="391" t="str">
        <f t="shared" si="10"/>
        <v/>
      </c>
      <c r="AY22" s="391" t="str">
        <f t="shared" si="11"/>
        <v/>
      </c>
      <c r="AZ22" s="391" t="str">
        <f t="shared" si="12"/>
        <v/>
      </c>
      <c r="BA22" s="378"/>
      <c r="BB22" s="378"/>
      <c r="BC22" s="378"/>
      <c r="BD22" s="378"/>
      <c r="BE22" s="378"/>
      <c r="BF22" s="378"/>
      <c r="BG22" s="378"/>
      <c r="BH22" s="378"/>
      <c r="BI22" s="378"/>
      <c r="BJ22" s="378"/>
      <c r="BK22" s="378"/>
      <c r="BL22" s="378"/>
      <c r="BM22" s="378"/>
      <c r="BN22" s="378"/>
      <c r="BO22" s="378"/>
      <c r="BP22" s="378"/>
      <c r="BQ22" s="378"/>
      <c r="BR22" s="378"/>
      <c r="BS22" s="378"/>
      <c r="BT22" s="379"/>
      <c r="BV22" s="383" t="str">
        <f>IF(codegen7="","",codegen7)</f>
        <v/>
      </c>
      <c r="BW22" s="384"/>
      <c r="BX22" s="384"/>
      <c r="BY22" s="384"/>
      <c r="BZ22" s="384"/>
      <c r="CA22" s="384"/>
      <c r="CB22" s="384"/>
      <c r="CC22" s="385" t="str">
        <f>IF(SubGen7="","",SubGen7)</f>
        <v/>
      </c>
      <c r="CD22" s="386"/>
      <c r="CE22" s="386"/>
      <c r="CF22" s="386"/>
      <c r="CG22" s="386"/>
      <c r="CH22" s="386"/>
      <c r="CI22" s="386"/>
      <c r="CJ22" s="386"/>
      <c r="CK22" s="386"/>
      <c r="CL22" s="386"/>
      <c r="CM22" s="386"/>
      <c r="CN22" s="386"/>
      <c r="CO22" s="386"/>
      <c r="CP22" s="386"/>
      <c r="CQ22" s="386"/>
      <c r="CR22" s="386"/>
      <c r="CS22" s="386"/>
      <c r="CT22" s="386"/>
      <c r="CU22" s="386"/>
      <c r="CV22" s="386"/>
      <c r="CW22" s="386"/>
      <c r="CX22" s="386"/>
      <c r="CY22" s="386"/>
      <c r="CZ22" s="387"/>
      <c r="DA22" s="388" t="str">
        <f>IF(CreditGen7="","",CreditGen7)</f>
        <v/>
      </c>
      <c r="DB22" s="389"/>
      <c r="DC22" s="389"/>
      <c r="DD22" s="389"/>
      <c r="DE22" s="389"/>
      <c r="DF22" s="389"/>
      <c r="DG22" s="390"/>
      <c r="DH22" s="388" t="str">
        <f>IF($AL$2="","",IF(BV22="","",VLOOKUP($AL$2,'3.Grades'!$A$6:$BN$50,40,FALSE)))</f>
        <v/>
      </c>
      <c r="DI22" s="389"/>
      <c r="DJ22" s="389"/>
      <c r="DK22" s="389"/>
      <c r="DL22" s="389"/>
      <c r="DM22" s="389"/>
      <c r="DN22" s="390"/>
      <c r="DO22" s="391" t="str">
        <f>IF($AL$2="","",IF(BV22="","",VLOOKUP($AL$2,'3.Grades'!$A$6:$BN$50,41,FALSE)))</f>
        <v/>
      </c>
      <c r="DP22" s="391" t="str">
        <f t="shared" si="1"/>
        <v/>
      </c>
      <c r="DQ22" s="391" t="str">
        <f t="shared" si="2"/>
        <v/>
      </c>
      <c r="DR22" s="391" t="str">
        <f t="shared" si="3"/>
        <v/>
      </c>
      <c r="DS22" s="391" t="str">
        <f t="shared" si="4"/>
        <v/>
      </c>
      <c r="DT22" s="391" t="str">
        <f t="shared" si="5"/>
        <v/>
      </c>
      <c r="DU22" s="391" t="str">
        <f t="shared" si="6"/>
        <v/>
      </c>
      <c r="DV22" s="391" t="str">
        <f t="shared" si="13"/>
        <v/>
      </c>
      <c r="DW22" s="391"/>
      <c r="DX22" s="391"/>
      <c r="DY22" s="391"/>
      <c r="DZ22" s="391"/>
      <c r="EA22" s="391"/>
      <c r="EB22" s="391"/>
      <c r="EC22" s="378"/>
      <c r="ED22" s="378"/>
      <c r="EE22" s="378"/>
      <c r="EF22" s="378"/>
      <c r="EG22" s="378"/>
      <c r="EH22" s="378"/>
      <c r="EI22" s="378"/>
      <c r="EJ22" s="378"/>
      <c r="EK22" s="378"/>
      <c r="EL22" s="378"/>
      <c r="EM22" s="378"/>
      <c r="EN22" s="378"/>
      <c r="EO22" s="379"/>
    </row>
    <row r="23" spans="1:145" ht="19.5" customHeight="1">
      <c r="A23" s="383" t="str">
        <f>IF(codegen8="","",codegen8)</f>
        <v/>
      </c>
      <c r="B23" s="384"/>
      <c r="C23" s="384"/>
      <c r="D23" s="384"/>
      <c r="E23" s="384"/>
      <c r="F23" s="384"/>
      <c r="G23" s="384"/>
      <c r="H23" s="385" t="str">
        <f>IF(SubGen8="","",SubGen8)</f>
        <v/>
      </c>
      <c r="I23" s="386"/>
      <c r="J23" s="386"/>
      <c r="K23" s="386"/>
      <c r="L23" s="386"/>
      <c r="M23" s="386"/>
      <c r="N23" s="386"/>
      <c r="O23" s="386"/>
      <c r="P23" s="386"/>
      <c r="Q23" s="386"/>
      <c r="R23" s="386"/>
      <c r="S23" s="386"/>
      <c r="T23" s="386"/>
      <c r="U23" s="386"/>
      <c r="V23" s="386"/>
      <c r="W23" s="386"/>
      <c r="X23" s="386"/>
      <c r="Y23" s="386"/>
      <c r="Z23" s="386"/>
      <c r="AA23" s="386"/>
      <c r="AB23" s="386"/>
      <c r="AC23" s="386"/>
      <c r="AD23" s="386"/>
      <c r="AE23" s="387"/>
      <c r="AF23" s="388" t="str">
        <f>IF(CreditGen8="","",CreditGen8)</f>
        <v/>
      </c>
      <c r="AG23" s="389"/>
      <c r="AH23" s="389"/>
      <c r="AI23" s="389"/>
      <c r="AJ23" s="389"/>
      <c r="AK23" s="389"/>
      <c r="AL23" s="390"/>
      <c r="AM23" s="388" t="str">
        <f>IF($AL$2="","",IF(A23="","",VLOOKUP($AL$2,'3.Grades'!$A$6:$BN$50,45,FALSE)))</f>
        <v/>
      </c>
      <c r="AN23" s="389"/>
      <c r="AO23" s="389"/>
      <c r="AP23" s="389"/>
      <c r="AQ23" s="389"/>
      <c r="AR23" s="389"/>
      <c r="AS23" s="390"/>
      <c r="AT23" s="391" t="str">
        <f>IF($AL$2="","",IF(A23="","",VLOOKUP($AL$2,'3.Grades'!$A$6:$BN$50,46,FALSE)))</f>
        <v/>
      </c>
      <c r="AU23" s="391" t="str">
        <f t="shared" si="7"/>
        <v/>
      </c>
      <c r="AV23" s="391" t="str">
        <f t="shared" si="8"/>
        <v/>
      </c>
      <c r="AW23" s="391" t="str">
        <f t="shared" si="9"/>
        <v/>
      </c>
      <c r="AX23" s="391" t="str">
        <f t="shared" si="10"/>
        <v/>
      </c>
      <c r="AY23" s="391" t="str">
        <f t="shared" si="11"/>
        <v/>
      </c>
      <c r="AZ23" s="391" t="str">
        <f t="shared" si="12"/>
        <v/>
      </c>
      <c r="BA23" s="378"/>
      <c r="BB23" s="378"/>
      <c r="BC23" s="378"/>
      <c r="BD23" s="378"/>
      <c r="BE23" s="378"/>
      <c r="BF23" s="378"/>
      <c r="BG23" s="378"/>
      <c r="BH23" s="378"/>
      <c r="BI23" s="378"/>
      <c r="BJ23" s="378"/>
      <c r="BK23" s="378"/>
      <c r="BL23" s="378"/>
      <c r="BM23" s="378"/>
      <c r="BN23" s="378"/>
      <c r="BO23" s="378"/>
      <c r="BP23" s="378"/>
      <c r="BQ23" s="378"/>
      <c r="BR23" s="378"/>
      <c r="BS23" s="378"/>
      <c r="BT23" s="379"/>
      <c r="BV23" s="383" t="str">
        <f>IF(codegen8="","",codegen8)</f>
        <v/>
      </c>
      <c r="BW23" s="384"/>
      <c r="BX23" s="384"/>
      <c r="BY23" s="384"/>
      <c r="BZ23" s="384"/>
      <c r="CA23" s="384"/>
      <c r="CB23" s="384"/>
      <c r="CC23" s="385" t="str">
        <f>IF(SubGen8="","",SubGen8)</f>
        <v/>
      </c>
      <c r="CD23" s="386"/>
      <c r="CE23" s="386"/>
      <c r="CF23" s="386"/>
      <c r="CG23" s="386"/>
      <c r="CH23" s="386"/>
      <c r="CI23" s="386"/>
      <c r="CJ23" s="386"/>
      <c r="CK23" s="386"/>
      <c r="CL23" s="386"/>
      <c r="CM23" s="386"/>
      <c r="CN23" s="386"/>
      <c r="CO23" s="386"/>
      <c r="CP23" s="386"/>
      <c r="CQ23" s="386"/>
      <c r="CR23" s="386"/>
      <c r="CS23" s="386"/>
      <c r="CT23" s="386"/>
      <c r="CU23" s="386"/>
      <c r="CV23" s="386"/>
      <c r="CW23" s="386"/>
      <c r="CX23" s="386"/>
      <c r="CY23" s="386"/>
      <c r="CZ23" s="387"/>
      <c r="DA23" s="388" t="str">
        <f>IF(CreditGen8="","",CreditGen8)</f>
        <v/>
      </c>
      <c r="DB23" s="389"/>
      <c r="DC23" s="389"/>
      <c r="DD23" s="389"/>
      <c r="DE23" s="389"/>
      <c r="DF23" s="389"/>
      <c r="DG23" s="390"/>
      <c r="DH23" s="388" t="str">
        <f>IF($AL$2="","",IF(BV23="","",VLOOKUP($AL$2,'3.Grades'!$A$6:$BN$50,45,FALSE)))</f>
        <v/>
      </c>
      <c r="DI23" s="389"/>
      <c r="DJ23" s="389"/>
      <c r="DK23" s="389"/>
      <c r="DL23" s="389"/>
      <c r="DM23" s="389"/>
      <c r="DN23" s="390"/>
      <c r="DO23" s="391" t="str">
        <f>IF($AL$2="","",IF(BV23="","",VLOOKUP($AL$2,'3.Grades'!$A$6:$BN$50,46,FALSE)))</f>
        <v/>
      </c>
      <c r="DP23" s="391" t="str">
        <f t="shared" si="1"/>
        <v/>
      </c>
      <c r="DQ23" s="391" t="str">
        <f t="shared" si="2"/>
        <v/>
      </c>
      <c r="DR23" s="391" t="str">
        <f t="shared" si="3"/>
        <v/>
      </c>
      <c r="DS23" s="391" t="str">
        <f t="shared" si="4"/>
        <v/>
      </c>
      <c r="DT23" s="391" t="str">
        <f t="shared" si="5"/>
        <v/>
      </c>
      <c r="DU23" s="391" t="str">
        <f t="shared" si="6"/>
        <v/>
      </c>
      <c r="DV23" s="391" t="str">
        <f t="shared" si="13"/>
        <v/>
      </c>
      <c r="DW23" s="391"/>
      <c r="DX23" s="391"/>
      <c r="DY23" s="391"/>
      <c r="DZ23" s="391"/>
      <c r="EA23" s="391"/>
      <c r="EB23" s="391"/>
      <c r="EC23" s="378"/>
      <c r="ED23" s="378"/>
      <c r="EE23" s="378"/>
      <c r="EF23" s="378"/>
      <c r="EG23" s="378"/>
      <c r="EH23" s="378"/>
      <c r="EI23" s="378"/>
      <c r="EJ23" s="378"/>
      <c r="EK23" s="378"/>
      <c r="EL23" s="378"/>
      <c r="EM23" s="378"/>
      <c r="EN23" s="378"/>
      <c r="EO23" s="379"/>
    </row>
    <row r="24" spans="1:145" ht="19.5" customHeight="1">
      <c r="A24" s="383" t="str">
        <f>IF(codegen9="","",codegen9)</f>
        <v/>
      </c>
      <c r="B24" s="384"/>
      <c r="C24" s="384"/>
      <c r="D24" s="384"/>
      <c r="E24" s="384"/>
      <c r="F24" s="384"/>
      <c r="G24" s="384"/>
      <c r="H24" s="385" t="str">
        <f>IF(SubGen9="","",SubGen9)</f>
        <v/>
      </c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7"/>
      <c r="AF24" s="388" t="str">
        <f>IF(CreditGen9="","",CreditGen9)</f>
        <v/>
      </c>
      <c r="AG24" s="389"/>
      <c r="AH24" s="389"/>
      <c r="AI24" s="389"/>
      <c r="AJ24" s="389"/>
      <c r="AK24" s="389"/>
      <c r="AL24" s="390"/>
      <c r="AM24" s="388" t="str">
        <f>IF($AL$2="","",IF(A24="","",VLOOKUP($AL$2,'3.Grades'!$A$6:$BN$50,50,FALSE)))</f>
        <v/>
      </c>
      <c r="AN24" s="389"/>
      <c r="AO24" s="389"/>
      <c r="AP24" s="389"/>
      <c r="AQ24" s="389"/>
      <c r="AR24" s="389"/>
      <c r="AS24" s="390"/>
      <c r="AT24" s="391" t="str">
        <f>IF($AL$2="","",IF(A24="","",VLOOKUP($AL$2,'3.Grades'!$A$6:$BN$50,51,FALSE)))</f>
        <v/>
      </c>
      <c r="AU24" s="391" t="str">
        <f t="shared" si="7"/>
        <v/>
      </c>
      <c r="AV24" s="391" t="str">
        <f t="shared" si="8"/>
        <v/>
      </c>
      <c r="AW24" s="391" t="str">
        <f t="shared" si="9"/>
        <v/>
      </c>
      <c r="AX24" s="391" t="str">
        <f t="shared" si="10"/>
        <v/>
      </c>
      <c r="AY24" s="391" t="str">
        <f t="shared" si="11"/>
        <v/>
      </c>
      <c r="AZ24" s="391" t="str">
        <f t="shared" si="12"/>
        <v/>
      </c>
      <c r="BA24" s="378"/>
      <c r="BB24" s="378"/>
      <c r="BC24" s="378"/>
      <c r="BD24" s="378"/>
      <c r="BE24" s="378"/>
      <c r="BF24" s="378"/>
      <c r="BG24" s="378"/>
      <c r="BH24" s="378"/>
      <c r="BI24" s="378"/>
      <c r="BJ24" s="378"/>
      <c r="BK24" s="378"/>
      <c r="BL24" s="378"/>
      <c r="BM24" s="378"/>
      <c r="BN24" s="378"/>
      <c r="BO24" s="378"/>
      <c r="BP24" s="378"/>
      <c r="BQ24" s="378"/>
      <c r="BR24" s="378"/>
      <c r="BS24" s="378"/>
      <c r="BT24" s="379"/>
      <c r="BV24" s="383" t="str">
        <f>IF(codegen9="","",codegen9)</f>
        <v/>
      </c>
      <c r="BW24" s="384"/>
      <c r="BX24" s="384"/>
      <c r="BY24" s="384"/>
      <c r="BZ24" s="384"/>
      <c r="CA24" s="384"/>
      <c r="CB24" s="384"/>
      <c r="CC24" s="385" t="str">
        <f>IF(SubGen9="","",SubGen9)</f>
        <v/>
      </c>
      <c r="CD24" s="386"/>
      <c r="CE24" s="386"/>
      <c r="CF24" s="386"/>
      <c r="CG24" s="386"/>
      <c r="CH24" s="386"/>
      <c r="CI24" s="386"/>
      <c r="CJ24" s="386"/>
      <c r="CK24" s="386"/>
      <c r="CL24" s="386"/>
      <c r="CM24" s="386"/>
      <c r="CN24" s="386"/>
      <c r="CO24" s="386"/>
      <c r="CP24" s="386"/>
      <c r="CQ24" s="386"/>
      <c r="CR24" s="386"/>
      <c r="CS24" s="386"/>
      <c r="CT24" s="386"/>
      <c r="CU24" s="386"/>
      <c r="CV24" s="386"/>
      <c r="CW24" s="386"/>
      <c r="CX24" s="386"/>
      <c r="CY24" s="386"/>
      <c r="CZ24" s="387"/>
      <c r="DA24" s="388" t="str">
        <f>IF(CreditGen9="","",CreditGen9)</f>
        <v/>
      </c>
      <c r="DB24" s="389"/>
      <c r="DC24" s="389"/>
      <c r="DD24" s="389"/>
      <c r="DE24" s="389"/>
      <c r="DF24" s="389"/>
      <c r="DG24" s="390"/>
      <c r="DH24" s="388" t="str">
        <f>IF($AL$2="","",IF(BV24="","",VLOOKUP($AL$2,'3.Grades'!$A$6:$BN$50,50,FALSE)))</f>
        <v/>
      </c>
      <c r="DI24" s="389"/>
      <c r="DJ24" s="389"/>
      <c r="DK24" s="389"/>
      <c r="DL24" s="389"/>
      <c r="DM24" s="389"/>
      <c r="DN24" s="390"/>
      <c r="DO24" s="391" t="str">
        <f>IF($AL$2="","",IF(BV24="","",VLOOKUP($AL$2,'3.Grades'!$A$6:$BN$50,51,FALSE)))</f>
        <v/>
      </c>
      <c r="DP24" s="391" t="str">
        <f t="shared" si="1"/>
        <v/>
      </c>
      <c r="DQ24" s="391" t="str">
        <f t="shared" si="2"/>
        <v/>
      </c>
      <c r="DR24" s="391" t="str">
        <f t="shared" si="3"/>
        <v/>
      </c>
      <c r="DS24" s="391" t="str">
        <f t="shared" si="4"/>
        <v/>
      </c>
      <c r="DT24" s="391" t="str">
        <f t="shared" si="5"/>
        <v/>
      </c>
      <c r="DU24" s="391" t="str">
        <f t="shared" si="6"/>
        <v/>
      </c>
      <c r="DV24" s="391" t="str">
        <f t="shared" si="13"/>
        <v/>
      </c>
      <c r="DW24" s="391"/>
      <c r="DX24" s="391"/>
      <c r="DY24" s="391"/>
      <c r="DZ24" s="391"/>
      <c r="EA24" s="391"/>
      <c r="EB24" s="391"/>
      <c r="EC24" s="378"/>
      <c r="ED24" s="378"/>
      <c r="EE24" s="378"/>
      <c r="EF24" s="378"/>
      <c r="EG24" s="378"/>
      <c r="EH24" s="378"/>
      <c r="EI24" s="378"/>
      <c r="EJ24" s="378"/>
      <c r="EK24" s="378"/>
      <c r="EL24" s="378"/>
      <c r="EM24" s="378"/>
      <c r="EN24" s="378"/>
      <c r="EO24" s="379"/>
    </row>
    <row r="25" spans="1:145" ht="19.5" customHeight="1">
      <c r="A25" s="383" t="str">
        <f>IF(codegen10="","",codegen10)</f>
        <v/>
      </c>
      <c r="B25" s="384"/>
      <c r="C25" s="384"/>
      <c r="D25" s="384"/>
      <c r="E25" s="384"/>
      <c r="F25" s="384"/>
      <c r="G25" s="384"/>
      <c r="H25" s="385" t="str">
        <f>IF(SubGen10="","",SubGen10)</f>
        <v/>
      </c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386"/>
      <c r="AE25" s="387"/>
      <c r="AF25" s="388" t="str">
        <f>IF(CreditGen10="","",CreditGen10)</f>
        <v/>
      </c>
      <c r="AG25" s="389"/>
      <c r="AH25" s="389"/>
      <c r="AI25" s="389"/>
      <c r="AJ25" s="389"/>
      <c r="AK25" s="389"/>
      <c r="AL25" s="390"/>
      <c r="AM25" s="388" t="str">
        <f>IF($AL$2="","",IF(A25="","",VLOOKUP($AL$2,'3.Grades'!$A$6:$BN$50,55,FALSE)))</f>
        <v/>
      </c>
      <c r="AN25" s="389"/>
      <c r="AO25" s="389"/>
      <c r="AP25" s="389"/>
      <c r="AQ25" s="389"/>
      <c r="AR25" s="389"/>
      <c r="AS25" s="390"/>
      <c r="AT25" s="391" t="str">
        <f>IF($AL$2="","",IF(A25="","",VLOOKUP($AL$2,'3.Grades'!$A$6:$BN$50,56,FALSE)))</f>
        <v/>
      </c>
      <c r="AU25" s="391" t="str">
        <f t="shared" si="7"/>
        <v/>
      </c>
      <c r="AV25" s="391" t="str">
        <f t="shared" si="8"/>
        <v/>
      </c>
      <c r="AW25" s="391" t="str">
        <f t="shared" si="9"/>
        <v/>
      </c>
      <c r="AX25" s="391" t="str">
        <f t="shared" si="10"/>
        <v/>
      </c>
      <c r="AY25" s="391" t="str">
        <f t="shared" si="11"/>
        <v/>
      </c>
      <c r="AZ25" s="391" t="str">
        <f t="shared" si="12"/>
        <v/>
      </c>
      <c r="BA25" s="378"/>
      <c r="BB25" s="378"/>
      <c r="BC25" s="378"/>
      <c r="BD25" s="378"/>
      <c r="BE25" s="378"/>
      <c r="BF25" s="378"/>
      <c r="BG25" s="378"/>
      <c r="BH25" s="378"/>
      <c r="BI25" s="378"/>
      <c r="BJ25" s="378"/>
      <c r="BK25" s="378"/>
      <c r="BL25" s="378"/>
      <c r="BM25" s="378"/>
      <c r="BN25" s="378"/>
      <c r="BO25" s="378"/>
      <c r="BP25" s="378"/>
      <c r="BQ25" s="378"/>
      <c r="BR25" s="378"/>
      <c r="BS25" s="378"/>
      <c r="BT25" s="379"/>
      <c r="BV25" s="383" t="str">
        <f>IF(codegen10="","",codegen10)</f>
        <v/>
      </c>
      <c r="BW25" s="384"/>
      <c r="BX25" s="384"/>
      <c r="BY25" s="384"/>
      <c r="BZ25" s="384"/>
      <c r="CA25" s="384"/>
      <c r="CB25" s="384"/>
      <c r="CC25" s="385" t="str">
        <f>IF(SubGen10="","",SubGen10)</f>
        <v/>
      </c>
      <c r="CD25" s="386"/>
      <c r="CE25" s="386"/>
      <c r="CF25" s="386"/>
      <c r="CG25" s="386"/>
      <c r="CH25" s="386"/>
      <c r="CI25" s="386"/>
      <c r="CJ25" s="386"/>
      <c r="CK25" s="386"/>
      <c r="CL25" s="386"/>
      <c r="CM25" s="386"/>
      <c r="CN25" s="386"/>
      <c r="CO25" s="386"/>
      <c r="CP25" s="386"/>
      <c r="CQ25" s="386"/>
      <c r="CR25" s="386"/>
      <c r="CS25" s="386"/>
      <c r="CT25" s="386"/>
      <c r="CU25" s="386"/>
      <c r="CV25" s="386"/>
      <c r="CW25" s="386"/>
      <c r="CX25" s="386"/>
      <c r="CY25" s="386"/>
      <c r="CZ25" s="387"/>
      <c r="DA25" s="388" t="str">
        <f>IF(CreditGen10="","",CreditGen10)</f>
        <v/>
      </c>
      <c r="DB25" s="389"/>
      <c r="DC25" s="389"/>
      <c r="DD25" s="389"/>
      <c r="DE25" s="389"/>
      <c r="DF25" s="389"/>
      <c r="DG25" s="390"/>
      <c r="DH25" s="388" t="str">
        <f>IF($AL$2="","",IF(BV25="","",VLOOKUP($AL$2,'3.Grades'!$A$6:$BN$50,55,FALSE)))</f>
        <v/>
      </c>
      <c r="DI25" s="389"/>
      <c r="DJ25" s="389"/>
      <c r="DK25" s="389"/>
      <c r="DL25" s="389"/>
      <c r="DM25" s="389"/>
      <c r="DN25" s="390"/>
      <c r="DO25" s="391" t="str">
        <f>IF($AL$2="","",IF(BV25="","",VLOOKUP($AL$2,'3.Grades'!$A$6:$BN$50,56,FALSE)))</f>
        <v/>
      </c>
      <c r="DP25" s="391" t="str">
        <f t="shared" si="1"/>
        <v/>
      </c>
      <c r="DQ25" s="391" t="str">
        <f t="shared" si="2"/>
        <v/>
      </c>
      <c r="DR25" s="391" t="str">
        <f t="shared" si="3"/>
        <v/>
      </c>
      <c r="DS25" s="391" t="str">
        <f t="shared" si="4"/>
        <v/>
      </c>
      <c r="DT25" s="391" t="str">
        <f t="shared" si="5"/>
        <v/>
      </c>
      <c r="DU25" s="391" t="str">
        <f t="shared" si="6"/>
        <v/>
      </c>
      <c r="DV25" s="391" t="str">
        <f t="shared" si="13"/>
        <v/>
      </c>
      <c r="DW25" s="391"/>
      <c r="DX25" s="391"/>
      <c r="DY25" s="391"/>
      <c r="DZ25" s="391"/>
      <c r="EA25" s="391"/>
      <c r="EB25" s="391"/>
      <c r="EC25" s="378"/>
      <c r="ED25" s="378"/>
      <c r="EE25" s="378"/>
      <c r="EF25" s="378"/>
      <c r="EG25" s="378"/>
      <c r="EH25" s="378"/>
      <c r="EI25" s="378"/>
      <c r="EJ25" s="378"/>
      <c r="EK25" s="378"/>
      <c r="EL25" s="378"/>
      <c r="EM25" s="378"/>
      <c r="EN25" s="378"/>
      <c r="EO25" s="379"/>
    </row>
    <row r="26" spans="1:145" ht="19.5" customHeight="1">
      <c r="A26" s="383" t="str">
        <f>IF(codegen11="","",codegen11)</f>
        <v/>
      </c>
      <c r="B26" s="384"/>
      <c r="C26" s="384"/>
      <c r="D26" s="384"/>
      <c r="E26" s="384"/>
      <c r="F26" s="384"/>
      <c r="G26" s="384"/>
      <c r="H26" s="385" t="str">
        <f>IF(SubGen11="","",SubGen11)</f>
        <v/>
      </c>
      <c r="I26" s="386"/>
      <c r="J26" s="386"/>
      <c r="K26" s="386"/>
      <c r="L26" s="386"/>
      <c r="M26" s="386"/>
      <c r="N26" s="386"/>
      <c r="O26" s="386"/>
      <c r="P26" s="386"/>
      <c r="Q26" s="386"/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6"/>
      <c r="AD26" s="386"/>
      <c r="AE26" s="387"/>
      <c r="AF26" s="388" t="str">
        <f>IF(CreditGen11="","",CreditGen11)</f>
        <v/>
      </c>
      <c r="AG26" s="389"/>
      <c r="AH26" s="389"/>
      <c r="AI26" s="389"/>
      <c r="AJ26" s="389"/>
      <c r="AK26" s="389"/>
      <c r="AL26" s="390"/>
      <c r="AM26" s="388" t="str">
        <f>IF($AL$2="","",IF(A26="","",VLOOKUP($AL$2,'3.Grades'!$A$6:$BN$50,60,FALSE)))</f>
        <v/>
      </c>
      <c r="AN26" s="389"/>
      <c r="AO26" s="389"/>
      <c r="AP26" s="389"/>
      <c r="AQ26" s="389"/>
      <c r="AR26" s="389"/>
      <c r="AS26" s="390"/>
      <c r="AT26" s="391" t="str">
        <f>IF($AL$2="","",IF(A26="","",VLOOKUP($AL$2,'3.Grades'!$A$6:$BN$50,61,FALSE)))</f>
        <v/>
      </c>
      <c r="AU26" s="391" t="str">
        <f t="shared" si="7"/>
        <v/>
      </c>
      <c r="AV26" s="391" t="str">
        <f t="shared" si="8"/>
        <v/>
      </c>
      <c r="AW26" s="391" t="str">
        <f t="shared" si="9"/>
        <v/>
      </c>
      <c r="AX26" s="391" t="str">
        <f t="shared" si="10"/>
        <v/>
      </c>
      <c r="AY26" s="391" t="str">
        <f t="shared" si="11"/>
        <v/>
      </c>
      <c r="AZ26" s="391" t="str">
        <f t="shared" si="12"/>
        <v/>
      </c>
      <c r="BA26" s="378"/>
      <c r="BB26" s="378"/>
      <c r="BC26" s="378"/>
      <c r="BD26" s="378"/>
      <c r="BE26" s="378"/>
      <c r="BF26" s="378"/>
      <c r="BG26" s="378"/>
      <c r="BH26" s="378"/>
      <c r="BI26" s="378"/>
      <c r="BJ26" s="378"/>
      <c r="BK26" s="378"/>
      <c r="BL26" s="378"/>
      <c r="BM26" s="378"/>
      <c r="BN26" s="378"/>
      <c r="BO26" s="378"/>
      <c r="BP26" s="378"/>
      <c r="BQ26" s="378"/>
      <c r="BR26" s="378"/>
      <c r="BS26" s="378"/>
      <c r="BT26" s="379"/>
      <c r="BV26" s="383" t="str">
        <f>IF(codegen11="","",codegen11)</f>
        <v/>
      </c>
      <c r="BW26" s="384"/>
      <c r="BX26" s="384"/>
      <c r="BY26" s="384"/>
      <c r="BZ26" s="384"/>
      <c r="CA26" s="384"/>
      <c r="CB26" s="384"/>
      <c r="CC26" s="385" t="str">
        <f>IF(SubGen11="","",SubGen11)</f>
        <v/>
      </c>
      <c r="CD26" s="386"/>
      <c r="CE26" s="386"/>
      <c r="CF26" s="386"/>
      <c r="CG26" s="386"/>
      <c r="CH26" s="386"/>
      <c r="CI26" s="386"/>
      <c r="CJ26" s="386"/>
      <c r="CK26" s="386"/>
      <c r="CL26" s="386"/>
      <c r="CM26" s="386"/>
      <c r="CN26" s="386"/>
      <c r="CO26" s="386"/>
      <c r="CP26" s="386"/>
      <c r="CQ26" s="386"/>
      <c r="CR26" s="386"/>
      <c r="CS26" s="386"/>
      <c r="CT26" s="386"/>
      <c r="CU26" s="386"/>
      <c r="CV26" s="386"/>
      <c r="CW26" s="386"/>
      <c r="CX26" s="386"/>
      <c r="CY26" s="386"/>
      <c r="CZ26" s="387"/>
      <c r="DA26" s="388" t="str">
        <f>IF(CreditGen11="","",CreditGen11)</f>
        <v/>
      </c>
      <c r="DB26" s="389"/>
      <c r="DC26" s="389"/>
      <c r="DD26" s="389"/>
      <c r="DE26" s="389"/>
      <c r="DF26" s="389"/>
      <c r="DG26" s="390"/>
      <c r="DH26" s="388" t="str">
        <f>IF($AL$2="","",IF(BV26="","",VLOOKUP($AL$2,'3.Grades'!$A$6:$BN$50,60,FALSE)))</f>
        <v/>
      </c>
      <c r="DI26" s="389"/>
      <c r="DJ26" s="389"/>
      <c r="DK26" s="389"/>
      <c r="DL26" s="389"/>
      <c r="DM26" s="389"/>
      <c r="DN26" s="390"/>
      <c r="DO26" s="391" t="str">
        <f>IF($AL$2="","",IF(BV26="","",VLOOKUP($AL$2,'3.Grades'!$A$6:$BN$50,61,FALSE)))</f>
        <v/>
      </c>
      <c r="DP26" s="391" t="str">
        <f t="shared" si="1"/>
        <v/>
      </c>
      <c r="DQ26" s="391" t="str">
        <f t="shared" si="2"/>
        <v/>
      </c>
      <c r="DR26" s="391" t="str">
        <f t="shared" si="3"/>
        <v/>
      </c>
      <c r="DS26" s="391" t="str">
        <f t="shared" si="4"/>
        <v/>
      </c>
      <c r="DT26" s="391" t="str">
        <f t="shared" si="5"/>
        <v/>
      </c>
      <c r="DU26" s="391" t="str">
        <f t="shared" si="6"/>
        <v/>
      </c>
      <c r="DV26" s="391" t="str">
        <f t="shared" si="13"/>
        <v/>
      </c>
      <c r="DW26" s="391"/>
      <c r="DX26" s="391"/>
      <c r="DY26" s="391"/>
      <c r="DZ26" s="391"/>
      <c r="EA26" s="391"/>
      <c r="EB26" s="391"/>
      <c r="EC26" s="378"/>
      <c r="ED26" s="378"/>
      <c r="EE26" s="378"/>
      <c r="EF26" s="378"/>
      <c r="EG26" s="378"/>
      <c r="EH26" s="378"/>
      <c r="EI26" s="378"/>
      <c r="EJ26" s="378"/>
      <c r="EK26" s="378"/>
      <c r="EL26" s="378"/>
      <c r="EM26" s="378"/>
      <c r="EN26" s="378"/>
      <c r="EO26" s="379"/>
    </row>
    <row r="27" spans="1:145" ht="19.5" customHeight="1" thickBot="1">
      <c r="A27" s="392" t="str">
        <f>IF(codegen12="","",codegen12)</f>
        <v/>
      </c>
      <c r="B27" s="393"/>
      <c r="C27" s="393"/>
      <c r="D27" s="393"/>
      <c r="E27" s="393"/>
      <c r="F27" s="393"/>
      <c r="G27" s="393"/>
      <c r="H27" s="394" t="str">
        <f>IF(SubGen12="","",SubGen12)</f>
        <v/>
      </c>
      <c r="I27" s="395"/>
      <c r="J27" s="395"/>
      <c r="K27" s="395"/>
      <c r="L27" s="395"/>
      <c r="M27" s="395"/>
      <c r="N27" s="395"/>
      <c r="O27" s="395"/>
      <c r="P27" s="395"/>
      <c r="Q27" s="395"/>
      <c r="R27" s="395"/>
      <c r="S27" s="395"/>
      <c r="T27" s="395"/>
      <c r="U27" s="395"/>
      <c r="V27" s="395"/>
      <c r="W27" s="395"/>
      <c r="X27" s="395"/>
      <c r="Y27" s="395"/>
      <c r="Z27" s="395"/>
      <c r="AA27" s="395"/>
      <c r="AB27" s="395"/>
      <c r="AC27" s="395"/>
      <c r="AD27" s="395"/>
      <c r="AE27" s="396"/>
      <c r="AF27" s="397" t="str">
        <f>IF(CreditGen12="","",CreditGen12)</f>
        <v/>
      </c>
      <c r="AG27" s="398"/>
      <c r="AH27" s="398"/>
      <c r="AI27" s="398"/>
      <c r="AJ27" s="398"/>
      <c r="AK27" s="398"/>
      <c r="AL27" s="399"/>
      <c r="AM27" s="397" t="str">
        <f>IF($AL$2="","",IF(A27="","",VLOOKUP($AL$2,'3.Grades'!$A$6:$BN$50,65,FALSE)))</f>
        <v/>
      </c>
      <c r="AN27" s="398"/>
      <c r="AO27" s="398"/>
      <c r="AP27" s="398"/>
      <c r="AQ27" s="398"/>
      <c r="AR27" s="398"/>
      <c r="AS27" s="399"/>
      <c r="AT27" s="400" t="str">
        <f>IF($AL$2="","",IF(A27="","",VLOOKUP($AL$2,'3.Grades'!$A$6:$BN$50,66,FALSE)))</f>
        <v/>
      </c>
      <c r="AU27" s="400" t="str">
        <f t="shared" si="7"/>
        <v/>
      </c>
      <c r="AV27" s="400" t="str">
        <f t="shared" si="8"/>
        <v/>
      </c>
      <c r="AW27" s="400" t="str">
        <f t="shared" si="9"/>
        <v/>
      </c>
      <c r="AX27" s="400" t="str">
        <f t="shared" si="10"/>
        <v/>
      </c>
      <c r="AY27" s="400" t="str">
        <f t="shared" si="11"/>
        <v/>
      </c>
      <c r="AZ27" s="400" t="str">
        <f t="shared" si="12"/>
        <v/>
      </c>
      <c r="BA27" s="401"/>
      <c r="BB27" s="401"/>
      <c r="BC27" s="401"/>
      <c r="BD27" s="401"/>
      <c r="BE27" s="401"/>
      <c r="BF27" s="401"/>
      <c r="BG27" s="401"/>
      <c r="BH27" s="401"/>
      <c r="BI27" s="401"/>
      <c r="BJ27" s="401"/>
      <c r="BK27" s="401"/>
      <c r="BL27" s="401"/>
      <c r="BM27" s="401"/>
      <c r="BN27" s="401"/>
      <c r="BO27" s="401"/>
      <c r="BP27" s="401"/>
      <c r="BQ27" s="401"/>
      <c r="BR27" s="401"/>
      <c r="BS27" s="401"/>
      <c r="BT27" s="404"/>
      <c r="BV27" s="383" t="str">
        <f>IF(codegen12="","",codegen12)</f>
        <v/>
      </c>
      <c r="BW27" s="384"/>
      <c r="BX27" s="384"/>
      <c r="BY27" s="384"/>
      <c r="BZ27" s="384"/>
      <c r="CA27" s="384"/>
      <c r="CB27" s="384"/>
      <c r="CC27" s="385" t="str">
        <f>IF(SubGen12="","",SubGen12)</f>
        <v/>
      </c>
      <c r="CD27" s="386"/>
      <c r="CE27" s="386"/>
      <c r="CF27" s="386"/>
      <c r="CG27" s="386"/>
      <c r="CH27" s="386"/>
      <c r="CI27" s="386"/>
      <c r="CJ27" s="386"/>
      <c r="CK27" s="386"/>
      <c r="CL27" s="386"/>
      <c r="CM27" s="386"/>
      <c r="CN27" s="386"/>
      <c r="CO27" s="386"/>
      <c r="CP27" s="386"/>
      <c r="CQ27" s="386"/>
      <c r="CR27" s="386"/>
      <c r="CS27" s="386"/>
      <c r="CT27" s="386"/>
      <c r="CU27" s="386"/>
      <c r="CV27" s="386"/>
      <c r="CW27" s="386"/>
      <c r="CX27" s="386"/>
      <c r="CY27" s="386"/>
      <c r="CZ27" s="387"/>
      <c r="DA27" s="388" t="str">
        <f>IF(CreditGen12="","",CreditGen12)</f>
        <v/>
      </c>
      <c r="DB27" s="389"/>
      <c r="DC27" s="389"/>
      <c r="DD27" s="389"/>
      <c r="DE27" s="389"/>
      <c r="DF27" s="389"/>
      <c r="DG27" s="390"/>
      <c r="DH27" s="388" t="str">
        <f>IF($AL$2="","",IF(BV27="","",VLOOKUP($AL$2,'3.Grades'!$A$6:$BN$50,65,FALSE)))</f>
        <v/>
      </c>
      <c r="DI27" s="389"/>
      <c r="DJ27" s="389"/>
      <c r="DK27" s="389"/>
      <c r="DL27" s="389"/>
      <c r="DM27" s="389"/>
      <c r="DN27" s="390"/>
      <c r="DO27" s="391" t="str">
        <f>IF($AL$2="","",IF(BV27="","",VLOOKUP($AL$2,'3.Grades'!$A$6:$BN$50,66,FALSE)))</f>
        <v/>
      </c>
      <c r="DP27" s="391" t="str">
        <f t="shared" si="1"/>
        <v/>
      </c>
      <c r="DQ27" s="391" t="str">
        <f t="shared" si="2"/>
        <v/>
      </c>
      <c r="DR27" s="391" t="str">
        <f t="shared" si="3"/>
        <v/>
      </c>
      <c r="DS27" s="391" t="str">
        <f t="shared" si="4"/>
        <v/>
      </c>
      <c r="DT27" s="391" t="str">
        <f t="shared" si="5"/>
        <v/>
      </c>
      <c r="DU27" s="391" t="str">
        <f t="shared" si="6"/>
        <v/>
      </c>
      <c r="DV27" s="391" t="str">
        <f t="shared" si="13"/>
        <v/>
      </c>
      <c r="DW27" s="391"/>
      <c r="DX27" s="391"/>
      <c r="DY27" s="391"/>
      <c r="DZ27" s="391"/>
      <c r="EA27" s="391"/>
      <c r="EB27" s="391"/>
      <c r="EC27" s="378"/>
      <c r="ED27" s="378"/>
      <c r="EE27" s="378"/>
      <c r="EF27" s="378"/>
      <c r="EG27" s="378"/>
      <c r="EH27" s="378"/>
      <c r="EI27" s="378"/>
      <c r="EJ27" s="378"/>
      <c r="EK27" s="378"/>
      <c r="EL27" s="378"/>
      <c r="EM27" s="378"/>
      <c r="EN27" s="378"/>
      <c r="EO27" s="379"/>
    </row>
    <row r="28" spans="1:145" ht="19.5" customHeight="1">
      <c r="A28" s="174"/>
      <c r="B28" s="174"/>
      <c r="C28" s="174"/>
      <c r="D28" s="174"/>
      <c r="E28" s="174"/>
      <c r="F28" s="174"/>
      <c r="G28" s="174"/>
      <c r="H28" s="174"/>
      <c r="I28" s="174"/>
      <c r="J28" s="174"/>
      <c r="BV28" s="380" t="s">
        <v>23</v>
      </c>
      <c r="BW28" s="402"/>
      <c r="BX28" s="402"/>
      <c r="BY28" s="402"/>
      <c r="BZ28" s="402"/>
      <c r="CA28" s="402"/>
      <c r="CB28" s="402"/>
      <c r="CC28" s="402"/>
      <c r="CD28" s="402"/>
      <c r="CE28" s="402"/>
      <c r="CF28" s="402"/>
      <c r="CG28" s="402"/>
      <c r="CH28" s="402"/>
      <c r="CI28" s="402"/>
      <c r="CJ28" s="402"/>
      <c r="CK28" s="402"/>
      <c r="CL28" s="402"/>
      <c r="CM28" s="402"/>
      <c r="CN28" s="402"/>
      <c r="CO28" s="402"/>
      <c r="CP28" s="402"/>
      <c r="CQ28" s="402"/>
      <c r="CR28" s="402"/>
      <c r="CS28" s="402"/>
      <c r="CT28" s="402"/>
      <c r="CU28" s="402"/>
      <c r="CV28" s="402"/>
      <c r="CW28" s="402"/>
      <c r="CX28" s="402"/>
      <c r="CY28" s="402"/>
      <c r="CZ28" s="402"/>
      <c r="DA28" s="402"/>
      <c r="DB28" s="402"/>
      <c r="DC28" s="402"/>
      <c r="DD28" s="402"/>
      <c r="DE28" s="402"/>
      <c r="DF28" s="402"/>
      <c r="DG28" s="402"/>
      <c r="DH28" s="402"/>
      <c r="DI28" s="402"/>
      <c r="DJ28" s="402"/>
      <c r="DK28" s="402"/>
      <c r="DL28" s="402"/>
      <c r="DM28" s="402"/>
      <c r="DN28" s="402"/>
      <c r="DO28" s="402"/>
      <c r="DP28" s="402"/>
      <c r="DQ28" s="402"/>
      <c r="DR28" s="402"/>
      <c r="DS28" s="402"/>
      <c r="DT28" s="402"/>
      <c r="DU28" s="402"/>
      <c r="DV28" s="402"/>
      <c r="DW28" s="402"/>
      <c r="DX28" s="402"/>
      <c r="DY28" s="402"/>
      <c r="DZ28" s="402"/>
      <c r="EA28" s="402"/>
      <c r="EB28" s="402"/>
      <c r="EC28" s="402"/>
      <c r="ED28" s="402"/>
      <c r="EE28" s="402"/>
      <c r="EF28" s="402"/>
      <c r="EG28" s="402"/>
      <c r="EH28" s="402"/>
      <c r="EI28" s="402"/>
      <c r="EJ28" s="402"/>
      <c r="EK28" s="402"/>
      <c r="EL28" s="402"/>
      <c r="EM28" s="402"/>
      <c r="EN28" s="402"/>
      <c r="EO28" s="403"/>
    </row>
    <row r="29" spans="1:145" ht="19.5" customHeight="1">
      <c r="A29" s="421" t="s">
        <v>723</v>
      </c>
      <c r="B29" s="421"/>
      <c r="C29" s="421"/>
      <c r="D29" s="421"/>
      <c r="E29" s="421"/>
      <c r="F29" s="421"/>
      <c r="G29" s="421"/>
      <c r="H29" s="421"/>
      <c r="I29" s="421"/>
      <c r="J29" s="421"/>
      <c r="K29" s="421"/>
      <c r="L29" s="421"/>
      <c r="M29" s="421"/>
      <c r="N29" s="421"/>
      <c r="O29" s="421"/>
      <c r="P29" s="421"/>
      <c r="Q29" s="421"/>
      <c r="R29" s="421"/>
      <c r="S29" s="421"/>
      <c r="T29" s="421"/>
      <c r="U29" s="421"/>
      <c r="V29" s="421"/>
      <c r="W29" s="421"/>
      <c r="X29" s="421"/>
      <c r="Y29" s="421"/>
      <c r="Z29" s="421"/>
      <c r="AA29" s="421"/>
      <c r="AB29" s="421"/>
      <c r="AC29" s="421"/>
      <c r="AD29" s="421"/>
      <c r="AE29" s="421"/>
      <c r="AF29" s="421"/>
      <c r="AG29" s="421"/>
      <c r="AH29" s="421"/>
      <c r="AI29" s="421"/>
      <c r="AJ29" s="421"/>
      <c r="AK29" s="421"/>
      <c r="AL29" s="421"/>
      <c r="AM29" s="421"/>
      <c r="AN29" s="421"/>
      <c r="AO29" s="421"/>
      <c r="AP29" s="421"/>
      <c r="AQ29" s="421"/>
      <c r="AR29" s="421"/>
      <c r="AS29" s="421"/>
      <c r="AT29" s="421"/>
      <c r="AU29" s="421"/>
      <c r="AV29" s="421"/>
      <c r="AW29" s="421"/>
      <c r="AX29" s="421"/>
      <c r="AY29" s="421"/>
      <c r="AZ29" s="421"/>
      <c r="BA29" s="421"/>
      <c r="BB29" s="421"/>
      <c r="BC29" s="421"/>
      <c r="BD29" s="421"/>
      <c r="BE29" s="421"/>
      <c r="BF29" s="421"/>
      <c r="BG29" s="421"/>
      <c r="BH29" s="421"/>
      <c r="BI29" s="421"/>
      <c r="BJ29" s="421"/>
      <c r="BK29" s="421"/>
      <c r="BL29" s="421"/>
      <c r="BM29" s="421"/>
      <c r="BN29" s="421"/>
      <c r="BO29" s="421"/>
      <c r="BP29" s="421"/>
      <c r="BQ29" s="421"/>
      <c r="BR29" s="421"/>
      <c r="BS29" s="421"/>
      <c r="BT29" s="421"/>
      <c r="BV29" s="383" t="e">
        <f>IF(#REF!="","",IF('1.ข้อมูลเบื้องต้น'!#REF!="SBMLD",VLOOKUP($AL$2,'2.Students'' data'!$A$11:$S$55,20),CodeEle1))</f>
        <v>#REF!</v>
      </c>
      <c r="BW29" s="384"/>
      <c r="BX29" s="384"/>
      <c r="BY29" s="384"/>
      <c r="BZ29" s="384"/>
      <c r="CA29" s="384"/>
      <c r="CB29" s="384"/>
      <c r="CC29" s="405" t="e">
        <f>IF(BV29="","",VLOOKUP(BV29,Subject!$A$3:$C$237,2,FALSE))</f>
        <v>#REF!</v>
      </c>
      <c r="CD29" s="405"/>
      <c r="CE29" s="405"/>
      <c r="CF29" s="405"/>
      <c r="CG29" s="405"/>
      <c r="CH29" s="405"/>
      <c r="CI29" s="405"/>
      <c r="CJ29" s="405"/>
      <c r="CK29" s="405"/>
      <c r="CL29" s="405"/>
      <c r="CM29" s="405"/>
      <c r="CN29" s="405"/>
      <c r="CO29" s="405"/>
      <c r="CP29" s="405"/>
      <c r="CQ29" s="405"/>
      <c r="CR29" s="405"/>
      <c r="CS29" s="405"/>
      <c r="CT29" s="405"/>
      <c r="CU29" s="405"/>
      <c r="CV29" s="405"/>
      <c r="CW29" s="405"/>
      <c r="CX29" s="405"/>
      <c r="CY29" s="405"/>
      <c r="CZ29" s="405"/>
      <c r="DA29" s="388" t="e">
        <f>IF(BV29="","",VLOOKUP(BV29,Subject!$A$3:$C$237,3,FALSE))</f>
        <v>#REF!</v>
      </c>
      <c r="DB29" s="389"/>
      <c r="DC29" s="389"/>
      <c r="DD29" s="389"/>
      <c r="DE29" s="389"/>
      <c r="DF29" s="389"/>
      <c r="DG29" s="390"/>
      <c r="DH29" s="406" t="e">
        <f>IF($AL$2="","",IF(BV29="","",VLOOKUP($AL$2,'3.Grades'!$A$6:$BN$50,141,FALSE)))</f>
        <v>#REF!</v>
      </c>
      <c r="DI29" s="406"/>
      <c r="DJ29" s="406"/>
      <c r="DK29" s="406"/>
      <c r="DL29" s="406"/>
      <c r="DM29" s="406"/>
      <c r="DN29" s="406"/>
      <c r="DO29" s="391" t="e">
        <f>IF($AL$2="","",IF(BV29="","",VLOOKUP($AL$2,'3.Grades'!$A$6:$BN$50,142,FALSE)))</f>
        <v>#REF!</v>
      </c>
      <c r="DP29" s="391" t="e">
        <f t="shared" ref="DP29:DP33" si="14">IF(DO29="","",IF(DO29="ร","ร",IF(DO29="มส","มส",IF(DO29&gt;=80,4,IF(DO29&gt;=75,3.5,IF(DO29&gt;=70,3,IF(DO29&gt;=65,2.5,IF(DO29&gt;=60,2,IF(DO29&gt;=55,1.5,IF(DO29&gt;=50,1,0))))))))))</f>
        <v>#REF!</v>
      </c>
      <c r="DQ29" s="391" t="e">
        <f t="shared" ref="DQ29:DQ33" si="15">IF(DP29="","",IF(DP29="ร","ร",IF(DP29="มส","มส",IF(DP29&gt;=80,4,IF(DP29&gt;=75,3.5,IF(DP29&gt;=70,3,IF(DP29&gt;=65,2.5,IF(DP29&gt;=60,2,IF(DP29&gt;=55,1.5,IF(DP29&gt;=50,1,0))))))))))</f>
        <v>#REF!</v>
      </c>
      <c r="DR29" s="391" t="e">
        <f t="shared" ref="DR29:DR33" si="16">IF(DQ29="","",IF(DQ29="ร","ร",IF(DQ29="มส","มส",IF(DQ29&gt;=80,4,IF(DQ29&gt;=75,3.5,IF(DQ29&gt;=70,3,IF(DQ29&gt;=65,2.5,IF(DQ29&gt;=60,2,IF(DQ29&gt;=55,1.5,IF(DQ29&gt;=50,1,0))))))))))</f>
        <v>#REF!</v>
      </c>
      <c r="DS29" s="391" t="e">
        <f t="shared" ref="DS29:DS33" si="17">IF(DR29="","",IF(DR29="ร","ร",IF(DR29="มส","มส",IF(DR29&gt;=80,4,IF(DR29&gt;=75,3.5,IF(DR29&gt;=70,3,IF(DR29&gt;=65,2.5,IF(DR29&gt;=60,2,IF(DR29&gt;=55,1.5,IF(DR29&gt;=50,1,0))))))))))</f>
        <v>#REF!</v>
      </c>
      <c r="DT29" s="391" t="e">
        <f t="shared" ref="DT29:DT33" si="18">IF(DS29="","",IF(DS29="ร","ร",IF(DS29="มส","มส",IF(DS29&gt;=80,4,IF(DS29&gt;=75,3.5,IF(DS29&gt;=70,3,IF(DS29&gt;=65,2.5,IF(DS29&gt;=60,2,IF(DS29&gt;=55,1.5,IF(DS29&gt;=50,1,0))))))))))</f>
        <v>#REF!</v>
      </c>
      <c r="DU29" s="391" t="e">
        <f t="shared" ref="DU29:DU33" si="19">IF(DT29="","",IF(DT29="ร","ร",IF(DT29="มส","มส",IF(DT29&gt;=80,4,IF(DT29&gt;=75,3.5,IF(DT29&gt;=70,3,IF(DT29&gt;=65,2.5,IF(DT29&gt;=60,2,IF(DT29&gt;=55,1.5,IF(DT29&gt;=50,1,0))))))))))</f>
        <v>#REF!</v>
      </c>
      <c r="DV29" s="391" t="e">
        <f>IF(DH29&lt;50,0,IF(DH29="ร",0,IF(DH29="มส",0,IF(DH29="","",DA29))))</f>
        <v>#REF!</v>
      </c>
      <c r="DW29" s="391"/>
      <c r="DX29" s="391"/>
      <c r="DY29" s="391"/>
      <c r="DZ29" s="391"/>
      <c r="EA29" s="391"/>
      <c r="EB29" s="391"/>
      <c r="EC29" s="391"/>
      <c r="ED29" s="391"/>
      <c r="EE29" s="391"/>
      <c r="EF29" s="391"/>
      <c r="EG29" s="391"/>
      <c r="EH29" s="391"/>
      <c r="EI29" s="391"/>
      <c r="EJ29" s="391"/>
      <c r="EK29" s="391"/>
      <c r="EL29" s="391"/>
      <c r="EM29" s="391"/>
      <c r="EN29" s="391"/>
      <c r="EO29" s="407"/>
    </row>
    <row r="30" spans="1:145" ht="19.5" customHeight="1">
      <c r="A30" s="345"/>
      <c r="B30" s="345"/>
      <c r="C30" s="345"/>
      <c r="D30" s="345"/>
      <c r="E30" s="345"/>
      <c r="F30" s="345"/>
      <c r="G30" s="345"/>
      <c r="H30" s="345"/>
      <c r="I30" s="345"/>
      <c r="J30" s="345"/>
      <c r="K30" s="345"/>
      <c r="L30" s="345"/>
      <c r="M30" s="345"/>
      <c r="N30" s="345"/>
      <c r="O30" s="345"/>
      <c r="P30" s="345"/>
      <c r="Q30" s="345"/>
      <c r="R30" s="345"/>
      <c r="S30" s="345"/>
      <c r="T30" s="345"/>
      <c r="U30" s="345"/>
      <c r="V30" s="345"/>
      <c r="W30" s="345"/>
      <c r="X30" s="345"/>
      <c r="Y30" s="345"/>
      <c r="Z30" s="345"/>
      <c r="AA30" s="345"/>
      <c r="AB30" s="345"/>
      <c r="AC30" s="345"/>
      <c r="AD30" s="345"/>
      <c r="AE30" s="345"/>
      <c r="AF30" s="345"/>
      <c r="AG30" s="345"/>
      <c r="AH30" s="345"/>
      <c r="AI30" s="345"/>
      <c r="AJ30" s="345"/>
      <c r="AK30" s="345"/>
      <c r="AL30" s="345"/>
      <c r="AM30" s="345"/>
      <c r="AN30" s="345"/>
      <c r="AO30" s="345"/>
      <c r="AP30" s="345"/>
      <c r="AQ30" s="345"/>
      <c r="AR30" s="345"/>
      <c r="AS30" s="345"/>
      <c r="AT30" s="345"/>
      <c r="AU30" s="345"/>
      <c r="AV30" s="345"/>
      <c r="AW30" s="345"/>
      <c r="AX30" s="345"/>
      <c r="AY30" s="345"/>
      <c r="AZ30" s="345"/>
      <c r="BA30" s="345"/>
      <c r="BB30" s="345"/>
      <c r="BC30" s="345"/>
      <c r="BD30" s="345"/>
      <c r="BE30" s="345"/>
      <c r="BF30" s="345"/>
      <c r="BG30" s="345"/>
      <c r="BH30" s="345"/>
      <c r="BI30" s="345"/>
      <c r="BJ30" s="345"/>
      <c r="BK30" s="345"/>
      <c r="BL30" s="345"/>
      <c r="BM30" s="345"/>
      <c r="BN30" s="345"/>
      <c r="BO30" s="345"/>
      <c r="BP30" s="345"/>
      <c r="BQ30" s="345"/>
      <c r="BR30" s="345"/>
      <c r="BS30" s="345"/>
      <c r="BT30" s="345"/>
      <c r="BV30" s="383" t="e">
        <f>IF(#REF!="","",IF('1.ข้อมูลเบื้องต้น'!#REF!="SBMLD",VLOOKUP($AL$2,'2.Students'' data'!$A$11:$S$55,20),CodeEle2))</f>
        <v>#REF!</v>
      </c>
      <c r="BW30" s="384"/>
      <c r="BX30" s="384"/>
      <c r="BY30" s="384"/>
      <c r="BZ30" s="384"/>
      <c r="CA30" s="384"/>
      <c r="CB30" s="384"/>
      <c r="CC30" s="405" t="e">
        <f>IF(BV30="","",VLOOKUP(BV30,Subject!$A$3:$C$237,2,FALSE))</f>
        <v>#REF!</v>
      </c>
      <c r="CD30" s="405"/>
      <c r="CE30" s="405"/>
      <c r="CF30" s="405"/>
      <c r="CG30" s="405"/>
      <c r="CH30" s="405"/>
      <c r="CI30" s="405"/>
      <c r="CJ30" s="405"/>
      <c r="CK30" s="405"/>
      <c r="CL30" s="405"/>
      <c r="CM30" s="405"/>
      <c r="CN30" s="405"/>
      <c r="CO30" s="405"/>
      <c r="CP30" s="405"/>
      <c r="CQ30" s="405"/>
      <c r="CR30" s="405"/>
      <c r="CS30" s="405"/>
      <c r="CT30" s="405"/>
      <c r="CU30" s="405"/>
      <c r="CV30" s="405"/>
      <c r="CW30" s="405"/>
      <c r="CX30" s="405"/>
      <c r="CY30" s="405"/>
      <c r="CZ30" s="405"/>
      <c r="DA30" s="388" t="e">
        <f>IF(BV30="","",VLOOKUP(BV30,Subject!$A$3:$C$237,3,FALSE))</f>
        <v>#REF!</v>
      </c>
      <c r="DB30" s="389"/>
      <c r="DC30" s="389"/>
      <c r="DD30" s="389"/>
      <c r="DE30" s="389"/>
      <c r="DF30" s="389"/>
      <c r="DG30" s="390"/>
      <c r="DH30" s="406" t="e">
        <f>IF($AL$2="","",IF(BV30="","",VLOOKUP($AL$2,'3.Grades'!$A$6:$BN$50,143,FALSE)))</f>
        <v>#REF!</v>
      </c>
      <c r="DI30" s="406"/>
      <c r="DJ30" s="406"/>
      <c r="DK30" s="406"/>
      <c r="DL30" s="406"/>
      <c r="DM30" s="406"/>
      <c r="DN30" s="406"/>
      <c r="DO30" s="391" t="e">
        <f>IF($AL$2="","",IF(BV30="","",VLOOKUP($AL$2,'3.Grades'!$A$6:$BN$50,144,FALSE)))</f>
        <v>#REF!</v>
      </c>
      <c r="DP30" s="391" t="e">
        <f t="shared" si="14"/>
        <v>#REF!</v>
      </c>
      <c r="DQ30" s="391" t="e">
        <f t="shared" si="15"/>
        <v>#REF!</v>
      </c>
      <c r="DR30" s="391" t="e">
        <f t="shared" si="16"/>
        <v>#REF!</v>
      </c>
      <c r="DS30" s="391" t="e">
        <f t="shared" si="17"/>
        <v>#REF!</v>
      </c>
      <c r="DT30" s="391" t="e">
        <f t="shared" si="18"/>
        <v>#REF!</v>
      </c>
      <c r="DU30" s="391" t="e">
        <f t="shared" si="19"/>
        <v>#REF!</v>
      </c>
      <c r="DV30" s="391" t="e">
        <f>IF(DH30&lt;50,0,IF(DH30="ร",0,IF(DH30="มส",0,IF(DH30="","",DA30))))</f>
        <v>#REF!</v>
      </c>
      <c r="DW30" s="391"/>
      <c r="DX30" s="391"/>
      <c r="DY30" s="391"/>
      <c r="DZ30" s="391"/>
      <c r="EA30" s="391"/>
      <c r="EB30" s="391"/>
      <c r="EC30" s="391"/>
      <c r="ED30" s="391"/>
      <c r="EE30" s="391"/>
      <c r="EF30" s="391"/>
      <c r="EG30" s="391"/>
      <c r="EH30" s="391"/>
      <c r="EI30" s="391"/>
      <c r="EJ30" s="391"/>
      <c r="EK30" s="391"/>
      <c r="EL30" s="391"/>
      <c r="EM30" s="391"/>
      <c r="EN30" s="391"/>
      <c r="EO30" s="407"/>
    </row>
    <row r="31" spans="1:145" ht="19.5" customHeight="1">
      <c r="A31" s="345"/>
      <c r="B31" s="345"/>
      <c r="C31" s="345"/>
      <c r="D31" s="345"/>
      <c r="E31" s="345"/>
      <c r="F31" s="345"/>
      <c r="G31" s="345"/>
      <c r="H31" s="345"/>
      <c r="I31" s="345"/>
      <c r="J31" s="345"/>
      <c r="K31" s="345"/>
      <c r="L31" s="345"/>
      <c r="M31" s="345"/>
      <c r="N31" s="345"/>
      <c r="O31" s="345"/>
      <c r="P31" s="345"/>
      <c r="Q31" s="345"/>
      <c r="R31" s="345"/>
      <c r="S31" s="345"/>
      <c r="T31" s="345"/>
      <c r="U31" s="345"/>
      <c r="V31" s="345"/>
      <c r="W31" s="345"/>
      <c r="X31" s="345"/>
      <c r="Y31" s="345"/>
      <c r="Z31" s="345"/>
      <c r="AA31" s="345"/>
      <c r="AB31" s="345"/>
      <c r="AC31" s="345"/>
      <c r="AD31" s="345"/>
      <c r="AE31" s="345"/>
      <c r="AF31" s="345"/>
      <c r="AG31" s="345"/>
      <c r="AH31" s="345"/>
      <c r="AI31" s="345"/>
      <c r="AJ31" s="345"/>
      <c r="AK31" s="345"/>
      <c r="AL31" s="345"/>
      <c r="AM31" s="345"/>
      <c r="AN31" s="345"/>
      <c r="AO31" s="345"/>
      <c r="AP31" s="345"/>
      <c r="AQ31" s="345"/>
      <c r="AR31" s="345"/>
      <c r="AS31" s="345"/>
      <c r="AT31" s="345"/>
      <c r="AU31" s="345"/>
      <c r="AV31" s="345"/>
      <c r="AW31" s="345"/>
      <c r="AX31" s="345"/>
      <c r="AY31" s="345"/>
      <c r="AZ31" s="345"/>
      <c r="BA31" s="345"/>
      <c r="BB31" s="345"/>
      <c r="BC31" s="345"/>
      <c r="BD31" s="345"/>
      <c r="BE31" s="345"/>
      <c r="BF31" s="345"/>
      <c r="BG31" s="345"/>
      <c r="BH31" s="345"/>
      <c r="BI31" s="345"/>
      <c r="BJ31" s="345"/>
      <c r="BK31" s="345"/>
      <c r="BL31" s="345"/>
      <c r="BM31" s="345"/>
      <c r="BN31" s="345"/>
      <c r="BO31" s="345"/>
      <c r="BP31" s="345"/>
      <c r="BQ31" s="345"/>
      <c r="BR31" s="345"/>
      <c r="BS31" s="345"/>
      <c r="BT31" s="345"/>
      <c r="BV31" s="383" t="e">
        <f>IF(#REF!="","",IF('1.ข้อมูลเบื้องต้น'!#REF!="SBMLD",VLOOKUP($AL$2,'2.Students'' data'!$A$11:$S$55,23),CodeEle3))</f>
        <v>#REF!</v>
      </c>
      <c r="BW31" s="384"/>
      <c r="BX31" s="384"/>
      <c r="BY31" s="384"/>
      <c r="BZ31" s="384"/>
      <c r="CA31" s="384"/>
      <c r="CB31" s="384"/>
      <c r="CC31" s="405" t="e">
        <f>IF(BV31="","",VLOOKUP(BV31,Subject!$A$3:$C$237,2,FALSE))</f>
        <v>#REF!</v>
      </c>
      <c r="CD31" s="405"/>
      <c r="CE31" s="405"/>
      <c r="CF31" s="405"/>
      <c r="CG31" s="405"/>
      <c r="CH31" s="405"/>
      <c r="CI31" s="405"/>
      <c r="CJ31" s="405"/>
      <c r="CK31" s="405"/>
      <c r="CL31" s="405"/>
      <c r="CM31" s="405"/>
      <c r="CN31" s="405"/>
      <c r="CO31" s="405"/>
      <c r="CP31" s="405"/>
      <c r="CQ31" s="405"/>
      <c r="CR31" s="405"/>
      <c r="CS31" s="405"/>
      <c r="CT31" s="405"/>
      <c r="CU31" s="405"/>
      <c r="CV31" s="405"/>
      <c r="CW31" s="405"/>
      <c r="CX31" s="405"/>
      <c r="CY31" s="405"/>
      <c r="CZ31" s="405"/>
      <c r="DA31" s="388" t="e">
        <f>IF(BV31="","",VLOOKUP(BV31,Subject!$A$3:$C$237,3,FALSE))</f>
        <v>#REF!</v>
      </c>
      <c r="DB31" s="389"/>
      <c r="DC31" s="389"/>
      <c r="DD31" s="389"/>
      <c r="DE31" s="389"/>
      <c r="DF31" s="389"/>
      <c r="DG31" s="390"/>
      <c r="DH31" s="406" t="e">
        <f>IF($AL$2="","",IF(BV31="","",VLOOKUP($AL$2,'3.Grades'!$A$6:$BN$50,145,FALSE)))</f>
        <v>#REF!</v>
      </c>
      <c r="DI31" s="406"/>
      <c r="DJ31" s="406"/>
      <c r="DK31" s="406"/>
      <c r="DL31" s="406"/>
      <c r="DM31" s="406"/>
      <c r="DN31" s="406"/>
      <c r="DO31" s="391" t="e">
        <f>IF($AL$2="","",IF(BV31="","",VLOOKUP($AL$2,'3.Grades'!$A$6:$BN$50,146,FALSE)))</f>
        <v>#REF!</v>
      </c>
      <c r="DP31" s="391" t="e">
        <f t="shared" si="14"/>
        <v>#REF!</v>
      </c>
      <c r="DQ31" s="391" t="e">
        <f t="shared" si="15"/>
        <v>#REF!</v>
      </c>
      <c r="DR31" s="391" t="e">
        <f t="shared" si="16"/>
        <v>#REF!</v>
      </c>
      <c r="DS31" s="391" t="e">
        <f t="shared" si="17"/>
        <v>#REF!</v>
      </c>
      <c r="DT31" s="391" t="e">
        <f t="shared" si="18"/>
        <v>#REF!</v>
      </c>
      <c r="DU31" s="391" t="e">
        <f t="shared" si="19"/>
        <v>#REF!</v>
      </c>
      <c r="DV31" s="391" t="e">
        <f>IF(DH31&lt;50,0,IF(DH31="ร",0,IF(DH31="มส",0,IF(DH31="","",DA31))))</f>
        <v>#REF!</v>
      </c>
      <c r="DW31" s="391"/>
      <c r="DX31" s="391"/>
      <c r="DY31" s="391"/>
      <c r="DZ31" s="391"/>
      <c r="EA31" s="391"/>
      <c r="EB31" s="391"/>
      <c r="EC31" s="391"/>
      <c r="ED31" s="391"/>
      <c r="EE31" s="391"/>
      <c r="EF31" s="391"/>
      <c r="EG31" s="391"/>
      <c r="EH31" s="391"/>
      <c r="EI31" s="391"/>
      <c r="EJ31" s="391"/>
      <c r="EK31" s="391"/>
      <c r="EL31" s="391"/>
      <c r="EM31" s="391"/>
      <c r="EN31" s="391"/>
      <c r="EO31" s="407"/>
    </row>
    <row r="32" spans="1:145" ht="19.5" customHeight="1">
      <c r="A32" s="345"/>
      <c r="B32" s="345"/>
      <c r="C32" s="345"/>
      <c r="D32" s="345"/>
      <c r="E32" s="345"/>
      <c r="F32" s="345"/>
      <c r="G32" s="345"/>
      <c r="H32" s="345"/>
      <c r="I32" s="345"/>
      <c r="J32" s="345"/>
      <c r="K32" s="345"/>
      <c r="L32" s="345"/>
      <c r="M32" s="345"/>
      <c r="N32" s="345"/>
      <c r="O32" s="345"/>
      <c r="P32" s="345"/>
      <c r="Q32" s="345"/>
      <c r="R32" s="345"/>
      <c r="S32" s="345"/>
      <c r="T32" s="345"/>
      <c r="U32" s="345"/>
      <c r="V32" s="345"/>
      <c r="W32" s="345"/>
      <c r="X32" s="345"/>
      <c r="Y32" s="345"/>
      <c r="Z32" s="345"/>
      <c r="AA32" s="345"/>
      <c r="AB32" s="345"/>
      <c r="AC32" s="345"/>
      <c r="AD32" s="345"/>
      <c r="AE32" s="345"/>
      <c r="AF32" s="345"/>
      <c r="AG32" s="345"/>
      <c r="AH32" s="345"/>
      <c r="AI32" s="345"/>
      <c r="AJ32" s="345"/>
      <c r="AK32" s="345"/>
      <c r="AL32" s="345"/>
      <c r="AM32" s="345"/>
      <c r="AN32" s="345"/>
      <c r="AO32" s="345"/>
      <c r="AP32" s="345"/>
      <c r="AQ32" s="345"/>
      <c r="AR32" s="345"/>
      <c r="AS32" s="345"/>
      <c r="AT32" s="345"/>
      <c r="AU32" s="345"/>
      <c r="AV32" s="345"/>
      <c r="AW32" s="345"/>
      <c r="AX32" s="345"/>
      <c r="AY32" s="345"/>
      <c r="AZ32" s="345"/>
      <c r="BA32" s="345"/>
      <c r="BB32" s="345"/>
      <c r="BC32" s="345"/>
      <c r="BD32" s="345"/>
      <c r="BE32" s="345"/>
      <c r="BF32" s="345"/>
      <c r="BG32" s="345"/>
      <c r="BH32" s="345"/>
      <c r="BI32" s="345"/>
      <c r="BJ32" s="345"/>
      <c r="BK32" s="345"/>
      <c r="BL32" s="345"/>
      <c r="BM32" s="345"/>
      <c r="BN32" s="345"/>
      <c r="BO32" s="345"/>
      <c r="BP32" s="345"/>
      <c r="BQ32" s="345"/>
      <c r="BR32" s="345"/>
      <c r="BS32" s="345"/>
      <c r="BT32" s="345"/>
      <c r="BV32" s="383" t="e">
        <f>IF(#REF!="","",IF('1.ข้อมูลเบื้องต้น'!#REF!="SBMLD",VLOOKUP($AL$2,'2.Students'' data'!$A$11:$S$55,23),CodeEle4))</f>
        <v>#REF!</v>
      </c>
      <c r="BW32" s="384"/>
      <c r="BX32" s="384"/>
      <c r="BY32" s="384"/>
      <c r="BZ32" s="384"/>
      <c r="CA32" s="384"/>
      <c r="CB32" s="384"/>
      <c r="CC32" s="405" t="e">
        <f>IF(BV32="","",VLOOKUP(BV32,Subject!$A$3:$C$237,2,FALSE))</f>
        <v>#REF!</v>
      </c>
      <c r="CD32" s="405"/>
      <c r="CE32" s="405"/>
      <c r="CF32" s="405"/>
      <c r="CG32" s="405"/>
      <c r="CH32" s="405"/>
      <c r="CI32" s="405"/>
      <c r="CJ32" s="405"/>
      <c r="CK32" s="405"/>
      <c r="CL32" s="405"/>
      <c r="CM32" s="405"/>
      <c r="CN32" s="405"/>
      <c r="CO32" s="405"/>
      <c r="CP32" s="405"/>
      <c r="CQ32" s="405"/>
      <c r="CR32" s="405"/>
      <c r="CS32" s="405"/>
      <c r="CT32" s="405"/>
      <c r="CU32" s="405"/>
      <c r="CV32" s="405"/>
      <c r="CW32" s="405"/>
      <c r="CX32" s="405"/>
      <c r="CY32" s="405"/>
      <c r="CZ32" s="405"/>
      <c r="DA32" s="388" t="e">
        <f>IF(BV32="","",VLOOKUP(BV32,Subject!$A$3:$C$237,3,FALSE))</f>
        <v>#REF!</v>
      </c>
      <c r="DB32" s="389"/>
      <c r="DC32" s="389"/>
      <c r="DD32" s="389"/>
      <c r="DE32" s="389"/>
      <c r="DF32" s="389"/>
      <c r="DG32" s="390"/>
      <c r="DH32" s="406" t="e">
        <f>IF($AL$2="","",IF(BV32="","",VLOOKUP($AL$2,'3.Grades'!$A$6:$BN$50,147,FALSE)))</f>
        <v>#REF!</v>
      </c>
      <c r="DI32" s="406"/>
      <c r="DJ32" s="406"/>
      <c r="DK32" s="406"/>
      <c r="DL32" s="406"/>
      <c r="DM32" s="406"/>
      <c r="DN32" s="406"/>
      <c r="DO32" s="391" t="e">
        <f>IF($AL$2="","",IF(BV32="","",VLOOKUP($AL$2,'3.Grades'!$A$6:$BN$50,148,FALSE)))</f>
        <v>#REF!</v>
      </c>
      <c r="DP32" s="391" t="e">
        <f t="shared" si="14"/>
        <v>#REF!</v>
      </c>
      <c r="DQ32" s="391" t="e">
        <f t="shared" si="15"/>
        <v>#REF!</v>
      </c>
      <c r="DR32" s="391" t="e">
        <f t="shared" si="16"/>
        <v>#REF!</v>
      </c>
      <c r="DS32" s="391" t="e">
        <f t="shared" si="17"/>
        <v>#REF!</v>
      </c>
      <c r="DT32" s="391" t="e">
        <f t="shared" si="18"/>
        <v>#REF!</v>
      </c>
      <c r="DU32" s="391" t="e">
        <f t="shared" si="19"/>
        <v>#REF!</v>
      </c>
      <c r="DV32" s="391" t="e">
        <f>IF(DH32&lt;50,0,IF(DH32="ร",0,IF(DH32="มส",0,IF(DH32="","",DA32))))</f>
        <v>#REF!</v>
      </c>
      <c r="DW32" s="391"/>
      <c r="DX32" s="391"/>
      <c r="DY32" s="391"/>
      <c r="DZ32" s="391"/>
      <c r="EA32" s="391"/>
      <c r="EB32" s="391"/>
      <c r="EC32" s="391"/>
      <c r="ED32" s="391"/>
      <c r="EE32" s="391"/>
      <c r="EF32" s="391"/>
      <c r="EG32" s="391"/>
      <c r="EH32" s="391"/>
      <c r="EI32" s="391"/>
      <c r="EJ32" s="391"/>
      <c r="EK32" s="391"/>
      <c r="EL32" s="391"/>
      <c r="EM32" s="391"/>
      <c r="EN32" s="391"/>
      <c r="EO32" s="407"/>
    </row>
    <row r="33" spans="1:145" ht="19.5" customHeight="1">
      <c r="A33" s="174"/>
      <c r="B33" s="174"/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4"/>
      <c r="AK33" s="174"/>
      <c r="AL33" s="174"/>
      <c r="AM33" s="174"/>
      <c r="AN33" s="174"/>
      <c r="AO33" s="174"/>
      <c r="AP33" s="174"/>
      <c r="AQ33" s="174"/>
      <c r="AR33" s="174"/>
      <c r="AS33" s="174"/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V33" s="383" t="e">
        <f>IF(#REF!="","",IF('1.ข้อมูลเบื้องต้น'!#REF!="SBMLD",VLOOKUP($AL$2,'2.Students'' data'!$A$11:$S$55,23),CodeEle5))</f>
        <v>#REF!</v>
      </c>
      <c r="BW33" s="384"/>
      <c r="BX33" s="384"/>
      <c r="BY33" s="384"/>
      <c r="BZ33" s="384"/>
      <c r="CA33" s="384"/>
      <c r="CB33" s="384"/>
      <c r="CC33" s="405" t="e">
        <f>IF(BV33="","",VLOOKUP(BV33,Subject!$A$3:$C$237,2,FALSE))</f>
        <v>#REF!</v>
      </c>
      <c r="CD33" s="405"/>
      <c r="CE33" s="405"/>
      <c r="CF33" s="405"/>
      <c r="CG33" s="405"/>
      <c r="CH33" s="405"/>
      <c r="CI33" s="405"/>
      <c r="CJ33" s="405"/>
      <c r="CK33" s="405"/>
      <c r="CL33" s="405"/>
      <c r="CM33" s="405"/>
      <c r="CN33" s="405"/>
      <c r="CO33" s="405"/>
      <c r="CP33" s="405"/>
      <c r="CQ33" s="405"/>
      <c r="CR33" s="405"/>
      <c r="CS33" s="405"/>
      <c r="CT33" s="405"/>
      <c r="CU33" s="405"/>
      <c r="CV33" s="405"/>
      <c r="CW33" s="405"/>
      <c r="CX33" s="405"/>
      <c r="CY33" s="405"/>
      <c r="CZ33" s="405"/>
      <c r="DA33" s="388" t="e">
        <f>IF(BV33="","",VLOOKUP(BV33,Subject!$A$3:$C$237,3,FALSE))</f>
        <v>#REF!</v>
      </c>
      <c r="DB33" s="389"/>
      <c r="DC33" s="389"/>
      <c r="DD33" s="389"/>
      <c r="DE33" s="389"/>
      <c r="DF33" s="389"/>
      <c r="DG33" s="390"/>
      <c r="DH33" s="406" t="e">
        <f>IF($AL$2="","",IF(BV33="","",VLOOKUP($AL$2,'3.Grades'!$A$6:$BN$50,149,FALSE)))</f>
        <v>#REF!</v>
      </c>
      <c r="DI33" s="406"/>
      <c r="DJ33" s="406"/>
      <c r="DK33" s="406"/>
      <c r="DL33" s="406"/>
      <c r="DM33" s="406"/>
      <c r="DN33" s="406"/>
      <c r="DO33" s="391" t="e">
        <f>IF($AL$2="","",IF(BV33="","",VLOOKUP($AL$2,'3.Grades'!$A$6:$BN$50,150,FALSE)))</f>
        <v>#REF!</v>
      </c>
      <c r="DP33" s="391" t="e">
        <f t="shared" si="14"/>
        <v>#REF!</v>
      </c>
      <c r="DQ33" s="391" t="e">
        <f t="shared" si="15"/>
        <v>#REF!</v>
      </c>
      <c r="DR33" s="391" t="e">
        <f t="shared" si="16"/>
        <v>#REF!</v>
      </c>
      <c r="DS33" s="391" t="e">
        <f t="shared" si="17"/>
        <v>#REF!</v>
      </c>
      <c r="DT33" s="391" t="e">
        <f t="shared" si="18"/>
        <v>#REF!</v>
      </c>
      <c r="DU33" s="391" t="e">
        <f t="shared" si="19"/>
        <v>#REF!</v>
      </c>
      <c r="DV33" s="391" t="e">
        <f t="shared" ref="DV33" si="20">IF(DH33&lt;50,0,IF(DH33="ร",0,IF(DH33="มส",0,IF(DH33="","",DA33))))</f>
        <v>#REF!</v>
      </c>
      <c r="DW33" s="391"/>
      <c r="DX33" s="391"/>
      <c r="DY33" s="391"/>
      <c r="DZ33" s="391"/>
      <c r="EA33" s="391"/>
      <c r="EB33" s="391"/>
      <c r="EC33" s="391"/>
      <c r="ED33" s="391"/>
      <c r="EE33" s="391"/>
      <c r="EF33" s="391"/>
      <c r="EG33" s="391"/>
      <c r="EH33" s="391"/>
      <c r="EI33" s="391"/>
      <c r="EJ33" s="391"/>
      <c r="EK33" s="391"/>
      <c r="EL33" s="391"/>
      <c r="EM33" s="391"/>
      <c r="EN33" s="391"/>
      <c r="EO33" s="407"/>
    </row>
    <row r="34" spans="1:145" ht="19.5" customHeight="1">
      <c r="A34" s="179"/>
      <c r="B34" s="179"/>
      <c r="C34" s="179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81"/>
      <c r="AN34" s="181"/>
      <c r="AO34" s="181"/>
      <c r="AP34" s="181"/>
      <c r="AQ34" s="181"/>
      <c r="AR34" s="181"/>
      <c r="AS34" s="181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  <c r="BM34" s="180"/>
      <c r="BN34" s="180"/>
      <c r="BO34" s="180"/>
      <c r="BP34" s="180"/>
      <c r="BQ34" s="180"/>
      <c r="BR34" s="174"/>
      <c r="BS34" s="174"/>
      <c r="BT34" s="174"/>
      <c r="BV34" s="380" t="s">
        <v>24</v>
      </c>
      <c r="BW34" s="381"/>
      <c r="BX34" s="381"/>
      <c r="BY34" s="381"/>
      <c r="BZ34" s="381"/>
      <c r="CA34" s="381"/>
      <c r="CB34" s="381"/>
      <c r="CC34" s="381"/>
      <c r="CD34" s="381"/>
      <c r="CE34" s="381"/>
      <c r="CF34" s="381"/>
      <c r="CG34" s="381"/>
      <c r="CH34" s="381"/>
      <c r="CI34" s="381"/>
      <c r="CJ34" s="381"/>
      <c r="CK34" s="381"/>
      <c r="CL34" s="381"/>
      <c r="CM34" s="381"/>
      <c r="CN34" s="381"/>
      <c r="CO34" s="381"/>
      <c r="CP34" s="381"/>
      <c r="CQ34" s="381"/>
      <c r="CR34" s="381"/>
      <c r="CS34" s="381"/>
      <c r="CT34" s="381"/>
      <c r="CU34" s="381"/>
      <c r="CV34" s="381"/>
      <c r="CW34" s="381"/>
      <c r="CX34" s="381"/>
      <c r="CY34" s="381"/>
      <c r="CZ34" s="381"/>
      <c r="DA34" s="381"/>
      <c r="DB34" s="381"/>
      <c r="DC34" s="381"/>
      <c r="DD34" s="381"/>
      <c r="DE34" s="381"/>
      <c r="DF34" s="381"/>
      <c r="DG34" s="381"/>
      <c r="DH34" s="381"/>
      <c r="DI34" s="381"/>
      <c r="DJ34" s="381"/>
      <c r="DK34" s="381"/>
      <c r="DL34" s="381"/>
      <c r="DM34" s="381"/>
      <c r="DN34" s="381"/>
      <c r="DO34" s="381"/>
      <c r="DP34" s="381"/>
      <c r="DQ34" s="381"/>
      <c r="DR34" s="381"/>
      <c r="DS34" s="381"/>
      <c r="DT34" s="381"/>
      <c r="DU34" s="381"/>
      <c r="DV34" s="381"/>
      <c r="DW34" s="381"/>
      <c r="DX34" s="381"/>
      <c r="DY34" s="381"/>
      <c r="DZ34" s="381"/>
      <c r="EA34" s="381"/>
      <c r="EB34" s="381"/>
      <c r="EC34" s="381"/>
      <c r="ED34" s="381"/>
      <c r="EE34" s="381"/>
      <c r="EF34" s="381"/>
      <c r="EG34" s="381"/>
      <c r="EH34" s="381"/>
      <c r="EI34" s="381"/>
      <c r="EJ34" s="381"/>
      <c r="EK34" s="381"/>
      <c r="EL34" s="381"/>
      <c r="EM34" s="381"/>
      <c r="EN34" s="381"/>
      <c r="EO34" s="382"/>
    </row>
    <row r="35" spans="1:145" ht="19.5" customHeight="1">
      <c r="A35" s="174"/>
      <c r="B35" s="174"/>
      <c r="C35" s="174"/>
      <c r="D35" s="439" t="s">
        <v>689</v>
      </c>
      <c r="E35" s="439"/>
      <c r="F35" s="439"/>
      <c r="G35" s="439"/>
      <c r="H35" s="439"/>
      <c r="I35" s="439"/>
      <c r="J35" s="439"/>
      <c r="K35" s="439"/>
      <c r="L35" s="439"/>
      <c r="M35" s="439"/>
      <c r="N35" s="439"/>
      <c r="O35" s="439"/>
      <c r="P35" s="439"/>
      <c r="Q35" s="439"/>
      <c r="R35" s="439"/>
      <c r="S35" s="439"/>
      <c r="T35" s="439"/>
      <c r="U35" s="439"/>
      <c r="V35" s="439"/>
      <c r="W35" s="439"/>
      <c r="X35" s="174"/>
      <c r="Y35" s="174"/>
      <c r="Z35" s="174"/>
      <c r="AA35" s="174"/>
      <c r="AB35" s="174"/>
      <c r="AC35" s="174"/>
      <c r="AD35" s="174"/>
      <c r="AE35" s="174"/>
      <c r="AF35" s="182"/>
      <c r="AG35" s="182"/>
      <c r="AH35" s="182"/>
      <c r="AI35" s="182"/>
      <c r="AJ35" s="182"/>
      <c r="AK35" s="182"/>
      <c r="AL35" s="182"/>
      <c r="AM35" s="182"/>
      <c r="AN35" s="182"/>
      <c r="AO35" s="182"/>
      <c r="AP35" s="182"/>
      <c r="AQ35" s="182"/>
      <c r="AR35" s="182"/>
      <c r="AS35" s="182"/>
      <c r="AX35" s="439" t="str">
        <f>IF(Director=AssDirector,"Assistant Director","School Director")</f>
        <v>School Director</v>
      </c>
      <c r="AY35" s="439"/>
      <c r="AZ35" s="439"/>
      <c r="BA35" s="439"/>
      <c r="BB35" s="439"/>
      <c r="BC35" s="439"/>
      <c r="BD35" s="439"/>
      <c r="BE35" s="439"/>
      <c r="BF35" s="439"/>
      <c r="BG35" s="439"/>
      <c r="BH35" s="439"/>
      <c r="BI35" s="439"/>
      <c r="BJ35" s="439"/>
      <c r="BK35" s="439"/>
      <c r="BL35" s="439"/>
      <c r="BM35" s="439"/>
      <c r="BN35" s="439"/>
      <c r="BO35" s="439"/>
      <c r="BP35" s="439"/>
      <c r="BQ35" s="439"/>
      <c r="BR35" s="174"/>
      <c r="BS35" s="174"/>
      <c r="BT35" s="174"/>
      <c r="BV35" s="426" t="e">
        <f>IF(Activity1="","",Activity1)</f>
        <v>#REF!</v>
      </c>
      <c r="BW35" s="386"/>
      <c r="BX35" s="386"/>
      <c r="BY35" s="386"/>
      <c r="BZ35" s="386"/>
      <c r="CA35" s="386"/>
      <c r="CB35" s="386"/>
      <c r="CC35" s="386"/>
      <c r="CD35" s="386"/>
      <c r="CE35" s="386"/>
      <c r="CF35" s="386"/>
      <c r="CG35" s="386"/>
      <c r="CH35" s="386"/>
      <c r="CI35" s="386"/>
      <c r="CJ35" s="386"/>
      <c r="CK35" s="386"/>
      <c r="CL35" s="386"/>
      <c r="CM35" s="386"/>
      <c r="CN35" s="386"/>
      <c r="CO35" s="386"/>
      <c r="CP35" s="386"/>
      <c r="CQ35" s="386"/>
      <c r="CR35" s="386"/>
      <c r="CS35" s="386"/>
      <c r="CT35" s="386"/>
      <c r="CU35" s="386"/>
      <c r="CV35" s="386"/>
      <c r="CW35" s="386"/>
      <c r="CX35" s="386"/>
      <c r="CY35" s="386"/>
      <c r="CZ35" s="387"/>
      <c r="DA35" s="427" t="e">
        <f>IF(Time1="","",Time1)</f>
        <v>#REF!</v>
      </c>
      <c r="DB35" s="428"/>
      <c r="DC35" s="428"/>
      <c r="DD35" s="428"/>
      <c r="DE35" s="428"/>
      <c r="DF35" s="428"/>
      <c r="DG35" s="429"/>
      <c r="DH35" s="408"/>
      <c r="DI35" s="408"/>
      <c r="DJ35" s="408"/>
      <c r="DK35" s="408"/>
      <c r="DL35" s="408"/>
      <c r="DM35" s="408"/>
      <c r="DN35" s="408"/>
      <c r="DO35" s="391" t="e">
        <f>IF($AL$2="","",IF(BV35="","",VLOOKUP($AL$2,'3.Grades'!$A$6:$BN$50,134,FALSE)))</f>
        <v>#REF!</v>
      </c>
      <c r="DP35" s="391" t="e">
        <f t="shared" ref="DP35:DP38" si="21">IF(DO35="","",IF(DO35="ร","ร",IF(DO35="มส","มส",IF(DO35&gt;=80,4,IF(DO35&gt;=75,3.5,IF(DO35&gt;=70,3,IF(DO35&gt;=65,2.5,IF(DO35&gt;=60,2,IF(DO35&gt;=55,1.5,IF(DO35&gt;=50,1,0))))))))))</f>
        <v>#REF!</v>
      </c>
      <c r="DQ35" s="391" t="e">
        <f t="shared" ref="DQ35:DQ38" si="22">IF(DP35="","",IF(DP35="ร","ร",IF(DP35="มส","มส",IF(DP35&gt;=80,4,IF(DP35&gt;=75,3.5,IF(DP35&gt;=70,3,IF(DP35&gt;=65,2.5,IF(DP35&gt;=60,2,IF(DP35&gt;=55,1.5,IF(DP35&gt;=50,1,0))))))))))</f>
        <v>#REF!</v>
      </c>
      <c r="DR35" s="391" t="e">
        <f t="shared" ref="DR35:DR38" si="23">IF(DQ35="","",IF(DQ35="ร","ร",IF(DQ35="มส","มส",IF(DQ35&gt;=80,4,IF(DQ35&gt;=75,3.5,IF(DQ35&gt;=70,3,IF(DQ35&gt;=65,2.5,IF(DQ35&gt;=60,2,IF(DQ35&gt;=55,1.5,IF(DQ35&gt;=50,1,0))))))))))</f>
        <v>#REF!</v>
      </c>
      <c r="DS35" s="391" t="e">
        <f t="shared" ref="DS35:DS38" si="24">IF(DR35="","",IF(DR35="ร","ร",IF(DR35="มส","มส",IF(DR35&gt;=80,4,IF(DR35&gt;=75,3.5,IF(DR35&gt;=70,3,IF(DR35&gt;=65,2.5,IF(DR35&gt;=60,2,IF(DR35&gt;=55,1.5,IF(DR35&gt;=50,1,0))))))))))</f>
        <v>#REF!</v>
      </c>
      <c r="DT35" s="391" t="e">
        <f t="shared" ref="DT35:DT38" si="25">IF(DS35="","",IF(DS35="ร","ร",IF(DS35="มส","มส",IF(DS35&gt;=80,4,IF(DS35&gt;=75,3.5,IF(DS35&gt;=70,3,IF(DS35&gt;=65,2.5,IF(DS35&gt;=60,2,IF(DS35&gt;=55,1.5,IF(DS35&gt;=50,1,0))))))))))</f>
        <v>#REF!</v>
      </c>
      <c r="DU35" s="391" t="e">
        <f t="shared" ref="DU35:DU38" si="26">IF(DT35="","",IF(DT35="ร","ร",IF(DT35="มส","มส",IF(DT35&gt;=80,4,IF(DT35&gt;=75,3.5,IF(DT35&gt;=70,3,IF(DT35&gt;=65,2.5,IF(DT35&gt;=60,2,IF(DT35&gt;=55,1.5,IF(DT35&gt;=50,1,0))))))))))</f>
        <v>#REF!</v>
      </c>
      <c r="DV35" s="391"/>
      <c r="DW35" s="391"/>
      <c r="DX35" s="391"/>
      <c r="DY35" s="391"/>
      <c r="DZ35" s="391"/>
      <c r="EA35" s="391"/>
      <c r="EB35" s="391"/>
      <c r="EC35" s="391"/>
      <c r="ED35" s="391"/>
      <c r="EE35" s="391"/>
      <c r="EF35" s="391"/>
      <c r="EG35" s="391"/>
      <c r="EH35" s="391"/>
      <c r="EI35" s="391"/>
      <c r="EJ35" s="391"/>
      <c r="EK35" s="391"/>
      <c r="EL35" s="391"/>
      <c r="EM35" s="391"/>
      <c r="EN35" s="391"/>
      <c r="EO35" s="407"/>
    </row>
    <row r="36" spans="1:145" ht="19.5" customHeight="1">
      <c r="A36" s="174"/>
      <c r="B36" s="174"/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82"/>
      <c r="AG36" s="182"/>
      <c r="AH36" s="182"/>
      <c r="AI36" s="182"/>
      <c r="AJ36" s="182"/>
      <c r="AK36" s="182"/>
      <c r="AL36" s="182"/>
      <c r="AM36" s="182"/>
      <c r="AN36" s="182"/>
      <c r="AO36" s="182"/>
      <c r="AP36" s="182"/>
      <c r="AQ36" s="182"/>
      <c r="AR36" s="182"/>
      <c r="AS36" s="182"/>
      <c r="AX36" s="441" t="str">
        <f>IF(Director=AssDirector,"Acting for the school director","")</f>
        <v/>
      </c>
      <c r="AY36" s="441"/>
      <c r="AZ36" s="441"/>
      <c r="BA36" s="441"/>
      <c r="BB36" s="441"/>
      <c r="BC36" s="441"/>
      <c r="BD36" s="441"/>
      <c r="BE36" s="441"/>
      <c r="BF36" s="441"/>
      <c r="BG36" s="441"/>
      <c r="BH36" s="441"/>
      <c r="BI36" s="441"/>
      <c r="BJ36" s="441"/>
      <c r="BK36" s="441"/>
      <c r="BL36" s="441"/>
      <c r="BM36" s="441"/>
      <c r="BN36" s="441"/>
      <c r="BO36" s="441"/>
      <c r="BP36" s="441"/>
      <c r="BQ36" s="441"/>
      <c r="BR36" s="174"/>
      <c r="BS36" s="174"/>
      <c r="BT36" s="174"/>
      <c r="BV36" s="426" t="e">
        <f>IF(Activity2="","",Activity2)</f>
        <v>#REF!</v>
      </c>
      <c r="BW36" s="386"/>
      <c r="BX36" s="386"/>
      <c r="BY36" s="386"/>
      <c r="BZ36" s="386"/>
      <c r="CA36" s="386"/>
      <c r="CB36" s="386"/>
      <c r="CC36" s="386"/>
      <c r="CD36" s="386"/>
      <c r="CE36" s="386"/>
      <c r="CF36" s="386"/>
      <c r="CG36" s="386"/>
      <c r="CH36" s="386"/>
      <c r="CI36" s="386"/>
      <c r="CJ36" s="386"/>
      <c r="CK36" s="386"/>
      <c r="CL36" s="386"/>
      <c r="CM36" s="386"/>
      <c r="CN36" s="386"/>
      <c r="CO36" s="386"/>
      <c r="CP36" s="386"/>
      <c r="CQ36" s="386"/>
      <c r="CR36" s="386"/>
      <c r="CS36" s="386"/>
      <c r="CT36" s="386"/>
      <c r="CU36" s="386"/>
      <c r="CV36" s="386"/>
      <c r="CW36" s="386"/>
      <c r="CX36" s="386"/>
      <c r="CY36" s="386"/>
      <c r="CZ36" s="387"/>
      <c r="DA36" s="427" t="e">
        <f>IF(Time2="","",Time2)</f>
        <v>#REF!</v>
      </c>
      <c r="DB36" s="428"/>
      <c r="DC36" s="428"/>
      <c r="DD36" s="428"/>
      <c r="DE36" s="428"/>
      <c r="DF36" s="428"/>
      <c r="DG36" s="429"/>
      <c r="DH36" s="408"/>
      <c r="DI36" s="408"/>
      <c r="DJ36" s="408"/>
      <c r="DK36" s="408"/>
      <c r="DL36" s="408"/>
      <c r="DM36" s="408"/>
      <c r="DN36" s="408"/>
      <c r="DO36" s="391" t="e">
        <f>IF($AL$2="","",IF(BV36="","",VLOOKUP($AL$2,'3.Grades'!$A$6:$BN$50,135,FALSE)))</f>
        <v>#REF!</v>
      </c>
      <c r="DP36" s="391" t="e">
        <f t="shared" si="21"/>
        <v>#REF!</v>
      </c>
      <c r="DQ36" s="391" t="e">
        <f t="shared" si="22"/>
        <v>#REF!</v>
      </c>
      <c r="DR36" s="391" t="e">
        <f t="shared" si="23"/>
        <v>#REF!</v>
      </c>
      <c r="DS36" s="391" t="e">
        <f t="shared" si="24"/>
        <v>#REF!</v>
      </c>
      <c r="DT36" s="391" t="e">
        <f t="shared" si="25"/>
        <v>#REF!</v>
      </c>
      <c r="DU36" s="391" t="e">
        <f t="shared" si="26"/>
        <v>#REF!</v>
      </c>
      <c r="DV36" s="391"/>
      <c r="DW36" s="391"/>
      <c r="DX36" s="391"/>
      <c r="DY36" s="391"/>
      <c r="DZ36" s="391"/>
      <c r="EA36" s="391"/>
      <c r="EB36" s="391"/>
      <c r="EC36" s="391"/>
      <c r="ED36" s="391"/>
      <c r="EE36" s="391"/>
      <c r="EF36" s="391"/>
      <c r="EG36" s="391"/>
      <c r="EH36" s="391"/>
      <c r="EI36" s="391"/>
      <c r="EJ36" s="391"/>
      <c r="EK36" s="391"/>
      <c r="EL36" s="391"/>
      <c r="EM36" s="391"/>
      <c r="EN36" s="391"/>
      <c r="EO36" s="407"/>
    </row>
    <row r="37" spans="1:145" ht="19.5" customHeight="1">
      <c r="A37" s="174"/>
      <c r="B37" s="174"/>
      <c r="C37" s="174"/>
      <c r="D37" s="174"/>
      <c r="E37" s="174"/>
      <c r="F37" s="174"/>
      <c r="G37" s="174"/>
      <c r="H37" s="174"/>
      <c r="I37" s="174"/>
      <c r="J37" s="174"/>
      <c r="K37" s="174"/>
      <c r="L37" s="174"/>
      <c r="M37" s="174"/>
      <c r="N37" s="174"/>
      <c r="O37" s="174"/>
      <c r="P37" s="174"/>
      <c r="Q37" s="174"/>
      <c r="R37" s="174"/>
      <c r="S37" s="174"/>
      <c r="T37" s="174"/>
      <c r="U37" s="174"/>
      <c r="V37" s="174"/>
      <c r="W37" s="174"/>
      <c r="X37" s="174"/>
      <c r="Y37" s="174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BA37" s="174"/>
      <c r="BB37" s="174"/>
      <c r="BC37" s="174"/>
      <c r="BD37" s="174"/>
      <c r="BE37" s="174"/>
      <c r="BF37" s="174"/>
      <c r="BG37" s="174"/>
      <c r="BH37" s="174"/>
      <c r="BI37" s="174"/>
      <c r="BJ37" s="174"/>
      <c r="BK37" s="174"/>
      <c r="BL37" s="174"/>
      <c r="BM37" s="174"/>
      <c r="BN37" s="174"/>
      <c r="BO37" s="174"/>
      <c r="BP37" s="174"/>
      <c r="BQ37" s="174"/>
      <c r="BR37" s="174"/>
      <c r="BS37" s="174"/>
      <c r="BT37" s="174"/>
      <c r="BV37" s="426" t="e">
        <f>IF(Activity3="","",Activity3)</f>
        <v>#REF!</v>
      </c>
      <c r="BW37" s="386"/>
      <c r="BX37" s="386"/>
      <c r="BY37" s="386"/>
      <c r="BZ37" s="386"/>
      <c r="CA37" s="386"/>
      <c r="CB37" s="386"/>
      <c r="CC37" s="386" t="e">
        <f>IF($AL$2="","",VLOOKUP($AL$2,'3.Grades'!$A$6:$BN$50,134,FALSE))</f>
        <v>#REF!</v>
      </c>
      <c r="CD37" s="386"/>
      <c r="CE37" s="386"/>
      <c r="CF37" s="386"/>
      <c r="CG37" s="386"/>
      <c r="CH37" s="386"/>
      <c r="CI37" s="386"/>
      <c r="CJ37" s="386"/>
      <c r="CK37" s="386"/>
      <c r="CL37" s="386"/>
      <c r="CM37" s="386"/>
      <c r="CN37" s="386"/>
      <c r="CO37" s="386"/>
      <c r="CP37" s="386"/>
      <c r="CQ37" s="386"/>
      <c r="CR37" s="386"/>
      <c r="CS37" s="386"/>
      <c r="CT37" s="386"/>
      <c r="CU37" s="386"/>
      <c r="CV37" s="386"/>
      <c r="CW37" s="386"/>
      <c r="CX37" s="386"/>
      <c r="CY37" s="386"/>
      <c r="CZ37" s="387"/>
      <c r="DA37" s="427" t="e">
        <f>IF(Time3="","",Time3)</f>
        <v>#REF!</v>
      </c>
      <c r="DB37" s="428"/>
      <c r="DC37" s="428"/>
      <c r="DD37" s="428"/>
      <c r="DE37" s="428"/>
      <c r="DF37" s="428"/>
      <c r="DG37" s="429"/>
      <c r="DH37" s="408"/>
      <c r="DI37" s="408"/>
      <c r="DJ37" s="408"/>
      <c r="DK37" s="408"/>
      <c r="DL37" s="408"/>
      <c r="DM37" s="408"/>
      <c r="DN37" s="408"/>
      <c r="DO37" s="391" t="e">
        <f>IF($AL$2="","",IF(BV37="","",VLOOKUP($AL$2,'3.Grades'!$A$6:$BN$50,136,FALSE)))</f>
        <v>#REF!</v>
      </c>
      <c r="DP37" s="391" t="e">
        <f t="shared" si="21"/>
        <v>#REF!</v>
      </c>
      <c r="DQ37" s="391" t="e">
        <f t="shared" si="22"/>
        <v>#REF!</v>
      </c>
      <c r="DR37" s="391" t="e">
        <f t="shared" si="23"/>
        <v>#REF!</v>
      </c>
      <c r="DS37" s="391" t="e">
        <f t="shared" si="24"/>
        <v>#REF!</v>
      </c>
      <c r="DT37" s="391" t="e">
        <f t="shared" si="25"/>
        <v>#REF!</v>
      </c>
      <c r="DU37" s="391" t="e">
        <f t="shared" si="26"/>
        <v>#REF!</v>
      </c>
      <c r="DV37" s="391"/>
      <c r="DW37" s="391"/>
      <c r="DX37" s="391"/>
      <c r="DY37" s="391"/>
      <c r="DZ37" s="391"/>
      <c r="EA37" s="391"/>
      <c r="EB37" s="391"/>
      <c r="EC37" s="391"/>
      <c r="ED37" s="391"/>
      <c r="EE37" s="391"/>
      <c r="EF37" s="391"/>
      <c r="EG37" s="391"/>
      <c r="EH37" s="391"/>
      <c r="EI37" s="391"/>
      <c r="EJ37" s="391"/>
      <c r="EK37" s="391"/>
      <c r="EL37" s="391"/>
      <c r="EM37" s="391"/>
      <c r="EN37" s="391"/>
      <c r="EO37" s="407"/>
    </row>
    <row r="38" spans="1:145" ht="19.5" customHeight="1" thickBot="1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439" t="s">
        <v>724</v>
      </c>
      <c r="AA38" s="439"/>
      <c r="AB38" s="439"/>
      <c r="AC38" s="439"/>
      <c r="AD38" s="439"/>
      <c r="AE38" s="439"/>
      <c r="AF38" s="439"/>
      <c r="AG38" s="439"/>
      <c r="AH38" s="439"/>
      <c r="AI38" s="439"/>
      <c r="AJ38" s="439"/>
      <c r="AK38" s="439"/>
      <c r="AL38" s="439"/>
      <c r="AM38" s="439"/>
      <c r="AN38" s="439"/>
      <c r="AO38" s="439"/>
      <c r="AP38" s="439"/>
      <c r="AQ38" s="439"/>
      <c r="AR38" s="439"/>
      <c r="AS38" s="439"/>
      <c r="BA38" s="174"/>
      <c r="BB38" s="174"/>
      <c r="BC38" s="174"/>
      <c r="BD38" s="174"/>
      <c r="BE38" s="174"/>
      <c r="BF38" s="174"/>
      <c r="BG38" s="174"/>
      <c r="BH38" s="174"/>
      <c r="BI38" s="174"/>
      <c r="BJ38" s="174"/>
      <c r="BK38" s="174"/>
      <c r="BL38" s="174"/>
      <c r="BM38" s="174"/>
      <c r="BN38" s="174"/>
      <c r="BO38" s="174"/>
      <c r="BP38" s="174"/>
      <c r="BQ38" s="174"/>
      <c r="BR38" s="174"/>
      <c r="BS38" s="174"/>
      <c r="BT38" s="174"/>
      <c r="BV38" s="422" t="e">
        <f>IF(Activity4="","",Activity4)</f>
        <v>#REF!</v>
      </c>
      <c r="BW38" s="395"/>
      <c r="BX38" s="395"/>
      <c r="BY38" s="395"/>
      <c r="BZ38" s="395"/>
      <c r="CA38" s="395"/>
      <c r="CB38" s="395"/>
      <c r="CC38" s="395"/>
      <c r="CD38" s="395"/>
      <c r="CE38" s="395"/>
      <c r="CF38" s="395"/>
      <c r="CG38" s="395"/>
      <c r="CH38" s="395"/>
      <c r="CI38" s="395"/>
      <c r="CJ38" s="395"/>
      <c r="CK38" s="395"/>
      <c r="CL38" s="395"/>
      <c r="CM38" s="395"/>
      <c r="CN38" s="395"/>
      <c r="CO38" s="395"/>
      <c r="CP38" s="395"/>
      <c r="CQ38" s="395"/>
      <c r="CR38" s="395"/>
      <c r="CS38" s="395"/>
      <c r="CT38" s="395"/>
      <c r="CU38" s="395"/>
      <c r="CV38" s="395"/>
      <c r="CW38" s="395"/>
      <c r="CX38" s="395"/>
      <c r="CY38" s="395"/>
      <c r="CZ38" s="396"/>
      <c r="DA38" s="423" t="e">
        <f>IF(Time4="","",Time4)</f>
        <v>#REF!</v>
      </c>
      <c r="DB38" s="424"/>
      <c r="DC38" s="424"/>
      <c r="DD38" s="424"/>
      <c r="DE38" s="424"/>
      <c r="DF38" s="424"/>
      <c r="DG38" s="425"/>
      <c r="DH38" s="430"/>
      <c r="DI38" s="430"/>
      <c r="DJ38" s="430"/>
      <c r="DK38" s="430"/>
      <c r="DL38" s="430"/>
      <c r="DM38" s="430"/>
      <c r="DN38" s="430"/>
      <c r="DO38" s="400" t="e">
        <f>IF($AL$2="","",IF(BV38="","",VLOOKUP($AL$2,'3.Grades'!$A$6:$BN$50,137,FALSE)))</f>
        <v>#REF!</v>
      </c>
      <c r="DP38" s="400" t="e">
        <f t="shared" si="21"/>
        <v>#REF!</v>
      </c>
      <c r="DQ38" s="400" t="e">
        <f t="shared" si="22"/>
        <v>#REF!</v>
      </c>
      <c r="DR38" s="400" t="e">
        <f t="shared" si="23"/>
        <v>#REF!</v>
      </c>
      <c r="DS38" s="400" t="e">
        <f t="shared" si="24"/>
        <v>#REF!</v>
      </c>
      <c r="DT38" s="400" t="e">
        <f t="shared" si="25"/>
        <v>#REF!</v>
      </c>
      <c r="DU38" s="400" t="e">
        <f t="shared" si="26"/>
        <v>#REF!</v>
      </c>
      <c r="DV38" s="400"/>
      <c r="DW38" s="400"/>
      <c r="DX38" s="400"/>
      <c r="DY38" s="400"/>
      <c r="DZ38" s="400"/>
      <c r="EA38" s="400"/>
      <c r="EB38" s="400"/>
      <c r="EC38" s="400"/>
      <c r="ED38" s="400"/>
      <c r="EE38" s="400"/>
      <c r="EF38" s="400"/>
      <c r="EG38" s="400"/>
      <c r="EH38" s="400"/>
      <c r="EI38" s="400"/>
      <c r="EJ38" s="400"/>
      <c r="EK38" s="400"/>
      <c r="EL38" s="400"/>
      <c r="EM38" s="400"/>
      <c r="EN38" s="400"/>
      <c r="EO38" s="409"/>
    </row>
    <row r="39" spans="1:145" ht="9" customHeight="1" thickBot="1">
      <c r="BV39" s="174"/>
      <c r="BW39" s="174"/>
      <c r="BX39" s="174"/>
      <c r="BY39" s="174"/>
      <c r="BZ39" s="174"/>
      <c r="CA39" s="174"/>
      <c r="CB39" s="174"/>
      <c r="CC39" s="174"/>
      <c r="CD39" s="174"/>
      <c r="CE39" s="174"/>
    </row>
    <row r="40" spans="1:145" ht="19.5" customHeight="1">
      <c r="BV40" s="376" t="s">
        <v>12</v>
      </c>
      <c r="BW40" s="368"/>
      <c r="BX40" s="368"/>
      <c r="BY40" s="368"/>
      <c r="BZ40" s="368"/>
      <c r="CA40" s="368"/>
      <c r="CB40" s="368"/>
      <c r="CC40" s="368"/>
      <c r="CD40" s="368"/>
      <c r="CE40" s="368"/>
      <c r="CF40" s="368"/>
      <c r="CG40" s="368"/>
      <c r="CH40" s="368"/>
      <c r="CI40" s="368"/>
      <c r="CJ40" s="368"/>
      <c r="CK40" s="368"/>
      <c r="CL40" s="368"/>
      <c r="CM40" s="368"/>
      <c r="CN40" s="368"/>
      <c r="CO40" s="368"/>
      <c r="CP40" s="368"/>
      <c r="CQ40" s="368"/>
      <c r="CR40" s="368"/>
      <c r="CS40" s="368"/>
      <c r="CT40" s="368"/>
      <c r="CU40" s="368"/>
      <c r="CV40" s="368"/>
      <c r="CW40" s="368"/>
      <c r="CX40" s="368"/>
      <c r="CY40" s="368"/>
      <c r="CZ40" s="368"/>
      <c r="DA40" s="412" t="s">
        <v>516</v>
      </c>
      <c r="DB40" s="413"/>
      <c r="DC40" s="413"/>
      <c r="DD40" s="413"/>
      <c r="DE40" s="413"/>
      <c r="DF40" s="413"/>
      <c r="DG40" s="413"/>
      <c r="DH40" s="413"/>
      <c r="DI40" s="413"/>
      <c r="DJ40" s="413"/>
      <c r="DK40" s="413"/>
      <c r="DL40" s="413"/>
      <c r="DM40" s="413"/>
      <c r="DN40" s="414"/>
    </row>
    <row r="41" spans="1:145" ht="19.5" customHeight="1" thickBot="1">
      <c r="BV41" s="410"/>
      <c r="BW41" s="411"/>
      <c r="BX41" s="411"/>
      <c r="BY41" s="411"/>
      <c r="BZ41" s="411"/>
      <c r="CA41" s="411"/>
      <c r="CB41" s="411"/>
      <c r="CC41" s="411"/>
      <c r="CD41" s="411"/>
      <c r="CE41" s="411"/>
      <c r="CF41" s="411"/>
      <c r="CG41" s="411"/>
      <c r="CH41" s="411"/>
      <c r="CI41" s="411"/>
      <c r="CJ41" s="411"/>
      <c r="CK41" s="411"/>
      <c r="CL41" s="411"/>
      <c r="CM41" s="411"/>
      <c r="CN41" s="411"/>
      <c r="CO41" s="411"/>
      <c r="CP41" s="411"/>
      <c r="CQ41" s="411"/>
      <c r="CR41" s="411"/>
      <c r="CS41" s="411"/>
      <c r="CT41" s="411"/>
      <c r="CU41" s="411"/>
      <c r="CV41" s="411"/>
      <c r="CW41" s="411"/>
      <c r="CX41" s="411"/>
      <c r="CY41" s="411"/>
      <c r="CZ41" s="411"/>
      <c r="DA41" s="415" t="s">
        <v>517</v>
      </c>
      <c r="DB41" s="416"/>
      <c r="DC41" s="416"/>
      <c r="DD41" s="416"/>
      <c r="DE41" s="416"/>
      <c r="DF41" s="416"/>
      <c r="DG41" s="417"/>
      <c r="DH41" s="418" t="s">
        <v>518</v>
      </c>
      <c r="DI41" s="418"/>
      <c r="DJ41" s="418"/>
      <c r="DK41" s="418"/>
      <c r="DL41" s="418"/>
      <c r="DM41" s="418"/>
      <c r="DN41" s="419"/>
      <c r="DV41" s="420" t="s">
        <v>9</v>
      </c>
      <c r="DW41" s="420"/>
      <c r="DX41" s="420"/>
      <c r="DY41" s="180"/>
      <c r="DZ41" s="180"/>
      <c r="EA41" s="180"/>
      <c r="EB41" s="180"/>
      <c r="EC41" s="180"/>
      <c r="ED41" s="180"/>
      <c r="EE41" s="180"/>
      <c r="EF41" s="180"/>
      <c r="EG41" s="180"/>
      <c r="EH41" s="180"/>
      <c r="EI41" s="180"/>
      <c r="EJ41" s="180"/>
      <c r="EK41" s="180"/>
      <c r="EL41" s="180"/>
      <c r="EM41" s="180"/>
      <c r="EN41" s="180"/>
      <c r="EO41" s="180"/>
    </row>
    <row r="42" spans="1:145" ht="19.5" customHeight="1">
      <c r="BV42" s="442" t="s">
        <v>519</v>
      </c>
      <c r="BW42" s="443"/>
      <c r="BX42" s="443"/>
      <c r="BY42" s="443"/>
      <c r="BZ42" s="443"/>
      <c r="CA42" s="443"/>
      <c r="CB42" s="443"/>
      <c r="CC42" s="443"/>
      <c r="CD42" s="443"/>
      <c r="CE42" s="443"/>
      <c r="CF42" s="443"/>
      <c r="CG42" s="443"/>
      <c r="CH42" s="443"/>
      <c r="CI42" s="443"/>
      <c r="CJ42" s="443"/>
      <c r="CK42" s="443"/>
      <c r="CL42" s="443"/>
      <c r="CM42" s="443"/>
      <c r="CN42" s="443"/>
      <c r="CO42" s="443"/>
      <c r="CP42" s="443"/>
      <c r="CQ42" s="443"/>
      <c r="CR42" s="443"/>
      <c r="CS42" s="443"/>
      <c r="CT42" s="443"/>
      <c r="CU42" s="443"/>
      <c r="CV42" s="443"/>
      <c r="CW42" s="443"/>
      <c r="CX42" s="443"/>
      <c r="CY42" s="443"/>
      <c r="CZ42" s="443"/>
      <c r="DA42" s="444">
        <f>IF(SUM(DA16:DG27)=0,"",SUM(DA16:DG27))</f>
        <v>6</v>
      </c>
      <c r="DB42" s="445" t="str">
        <f>IF(SUM(DB16:DB25)=0,"",SUM(DB16:DB25))</f>
        <v/>
      </c>
      <c r="DC42" s="445"/>
      <c r="DD42" s="445" t="str">
        <f>IF(SUM(DD16:DD25)=0,"",SUM(DD16:DD25))</f>
        <v/>
      </c>
      <c r="DE42" s="445" t="str">
        <f>IF(SUM(DE16:DE25)=0,"",SUM(DE16:DE25))</f>
        <v/>
      </c>
      <c r="DF42" s="445" t="str">
        <f>IF(SUM(DF16:DF25)=0,"",SUM(DF16:DF25))</f>
        <v/>
      </c>
      <c r="DG42" s="446" t="str">
        <f>IF(SUM(DG16:DG25)=0,"",SUM(DG16:DG25))</f>
        <v/>
      </c>
      <c r="DH42" s="444" t="str">
        <f>IF(SUM(AF16:AL27)&lt;11,"",IF(COUNT(DV16:EB27)=0,"",SUM(DV16:EB27)))</f>
        <v/>
      </c>
      <c r="DI42" s="445"/>
      <c r="DJ42" s="445"/>
      <c r="DK42" s="445"/>
      <c r="DL42" s="445"/>
      <c r="DM42" s="445"/>
      <c r="DN42" s="447"/>
      <c r="DV42" s="439" t="s">
        <v>10</v>
      </c>
      <c r="DW42" s="439"/>
      <c r="DX42" s="439"/>
      <c r="DY42" s="439"/>
      <c r="DZ42" s="439"/>
      <c r="EA42" s="439"/>
      <c r="EB42" s="439"/>
      <c r="EC42" s="439"/>
      <c r="ED42" s="439"/>
      <c r="EE42" s="439"/>
      <c r="EF42" s="439"/>
      <c r="EG42" s="439"/>
      <c r="EH42" s="439"/>
      <c r="EI42" s="439"/>
      <c r="EJ42" s="439"/>
      <c r="EK42" s="439"/>
      <c r="EL42" s="439"/>
      <c r="EM42" s="439"/>
      <c r="EN42" s="439"/>
      <c r="EO42" s="439"/>
    </row>
    <row r="43" spans="1:145" ht="19.5" customHeight="1">
      <c r="BV43" s="434" t="s">
        <v>520</v>
      </c>
      <c r="BW43" s="435"/>
      <c r="BX43" s="435"/>
      <c r="BY43" s="435"/>
      <c r="BZ43" s="435"/>
      <c r="CA43" s="435"/>
      <c r="CB43" s="435"/>
      <c r="CC43" s="435"/>
      <c r="CD43" s="435"/>
      <c r="CE43" s="435"/>
      <c r="CF43" s="435"/>
      <c r="CG43" s="435"/>
      <c r="CH43" s="435"/>
      <c r="CI43" s="435"/>
      <c r="CJ43" s="435"/>
      <c r="CK43" s="435"/>
      <c r="CL43" s="435"/>
      <c r="CM43" s="435"/>
      <c r="CN43" s="435"/>
      <c r="CO43" s="435"/>
      <c r="CP43" s="435"/>
      <c r="CQ43" s="435"/>
      <c r="CR43" s="435"/>
      <c r="CS43" s="435"/>
      <c r="CT43" s="435"/>
      <c r="CU43" s="435"/>
      <c r="CV43" s="435"/>
      <c r="CW43" s="435"/>
      <c r="CX43" s="435"/>
      <c r="CY43" s="435"/>
      <c r="CZ43" s="435"/>
      <c r="DA43" s="448" t="e">
        <f>IF(SUM(DA29:DG33)=0,"",SUM(DA29:DG33))</f>
        <v>#REF!</v>
      </c>
      <c r="DB43" s="448" t="str">
        <f>IF(SUM(DB17:DB28)=0,"",SUM(DB17:DB28))</f>
        <v/>
      </c>
      <c r="DC43" s="448"/>
      <c r="DD43" s="448" t="str">
        <f>IF(SUM(DD17:DD28)=0,"",SUM(DD17:DD28))</f>
        <v/>
      </c>
      <c r="DE43" s="448" t="str">
        <f>IF(SUM(DE17:DE28)=0,"",SUM(DE17:DE28))</f>
        <v/>
      </c>
      <c r="DF43" s="448" t="str">
        <f>IF(SUM(DF17:DF28)=0,"",SUM(DF17:DF28))</f>
        <v/>
      </c>
      <c r="DG43" s="448" t="str">
        <f>IF(SUM(DG17:DG28)=0,"",SUM(DG17:DG28))</f>
        <v/>
      </c>
      <c r="DH43" s="448" t="e">
        <f>IF(SUM(#REF!)&lt;2.5,"",IF(COUNT(DV29:EB33)=0,"",SUM(DV29:EB33)))</f>
        <v>#REF!</v>
      </c>
      <c r="DI43" s="448"/>
      <c r="DJ43" s="448"/>
      <c r="DK43" s="448"/>
      <c r="DL43" s="448"/>
      <c r="DM43" s="448"/>
      <c r="DN43" s="449"/>
      <c r="DV43" s="439"/>
      <c r="DW43" s="439"/>
      <c r="DX43" s="439"/>
      <c r="DY43" s="439"/>
      <c r="DZ43" s="439"/>
      <c r="EA43" s="439"/>
      <c r="EB43" s="439"/>
      <c r="EC43" s="439"/>
      <c r="ED43" s="439"/>
      <c r="EE43" s="439"/>
      <c r="EF43" s="439"/>
      <c r="EG43" s="439"/>
      <c r="EH43" s="439"/>
      <c r="EI43" s="439"/>
      <c r="EJ43" s="439"/>
      <c r="EK43" s="439"/>
      <c r="EL43" s="439"/>
      <c r="EM43" s="439"/>
      <c r="EN43" s="439"/>
      <c r="EO43" s="439"/>
    </row>
    <row r="44" spans="1:145" ht="19.5" customHeight="1">
      <c r="BV44" s="434" t="s">
        <v>521</v>
      </c>
      <c r="BW44" s="435"/>
      <c r="BX44" s="435"/>
      <c r="BY44" s="435"/>
      <c r="BZ44" s="435"/>
      <c r="CA44" s="435"/>
      <c r="CB44" s="435"/>
      <c r="CC44" s="435"/>
      <c r="CD44" s="435"/>
      <c r="CE44" s="435"/>
      <c r="CF44" s="435"/>
      <c r="CG44" s="435"/>
      <c r="CH44" s="435"/>
      <c r="CI44" s="435"/>
      <c r="CJ44" s="435"/>
      <c r="CK44" s="435"/>
      <c r="CL44" s="435"/>
      <c r="CM44" s="435"/>
      <c r="CN44" s="435"/>
      <c r="CO44" s="435"/>
      <c r="CP44" s="435"/>
      <c r="CQ44" s="435"/>
      <c r="CR44" s="435"/>
      <c r="CS44" s="435"/>
      <c r="CT44" s="435"/>
      <c r="CU44" s="435"/>
      <c r="CV44" s="435"/>
      <c r="CW44" s="435"/>
      <c r="CX44" s="435"/>
      <c r="CY44" s="435"/>
      <c r="CZ44" s="435"/>
      <c r="DA44" s="431" t="e">
        <f>IF(SUM(DA42:DG43)=0,"",SUM(DA42:DG43))</f>
        <v>#REF!</v>
      </c>
      <c r="DB44" s="432" t="str">
        <f t="shared" ref="DB44" si="27">IF(SUM(DB42:DB43)=0,"",SUM(DB42:DB43))</f>
        <v/>
      </c>
      <c r="DC44" s="432"/>
      <c r="DD44" s="432" t="str">
        <f t="shared" ref="DD44:DG44" si="28">IF(SUM(DD42:DD43)=0,"",SUM(DD42:DD43))</f>
        <v/>
      </c>
      <c r="DE44" s="432" t="str">
        <f t="shared" si="28"/>
        <v/>
      </c>
      <c r="DF44" s="432" t="str">
        <f t="shared" si="28"/>
        <v/>
      </c>
      <c r="DG44" s="440" t="str">
        <f t="shared" si="28"/>
        <v/>
      </c>
      <c r="DH44" s="431" t="e">
        <f>IF(SUM(DH42:DN43)=0,"",SUM(AM31:AS32))</f>
        <v>#REF!</v>
      </c>
      <c r="DI44" s="432"/>
      <c r="DJ44" s="432"/>
      <c r="DK44" s="432"/>
      <c r="DL44" s="432"/>
      <c r="DM44" s="432"/>
      <c r="DN44" s="433"/>
      <c r="DV44" s="420" t="s">
        <v>9</v>
      </c>
      <c r="DW44" s="420"/>
      <c r="DX44" s="420"/>
      <c r="DY44" s="180"/>
      <c r="DZ44" s="180"/>
      <c r="EA44" s="180"/>
      <c r="EB44" s="180"/>
      <c r="EC44" s="180"/>
      <c r="ED44" s="180"/>
      <c r="EE44" s="180"/>
      <c r="EF44" s="180"/>
      <c r="EG44" s="180"/>
      <c r="EH44" s="180"/>
      <c r="EI44" s="180"/>
      <c r="EJ44" s="180"/>
      <c r="EK44" s="180"/>
      <c r="EL44" s="180"/>
      <c r="EM44" s="180"/>
      <c r="EN44" s="180"/>
      <c r="EO44" s="180"/>
    </row>
    <row r="45" spans="1:145" ht="19.5" customHeight="1">
      <c r="BV45" s="434" t="s">
        <v>522</v>
      </c>
      <c r="BW45" s="435"/>
      <c r="BX45" s="435"/>
      <c r="BY45" s="435"/>
      <c r="BZ45" s="435"/>
      <c r="CA45" s="435"/>
      <c r="CB45" s="435"/>
      <c r="CC45" s="435"/>
      <c r="CD45" s="435"/>
      <c r="CE45" s="435"/>
      <c r="CF45" s="435"/>
      <c r="CG45" s="435"/>
      <c r="CH45" s="435"/>
      <c r="CI45" s="435"/>
      <c r="CJ45" s="435"/>
      <c r="CK45" s="435"/>
      <c r="CL45" s="435"/>
      <c r="CM45" s="435"/>
      <c r="CN45" s="435"/>
      <c r="CO45" s="435"/>
      <c r="CP45" s="435"/>
      <c r="CQ45" s="435"/>
      <c r="CR45" s="435"/>
      <c r="CS45" s="435"/>
      <c r="CT45" s="435"/>
      <c r="CU45" s="435"/>
      <c r="CV45" s="435"/>
      <c r="CW45" s="435"/>
      <c r="CX45" s="435"/>
      <c r="CY45" s="435"/>
      <c r="CZ45" s="435"/>
      <c r="DA45" s="436" t="e">
        <f>IF($AL$2="","",VLOOKUP($AL$2,'3.Grades'!$A$6:$BN$50,132,FALSE))</f>
        <v>#REF!</v>
      </c>
      <c r="DB45" s="437"/>
      <c r="DC45" s="437"/>
      <c r="DD45" s="437"/>
      <c r="DE45" s="437"/>
      <c r="DF45" s="437"/>
      <c r="DG45" s="437"/>
      <c r="DH45" s="437"/>
      <c r="DI45" s="437"/>
      <c r="DJ45" s="437"/>
      <c r="DK45" s="437"/>
      <c r="DL45" s="437"/>
      <c r="DM45" s="437"/>
      <c r="DN45" s="438"/>
      <c r="DV45" s="439" t="str">
        <f>IF(Director=AssDirector,"รองผู้อำนวยการสถานศึกษา","ผู้อำนวยการสถานศึกษา")</f>
        <v>ผู้อำนวยการสถานศึกษา</v>
      </c>
      <c r="DW45" s="439"/>
      <c r="DX45" s="439"/>
      <c r="DY45" s="439"/>
      <c r="DZ45" s="439"/>
      <c r="EA45" s="439"/>
      <c r="EB45" s="439"/>
      <c r="EC45" s="439"/>
      <c r="ED45" s="439"/>
      <c r="EE45" s="439"/>
      <c r="EF45" s="439"/>
      <c r="EG45" s="439"/>
      <c r="EH45" s="439"/>
      <c r="EI45" s="439"/>
      <c r="EJ45" s="439"/>
      <c r="EK45" s="439"/>
      <c r="EL45" s="439"/>
      <c r="EM45" s="439"/>
      <c r="EN45" s="439"/>
      <c r="EO45" s="439"/>
    </row>
    <row r="46" spans="1:145" ht="19.5" customHeight="1">
      <c r="BV46" s="434" t="s">
        <v>523</v>
      </c>
      <c r="BW46" s="435"/>
      <c r="BX46" s="435"/>
      <c r="BY46" s="435"/>
      <c r="BZ46" s="435"/>
      <c r="CA46" s="435"/>
      <c r="CB46" s="435"/>
      <c r="CC46" s="435"/>
      <c r="CD46" s="435"/>
      <c r="CE46" s="435"/>
      <c r="CF46" s="435"/>
      <c r="CG46" s="435"/>
      <c r="CH46" s="435"/>
      <c r="CI46" s="435"/>
      <c r="CJ46" s="435"/>
      <c r="CK46" s="435"/>
      <c r="CL46" s="435"/>
      <c r="CM46" s="435"/>
      <c r="CN46" s="435"/>
      <c r="CO46" s="435"/>
      <c r="CP46" s="435"/>
      <c r="CQ46" s="435"/>
      <c r="CR46" s="435"/>
      <c r="CS46" s="435"/>
      <c r="CT46" s="435"/>
      <c r="CU46" s="435"/>
      <c r="CV46" s="435"/>
      <c r="CW46" s="435"/>
      <c r="CX46" s="435"/>
      <c r="CY46" s="435"/>
      <c r="CZ46" s="435"/>
      <c r="DA46" s="455" t="e">
        <f>IF($AL$2="","",VLOOKUP($AL$2,'3.Grades'!$A$6:$BN$50,133,FALSE))</f>
        <v>#REF!</v>
      </c>
      <c r="DB46" s="456"/>
      <c r="DC46" s="456"/>
      <c r="DD46" s="456"/>
      <c r="DE46" s="456"/>
      <c r="DF46" s="456"/>
      <c r="DG46" s="456"/>
      <c r="DH46" s="456"/>
      <c r="DI46" s="456"/>
      <c r="DJ46" s="456"/>
      <c r="DK46" s="456"/>
      <c r="DL46" s="456"/>
      <c r="DM46" s="456"/>
      <c r="DN46" s="457"/>
      <c r="DV46" s="441" t="str">
        <f>IF(Director=AssDirector,"รักษาราชการแทนผู้อำนวยการสถานศึกษา","")</f>
        <v/>
      </c>
      <c r="DW46" s="441"/>
      <c r="DX46" s="441"/>
      <c r="DY46" s="441"/>
      <c r="DZ46" s="441"/>
      <c r="EA46" s="441"/>
      <c r="EB46" s="441"/>
      <c r="EC46" s="441"/>
      <c r="ED46" s="441"/>
      <c r="EE46" s="441"/>
      <c r="EF46" s="441"/>
      <c r="EG46" s="441"/>
      <c r="EH46" s="441"/>
      <c r="EI46" s="441"/>
      <c r="EJ46" s="441"/>
      <c r="EK46" s="441"/>
      <c r="EL46" s="441"/>
      <c r="EM46" s="441"/>
      <c r="EN46" s="441"/>
      <c r="EO46" s="441"/>
    </row>
    <row r="47" spans="1:145" ht="19.5" customHeight="1">
      <c r="BV47" s="434" t="s">
        <v>524</v>
      </c>
      <c r="BW47" s="435"/>
      <c r="BX47" s="435"/>
      <c r="BY47" s="435"/>
      <c r="BZ47" s="435"/>
      <c r="CA47" s="435"/>
      <c r="CB47" s="435"/>
      <c r="CC47" s="435"/>
      <c r="CD47" s="435"/>
      <c r="CE47" s="435"/>
      <c r="CF47" s="435"/>
      <c r="CG47" s="435"/>
      <c r="CH47" s="435"/>
      <c r="CI47" s="435"/>
      <c r="CJ47" s="435"/>
      <c r="CK47" s="435"/>
      <c r="CL47" s="435"/>
      <c r="CM47" s="435"/>
      <c r="CN47" s="435"/>
      <c r="CO47" s="435"/>
      <c r="CP47" s="435"/>
      <c r="CQ47" s="435"/>
      <c r="CR47" s="435"/>
      <c r="CS47" s="435"/>
      <c r="CT47" s="435"/>
      <c r="CU47" s="435"/>
      <c r="CV47" s="435"/>
      <c r="CW47" s="435"/>
      <c r="CX47" s="435"/>
      <c r="CY47" s="435"/>
      <c r="CZ47" s="435"/>
      <c r="DA47" s="455" t="e">
        <f>IF($AL$2="","",VLOOKUP($AL$2,#REF!,12))</f>
        <v>#REF!</v>
      </c>
      <c r="DB47" s="456"/>
      <c r="DC47" s="456"/>
      <c r="DD47" s="456"/>
      <c r="DE47" s="456"/>
      <c r="DF47" s="456"/>
      <c r="DG47" s="456"/>
      <c r="DH47" s="456"/>
      <c r="DI47" s="456"/>
      <c r="DJ47" s="456"/>
      <c r="DK47" s="456"/>
      <c r="DL47" s="456"/>
      <c r="DM47" s="456"/>
      <c r="DN47" s="457"/>
      <c r="DV47" s="420" t="s">
        <v>9</v>
      </c>
      <c r="DW47" s="420"/>
      <c r="DX47" s="420"/>
      <c r="DY47" s="180"/>
      <c r="DZ47" s="180"/>
      <c r="EA47" s="180"/>
      <c r="EB47" s="180"/>
      <c r="EC47" s="180"/>
      <c r="ED47" s="180"/>
      <c r="EE47" s="180"/>
      <c r="EF47" s="180"/>
      <c r="EG47" s="180"/>
      <c r="EH47" s="180"/>
      <c r="EI47" s="180"/>
      <c r="EJ47" s="180"/>
      <c r="EK47" s="180"/>
      <c r="EL47" s="180"/>
      <c r="EM47" s="180"/>
      <c r="EN47" s="180"/>
      <c r="EO47" s="180"/>
    </row>
    <row r="48" spans="1:145" ht="19.5" customHeight="1">
      <c r="BV48" s="434" t="s">
        <v>525</v>
      </c>
      <c r="BW48" s="435"/>
      <c r="BX48" s="435"/>
      <c r="BY48" s="435"/>
      <c r="BZ48" s="435"/>
      <c r="CA48" s="435"/>
      <c r="CB48" s="435"/>
      <c r="CC48" s="435"/>
      <c r="CD48" s="435"/>
      <c r="CE48" s="435"/>
      <c r="CF48" s="435"/>
      <c r="CG48" s="435"/>
      <c r="CH48" s="435"/>
      <c r="CI48" s="435"/>
      <c r="CJ48" s="435"/>
      <c r="CK48" s="435"/>
      <c r="CL48" s="435"/>
      <c r="CM48" s="435"/>
      <c r="CN48" s="435"/>
      <c r="CO48" s="435"/>
      <c r="CP48" s="435"/>
      <c r="CQ48" s="435"/>
      <c r="CR48" s="435"/>
      <c r="CS48" s="435"/>
      <c r="CT48" s="435"/>
      <c r="CU48" s="435"/>
      <c r="CV48" s="435"/>
      <c r="CW48" s="435"/>
      <c r="CX48" s="435"/>
      <c r="CY48" s="435"/>
      <c r="CZ48" s="435"/>
      <c r="DA48" s="455" t="e">
        <f>IF($AL$2="","",VLOOKUP($AL$2,#REF!,9))</f>
        <v>#REF!</v>
      </c>
      <c r="DB48" s="456"/>
      <c r="DC48" s="456"/>
      <c r="DD48" s="456"/>
      <c r="DE48" s="456"/>
      <c r="DF48" s="456"/>
      <c r="DG48" s="456"/>
      <c r="DH48" s="456"/>
      <c r="DI48" s="456"/>
      <c r="DJ48" s="456"/>
      <c r="DK48" s="456"/>
      <c r="DL48" s="456"/>
      <c r="DM48" s="456"/>
      <c r="DN48" s="457"/>
      <c r="DV48" s="439" t="s">
        <v>513</v>
      </c>
      <c r="DW48" s="439"/>
      <c r="DX48" s="439"/>
      <c r="DY48" s="439"/>
      <c r="DZ48" s="439"/>
      <c r="EA48" s="439"/>
      <c r="EB48" s="439"/>
      <c r="EC48" s="439"/>
      <c r="ED48" s="439"/>
      <c r="EE48" s="439"/>
      <c r="EF48" s="439"/>
      <c r="EG48" s="439"/>
      <c r="EH48" s="439"/>
      <c r="EI48" s="439"/>
      <c r="EJ48" s="439"/>
      <c r="EK48" s="439"/>
      <c r="EL48" s="439"/>
      <c r="EM48" s="439"/>
      <c r="EN48" s="439"/>
      <c r="EO48" s="439"/>
    </row>
    <row r="49" spans="74:118" ht="19.5" customHeight="1" thickBot="1">
      <c r="BV49" s="450" t="s">
        <v>526</v>
      </c>
      <c r="BW49" s="451"/>
      <c r="BX49" s="451"/>
      <c r="BY49" s="451"/>
      <c r="BZ49" s="451"/>
      <c r="CA49" s="451"/>
      <c r="CB49" s="451"/>
      <c r="CC49" s="451"/>
      <c r="CD49" s="451"/>
      <c r="CE49" s="451"/>
      <c r="CF49" s="451"/>
      <c r="CG49" s="451"/>
      <c r="CH49" s="451"/>
      <c r="CI49" s="451"/>
      <c r="CJ49" s="451"/>
      <c r="CK49" s="451"/>
      <c r="CL49" s="451"/>
      <c r="CM49" s="451"/>
      <c r="CN49" s="451"/>
      <c r="CO49" s="451"/>
      <c r="CP49" s="451"/>
      <c r="CQ49" s="451"/>
      <c r="CR49" s="451"/>
      <c r="CS49" s="451"/>
      <c r="CT49" s="451"/>
      <c r="CU49" s="451"/>
      <c r="CV49" s="451"/>
      <c r="CW49" s="451"/>
      <c r="CX49" s="451"/>
      <c r="CY49" s="451"/>
      <c r="CZ49" s="451"/>
      <c r="DA49" s="452" t="e">
        <f>IF($AL$2="","",VLOOKUP($AL$2,'3.Grades'!$A$6:$BN$50,138,FALSE))</f>
        <v>#REF!</v>
      </c>
      <c r="DB49" s="453"/>
      <c r="DC49" s="453"/>
      <c r="DD49" s="453"/>
      <c r="DE49" s="453"/>
      <c r="DF49" s="453"/>
      <c r="DG49" s="453"/>
      <c r="DH49" s="453"/>
      <c r="DI49" s="453"/>
      <c r="DJ49" s="453"/>
      <c r="DK49" s="453"/>
      <c r="DL49" s="453"/>
      <c r="DM49" s="453"/>
      <c r="DN49" s="454"/>
    </row>
  </sheetData>
  <sheetProtection algorithmName="SHA-512" hashValue="Mlcht6g3GI/pDU1YwgRa27S4yoqcB2dF/xlR1wAFjmJ1p6UX7MMV0AG1Tx9XC7euxtyyQoQ8EXxT1oX8gS0jYw==" saltValue="oTHX7U+7nvxh60p1l0tqsQ==" spinCount="100000" sheet="1" selectLockedCells="1"/>
  <mergeCells count="295">
    <mergeCell ref="BV49:CZ49"/>
    <mergeCell ref="DA49:DN49"/>
    <mergeCell ref="BV48:CZ48"/>
    <mergeCell ref="DA48:DN48"/>
    <mergeCell ref="DV48:EO48"/>
    <mergeCell ref="BV47:CZ47"/>
    <mergeCell ref="DA47:DN47"/>
    <mergeCell ref="DV47:DX47"/>
    <mergeCell ref="BV46:CZ46"/>
    <mergeCell ref="DA46:DN46"/>
    <mergeCell ref="DV46:EO46"/>
    <mergeCell ref="DH44:DN44"/>
    <mergeCell ref="DV44:DX44"/>
    <mergeCell ref="BV45:CZ45"/>
    <mergeCell ref="DA45:DN45"/>
    <mergeCell ref="DV45:EO45"/>
    <mergeCell ref="BV44:CZ44"/>
    <mergeCell ref="DA44:DG44"/>
    <mergeCell ref="D35:W35"/>
    <mergeCell ref="AX35:BQ35"/>
    <mergeCell ref="AX36:BQ36"/>
    <mergeCell ref="Z38:AS38"/>
    <mergeCell ref="BV42:CZ42"/>
    <mergeCell ref="DA42:DG42"/>
    <mergeCell ref="DH42:DN42"/>
    <mergeCell ref="DV42:EO42"/>
    <mergeCell ref="BV43:CZ43"/>
    <mergeCell ref="DA43:DG43"/>
    <mergeCell ref="DH43:DN43"/>
    <mergeCell ref="DV43:EO43"/>
    <mergeCell ref="DO36:DU36"/>
    <mergeCell ref="DV36:EB36"/>
    <mergeCell ref="EC36:EO36"/>
    <mergeCell ref="BV35:CZ35"/>
    <mergeCell ref="DA35:DG35"/>
    <mergeCell ref="A31:BT31"/>
    <mergeCell ref="DV38:EB38"/>
    <mergeCell ref="EC38:EO38"/>
    <mergeCell ref="BV40:CZ41"/>
    <mergeCell ref="DA40:DN40"/>
    <mergeCell ref="DA41:DG41"/>
    <mergeCell ref="DH41:DN41"/>
    <mergeCell ref="DV41:DX41"/>
    <mergeCell ref="A29:BT29"/>
    <mergeCell ref="A30:BT30"/>
    <mergeCell ref="DV37:EB37"/>
    <mergeCell ref="EC37:EO37"/>
    <mergeCell ref="BV38:CZ38"/>
    <mergeCell ref="DA38:DG38"/>
    <mergeCell ref="BV37:CB37"/>
    <mergeCell ref="CC37:CZ37"/>
    <mergeCell ref="DA37:DG37"/>
    <mergeCell ref="DH37:DN37"/>
    <mergeCell ref="DO37:DU37"/>
    <mergeCell ref="DH38:DN38"/>
    <mergeCell ref="DO38:DU38"/>
    <mergeCell ref="BV36:CZ36"/>
    <mergeCell ref="DA36:DG36"/>
    <mergeCell ref="DH36:DN36"/>
    <mergeCell ref="DH35:DN35"/>
    <mergeCell ref="DO35:DU35"/>
    <mergeCell ref="DV35:EB35"/>
    <mergeCell ref="EC35:EO35"/>
    <mergeCell ref="DV33:EB33"/>
    <mergeCell ref="EC33:EO33"/>
    <mergeCell ref="BV34:EO34"/>
    <mergeCell ref="BV33:CB33"/>
    <mergeCell ref="CC33:CZ33"/>
    <mergeCell ref="DA33:DG33"/>
    <mergeCell ref="DH33:DN33"/>
    <mergeCell ref="DO33:DU33"/>
    <mergeCell ref="CC32:CZ32"/>
    <mergeCell ref="DA32:DG32"/>
    <mergeCell ref="DH32:DN32"/>
    <mergeCell ref="DO32:DU32"/>
    <mergeCell ref="DV32:EB32"/>
    <mergeCell ref="EC32:EO32"/>
    <mergeCell ref="DV31:EB31"/>
    <mergeCell ref="EC31:EO31"/>
    <mergeCell ref="BV32:CB32"/>
    <mergeCell ref="BV31:CB31"/>
    <mergeCell ref="CC31:CZ31"/>
    <mergeCell ref="DA31:DG31"/>
    <mergeCell ref="DH31:DN31"/>
    <mergeCell ref="DO31:DU31"/>
    <mergeCell ref="CC30:CZ30"/>
    <mergeCell ref="DA30:DG30"/>
    <mergeCell ref="DH30:DN30"/>
    <mergeCell ref="DO30:DU30"/>
    <mergeCell ref="DV30:EB30"/>
    <mergeCell ref="EC30:EO30"/>
    <mergeCell ref="DV29:EB29"/>
    <mergeCell ref="EC29:EO29"/>
    <mergeCell ref="BV30:CB30"/>
    <mergeCell ref="BV29:CB29"/>
    <mergeCell ref="CC29:CZ29"/>
    <mergeCell ref="DA29:DG29"/>
    <mergeCell ref="DH29:DN29"/>
    <mergeCell ref="DO29:DU29"/>
    <mergeCell ref="DV27:EB27"/>
    <mergeCell ref="EC27:EO27"/>
    <mergeCell ref="BV28:EO28"/>
    <mergeCell ref="BH27:BT27"/>
    <mergeCell ref="BV27:CB27"/>
    <mergeCell ref="CC27:CZ27"/>
    <mergeCell ref="DA27:DG27"/>
    <mergeCell ref="DH27:DN27"/>
    <mergeCell ref="DO27:DU27"/>
    <mergeCell ref="A27:G27"/>
    <mergeCell ref="H27:AE27"/>
    <mergeCell ref="AF27:AL27"/>
    <mergeCell ref="AM27:AS27"/>
    <mergeCell ref="AT27:AZ27"/>
    <mergeCell ref="BA27:BG27"/>
    <mergeCell ref="CC26:CZ26"/>
    <mergeCell ref="DA26:DG26"/>
    <mergeCell ref="DH26:DN26"/>
    <mergeCell ref="DO26:DU26"/>
    <mergeCell ref="DV26:EB26"/>
    <mergeCell ref="EC26:EO26"/>
    <mergeCell ref="DV25:EB25"/>
    <mergeCell ref="EC25:EO25"/>
    <mergeCell ref="A26:G26"/>
    <mergeCell ref="H26:AE26"/>
    <mergeCell ref="AF26:AL26"/>
    <mergeCell ref="AM26:AS26"/>
    <mergeCell ref="AT26:AZ26"/>
    <mergeCell ref="BA26:BG26"/>
    <mergeCell ref="BH26:BT26"/>
    <mergeCell ref="BV26:CB26"/>
    <mergeCell ref="BH25:BT25"/>
    <mergeCell ref="BV25:CB25"/>
    <mergeCell ref="CC25:CZ25"/>
    <mergeCell ref="DA25:DG25"/>
    <mergeCell ref="DH25:DN25"/>
    <mergeCell ref="DO25:DU25"/>
    <mergeCell ref="A25:G25"/>
    <mergeCell ref="H25:AE25"/>
    <mergeCell ref="AF25:AL25"/>
    <mergeCell ref="AM25:AS25"/>
    <mergeCell ref="AT25:AZ25"/>
    <mergeCell ref="BA25:BG25"/>
    <mergeCell ref="CC24:CZ24"/>
    <mergeCell ref="DA24:DG24"/>
    <mergeCell ref="DH24:DN24"/>
    <mergeCell ref="DO24:DU24"/>
    <mergeCell ref="DV24:EB24"/>
    <mergeCell ref="EC24:EO24"/>
    <mergeCell ref="DV23:EB23"/>
    <mergeCell ref="EC23:EO23"/>
    <mergeCell ref="CC23:CZ23"/>
    <mergeCell ref="DA23:DG23"/>
    <mergeCell ref="DH23:DN23"/>
    <mergeCell ref="DO23:DU23"/>
    <mergeCell ref="A24:G24"/>
    <mergeCell ref="H24:AE24"/>
    <mergeCell ref="AF24:AL24"/>
    <mergeCell ref="AM24:AS24"/>
    <mergeCell ref="AT24:AZ24"/>
    <mergeCell ref="BA24:BG24"/>
    <mergeCell ref="BH24:BT24"/>
    <mergeCell ref="BV24:CB24"/>
    <mergeCell ref="BH23:BT23"/>
    <mergeCell ref="BV23:CB23"/>
    <mergeCell ref="A23:G23"/>
    <mergeCell ref="H23:AE23"/>
    <mergeCell ref="AF23:AL23"/>
    <mergeCell ref="AM23:AS23"/>
    <mergeCell ref="AT23:AZ23"/>
    <mergeCell ref="BA23:BG23"/>
    <mergeCell ref="CC22:CZ22"/>
    <mergeCell ref="DA22:DG22"/>
    <mergeCell ref="DH22:DN22"/>
    <mergeCell ref="DO22:DU22"/>
    <mergeCell ref="DV22:EB22"/>
    <mergeCell ref="EC22:EO22"/>
    <mergeCell ref="DV21:EB21"/>
    <mergeCell ref="EC21:EO21"/>
    <mergeCell ref="A22:G22"/>
    <mergeCell ref="H22:AE22"/>
    <mergeCell ref="AF22:AL22"/>
    <mergeCell ref="AM22:AS22"/>
    <mergeCell ref="AT22:AZ22"/>
    <mergeCell ref="BA22:BG22"/>
    <mergeCell ref="BH22:BT22"/>
    <mergeCell ref="BV22:CB22"/>
    <mergeCell ref="BH21:BT21"/>
    <mergeCell ref="BV21:CB21"/>
    <mergeCell ref="CC21:CZ21"/>
    <mergeCell ref="DA21:DG21"/>
    <mergeCell ref="DH21:DN21"/>
    <mergeCell ref="DO21:DU21"/>
    <mergeCell ref="A21:G21"/>
    <mergeCell ref="H21:AE21"/>
    <mergeCell ref="AF21:AL21"/>
    <mergeCell ref="AM21:AS21"/>
    <mergeCell ref="AT21:AZ21"/>
    <mergeCell ref="BA21:BG21"/>
    <mergeCell ref="CC20:CZ20"/>
    <mergeCell ref="DA20:DG20"/>
    <mergeCell ref="DH20:DN20"/>
    <mergeCell ref="DO20:DU20"/>
    <mergeCell ref="DV20:EB20"/>
    <mergeCell ref="EC20:EO20"/>
    <mergeCell ref="DV19:EB19"/>
    <mergeCell ref="EC19:EO19"/>
    <mergeCell ref="A20:G20"/>
    <mergeCell ref="H20:AE20"/>
    <mergeCell ref="AF20:AL20"/>
    <mergeCell ref="AM20:AS20"/>
    <mergeCell ref="AT20:AZ20"/>
    <mergeCell ref="BA20:BG20"/>
    <mergeCell ref="BH20:BT20"/>
    <mergeCell ref="BV20:CB20"/>
    <mergeCell ref="BH19:BT19"/>
    <mergeCell ref="BV19:CB19"/>
    <mergeCell ref="CC19:CZ19"/>
    <mergeCell ref="DA19:DG19"/>
    <mergeCell ref="DH19:DN19"/>
    <mergeCell ref="DO19:DU19"/>
    <mergeCell ref="A19:G19"/>
    <mergeCell ref="H19:AE19"/>
    <mergeCell ref="AF19:AL19"/>
    <mergeCell ref="AM19:AS19"/>
    <mergeCell ref="AT19:AZ19"/>
    <mergeCell ref="BA19:BG19"/>
    <mergeCell ref="CC18:CZ18"/>
    <mergeCell ref="DA18:DG18"/>
    <mergeCell ref="DH18:DN18"/>
    <mergeCell ref="DO18:DU18"/>
    <mergeCell ref="DV18:EB18"/>
    <mergeCell ref="EC18:EO18"/>
    <mergeCell ref="DV17:EB17"/>
    <mergeCell ref="EC17:EO17"/>
    <mergeCell ref="A18:G18"/>
    <mergeCell ref="H18:AE18"/>
    <mergeCell ref="AF18:AL18"/>
    <mergeCell ref="AM18:AS18"/>
    <mergeCell ref="AT18:AZ18"/>
    <mergeCell ref="BA18:BG18"/>
    <mergeCell ref="BH18:BT18"/>
    <mergeCell ref="BV18:CB18"/>
    <mergeCell ref="BH17:BT17"/>
    <mergeCell ref="BV17:CB17"/>
    <mergeCell ref="CC17:CZ17"/>
    <mergeCell ref="DA17:DG17"/>
    <mergeCell ref="DH17:DN17"/>
    <mergeCell ref="DO17:DU17"/>
    <mergeCell ref="A17:G17"/>
    <mergeCell ref="H17:AE17"/>
    <mergeCell ref="AF17:AL17"/>
    <mergeCell ref="AM17:AS17"/>
    <mergeCell ref="AT17:AZ17"/>
    <mergeCell ref="BA17:BG17"/>
    <mergeCell ref="CC16:CZ16"/>
    <mergeCell ref="DA16:DG16"/>
    <mergeCell ref="DH16:DN16"/>
    <mergeCell ref="DO16:DU16"/>
    <mergeCell ref="DV16:EB16"/>
    <mergeCell ref="DA13:DG14"/>
    <mergeCell ref="EC16:EO16"/>
    <mergeCell ref="A15:BT15"/>
    <mergeCell ref="BV15:EO15"/>
    <mergeCell ref="A16:G16"/>
    <mergeCell ref="H16:AE16"/>
    <mergeCell ref="AF16:AL16"/>
    <mergeCell ref="AM16:AS16"/>
    <mergeCell ref="AT16:AZ16"/>
    <mergeCell ref="BA16:BG16"/>
    <mergeCell ref="BH16:BT16"/>
    <mergeCell ref="BV16:CB16"/>
    <mergeCell ref="A32:BT32"/>
    <mergeCell ref="AL2:BU2"/>
    <mergeCell ref="EP8:EU8"/>
    <mergeCell ref="A7:BT7"/>
    <mergeCell ref="A8:BT8"/>
    <mergeCell ref="A9:BT9"/>
    <mergeCell ref="A10:BT10"/>
    <mergeCell ref="A11:BT11"/>
    <mergeCell ref="EP9:EU11"/>
    <mergeCell ref="DH13:EB13"/>
    <mergeCell ref="EC13:EO14"/>
    <mergeCell ref="AM14:AS14"/>
    <mergeCell ref="AT14:AZ14"/>
    <mergeCell ref="BA14:BG14"/>
    <mergeCell ref="DH14:DN14"/>
    <mergeCell ref="DO14:DU14"/>
    <mergeCell ref="DV14:EB14"/>
    <mergeCell ref="A13:G14"/>
    <mergeCell ref="H13:AE14"/>
    <mergeCell ref="AF13:AL14"/>
    <mergeCell ref="AM13:BG13"/>
    <mergeCell ref="BH13:BT14"/>
    <mergeCell ref="BV13:CB14"/>
    <mergeCell ref="CC13:CZ14"/>
  </mergeCells>
  <printOptions horizontalCentered="1" verticalCentered="1"/>
  <pageMargins left="0.196850393700787" right="0.196850393700787" top="0.39370078740157499" bottom="0.39370078740157499" header="0.31496062992126" footer="0.31496062992126"/>
  <pageSetup paperSize="9" scale="91" fitToWidth="2" fitToHeight="2" orientation="portrait" horizontalDpi="4294967293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">
    <tabColor theme="1"/>
  </sheetPr>
  <dimension ref="A1:H291"/>
  <sheetViews>
    <sheetView topLeftCell="A253" workbookViewId="0">
      <selection activeCell="E282" sqref="E282"/>
    </sheetView>
  </sheetViews>
  <sheetFormatPr defaultColWidth="8.5703125" defaultRowHeight="21"/>
  <cols>
    <col min="1" max="1" width="12.5703125" style="140" customWidth="1"/>
    <col min="2" max="2" width="36.42578125" style="138" customWidth="1"/>
    <col min="3" max="3" width="8.5703125" style="140"/>
    <col min="4" max="4" width="8" style="140" customWidth="1"/>
    <col min="5" max="5" width="15.5703125" style="140" customWidth="1"/>
    <col min="6" max="16384" width="8.5703125" style="138"/>
  </cols>
  <sheetData>
    <row r="1" spans="1:8">
      <c r="A1" s="458" t="s">
        <v>81</v>
      </c>
      <c r="B1" s="458"/>
      <c r="C1" s="458"/>
      <c r="D1" s="458"/>
      <c r="E1" s="458"/>
      <c r="F1" s="214"/>
    </row>
    <row r="2" spans="1:8">
      <c r="A2" s="215" t="s">
        <v>17</v>
      </c>
      <c r="B2" s="216" t="s">
        <v>82</v>
      </c>
      <c r="C2" s="217" t="s">
        <v>21</v>
      </c>
      <c r="D2" s="215" t="s">
        <v>18</v>
      </c>
      <c r="E2" s="215" t="s">
        <v>14</v>
      </c>
      <c r="F2" s="216" t="s">
        <v>527</v>
      </c>
    </row>
    <row r="3" spans="1:8">
      <c r="A3" s="218" t="s">
        <v>83</v>
      </c>
      <c r="B3" s="219" t="s">
        <v>83</v>
      </c>
      <c r="C3" s="220">
        <v>1</v>
      </c>
      <c r="D3" s="218" t="s">
        <v>84</v>
      </c>
      <c r="E3" s="218" t="s">
        <v>79</v>
      </c>
      <c r="F3" s="218" t="s">
        <v>83</v>
      </c>
    </row>
    <row r="4" spans="1:8">
      <c r="A4" s="218" t="s">
        <v>189</v>
      </c>
      <c r="B4" s="221" t="s">
        <v>190</v>
      </c>
      <c r="C4" s="218">
        <v>1.5</v>
      </c>
      <c r="D4" s="218" t="s">
        <v>188</v>
      </c>
      <c r="E4" s="218" t="s">
        <v>92</v>
      </c>
      <c r="F4" s="221"/>
    </row>
    <row r="5" spans="1:8">
      <c r="A5" s="218" t="s">
        <v>43</v>
      </c>
      <c r="B5" s="221" t="s">
        <v>44</v>
      </c>
      <c r="C5" s="218">
        <v>1.5</v>
      </c>
      <c r="D5" s="218" t="s">
        <v>188</v>
      </c>
      <c r="E5" s="218" t="s">
        <v>92</v>
      </c>
      <c r="F5" s="221"/>
    </row>
    <row r="6" spans="1:8">
      <c r="A6" s="218" t="s">
        <v>310</v>
      </c>
      <c r="B6" s="221" t="s">
        <v>311</v>
      </c>
      <c r="C6" s="218">
        <v>1.5</v>
      </c>
      <c r="D6" s="218" t="s">
        <v>188</v>
      </c>
      <c r="E6" s="218" t="s">
        <v>213</v>
      </c>
      <c r="F6" s="221"/>
    </row>
    <row r="7" spans="1:8">
      <c r="A7" s="218" t="s">
        <v>312</v>
      </c>
      <c r="B7" s="221" t="s">
        <v>313</v>
      </c>
      <c r="C7" s="218">
        <v>1.5</v>
      </c>
      <c r="D7" s="218" t="s">
        <v>188</v>
      </c>
      <c r="E7" s="218" t="s">
        <v>213</v>
      </c>
      <c r="F7" s="221"/>
    </row>
    <row r="8" spans="1:8">
      <c r="A8" s="218" t="s">
        <v>351</v>
      </c>
      <c r="B8" s="221" t="s">
        <v>352</v>
      </c>
      <c r="C8" s="218">
        <v>1.5</v>
      </c>
      <c r="D8" s="218" t="s">
        <v>188</v>
      </c>
      <c r="E8" s="218" t="s">
        <v>348</v>
      </c>
      <c r="F8" s="221"/>
    </row>
    <row r="9" spans="1:8">
      <c r="A9" s="218" t="s">
        <v>353</v>
      </c>
      <c r="B9" s="221" t="s">
        <v>354</v>
      </c>
      <c r="C9" s="218">
        <v>1.5</v>
      </c>
      <c r="D9" s="218" t="s">
        <v>188</v>
      </c>
      <c r="E9" s="218" t="s">
        <v>348</v>
      </c>
      <c r="F9" s="221"/>
    </row>
    <row r="10" spans="1:8">
      <c r="A10" s="225" t="s">
        <v>574</v>
      </c>
      <c r="B10" s="226" t="s">
        <v>575</v>
      </c>
      <c r="C10" s="225">
        <v>0.5</v>
      </c>
      <c r="D10" s="225" t="s">
        <v>84</v>
      </c>
      <c r="E10" s="225" t="s">
        <v>92</v>
      </c>
      <c r="F10" s="226"/>
    </row>
    <row r="11" spans="1:8">
      <c r="A11" s="225" t="s">
        <v>576</v>
      </c>
      <c r="B11" s="226" t="s">
        <v>577</v>
      </c>
      <c r="C11" s="225">
        <v>0.5</v>
      </c>
      <c r="D11" s="225" t="s">
        <v>84</v>
      </c>
      <c r="E11" s="225" t="s">
        <v>92</v>
      </c>
      <c r="F11" s="226"/>
    </row>
    <row r="12" spans="1:8">
      <c r="A12" s="225" t="s">
        <v>578</v>
      </c>
      <c r="B12" s="226" t="s">
        <v>579</v>
      </c>
      <c r="C12" s="225">
        <v>0.5</v>
      </c>
      <c r="D12" s="225" t="s">
        <v>84</v>
      </c>
      <c r="E12" s="225" t="s">
        <v>213</v>
      </c>
      <c r="F12" s="226"/>
    </row>
    <row r="13" spans="1:8">
      <c r="A13" s="225" t="s">
        <v>580</v>
      </c>
      <c r="B13" s="226" t="s">
        <v>581</v>
      </c>
      <c r="C13" s="225">
        <v>0.5</v>
      </c>
      <c r="D13" s="225" t="s">
        <v>84</v>
      </c>
      <c r="E13" s="225" t="s">
        <v>213</v>
      </c>
      <c r="F13" s="226"/>
    </row>
    <row r="14" spans="1:8">
      <c r="A14" s="225" t="s">
        <v>582</v>
      </c>
      <c r="B14" s="226" t="s">
        <v>583</v>
      </c>
      <c r="C14" s="225">
        <v>0.5</v>
      </c>
      <c r="D14" s="225" t="s">
        <v>84</v>
      </c>
      <c r="E14" s="225" t="s">
        <v>348</v>
      </c>
      <c r="F14" s="226"/>
    </row>
    <row r="15" spans="1:8">
      <c r="A15" s="225" t="s">
        <v>584</v>
      </c>
      <c r="B15" s="226" t="s">
        <v>585</v>
      </c>
      <c r="C15" s="225">
        <v>0.5</v>
      </c>
      <c r="D15" s="225" t="s">
        <v>84</v>
      </c>
      <c r="E15" s="225" t="s">
        <v>348</v>
      </c>
      <c r="F15" s="226"/>
      <c r="G15" s="139"/>
      <c r="H15" s="139"/>
    </row>
    <row r="16" spans="1:8">
      <c r="A16" s="218" t="s">
        <v>85</v>
      </c>
      <c r="B16" s="221" t="s">
        <v>86</v>
      </c>
      <c r="C16" s="218">
        <v>0.5</v>
      </c>
      <c r="D16" s="218" t="s">
        <v>84</v>
      </c>
      <c r="E16" s="218" t="s">
        <v>87</v>
      </c>
      <c r="F16" s="221"/>
      <c r="G16" s="139"/>
      <c r="H16" s="139"/>
    </row>
    <row r="17" spans="1:8">
      <c r="A17" s="218" t="s">
        <v>88</v>
      </c>
      <c r="B17" s="221" t="s">
        <v>89</v>
      </c>
      <c r="C17" s="218">
        <v>0.5</v>
      </c>
      <c r="D17" s="218" t="s">
        <v>84</v>
      </c>
      <c r="E17" s="218" t="s">
        <v>87</v>
      </c>
      <c r="F17" s="221"/>
      <c r="G17" s="139"/>
      <c r="H17" s="139"/>
    </row>
    <row r="18" spans="1:8">
      <c r="A18" s="218" t="s">
        <v>208</v>
      </c>
      <c r="B18" s="221" t="s">
        <v>209</v>
      </c>
      <c r="C18" s="218">
        <v>0.5</v>
      </c>
      <c r="D18" s="218" t="s">
        <v>188</v>
      </c>
      <c r="E18" s="218" t="s">
        <v>92</v>
      </c>
      <c r="F18" s="221"/>
      <c r="G18" s="139"/>
      <c r="H18" s="139"/>
    </row>
    <row r="19" spans="1:8">
      <c r="A19" s="218" t="s">
        <v>59</v>
      </c>
      <c r="B19" s="221" t="s">
        <v>210</v>
      </c>
      <c r="C19" s="218">
        <v>0.5</v>
      </c>
      <c r="D19" s="218" t="s">
        <v>188</v>
      </c>
      <c r="E19" s="218" t="s">
        <v>92</v>
      </c>
      <c r="F19" s="221"/>
    </row>
    <row r="20" spans="1:8">
      <c r="A20" s="218" t="s">
        <v>162</v>
      </c>
      <c r="B20" s="221" t="s">
        <v>163</v>
      </c>
      <c r="C20" s="218">
        <v>1</v>
      </c>
      <c r="D20" s="218" t="s">
        <v>84</v>
      </c>
      <c r="E20" s="218" t="s">
        <v>92</v>
      </c>
      <c r="F20" s="221"/>
    </row>
    <row r="21" spans="1:8">
      <c r="A21" s="218" t="s">
        <v>164</v>
      </c>
      <c r="B21" s="221" t="s">
        <v>165</v>
      </c>
      <c r="C21" s="218">
        <v>1</v>
      </c>
      <c r="D21" s="218" t="s">
        <v>84</v>
      </c>
      <c r="E21" s="218" t="s">
        <v>92</v>
      </c>
      <c r="F21" s="221"/>
    </row>
    <row r="22" spans="1:8">
      <c r="A22" s="218" t="s">
        <v>166</v>
      </c>
      <c r="B22" s="221" t="s">
        <v>167</v>
      </c>
      <c r="C22" s="218">
        <v>1</v>
      </c>
      <c r="D22" s="218" t="s">
        <v>84</v>
      </c>
      <c r="E22" s="218" t="s">
        <v>92</v>
      </c>
      <c r="F22" s="221"/>
    </row>
    <row r="23" spans="1:8">
      <c r="A23" s="218" t="s">
        <v>168</v>
      </c>
      <c r="B23" s="221" t="s">
        <v>169</v>
      </c>
      <c r="C23" s="218">
        <v>1</v>
      </c>
      <c r="D23" s="218" t="s">
        <v>84</v>
      </c>
      <c r="E23" s="218" t="s">
        <v>92</v>
      </c>
      <c r="F23" s="221"/>
    </row>
    <row r="24" spans="1:8">
      <c r="A24" s="218" t="s">
        <v>170</v>
      </c>
      <c r="B24" s="221" t="s">
        <v>171</v>
      </c>
      <c r="C24" s="218">
        <v>1</v>
      </c>
      <c r="D24" s="218" t="s">
        <v>84</v>
      </c>
      <c r="E24" s="218" t="s">
        <v>92</v>
      </c>
      <c r="F24" s="221"/>
    </row>
    <row r="25" spans="1:8">
      <c r="A25" s="218" t="s">
        <v>172</v>
      </c>
      <c r="B25" s="221" t="s">
        <v>173</v>
      </c>
      <c r="C25" s="218">
        <v>1</v>
      </c>
      <c r="D25" s="218" t="s">
        <v>84</v>
      </c>
      <c r="E25" s="218" t="s">
        <v>92</v>
      </c>
      <c r="F25" s="221"/>
    </row>
    <row r="26" spans="1:8">
      <c r="A26" s="218" t="s">
        <v>174</v>
      </c>
      <c r="B26" s="221" t="s">
        <v>175</v>
      </c>
      <c r="C26" s="218">
        <v>1</v>
      </c>
      <c r="D26" s="218" t="s">
        <v>84</v>
      </c>
      <c r="E26" s="218" t="s">
        <v>92</v>
      </c>
      <c r="F26" s="221"/>
    </row>
    <row r="27" spans="1:8">
      <c r="A27" s="218" t="s">
        <v>176</v>
      </c>
      <c r="B27" s="221" t="s">
        <v>177</v>
      </c>
      <c r="C27" s="218">
        <v>1</v>
      </c>
      <c r="D27" s="218" t="s">
        <v>84</v>
      </c>
      <c r="E27" s="218" t="s">
        <v>92</v>
      </c>
      <c r="F27" s="221"/>
    </row>
    <row r="28" spans="1:8">
      <c r="A28" s="218" t="s">
        <v>178</v>
      </c>
      <c r="B28" s="221" t="s">
        <v>179</v>
      </c>
      <c r="C28" s="218">
        <v>1</v>
      </c>
      <c r="D28" s="218" t="s">
        <v>84</v>
      </c>
      <c r="E28" s="218" t="s">
        <v>92</v>
      </c>
      <c r="F28" s="221"/>
    </row>
    <row r="29" spans="1:8">
      <c r="A29" s="218" t="s">
        <v>180</v>
      </c>
      <c r="B29" s="221" t="s">
        <v>181</v>
      </c>
      <c r="C29" s="218">
        <v>1</v>
      </c>
      <c r="D29" s="218" t="s">
        <v>84</v>
      </c>
      <c r="E29" s="218" t="s">
        <v>92</v>
      </c>
      <c r="F29" s="221"/>
    </row>
    <row r="30" spans="1:8">
      <c r="A30" s="218" t="s">
        <v>182</v>
      </c>
      <c r="B30" s="221" t="s">
        <v>183</v>
      </c>
      <c r="C30" s="218">
        <v>1</v>
      </c>
      <c r="D30" s="218" t="s">
        <v>84</v>
      </c>
      <c r="E30" s="218" t="s">
        <v>92</v>
      </c>
      <c r="F30" s="221" t="s">
        <v>83</v>
      </c>
    </row>
    <row r="31" spans="1:8">
      <c r="A31" s="218" t="s">
        <v>184</v>
      </c>
      <c r="B31" s="221" t="s">
        <v>185</v>
      </c>
      <c r="C31" s="218">
        <v>1</v>
      </c>
      <c r="D31" s="218" t="s">
        <v>84</v>
      </c>
      <c r="E31" s="218" t="s">
        <v>92</v>
      </c>
      <c r="F31" s="221" t="s">
        <v>83</v>
      </c>
    </row>
    <row r="32" spans="1:8">
      <c r="A32" s="218" t="s">
        <v>536</v>
      </c>
      <c r="B32" s="221" t="s">
        <v>537</v>
      </c>
      <c r="C32" s="218">
        <v>1</v>
      </c>
      <c r="D32" s="218" t="s">
        <v>84</v>
      </c>
      <c r="E32" s="218" t="s">
        <v>92</v>
      </c>
      <c r="F32" s="221" t="s">
        <v>83</v>
      </c>
    </row>
    <row r="33" spans="1:6">
      <c r="A33" s="218" t="s">
        <v>538</v>
      </c>
      <c r="B33" s="221" t="s">
        <v>539</v>
      </c>
      <c r="C33" s="218">
        <v>1</v>
      </c>
      <c r="D33" s="218" t="s">
        <v>84</v>
      </c>
      <c r="E33" s="218" t="s">
        <v>92</v>
      </c>
      <c r="F33" s="221" t="s">
        <v>83</v>
      </c>
    </row>
    <row r="34" spans="1:6">
      <c r="A34" s="218" t="s">
        <v>342</v>
      </c>
      <c r="B34" s="221" t="s">
        <v>343</v>
      </c>
      <c r="C34" s="218">
        <v>0.5</v>
      </c>
      <c r="D34" s="218" t="s">
        <v>188</v>
      </c>
      <c r="E34" s="218" t="s">
        <v>213</v>
      </c>
      <c r="F34" s="221"/>
    </row>
    <row r="35" spans="1:6">
      <c r="A35" s="218" t="s">
        <v>344</v>
      </c>
      <c r="B35" s="221" t="s">
        <v>345</v>
      </c>
      <c r="C35" s="218">
        <v>0.5</v>
      </c>
      <c r="D35" s="218" t="s">
        <v>188</v>
      </c>
      <c r="E35" s="218" t="s">
        <v>213</v>
      </c>
      <c r="F35" s="221"/>
    </row>
    <row r="36" spans="1:6">
      <c r="A36" s="218" t="s">
        <v>284</v>
      </c>
      <c r="B36" s="221" t="s">
        <v>285</v>
      </c>
      <c r="C36" s="218">
        <v>1</v>
      </c>
      <c r="D36" s="218" t="s">
        <v>84</v>
      </c>
      <c r="E36" s="218" t="s">
        <v>213</v>
      </c>
      <c r="F36" s="221"/>
    </row>
    <row r="37" spans="1:6">
      <c r="A37" s="218" t="s">
        <v>286</v>
      </c>
      <c r="B37" s="221" t="s">
        <v>287</v>
      </c>
      <c r="C37" s="218">
        <v>1</v>
      </c>
      <c r="D37" s="218" t="s">
        <v>84</v>
      </c>
      <c r="E37" s="218" t="s">
        <v>213</v>
      </c>
      <c r="F37" s="221"/>
    </row>
    <row r="38" spans="1:6">
      <c r="A38" s="218" t="s">
        <v>288</v>
      </c>
      <c r="B38" s="221" t="s">
        <v>289</v>
      </c>
      <c r="C38" s="218">
        <v>1</v>
      </c>
      <c r="D38" s="218" t="s">
        <v>84</v>
      </c>
      <c r="E38" s="218" t="s">
        <v>213</v>
      </c>
      <c r="F38" s="221"/>
    </row>
    <row r="39" spans="1:6">
      <c r="A39" s="218" t="s">
        <v>290</v>
      </c>
      <c r="B39" s="221" t="s">
        <v>291</v>
      </c>
      <c r="C39" s="218">
        <v>1</v>
      </c>
      <c r="D39" s="218" t="s">
        <v>84</v>
      </c>
      <c r="E39" s="218" t="s">
        <v>213</v>
      </c>
      <c r="F39" s="221"/>
    </row>
    <row r="40" spans="1:6">
      <c r="A40" s="218" t="s">
        <v>292</v>
      </c>
      <c r="B40" s="221" t="s">
        <v>293</v>
      </c>
      <c r="C40" s="218">
        <v>1</v>
      </c>
      <c r="D40" s="218" t="s">
        <v>84</v>
      </c>
      <c r="E40" s="218" t="s">
        <v>213</v>
      </c>
      <c r="F40" s="221"/>
    </row>
    <row r="41" spans="1:6">
      <c r="A41" s="218" t="s">
        <v>294</v>
      </c>
      <c r="B41" s="221" t="s">
        <v>295</v>
      </c>
      <c r="C41" s="218">
        <v>1</v>
      </c>
      <c r="D41" s="218" t="s">
        <v>84</v>
      </c>
      <c r="E41" s="218" t="s">
        <v>213</v>
      </c>
      <c r="F41" s="221"/>
    </row>
    <row r="42" spans="1:6">
      <c r="A42" s="218" t="s">
        <v>296</v>
      </c>
      <c r="B42" s="221" t="s">
        <v>297</v>
      </c>
      <c r="C42" s="218">
        <v>1</v>
      </c>
      <c r="D42" s="218" t="s">
        <v>84</v>
      </c>
      <c r="E42" s="218" t="s">
        <v>213</v>
      </c>
      <c r="F42" s="221"/>
    </row>
    <row r="43" spans="1:6">
      <c r="A43" s="218" t="s">
        <v>298</v>
      </c>
      <c r="B43" s="221" t="s">
        <v>299</v>
      </c>
      <c r="C43" s="218">
        <v>1</v>
      </c>
      <c r="D43" s="218" t="s">
        <v>84</v>
      </c>
      <c r="E43" s="218" t="s">
        <v>213</v>
      </c>
      <c r="F43" s="221"/>
    </row>
    <row r="44" spans="1:6">
      <c r="A44" s="218" t="s">
        <v>300</v>
      </c>
      <c r="B44" s="221" t="s">
        <v>301</v>
      </c>
      <c r="C44" s="218">
        <v>1</v>
      </c>
      <c r="D44" s="218" t="s">
        <v>84</v>
      </c>
      <c r="E44" s="218" t="s">
        <v>213</v>
      </c>
      <c r="F44" s="221"/>
    </row>
    <row r="45" spans="1:6">
      <c r="A45" s="218" t="s">
        <v>302</v>
      </c>
      <c r="B45" s="221" t="s">
        <v>303</v>
      </c>
      <c r="C45" s="218">
        <v>1</v>
      </c>
      <c r="D45" s="218" t="s">
        <v>84</v>
      </c>
      <c r="E45" s="218" t="s">
        <v>213</v>
      </c>
      <c r="F45" s="221" t="s">
        <v>83</v>
      </c>
    </row>
    <row r="46" spans="1:6">
      <c r="A46" s="218" t="s">
        <v>304</v>
      </c>
      <c r="B46" s="221" t="s">
        <v>305</v>
      </c>
      <c r="C46" s="218">
        <v>1</v>
      </c>
      <c r="D46" s="218" t="s">
        <v>84</v>
      </c>
      <c r="E46" s="218" t="s">
        <v>213</v>
      </c>
      <c r="F46" s="221" t="s">
        <v>83</v>
      </c>
    </row>
    <row r="47" spans="1:6">
      <c r="A47" s="218" t="s">
        <v>540</v>
      </c>
      <c r="B47" s="221" t="s">
        <v>541</v>
      </c>
      <c r="C47" s="218">
        <v>1</v>
      </c>
      <c r="D47" s="218" t="s">
        <v>84</v>
      </c>
      <c r="E47" s="218" t="s">
        <v>213</v>
      </c>
      <c r="F47" s="221" t="s">
        <v>83</v>
      </c>
    </row>
    <row r="48" spans="1:6">
      <c r="A48" s="218" t="s">
        <v>542</v>
      </c>
      <c r="B48" s="221" t="s">
        <v>543</v>
      </c>
      <c r="C48" s="218">
        <v>1</v>
      </c>
      <c r="D48" s="218" t="s">
        <v>84</v>
      </c>
      <c r="E48" s="218" t="s">
        <v>213</v>
      </c>
      <c r="F48" s="221" t="s">
        <v>83</v>
      </c>
    </row>
    <row r="49" spans="1:6">
      <c r="A49" s="218" t="s">
        <v>383</v>
      </c>
      <c r="B49" s="221" t="s">
        <v>384</v>
      </c>
      <c r="C49" s="218">
        <v>0.5</v>
      </c>
      <c r="D49" s="218" t="s">
        <v>188</v>
      </c>
      <c r="E49" s="218" t="s">
        <v>348</v>
      </c>
      <c r="F49" s="221"/>
    </row>
    <row r="50" spans="1:6">
      <c r="A50" s="218" t="s">
        <v>385</v>
      </c>
      <c r="B50" s="221" t="s">
        <v>386</v>
      </c>
      <c r="C50" s="218">
        <v>0.5</v>
      </c>
      <c r="D50" s="218" t="s">
        <v>188</v>
      </c>
      <c r="E50" s="218" t="s">
        <v>348</v>
      </c>
      <c r="F50" s="221"/>
    </row>
    <row r="51" spans="1:6">
      <c r="A51" s="218" t="s">
        <v>457</v>
      </c>
      <c r="B51" s="221" t="s">
        <v>458</v>
      </c>
      <c r="C51" s="218">
        <v>1</v>
      </c>
      <c r="D51" s="218" t="s">
        <v>84</v>
      </c>
      <c r="E51" s="218" t="s">
        <v>348</v>
      </c>
      <c r="F51" s="221"/>
    </row>
    <row r="52" spans="1:6">
      <c r="A52" s="218" t="s">
        <v>459</v>
      </c>
      <c r="B52" s="221" t="s">
        <v>460</v>
      </c>
      <c r="C52" s="218">
        <v>1</v>
      </c>
      <c r="D52" s="218" t="s">
        <v>84</v>
      </c>
      <c r="E52" s="218" t="s">
        <v>348</v>
      </c>
      <c r="F52" s="221"/>
    </row>
    <row r="53" spans="1:6">
      <c r="A53" s="218" t="s">
        <v>461</v>
      </c>
      <c r="B53" s="221" t="s">
        <v>462</v>
      </c>
      <c r="C53" s="218">
        <v>1</v>
      </c>
      <c r="D53" s="218" t="s">
        <v>84</v>
      </c>
      <c r="E53" s="218" t="s">
        <v>348</v>
      </c>
      <c r="F53" s="221" t="s">
        <v>83</v>
      </c>
    </row>
    <row r="54" spans="1:6">
      <c r="A54" s="218" t="s">
        <v>463</v>
      </c>
      <c r="B54" s="221" t="s">
        <v>464</v>
      </c>
      <c r="C54" s="218">
        <v>1</v>
      </c>
      <c r="D54" s="218" t="s">
        <v>84</v>
      </c>
      <c r="E54" s="218" t="s">
        <v>348</v>
      </c>
      <c r="F54" s="221" t="s">
        <v>83</v>
      </c>
    </row>
    <row r="55" spans="1:6">
      <c r="A55" s="218" t="s">
        <v>544</v>
      </c>
      <c r="B55" s="221" t="s">
        <v>545</v>
      </c>
      <c r="C55" s="218">
        <v>1</v>
      </c>
      <c r="D55" s="218" t="s">
        <v>84</v>
      </c>
      <c r="E55" s="218" t="s">
        <v>348</v>
      </c>
      <c r="F55" s="221" t="s">
        <v>83</v>
      </c>
    </row>
    <row r="56" spans="1:6">
      <c r="A56" s="218" t="s">
        <v>546</v>
      </c>
      <c r="B56" s="221" t="s">
        <v>547</v>
      </c>
      <c r="C56" s="218">
        <v>1</v>
      </c>
      <c r="D56" s="218" t="s">
        <v>84</v>
      </c>
      <c r="E56" s="218" t="s">
        <v>348</v>
      </c>
      <c r="F56" s="221" t="s">
        <v>83</v>
      </c>
    </row>
    <row r="57" spans="1:6">
      <c r="A57" s="218" t="s">
        <v>548</v>
      </c>
      <c r="B57" s="221" t="s">
        <v>549</v>
      </c>
      <c r="C57" s="218">
        <v>1</v>
      </c>
      <c r="D57" s="218" t="s">
        <v>84</v>
      </c>
      <c r="E57" s="218" t="s">
        <v>92</v>
      </c>
      <c r="F57" s="221"/>
    </row>
    <row r="58" spans="1:6">
      <c r="A58" s="218" t="s">
        <v>550</v>
      </c>
      <c r="B58" s="221" t="s">
        <v>551</v>
      </c>
      <c r="C58" s="218">
        <v>1</v>
      </c>
      <c r="D58" s="218" t="s">
        <v>84</v>
      </c>
      <c r="E58" s="218" t="s">
        <v>92</v>
      </c>
      <c r="F58" s="221"/>
    </row>
    <row r="59" spans="1:6">
      <c r="A59" s="218" t="s">
        <v>552</v>
      </c>
      <c r="B59" s="221" t="s">
        <v>553</v>
      </c>
      <c r="C59" s="218">
        <v>1</v>
      </c>
      <c r="D59" s="218" t="s">
        <v>84</v>
      </c>
      <c r="E59" s="218" t="s">
        <v>213</v>
      </c>
      <c r="F59" s="221"/>
    </row>
    <row r="60" spans="1:6">
      <c r="A60" s="218" t="s">
        <v>554</v>
      </c>
      <c r="B60" s="221" t="s">
        <v>555</v>
      </c>
      <c r="C60" s="218">
        <v>1</v>
      </c>
      <c r="D60" s="218" t="s">
        <v>84</v>
      </c>
      <c r="E60" s="218" t="s">
        <v>213</v>
      </c>
      <c r="F60" s="221"/>
    </row>
    <row r="61" spans="1:6">
      <c r="A61" s="218" t="s">
        <v>556</v>
      </c>
      <c r="B61" s="221" t="s">
        <v>557</v>
      </c>
      <c r="C61" s="218">
        <v>1</v>
      </c>
      <c r="D61" s="218" t="s">
        <v>84</v>
      </c>
      <c r="E61" s="218" t="s">
        <v>348</v>
      </c>
      <c r="F61" s="221"/>
    </row>
    <row r="62" spans="1:6">
      <c r="A62" s="218" t="s">
        <v>558</v>
      </c>
      <c r="B62" s="221" t="s">
        <v>559</v>
      </c>
      <c r="C62" s="218">
        <v>1</v>
      </c>
      <c r="D62" s="218" t="s">
        <v>84</v>
      </c>
      <c r="E62" s="218" t="s">
        <v>348</v>
      </c>
      <c r="F62" s="221"/>
    </row>
    <row r="63" spans="1:6">
      <c r="A63" s="218" t="s">
        <v>186</v>
      </c>
      <c r="B63" s="221" t="s">
        <v>187</v>
      </c>
      <c r="C63" s="218">
        <v>1.5</v>
      </c>
      <c r="D63" s="218" t="s">
        <v>188</v>
      </c>
      <c r="E63" s="218" t="s">
        <v>92</v>
      </c>
      <c r="F63" s="221"/>
    </row>
    <row r="64" spans="1:6">
      <c r="A64" s="218" t="s">
        <v>41</v>
      </c>
      <c r="B64" s="221" t="s">
        <v>42</v>
      </c>
      <c r="C64" s="218">
        <v>1.5</v>
      </c>
      <c r="D64" s="218" t="s">
        <v>188</v>
      </c>
      <c r="E64" s="218" t="s">
        <v>92</v>
      </c>
      <c r="F64" s="221"/>
    </row>
    <row r="65" spans="1:6">
      <c r="A65" s="218" t="s">
        <v>90</v>
      </c>
      <c r="B65" s="221" t="s">
        <v>91</v>
      </c>
      <c r="C65" s="218">
        <v>0.5</v>
      </c>
      <c r="D65" s="218" t="s">
        <v>84</v>
      </c>
      <c r="E65" s="218" t="s">
        <v>92</v>
      </c>
      <c r="F65" s="221"/>
    </row>
    <row r="66" spans="1:6">
      <c r="A66" s="218" t="s">
        <v>93</v>
      </c>
      <c r="B66" s="221" t="s">
        <v>94</v>
      </c>
      <c r="C66" s="218">
        <v>0.5</v>
      </c>
      <c r="D66" s="218" t="s">
        <v>84</v>
      </c>
      <c r="E66" s="218" t="s">
        <v>92</v>
      </c>
      <c r="F66" s="221"/>
    </row>
    <row r="67" spans="1:6">
      <c r="A67" s="218" t="s">
        <v>95</v>
      </c>
      <c r="B67" s="221" t="s">
        <v>96</v>
      </c>
      <c r="C67" s="218">
        <v>1</v>
      </c>
      <c r="D67" s="218" t="s">
        <v>84</v>
      </c>
      <c r="E67" s="218" t="s">
        <v>92</v>
      </c>
      <c r="F67" s="218" t="s">
        <v>83</v>
      </c>
    </row>
    <row r="68" spans="1:6">
      <c r="A68" s="218" t="s">
        <v>97</v>
      </c>
      <c r="B68" s="221" t="s">
        <v>98</v>
      </c>
      <c r="C68" s="218">
        <v>1</v>
      </c>
      <c r="D68" s="218" t="s">
        <v>84</v>
      </c>
      <c r="E68" s="218" t="s">
        <v>92</v>
      </c>
      <c r="F68" s="218" t="s">
        <v>83</v>
      </c>
    </row>
    <row r="69" spans="1:6">
      <c r="A69" s="218" t="s">
        <v>99</v>
      </c>
      <c r="B69" s="221" t="s">
        <v>100</v>
      </c>
      <c r="C69" s="218">
        <v>1</v>
      </c>
      <c r="D69" s="218" t="s">
        <v>84</v>
      </c>
      <c r="E69" s="218" t="s">
        <v>92</v>
      </c>
      <c r="F69" s="218" t="s">
        <v>83</v>
      </c>
    </row>
    <row r="70" spans="1:6">
      <c r="A70" s="218" t="s">
        <v>101</v>
      </c>
      <c r="B70" s="221" t="s">
        <v>102</v>
      </c>
      <c r="C70" s="218">
        <v>1</v>
      </c>
      <c r="D70" s="218" t="s">
        <v>84</v>
      </c>
      <c r="E70" s="218" t="s">
        <v>92</v>
      </c>
      <c r="F70" s="218" t="s">
        <v>83</v>
      </c>
    </row>
    <row r="71" spans="1:6">
      <c r="A71" s="218" t="s">
        <v>306</v>
      </c>
      <c r="B71" s="221" t="s">
        <v>307</v>
      </c>
      <c r="C71" s="218">
        <v>1.5</v>
      </c>
      <c r="D71" s="218" t="s">
        <v>188</v>
      </c>
      <c r="E71" s="218" t="s">
        <v>213</v>
      </c>
      <c r="F71" s="221"/>
    </row>
    <row r="72" spans="1:6">
      <c r="A72" s="218" t="s">
        <v>308</v>
      </c>
      <c r="B72" s="221" t="s">
        <v>309</v>
      </c>
      <c r="C72" s="218">
        <v>1.5</v>
      </c>
      <c r="D72" s="218" t="s">
        <v>188</v>
      </c>
      <c r="E72" s="218" t="s">
        <v>213</v>
      </c>
      <c r="F72" s="221"/>
    </row>
    <row r="73" spans="1:6">
      <c r="A73" s="218" t="s">
        <v>211</v>
      </c>
      <c r="B73" s="221" t="s">
        <v>212</v>
      </c>
      <c r="C73" s="218">
        <v>1</v>
      </c>
      <c r="D73" s="218" t="s">
        <v>84</v>
      </c>
      <c r="E73" s="218" t="s">
        <v>213</v>
      </c>
      <c r="F73" s="218" t="s">
        <v>83</v>
      </c>
    </row>
    <row r="74" spans="1:6">
      <c r="A74" s="218" t="s">
        <v>214</v>
      </c>
      <c r="B74" s="221" t="s">
        <v>215</v>
      </c>
      <c r="C74" s="218">
        <v>1</v>
      </c>
      <c r="D74" s="218" t="s">
        <v>84</v>
      </c>
      <c r="E74" s="218" t="s">
        <v>213</v>
      </c>
      <c r="F74" s="218" t="s">
        <v>83</v>
      </c>
    </row>
    <row r="75" spans="1:6">
      <c r="A75" s="218" t="s">
        <v>216</v>
      </c>
      <c r="B75" s="221" t="s">
        <v>217</v>
      </c>
      <c r="C75" s="218">
        <v>1</v>
      </c>
      <c r="D75" s="218" t="s">
        <v>84</v>
      </c>
      <c r="E75" s="218" t="s">
        <v>213</v>
      </c>
      <c r="F75" s="218" t="s">
        <v>83</v>
      </c>
    </row>
    <row r="76" spans="1:6">
      <c r="A76" s="218" t="s">
        <v>218</v>
      </c>
      <c r="B76" s="221" t="s">
        <v>219</v>
      </c>
      <c r="C76" s="218">
        <v>1</v>
      </c>
      <c r="D76" s="218" t="s">
        <v>84</v>
      </c>
      <c r="E76" s="218" t="s">
        <v>213</v>
      </c>
      <c r="F76" s="218" t="s">
        <v>83</v>
      </c>
    </row>
    <row r="77" spans="1:6">
      <c r="A77" s="218" t="s">
        <v>346</v>
      </c>
      <c r="B77" s="221" t="s">
        <v>347</v>
      </c>
      <c r="C77" s="218">
        <v>1.5</v>
      </c>
      <c r="D77" s="218" t="s">
        <v>188</v>
      </c>
      <c r="E77" s="218" t="s">
        <v>348</v>
      </c>
      <c r="F77" s="221"/>
    </row>
    <row r="78" spans="1:6">
      <c r="A78" s="218" t="s">
        <v>349</v>
      </c>
      <c r="B78" s="221" t="s">
        <v>350</v>
      </c>
      <c r="C78" s="218">
        <v>1.5</v>
      </c>
      <c r="D78" s="218" t="s">
        <v>188</v>
      </c>
      <c r="E78" s="218" t="s">
        <v>348</v>
      </c>
      <c r="F78" s="221"/>
    </row>
    <row r="79" spans="1:6">
      <c r="A79" s="218" t="s">
        <v>395</v>
      </c>
      <c r="B79" s="221" t="s">
        <v>396</v>
      </c>
      <c r="C79" s="218">
        <v>1</v>
      </c>
      <c r="D79" s="218" t="s">
        <v>84</v>
      </c>
      <c r="E79" s="218" t="s">
        <v>348</v>
      </c>
      <c r="F79" s="218" t="s">
        <v>83</v>
      </c>
    </row>
    <row r="80" spans="1:6">
      <c r="A80" s="218" t="s">
        <v>397</v>
      </c>
      <c r="B80" s="221" t="s">
        <v>398</v>
      </c>
      <c r="C80" s="218">
        <v>1</v>
      </c>
      <c r="D80" s="218" t="s">
        <v>84</v>
      </c>
      <c r="E80" s="218" t="s">
        <v>348</v>
      </c>
      <c r="F80" s="218" t="s">
        <v>83</v>
      </c>
    </row>
    <row r="81" spans="1:6">
      <c r="A81" s="218" t="s">
        <v>399</v>
      </c>
      <c r="B81" s="221" t="s">
        <v>400</v>
      </c>
      <c r="C81" s="218">
        <v>1</v>
      </c>
      <c r="D81" s="218" t="s">
        <v>84</v>
      </c>
      <c r="E81" s="218" t="s">
        <v>348</v>
      </c>
      <c r="F81" s="218" t="s">
        <v>83</v>
      </c>
    </row>
    <row r="82" spans="1:6">
      <c r="A82" s="218" t="s">
        <v>401</v>
      </c>
      <c r="B82" s="221" t="s">
        <v>402</v>
      </c>
      <c r="C82" s="218">
        <v>1</v>
      </c>
      <c r="D82" s="218" t="s">
        <v>84</v>
      </c>
      <c r="E82" s="218" t="s">
        <v>348</v>
      </c>
      <c r="F82" s="218" t="s">
        <v>83</v>
      </c>
    </row>
    <row r="83" spans="1:6">
      <c r="A83" s="218" t="s">
        <v>199</v>
      </c>
      <c r="B83" s="221" t="s">
        <v>200</v>
      </c>
      <c r="C83" s="218">
        <v>0.5</v>
      </c>
      <c r="D83" s="218" t="s">
        <v>188</v>
      </c>
      <c r="E83" s="218" t="s">
        <v>92</v>
      </c>
      <c r="F83" s="221"/>
    </row>
    <row r="84" spans="1:6">
      <c r="A84" s="218" t="s">
        <v>201</v>
      </c>
      <c r="B84" s="221" t="s">
        <v>202</v>
      </c>
      <c r="C84" s="218">
        <v>0.5</v>
      </c>
      <c r="D84" s="218" t="s">
        <v>188</v>
      </c>
      <c r="E84" s="218" t="s">
        <v>92</v>
      </c>
      <c r="F84" s="221"/>
    </row>
    <row r="85" spans="1:6">
      <c r="A85" s="218" t="s">
        <v>53</v>
      </c>
      <c r="B85" s="221" t="s">
        <v>54</v>
      </c>
      <c r="C85" s="218">
        <v>0.5</v>
      </c>
      <c r="D85" s="218" t="s">
        <v>188</v>
      </c>
      <c r="E85" s="218" t="s">
        <v>92</v>
      </c>
      <c r="F85" s="221"/>
    </row>
    <row r="86" spans="1:6">
      <c r="A86" s="218" t="s">
        <v>55</v>
      </c>
      <c r="B86" s="221" t="s">
        <v>56</v>
      </c>
      <c r="C86" s="218">
        <v>0.5</v>
      </c>
      <c r="D86" s="218" t="s">
        <v>188</v>
      </c>
      <c r="E86" s="218" t="s">
        <v>92</v>
      </c>
      <c r="F86" s="221"/>
    </row>
    <row r="87" spans="1:6">
      <c r="A87" s="218" t="s">
        <v>133</v>
      </c>
      <c r="B87" s="221" t="s">
        <v>134</v>
      </c>
      <c r="C87" s="218">
        <v>1</v>
      </c>
      <c r="D87" s="218" t="s">
        <v>84</v>
      </c>
      <c r="E87" s="218" t="s">
        <v>92</v>
      </c>
      <c r="F87" s="218" t="s">
        <v>83</v>
      </c>
    </row>
    <row r="88" spans="1:6">
      <c r="A88" s="218" t="s">
        <v>135</v>
      </c>
      <c r="B88" s="221" t="s">
        <v>136</v>
      </c>
      <c r="C88" s="218">
        <v>1</v>
      </c>
      <c r="D88" s="218" t="s">
        <v>84</v>
      </c>
      <c r="E88" s="218" t="s">
        <v>92</v>
      </c>
      <c r="F88" s="218" t="s">
        <v>83</v>
      </c>
    </row>
    <row r="89" spans="1:6">
      <c r="A89" s="218" t="s">
        <v>137</v>
      </c>
      <c r="B89" s="221" t="s">
        <v>138</v>
      </c>
      <c r="C89" s="218">
        <v>1</v>
      </c>
      <c r="D89" s="218" t="s">
        <v>84</v>
      </c>
      <c r="E89" s="218" t="s">
        <v>92</v>
      </c>
      <c r="F89" s="218" t="s">
        <v>83</v>
      </c>
    </row>
    <row r="90" spans="1:6">
      <c r="A90" s="218" t="s">
        <v>72</v>
      </c>
      <c r="B90" s="221" t="s">
        <v>67</v>
      </c>
      <c r="C90" s="218">
        <v>1</v>
      </c>
      <c r="D90" s="218" t="s">
        <v>84</v>
      </c>
      <c r="E90" s="218" t="s">
        <v>92</v>
      </c>
      <c r="F90" s="218" t="s">
        <v>83</v>
      </c>
    </row>
    <row r="91" spans="1:6">
      <c r="A91" s="218" t="s">
        <v>139</v>
      </c>
      <c r="B91" s="221" t="s">
        <v>140</v>
      </c>
      <c r="C91" s="218">
        <v>1</v>
      </c>
      <c r="D91" s="218" t="s">
        <v>84</v>
      </c>
      <c r="E91" s="218" t="s">
        <v>92</v>
      </c>
      <c r="F91" s="218" t="s">
        <v>83</v>
      </c>
    </row>
    <row r="92" spans="1:6">
      <c r="A92" s="218" t="s">
        <v>73</v>
      </c>
      <c r="B92" s="221" t="s">
        <v>68</v>
      </c>
      <c r="C92" s="218">
        <v>1</v>
      </c>
      <c r="D92" s="218" t="s">
        <v>84</v>
      </c>
      <c r="E92" s="218" t="s">
        <v>92</v>
      </c>
      <c r="F92" s="218" t="s">
        <v>83</v>
      </c>
    </row>
    <row r="93" spans="1:6">
      <c r="A93" s="225" t="s">
        <v>586</v>
      </c>
      <c r="B93" s="226" t="s">
        <v>587</v>
      </c>
      <c r="C93" s="225">
        <v>1</v>
      </c>
      <c r="D93" s="225" t="s">
        <v>84</v>
      </c>
      <c r="E93" s="225" t="s">
        <v>92</v>
      </c>
      <c r="F93" s="225" t="s">
        <v>83</v>
      </c>
    </row>
    <row r="94" spans="1:6">
      <c r="A94" s="225" t="s">
        <v>588</v>
      </c>
      <c r="B94" s="226" t="s">
        <v>589</v>
      </c>
      <c r="C94" s="225">
        <v>1</v>
      </c>
      <c r="D94" s="225" t="s">
        <v>84</v>
      </c>
      <c r="E94" s="225" t="s">
        <v>92</v>
      </c>
      <c r="F94" s="225" t="s">
        <v>83</v>
      </c>
    </row>
    <row r="95" spans="1:6">
      <c r="A95" s="218" t="s">
        <v>330</v>
      </c>
      <c r="B95" s="221" t="s">
        <v>331</v>
      </c>
      <c r="C95" s="218">
        <v>0.5</v>
      </c>
      <c r="D95" s="218" t="s">
        <v>188</v>
      </c>
      <c r="E95" s="218" t="s">
        <v>213</v>
      </c>
      <c r="F95" s="221"/>
    </row>
    <row r="96" spans="1:6">
      <c r="A96" s="218" t="s">
        <v>332</v>
      </c>
      <c r="B96" s="221" t="s">
        <v>333</v>
      </c>
      <c r="C96" s="218">
        <v>0.5</v>
      </c>
      <c r="D96" s="218" t="s">
        <v>188</v>
      </c>
      <c r="E96" s="218" t="s">
        <v>213</v>
      </c>
      <c r="F96" s="221"/>
    </row>
    <row r="97" spans="1:6">
      <c r="A97" s="218" t="s">
        <v>334</v>
      </c>
      <c r="B97" s="221" t="s">
        <v>335</v>
      </c>
      <c r="C97" s="218">
        <v>0.5</v>
      </c>
      <c r="D97" s="218" t="s">
        <v>188</v>
      </c>
      <c r="E97" s="218" t="s">
        <v>213</v>
      </c>
      <c r="F97" s="221"/>
    </row>
    <row r="98" spans="1:6">
      <c r="A98" s="218" t="s">
        <v>336</v>
      </c>
      <c r="B98" s="221" t="s">
        <v>337</v>
      </c>
      <c r="C98" s="218">
        <v>0.5</v>
      </c>
      <c r="D98" s="218" t="s">
        <v>188</v>
      </c>
      <c r="E98" s="218" t="s">
        <v>213</v>
      </c>
      <c r="F98" s="221"/>
    </row>
    <row r="99" spans="1:6">
      <c r="A99" s="218" t="s">
        <v>248</v>
      </c>
      <c r="B99" s="221" t="s">
        <v>249</v>
      </c>
      <c r="C99" s="218">
        <v>1</v>
      </c>
      <c r="D99" s="218" t="s">
        <v>84</v>
      </c>
      <c r="E99" s="218" t="s">
        <v>213</v>
      </c>
      <c r="F99" s="221"/>
    </row>
    <row r="100" spans="1:6">
      <c r="A100" s="218" t="s">
        <v>250</v>
      </c>
      <c r="B100" s="221" t="s">
        <v>251</v>
      </c>
      <c r="C100" s="218">
        <v>1</v>
      </c>
      <c r="D100" s="218" t="s">
        <v>84</v>
      </c>
      <c r="E100" s="218" t="s">
        <v>213</v>
      </c>
      <c r="F100" s="218" t="s">
        <v>83</v>
      </c>
    </row>
    <row r="101" spans="1:6">
      <c r="A101" s="218" t="s">
        <v>252</v>
      </c>
      <c r="B101" s="221" t="s">
        <v>253</v>
      </c>
      <c r="C101" s="218">
        <v>1</v>
      </c>
      <c r="D101" s="218" t="s">
        <v>84</v>
      </c>
      <c r="E101" s="218" t="s">
        <v>213</v>
      </c>
      <c r="F101" s="218" t="s">
        <v>83</v>
      </c>
    </row>
    <row r="102" spans="1:6">
      <c r="A102" s="218" t="s">
        <v>254</v>
      </c>
      <c r="B102" s="221" t="s">
        <v>255</v>
      </c>
      <c r="C102" s="218">
        <v>1</v>
      </c>
      <c r="D102" s="218" t="s">
        <v>84</v>
      </c>
      <c r="E102" s="218" t="s">
        <v>213</v>
      </c>
      <c r="F102" s="218" t="s">
        <v>83</v>
      </c>
    </row>
    <row r="103" spans="1:6">
      <c r="A103" s="218" t="s">
        <v>256</v>
      </c>
      <c r="B103" s="221" t="s">
        <v>257</v>
      </c>
      <c r="C103" s="218">
        <v>1</v>
      </c>
      <c r="D103" s="218" t="s">
        <v>84</v>
      </c>
      <c r="E103" s="218" t="s">
        <v>213</v>
      </c>
      <c r="F103" s="218" t="s">
        <v>83</v>
      </c>
    </row>
    <row r="104" spans="1:6">
      <c r="A104" s="225" t="s">
        <v>590</v>
      </c>
      <c r="B104" s="226" t="s">
        <v>591</v>
      </c>
      <c r="C104" s="225">
        <v>1</v>
      </c>
      <c r="D104" s="225" t="s">
        <v>84</v>
      </c>
      <c r="E104" s="225" t="s">
        <v>213</v>
      </c>
      <c r="F104" s="225" t="s">
        <v>83</v>
      </c>
    </row>
    <row r="105" spans="1:6">
      <c r="A105" s="225" t="s">
        <v>592</v>
      </c>
      <c r="B105" s="226" t="s">
        <v>593</v>
      </c>
      <c r="C105" s="225">
        <v>1</v>
      </c>
      <c r="D105" s="225" t="s">
        <v>84</v>
      </c>
      <c r="E105" s="225" t="s">
        <v>213</v>
      </c>
      <c r="F105" s="225" t="s">
        <v>83</v>
      </c>
    </row>
    <row r="106" spans="1:6">
      <c r="A106" s="218" t="s">
        <v>371</v>
      </c>
      <c r="B106" s="221" t="s">
        <v>372</v>
      </c>
      <c r="C106" s="218">
        <v>0.5</v>
      </c>
      <c r="D106" s="218" t="s">
        <v>188</v>
      </c>
      <c r="E106" s="218" t="s">
        <v>348</v>
      </c>
      <c r="F106" s="222"/>
    </row>
    <row r="107" spans="1:6">
      <c r="A107" s="218" t="s">
        <v>373</v>
      </c>
      <c r="B107" s="221" t="s">
        <v>374</v>
      </c>
      <c r="C107" s="218">
        <v>0.5</v>
      </c>
      <c r="D107" s="218" t="s">
        <v>188</v>
      </c>
      <c r="E107" s="218" t="s">
        <v>348</v>
      </c>
      <c r="F107" s="222"/>
    </row>
    <row r="108" spans="1:6">
      <c r="A108" s="218" t="s">
        <v>375</v>
      </c>
      <c r="B108" s="221" t="s">
        <v>376</v>
      </c>
      <c r="C108" s="218">
        <v>0.5</v>
      </c>
      <c r="D108" s="218" t="s">
        <v>188</v>
      </c>
      <c r="E108" s="218" t="s">
        <v>348</v>
      </c>
      <c r="F108" s="221"/>
    </row>
    <row r="109" spans="1:6">
      <c r="A109" s="218" t="s">
        <v>377</v>
      </c>
      <c r="B109" s="221" t="s">
        <v>378</v>
      </c>
      <c r="C109" s="218">
        <v>0.5</v>
      </c>
      <c r="D109" s="218" t="s">
        <v>188</v>
      </c>
      <c r="E109" s="218" t="s">
        <v>348</v>
      </c>
      <c r="F109" s="221"/>
    </row>
    <row r="110" spans="1:6">
      <c r="A110" s="218" t="s">
        <v>427</v>
      </c>
      <c r="B110" s="221" t="s">
        <v>428</v>
      </c>
      <c r="C110" s="218">
        <v>1</v>
      </c>
      <c r="D110" s="218" t="s">
        <v>84</v>
      </c>
      <c r="E110" s="218" t="s">
        <v>348</v>
      </c>
      <c r="F110" s="221"/>
    </row>
    <row r="111" spans="1:6">
      <c r="A111" s="218" t="s">
        <v>429</v>
      </c>
      <c r="B111" s="221" t="s">
        <v>430</v>
      </c>
      <c r="C111" s="218">
        <v>1</v>
      </c>
      <c r="D111" s="218" t="s">
        <v>84</v>
      </c>
      <c r="E111" s="218" t="s">
        <v>348</v>
      </c>
      <c r="F111" s="218" t="s">
        <v>83</v>
      </c>
    </row>
    <row r="112" spans="1:6">
      <c r="A112" s="218" t="s">
        <v>431</v>
      </c>
      <c r="B112" s="221" t="s">
        <v>432</v>
      </c>
      <c r="C112" s="218">
        <v>1</v>
      </c>
      <c r="D112" s="218" t="s">
        <v>84</v>
      </c>
      <c r="E112" s="218" t="s">
        <v>348</v>
      </c>
      <c r="F112" s="218" t="s">
        <v>83</v>
      </c>
    </row>
    <row r="113" spans="1:6">
      <c r="A113" s="218" t="s">
        <v>433</v>
      </c>
      <c r="B113" s="221" t="s">
        <v>434</v>
      </c>
      <c r="C113" s="218">
        <v>1</v>
      </c>
      <c r="D113" s="218" t="s">
        <v>84</v>
      </c>
      <c r="E113" s="218" t="s">
        <v>348</v>
      </c>
      <c r="F113" s="218" t="s">
        <v>83</v>
      </c>
    </row>
    <row r="114" spans="1:6">
      <c r="A114" s="218" t="s">
        <v>435</v>
      </c>
      <c r="B114" s="221" t="s">
        <v>436</v>
      </c>
      <c r="C114" s="218">
        <v>1</v>
      </c>
      <c r="D114" s="218" t="s">
        <v>84</v>
      </c>
      <c r="E114" s="218" t="s">
        <v>348</v>
      </c>
      <c r="F114" s="218" t="s">
        <v>83</v>
      </c>
    </row>
    <row r="115" spans="1:6">
      <c r="A115" s="225" t="s">
        <v>594</v>
      </c>
      <c r="B115" s="226" t="s">
        <v>595</v>
      </c>
      <c r="C115" s="225">
        <v>1</v>
      </c>
      <c r="D115" s="225" t="s">
        <v>84</v>
      </c>
      <c r="E115" s="225" t="s">
        <v>348</v>
      </c>
      <c r="F115" s="225" t="s">
        <v>83</v>
      </c>
    </row>
    <row r="116" spans="1:6">
      <c r="A116" s="225" t="s">
        <v>596</v>
      </c>
      <c r="B116" s="226" t="s">
        <v>597</v>
      </c>
      <c r="C116" s="225">
        <v>1</v>
      </c>
      <c r="D116" s="225" t="s">
        <v>84</v>
      </c>
      <c r="E116" s="225" t="s">
        <v>348</v>
      </c>
      <c r="F116" s="225" t="s">
        <v>83</v>
      </c>
    </row>
    <row r="117" spans="1:6">
      <c r="A117" s="218" t="s">
        <v>191</v>
      </c>
      <c r="B117" s="221" t="s">
        <v>192</v>
      </c>
      <c r="C117" s="218">
        <v>1.5</v>
      </c>
      <c r="D117" s="218" t="s">
        <v>188</v>
      </c>
      <c r="E117" s="218" t="s">
        <v>92</v>
      </c>
      <c r="F117" s="221"/>
    </row>
    <row r="118" spans="1:6">
      <c r="A118" s="218" t="s">
        <v>193</v>
      </c>
      <c r="B118" s="221" t="s">
        <v>194</v>
      </c>
      <c r="C118" s="218">
        <v>0.5</v>
      </c>
      <c r="D118" s="218" t="s">
        <v>188</v>
      </c>
      <c r="E118" s="218" t="s">
        <v>92</v>
      </c>
      <c r="F118" s="221"/>
    </row>
    <row r="119" spans="1:6">
      <c r="A119" s="218" t="s">
        <v>45</v>
      </c>
      <c r="B119" s="221" t="s">
        <v>46</v>
      </c>
      <c r="C119" s="218">
        <v>1.5</v>
      </c>
      <c r="D119" s="218" t="s">
        <v>188</v>
      </c>
      <c r="E119" s="218" t="s">
        <v>92</v>
      </c>
      <c r="F119" s="221"/>
    </row>
    <row r="120" spans="1:6">
      <c r="A120" s="218" t="s">
        <v>47</v>
      </c>
      <c r="B120" s="221" t="s">
        <v>48</v>
      </c>
      <c r="C120" s="218">
        <v>0.5</v>
      </c>
      <c r="D120" s="218" t="s">
        <v>188</v>
      </c>
      <c r="E120" s="218" t="s">
        <v>92</v>
      </c>
      <c r="F120" s="221"/>
    </row>
    <row r="121" spans="1:6">
      <c r="A121" s="218" t="s">
        <v>111</v>
      </c>
      <c r="B121" s="221" t="s">
        <v>112</v>
      </c>
      <c r="C121" s="218">
        <v>1</v>
      </c>
      <c r="D121" s="218" t="s">
        <v>84</v>
      </c>
      <c r="E121" s="218" t="s">
        <v>92</v>
      </c>
      <c r="F121" s="222"/>
    </row>
    <row r="122" spans="1:6">
      <c r="A122" s="218" t="s">
        <v>113</v>
      </c>
      <c r="B122" s="221" t="s">
        <v>114</v>
      </c>
      <c r="C122" s="218">
        <v>1</v>
      </c>
      <c r="D122" s="218" t="s">
        <v>84</v>
      </c>
      <c r="E122" s="218" t="s">
        <v>92</v>
      </c>
      <c r="F122" s="222"/>
    </row>
    <row r="123" spans="1:6">
      <c r="A123" s="218" t="s">
        <v>115</v>
      </c>
      <c r="B123" s="221" t="s">
        <v>116</v>
      </c>
      <c r="C123" s="218">
        <v>1</v>
      </c>
      <c r="D123" s="218" t="s">
        <v>84</v>
      </c>
      <c r="E123" s="218" t="s">
        <v>92</v>
      </c>
      <c r="F123" s="222"/>
    </row>
    <row r="124" spans="1:6">
      <c r="A124" s="218" t="s">
        <v>117</v>
      </c>
      <c r="B124" s="221" t="s">
        <v>118</v>
      </c>
      <c r="C124" s="218">
        <v>1</v>
      </c>
      <c r="D124" s="218" t="s">
        <v>84</v>
      </c>
      <c r="E124" s="218" t="s">
        <v>92</v>
      </c>
      <c r="F124" s="221"/>
    </row>
    <row r="125" spans="1:6">
      <c r="A125" s="218" t="s">
        <v>119</v>
      </c>
      <c r="B125" s="221" t="s">
        <v>120</v>
      </c>
      <c r="C125" s="218">
        <v>1</v>
      </c>
      <c r="D125" s="218" t="s">
        <v>84</v>
      </c>
      <c r="E125" s="218" t="s">
        <v>92</v>
      </c>
      <c r="F125" s="218" t="s">
        <v>83</v>
      </c>
    </row>
    <row r="126" spans="1:6">
      <c r="A126" s="218" t="s">
        <v>121</v>
      </c>
      <c r="B126" s="221" t="s">
        <v>122</v>
      </c>
      <c r="C126" s="218">
        <v>1</v>
      </c>
      <c r="D126" s="218" t="s">
        <v>84</v>
      </c>
      <c r="E126" s="218" t="s">
        <v>92</v>
      </c>
      <c r="F126" s="218" t="s">
        <v>83</v>
      </c>
    </row>
    <row r="127" spans="1:6">
      <c r="A127" s="218" t="s">
        <v>123</v>
      </c>
      <c r="B127" s="221" t="s">
        <v>124</v>
      </c>
      <c r="C127" s="218">
        <v>0.5</v>
      </c>
      <c r="D127" s="218" t="s">
        <v>84</v>
      </c>
      <c r="E127" s="218" t="s">
        <v>92</v>
      </c>
      <c r="F127" s="221"/>
    </row>
    <row r="128" spans="1:6">
      <c r="A128" s="218" t="s">
        <v>125</v>
      </c>
      <c r="B128" s="221" t="s">
        <v>126</v>
      </c>
      <c r="C128" s="218">
        <v>0.5</v>
      </c>
      <c r="D128" s="218" t="s">
        <v>84</v>
      </c>
      <c r="E128" s="218" t="s">
        <v>92</v>
      </c>
      <c r="F128" s="221"/>
    </row>
    <row r="129" spans="1:6">
      <c r="A129" s="225" t="s">
        <v>598</v>
      </c>
      <c r="B129" s="226" t="s">
        <v>599</v>
      </c>
      <c r="C129" s="225">
        <v>0.5</v>
      </c>
      <c r="D129" s="225" t="s">
        <v>84</v>
      </c>
      <c r="E129" s="225" t="s">
        <v>92</v>
      </c>
      <c r="F129" s="226"/>
    </row>
    <row r="130" spans="1:6">
      <c r="A130" s="225" t="s">
        <v>600</v>
      </c>
      <c r="B130" s="226" t="s">
        <v>601</v>
      </c>
      <c r="C130" s="225">
        <v>0.5</v>
      </c>
      <c r="D130" s="225" t="s">
        <v>84</v>
      </c>
      <c r="E130" s="225" t="s">
        <v>92</v>
      </c>
      <c r="F130" s="226"/>
    </row>
    <row r="131" spans="1:6">
      <c r="A131" s="225" t="s">
        <v>602</v>
      </c>
      <c r="B131" s="226" t="s">
        <v>603</v>
      </c>
      <c r="C131" s="225">
        <v>1</v>
      </c>
      <c r="D131" s="225" t="s">
        <v>84</v>
      </c>
      <c r="E131" s="225" t="s">
        <v>92</v>
      </c>
      <c r="F131" s="226"/>
    </row>
    <row r="132" spans="1:6">
      <c r="A132" s="225" t="s">
        <v>604</v>
      </c>
      <c r="B132" s="226" t="s">
        <v>605</v>
      </c>
      <c r="C132" s="225">
        <v>1</v>
      </c>
      <c r="D132" s="225" t="s">
        <v>84</v>
      </c>
      <c r="E132" s="225" t="s">
        <v>92</v>
      </c>
      <c r="F132" s="226"/>
    </row>
    <row r="133" spans="1:6">
      <c r="A133" s="218" t="s">
        <v>314</v>
      </c>
      <c r="B133" s="221" t="s">
        <v>315</v>
      </c>
      <c r="C133" s="218">
        <v>1.5</v>
      </c>
      <c r="D133" s="218" t="s">
        <v>188</v>
      </c>
      <c r="E133" s="218" t="s">
        <v>213</v>
      </c>
      <c r="F133" s="221"/>
    </row>
    <row r="134" spans="1:6">
      <c r="A134" s="218" t="s">
        <v>316</v>
      </c>
      <c r="B134" s="221" t="s">
        <v>317</v>
      </c>
      <c r="C134" s="218">
        <v>0.5</v>
      </c>
      <c r="D134" s="218" t="s">
        <v>188</v>
      </c>
      <c r="E134" s="218" t="s">
        <v>213</v>
      </c>
      <c r="F134" s="221"/>
    </row>
    <row r="135" spans="1:6">
      <c r="A135" s="218" t="s">
        <v>318</v>
      </c>
      <c r="B135" s="221" t="s">
        <v>319</v>
      </c>
      <c r="C135" s="218">
        <v>1.5</v>
      </c>
      <c r="D135" s="218" t="s">
        <v>188</v>
      </c>
      <c r="E135" s="218" t="s">
        <v>213</v>
      </c>
      <c r="F135" s="221"/>
    </row>
    <row r="136" spans="1:6">
      <c r="A136" s="218" t="s">
        <v>320</v>
      </c>
      <c r="B136" s="221" t="s">
        <v>321</v>
      </c>
      <c r="C136" s="218">
        <v>0.5</v>
      </c>
      <c r="D136" s="218" t="s">
        <v>188</v>
      </c>
      <c r="E136" s="218" t="s">
        <v>213</v>
      </c>
      <c r="F136" s="221"/>
    </row>
    <row r="137" spans="1:6">
      <c r="A137" s="218" t="s">
        <v>220</v>
      </c>
      <c r="B137" s="221" t="s">
        <v>221</v>
      </c>
      <c r="C137" s="218">
        <v>1</v>
      </c>
      <c r="D137" s="218" t="s">
        <v>84</v>
      </c>
      <c r="E137" s="218" t="s">
        <v>213</v>
      </c>
      <c r="F137" s="221"/>
    </row>
    <row r="138" spans="1:6">
      <c r="A138" s="218" t="s">
        <v>222</v>
      </c>
      <c r="B138" s="221" t="s">
        <v>223</v>
      </c>
      <c r="C138" s="218">
        <v>1</v>
      </c>
      <c r="D138" s="218" t="s">
        <v>84</v>
      </c>
      <c r="E138" s="218" t="s">
        <v>213</v>
      </c>
      <c r="F138" s="221"/>
    </row>
    <row r="139" spans="1:6">
      <c r="A139" s="218" t="s">
        <v>224</v>
      </c>
      <c r="B139" s="221" t="s">
        <v>225</v>
      </c>
      <c r="C139" s="218">
        <v>1</v>
      </c>
      <c r="D139" s="218" t="s">
        <v>84</v>
      </c>
      <c r="E139" s="218" t="s">
        <v>213</v>
      </c>
      <c r="F139" s="221"/>
    </row>
    <row r="140" spans="1:6">
      <c r="A140" s="218" t="s">
        <v>226</v>
      </c>
      <c r="B140" s="221" t="s">
        <v>227</v>
      </c>
      <c r="C140" s="218">
        <v>1</v>
      </c>
      <c r="D140" s="218" t="s">
        <v>84</v>
      </c>
      <c r="E140" s="218" t="s">
        <v>213</v>
      </c>
      <c r="F140" s="221"/>
    </row>
    <row r="141" spans="1:6">
      <c r="A141" s="218" t="s">
        <v>228</v>
      </c>
      <c r="B141" s="221" t="s">
        <v>229</v>
      </c>
      <c r="C141" s="218">
        <v>1</v>
      </c>
      <c r="D141" s="218" t="s">
        <v>84</v>
      </c>
      <c r="E141" s="218" t="s">
        <v>213</v>
      </c>
      <c r="F141" s="218" t="s">
        <v>83</v>
      </c>
    </row>
    <row r="142" spans="1:6">
      <c r="A142" s="218" t="s">
        <v>230</v>
      </c>
      <c r="B142" s="221" t="s">
        <v>231</v>
      </c>
      <c r="C142" s="218">
        <v>1</v>
      </c>
      <c r="D142" s="218" t="s">
        <v>84</v>
      </c>
      <c r="E142" s="218" t="s">
        <v>213</v>
      </c>
      <c r="F142" s="218" t="s">
        <v>83</v>
      </c>
    </row>
    <row r="143" spans="1:6">
      <c r="A143" s="218" t="s">
        <v>232</v>
      </c>
      <c r="B143" s="221" t="s">
        <v>233</v>
      </c>
      <c r="C143" s="218">
        <v>0.5</v>
      </c>
      <c r="D143" s="218" t="s">
        <v>84</v>
      </c>
      <c r="E143" s="218" t="s">
        <v>213</v>
      </c>
      <c r="F143" s="221"/>
    </row>
    <row r="144" spans="1:6">
      <c r="A144" s="218" t="s">
        <v>234</v>
      </c>
      <c r="B144" s="221" t="s">
        <v>235</v>
      </c>
      <c r="C144" s="218">
        <v>0.5</v>
      </c>
      <c r="D144" s="218" t="s">
        <v>84</v>
      </c>
      <c r="E144" s="218" t="s">
        <v>213</v>
      </c>
      <c r="F144" s="221"/>
    </row>
    <row r="145" spans="1:8">
      <c r="A145" s="225" t="s">
        <v>606</v>
      </c>
      <c r="B145" s="226" t="s">
        <v>607</v>
      </c>
      <c r="C145" s="225">
        <v>0.5</v>
      </c>
      <c r="D145" s="225" t="s">
        <v>84</v>
      </c>
      <c r="E145" s="225" t="s">
        <v>213</v>
      </c>
      <c r="F145" s="226"/>
    </row>
    <row r="146" spans="1:8">
      <c r="A146" s="225" t="s">
        <v>608</v>
      </c>
      <c r="B146" s="226" t="s">
        <v>609</v>
      </c>
      <c r="C146" s="225">
        <v>0.5</v>
      </c>
      <c r="D146" s="225" t="s">
        <v>84</v>
      </c>
      <c r="E146" s="225" t="s">
        <v>213</v>
      </c>
      <c r="F146" s="226"/>
    </row>
    <row r="147" spans="1:8">
      <c r="A147" s="225" t="s">
        <v>610</v>
      </c>
      <c r="B147" s="226" t="s">
        <v>611</v>
      </c>
      <c r="C147" s="225">
        <v>1</v>
      </c>
      <c r="D147" s="225" t="s">
        <v>84</v>
      </c>
      <c r="E147" s="225" t="s">
        <v>213</v>
      </c>
      <c r="F147" s="226"/>
    </row>
    <row r="148" spans="1:8">
      <c r="A148" s="225" t="s">
        <v>612</v>
      </c>
      <c r="B148" s="226" t="s">
        <v>613</v>
      </c>
      <c r="C148" s="225">
        <v>1</v>
      </c>
      <c r="D148" s="225" t="s">
        <v>84</v>
      </c>
      <c r="E148" s="225" t="s">
        <v>213</v>
      </c>
      <c r="F148" s="226"/>
    </row>
    <row r="149" spans="1:8">
      <c r="A149" s="218" t="s">
        <v>355</v>
      </c>
      <c r="B149" s="221" t="s">
        <v>356</v>
      </c>
      <c r="C149" s="218">
        <v>1.5</v>
      </c>
      <c r="D149" s="218" t="s">
        <v>188</v>
      </c>
      <c r="E149" s="218" t="s">
        <v>348</v>
      </c>
      <c r="F149" s="221"/>
    </row>
    <row r="150" spans="1:8">
      <c r="A150" s="218" t="s">
        <v>357</v>
      </c>
      <c r="B150" s="221" t="s">
        <v>358</v>
      </c>
      <c r="C150" s="218">
        <v>0.5</v>
      </c>
      <c r="D150" s="218" t="s">
        <v>188</v>
      </c>
      <c r="E150" s="218" t="s">
        <v>348</v>
      </c>
      <c r="F150" s="221"/>
    </row>
    <row r="151" spans="1:8">
      <c r="A151" s="218" t="s">
        <v>359</v>
      </c>
      <c r="B151" s="221" t="s">
        <v>360</v>
      </c>
      <c r="C151" s="218">
        <v>1.5</v>
      </c>
      <c r="D151" s="218" t="s">
        <v>188</v>
      </c>
      <c r="E151" s="218" t="s">
        <v>348</v>
      </c>
      <c r="F151" s="222"/>
    </row>
    <row r="152" spans="1:8">
      <c r="A152" s="218" t="s">
        <v>361</v>
      </c>
      <c r="B152" s="221" t="s">
        <v>362</v>
      </c>
      <c r="C152" s="218">
        <v>0.5</v>
      </c>
      <c r="D152" s="218" t="s">
        <v>188</v>
      </c>
      <c r="E152" s="218" t="s">
        <v>348</v>
      </c>
      <c r="F152" s="222"/>
    </row>
    <row r="153" spans="1:8">
      <c r="A153" s="218" t="s">
        <v>403</v>
      </c>
      <c r="B153" s="221" t="s">
        <v>404</v>
      </c>
      <c r="C153" s="218">
        <v>1</v>
      </c>
      <c r="D153" s="218" t="s">
        <v>84</v>
      </c>
      <c r="E153" s="218" t="s">
        <v>348</v>
      </c>
      <c r="F153" s="221"/>
    </row>
    <row r="154" spans="1:8">
      <c r="A154" s="218" t="s">
        <v>405</v>
      </c>
      <c r="B154" s="221" t="s">
        <v>406</v>
      </c>
      <c r="C154" s="218">
        <v>1</v>
      </c>
      <c r="D154" s="218" t="s">
        <v>84</v>
      </c>
      <c r="E154" s="218" t="s">
        <v>348</v>
      </c>
      <c r="F154" s="221"/>
    </row>
    <row r="155" spans="1:8">
      <c r="A155" s="218" t="s">
        <v>407</v>
      </c>
      <c r="B155" s="221" t="s">
        <v>408</v>
      </c>
      <c r="C155" s="218">
        <v>0.5</v>
      </c>
      <c r="D155" s="218" t="s">
        <v>84</v>
      </c>
      <c r="E155" s="218" t="s">
        <v>348</v>
      </c>
      <c r="F155" s="221"/>
    </row>
    <row r="156" spans="1:8">
      <c r="A156" s="218" t="s">
        <v>409</v>
      </c>
      <c r="B156" s="221" t="s">
        <v>410</v>
      </c>
      <c r="C156" s="218">
        <v>0.5</v>
      </c>
      <c r="D156" s="218" t="s">
        <v>84</v>
      </c>
      <c r="E156" s="218" t="s">
        <v>348</v>
      </c>
      <c r="F156" s="221"/>
    </row>
    <row r="157" spans="1:8">
      <c r="A157" s="218" t="s">
        <v>411</v>
      </c>
      <c r="B157" s="221" t="s">
        <v>412</v>
      </c>
      <c r="C157" s="218">
        <v>1</v>
      </c>
      <c r="D157" s="218" t="s">
        <v>84</v>
      </c>
      <c r="E157" s="218" t="s">
        <v>348</v>
      </c>
      <c r="F157" s="218" t="s">
        <v>83</v>
      </c>
      <c r="G157" s="139"/>
      <c r="H157" s="139"/>
    </row>
    <row r="158" spans="1:8">
      <c r="A158" s="218" t="s">
        <v>413</v>
      </c>
      <c r="B158" s="221" t="s">
        <v>414</v>
      </c>
      <c r="C158" s="218">
        <v>1</v>
      </c>
      <c r="D158" s="218" t="s">
        <v>84</v>
      </c>
      <c r="E158" s="218" t="s">
        <v>348</v>
      </c>
      <c r="F158" s="218" t="s">
        <v>83</v>
      </c>
      <c r="G158" s="139"/>
      <c r="H158" s="139"/>
    </row>
    <row r="159" spans="1:8">
      <c r="A159" s="218" t="s">
        <v>532</v>
      </c>
      <c r="B159" s="221" t="s">
        <v>533</v>
      </c>
      <c r="C159" s="218">
        <v>1</v>
      </c>
      <c r="D159" s="218" t="s">
        <v>84</v>
      </c>
      <c r="E159" s="218" t="s">
        <v>348</v>
      </c>
      <c r="F159" s="218"/>
      <c r="G159" s="139"/>
      <c r="H159" s="139"/>
    </row>
    <row r="160" spans="1:8">
      <c r="A160" s="218" t="s">
        <v>534</v>
      </c>
      <c r="B160" s="221" t="s">
        <v>535</v>
      </c>
      <c r="C160" s="218">
        <v>1</v>
      </c>
      <c r="D160" s="218" t="s">
        <v>84</v>
      </c>
      <c r="E160" s="218" t="s">
        <v>348</v>
      </c>
      <c r="F160" s="218"/>
      <c r="G160" s="139"/>
      <c r="H160" s="139"/>
    </row>
    <row r="161" spans="1:8">
      <c r="A161" s="225" t="s">
        <v>614</v>
      </c>
      <c r="B161" s="226" t="s">
        <v>615</v>
      </c>
      <c r="C161" s="225">
        <v>0.5</v>
      </c>
      <c r="D161" s="225" t="s">
        <v>84</v>
      </c>
      <c r="E161" s="225" t="s">
        <v>348</v>
      </c>
      <c r="F161" s="225"/>
      <c r="G161" s="139"/>
      <c r="H161" s="139"/>
    </row>
    <row r="162" spans="1:8">
      <c r="A162" s="225" t="s">
        <v>616</v>
      </c>
      <c r="B162" s="226" t="s">
        <v>617</v>
      </c>
      <c r="C162" s="225">
        <v>0.5</v>
      </c>
      <c r="D162" s="225" t="s">
        <v>84</v>
      </c>
      <c r="E162" s="225" t="s">
        <v>348</v>
      </c>
      <c r="F162" s="225"/>
      <c r="G162" s="139"/>
      <c r="H162" s="139"/>
    </row>
    <row r="163" spans="1:8">
      <c r="A163" s="225" t="s">
        <v>618</v>
      </c>
      <c r="B163" s="226" t="s">
        <v>619</v>
      </c>
      <c r="C163" s="225">
        <v>1</v>
      </c>
      <c r="D163" s="225" t="s">
        <v>84</v>
      </c>
      <c r="E163" s="225" t="s">
        <v>348</v>
      </c>
      <c r="F163" s="225"/>
      <c r="G163" s="139"/>
      <c r="H163" s="139"/>
    </row>
    <row r="164" spans="1:8">
      <c r="A164" s="225" t="s">
        <v>620</v>
      </c>
      <c r="B164" s="226" t="s">
        <v>621</v>
      </c>
      <c r="C164" s="225">
        <v>1</v>
      </c>
      <c r="D164" s="225" t="s">
        <v>84</v>
      </c>
      <c r="E164" s="225" t="s">
        <v>348</v>
      </c>
      <c r="F164" s="225"/>
      <c r="G164" s="139"/>
      <c r="H164" s="139"/>
    </row>
    <row r="165" spans="1:8">
      <c r="A165" s="218" t="s">
        <v>203</v>
      </c>
      <c r="B165" s="221" t="s">
        <v>204</v>
      </c>
      <c r="C165" s="218">
        <v>1</v>
      </c>
      <c r="D165" s="218" t="s">
        <v>188</v>
      </c>
      <c r="E165" s="218" t="s">
        <v>92</v>
      </c>
      <c r="F165" s="221"/>
    </row>
    <row r="166" spans="1:8">
      <c r="A166" s="218" t="s">
        <v>57</v>
      </c>
      <c r="B166" s="221" t="s">
        <v>58</v>
      </c>
      <c r="C166" s="218">
        <v>1</v>
      </c>
      <c r="D166" s="218" t="s">
        <v>188</v>
      </c>
      <c r="E166" s="218" t="s">
        <v>92</v>
      </c>
      <c r="F166" s="221"/>
    </row>
    <row r="167" spans="1:8">
      <c r="A167" s="218" t="s">
        <v>141</v>
      </c>
      <c r="B167" s="221" t="s">
        <v>142</v>
      </c>
      <c r="C167" s="218">
        <v>0.5</v>
      </c>
      <c r="D167" s="218" t="s">
        <v>84</v>
      </c>
      <c r="E167" s="218" t="s">
        <v>92</v>
      </c>
      <c r="F167" s="221"/>
    </row>
    <row r="168" spans="1:8">
      <c r="A168" s="218" t="s">
        <v>143</v>
      </c>
      <c r="B168" s="221" t="s">
        <v>144</v>
      </c>
      <c r="C168" s="218">
        <v>0.5</v>
      </c>
      <c r="D168" s="218" t="s">
        <v>84</v>
      </c>
      <c r="E168" s="218" t="s">
        <v>92</v>
      </c>
      <c r="F168" s="221"/>
    </row>
    <row r="169" spans="1:8">
      <c r="A169" s="218" t="s">
        <v>145</v>
      </c>
      <c r="B169" s="221" t="s">
        <v>146</v>
      </c>
      <c r="C169" s="218">
        <v>0.5</v>
      </c>
      <c r="D169" s="218" t="s">
        <v>84</v>
      </c>
      <c r="E169" s="218" t="s">
        <v>92</v>
      </c>
      <c r="F169" s="221"/>
    </row>
    <row r="170" spans="1:8">
      <c r="A170" s="218" t="s">
        <v>147</v>
      </c>
      <c r="B170" s="221" t="s">
        <v>148</v>
      </c>
      <c r="C170" s="218">
        <v>0.5</v>
      </c>
      <c r="D170" s="218" t="s">
        <v>84</v>
      </c>
      <c r="E170" s="218" t="s">
        <v>92</v>
      </c>
      <c r="F170" s="221"/>
    </row>
    <row r="171" spans="1:8">
      <c r="A171" s="218" t="s">
        <v>149</v>
      </c>
      <c r="B171" s="221" t="s">
        <v>150</v>
      </c>
      <c r="C171" s="218">
        <v>0.5</v>
      </c>
      <c r="D171" s="218" t="s">
        <v>84</v>
      </c>
      <c r="E171" s="218" t="s">
        <v>92</v>
      </c>
      <c r="F171" s="221"/>
    </row>
    <row r="172" spans="1:8">
      <c r="A172" s="218" t="s">
        <v>62</v>
      </c>
      <c r="B172" s="221" t="s">
        <v>65</v>
      </c>
      <c r="C172" s="218">
        <v>0.5</v>
      </c>
      <c r="D172" s="218" t="s">
        <v>84</v>
      </c>
      <c r="E172" s="218" t="s">
        <v>92</v>
      </c>
      <c r="F172" s="221"/>
    </row>
    <row r="173" spans="1:8">
      <c r="A173" s="218" t="s">
        <v>151</v>
      </c>
      <c r="B173" s="221" t="s">
        <v>152</v>
      </c>
      <c r="C173" s="218">
        <v>0.5</v>
      </c>
      <c r="D173" s="218" t="s">
        <v>84</v>
      </c>
      <c r="E173" s="218" t="s">
        <v>92</v>
      </c>
      <c r="F173" s="221"/>
    </row>
    <row r="174" spans="1:8">
      <c r="A174" s="218" t="s">
        <v>63</v>
      </c>
      <c r="B174" s="221" t="s">
        <v>66</v>
      </c>
      <c r="C174" s="218">
        <v>0.5</v>
      </c>
      <c r="D174" s="218" t="s">
        <v>84</v>
      </c>
      <c r="E174" s="218" t="s">
        <v>92</v>
      </c>
      <c r="F174" s="221"/>
    </row>
    <row r="175" spans="1:8">
      <c r="A175" s="218" t="s">
        <v>153</v>
      </c>
      <c r="B175" s="221" t="s">
        <v>154</v>
      </c>
      <c r="C175" s="218">
        <v>1</v>
      </c>
      <c r="D175" s="218" t="s">
        <v>84</v>
      </c>
      <c r="E175" s="218" t="s">
        <v>92</v>
      </c>
      <c r="F175" s="218" t="s">
        <v>83</v>
      </c>
    </row>
    <row r="176" spans="1:8">
      <c r="A176" s="218" t="s">
        <v>74</v>
      </c>
      <c r="B176" s="221" t="s">
        <v>69</v>
      </c>
      <c r="C176" s="218">
        <v>1</v>
      </c>
      <c r="D176" s="218" t="s">
        <v>84</v>
      </c>
      <c r="E176" s="218" t="s">
        <v>92</v>
      </c>
      <c r="F176" s="218" t="s">
        <v>83</v>
      </c>
    </row>
    <row r="177" spans="1:6">
      <c r="A177" s="218" t="s">
        <v>155</v>
      </c>
      <c r="B177" s="221" t="s">
        <v>156</v>
      </c>
      <c r="C177" s="218">
        <v>1</v>
      </c>
      <c r="D177" s="218" t="s">
        <v>84</v>
      </c>
      <c r="E177" s="218" t="s">
        <v>92</v>
      </c>
      <c r="F177" s="218" t="s">
        <v>83</v>
      </c>
    </row>
    <row r="178" spans="1:6">
      <c r="A178" s="218" t="s">
        <v>75</v>
      </c>
      <c r="B178" s="221" t="s">
        <v>70</v>
      </c>
      <c r="C178" s="218">
        <v>1</v>
      </c>
      <c r="D178" s="218" t="s">
        <v>84</v>
      </c>
      <c r="E178" s="218" t="s">
        <v>92</v>
      </c>
      <c r="F178" s="218" t="s">
        <v>83</v>
      </c>
    </row>
    <row r="179" spans="1:6">
      <c r="A179" s="218" t="s">
        <v>157</v>
      </c>
      <c r="B179" s="221" t="s">
        <v>158</v>
      </c>
      <c r="C179" s="218">
        <v>1</v>
      </c>
      <c r="D179" s="218" t="s">
        <v>84</v>
      </c>
      <c r="E179" s="218" t="s">
        <v>92</v>
      </c>
      <c r="F179" s="218" t="s">
        <v>83</v>
      </c>
    </row>
    <row r="180" spans="1:6">
      <c r="A180" s="218" t="s">
        <v>76</v>
      </c>
      <c r="B180" s="221" t="s">
        <v>159</v>
      </c>
      <c r="C180" s="218">
        <v>1</v>
      </c>
      <c r="D180" s="218" t="s">
        <v>84</v>
      </c>
      <c r="E180" s="218" t="s">
        <v>92</v>
      </c>
      <c r="F180" s="218" t="s">
        <v>83</v>
      </c>
    </row>
    <row r="181" spans="1:6">
      <c r="A181" s="218" t="s">
        <v>160</v>
      </c>
      <c r="B181" s="221" t="s">
        <v>161</v>
      </c>
      <c r="C181" s="218">
        <v>1</v>
      </c>
      <c r="D181" s="218" t="s">
        <v>84</v>
      </c>
      <c r="E181" s="218" t="s">
        <v>92</v>
      </c>
      <c r="F181" s="218" t="s">
        <v>83</v>
      </c>
    </row>
    <row r="182" spans="1:6">
      <c r="A182" s="218" t="s">
        <v>77</v>
      </c>
      <c r="B182" s="221" t="s">
        <v>71</v>
      </c>
      <c r="C182" s="218">
        <v>1</v>
      </c>
      <c r="D182" s="218" t="s">
        <v>84</v>
      </c>
      <c r="E182" s="218" t="s">
        <v>92</v>
      </c>
      <c r="F182" s="218" t="s">
        <v>83</v>
      </c>
    </row>
    <row r="183" spans="1:6">
      <c r="A183" s="218" t="s">
        <v>560</v>
      </c>
      <c r="B183" s="221" t="s">
        <v>561</v>
      </c>
      <c r="C183" s="218">
        <v>1</v>
      </c>
      <c r="D183" s="218" t="s">
        <v>84</v>
      </c>
      <c r="E183" s="218" t="s">
        <v>92</v>
      </c>
      <c r="F183" s="218" t="s">
        <v>83</v>
      </c>
    </row>
    <row r="184" spans="1:6">
      <c r="A184" s="218" t="s">
        <v>562</v>
      </c>
      <c r="B184" s="221" t="s">
        <v>563</v>
      </c>
      <c r="C184" s="218">
        <v>1</v>
      </c>
      <c r="D184" s="218" t="s">
        <v>84</v>
      </c>
      <c r="E184" s="218" t="s">
        <v>92</v>
      </c>
      <c r="F184" s="218" t="s">
        <v>83</v>
      </c>
    </row>
    <row r="185" spans="1:6">
      <c r="A185" s="218" t="s">
        <v>338</v>
      </c>
      <c r="B185" s="221" t="s">
        <v>339</v>
      </c>
      <c r="C185" s="218">
        <v>1</v>
      </c>
      <c r="D185" s="218" t="s">
        <v>188</v>
      </c>
      <c r="E185" s="218" t="s">
        <v>213</v>
      </c>
      <c r="F185" s="221"/>
    </row>
    <row r="186" spans="1:6">
      <c r="A186" s="218" t="s">
        <v>340</v>
      </c>
      <c r="B186" s="221" t="s">
        <v>341</v>
      </c>
      <c r="C186" s="218">
        <v>1</v>
      </c>
      <c r="D186" s="218" t="s">
        <v>188</v>
      </c>
      <c r="E186" s="218" t="s">
        <v>213</v>
      </c>
      <c r="F186" s="221"/>
    </row>
    <row r="187" spans="1:6">
      <c r="A187" s="218" t="s">
        <v>258</v>
      </c>
      <c r="B187" s="221" t="s">
        <v>259</v>
      </c>
      <c r="C187" s="218">
        <v>0.5</v>
      </c>
      <c r="D187" s="218" t="s">
        <v>84</v>
      </c>
      <c r="E187" s="218" t="s">
        <v>213</v>
      </c>
      <c r="F187" s="218" t="s">
        <v>83</v>
      </c>
    </row>
    <row r="188" spans="1:6">
      <c r="A188" s="218" t="s">
        <v>260</v>
      </c>
      <c r="B188" s="221" t="s">
        <v>261</v>
      </c>
      <c r="C188" s="218">
        <v>0.5</v>
      </c>
      <c r="D188" s="218" t="s">
        <v>84</v>
      </c>
      <c r="E188" s="218" t="s">
        <v>213</v>
      </c>
      <c r="F188" s="218" t="s">
        <v>83</v>
      </c>
    </row>
    <row r="189" spans="1:6">
      <c r="A189" s="218" t="s">
        <v>262</v>
      </c>
      <c r="B189" s="221" t="s">
        <v>263</v>
      </c>
      <c r="C189" s="218">
        <v>0.5</v>
      </c>
      <c r="D189" s="218" t="s">
        <v>84</v>
      </c>
      <c r="E189" s="218" t="s">
        <v>213</v>
      </c>
      <c r="F189" s="221"/>
    </row>
    <row r="190" spans="1:6">
      <c r="A190" s="218" t="s">
        <v>264</v>
      </c>
      <c r="B190" s="221" t="s">
        <v>265</v>
      </c>
      <c r="C190" s="218">
        <v>0.5</v>
      </c>
      <c r="D190" s="218" t="s">
        <v>84</v>
      </c>
      <c r="E190" s="218" t="s">
        <v>213</v>
      </c>
      <c r="F190" s="221"/>
    </row>
    <row r="191" spans="1:6">
      <c r="A191" s="218" t="s">
        <v>266</v>
      </c>
      <c r="B191" s="221" t="s">
        <v>267</v>
      </c>
      <c r="C191" s="218">
        <v>1</v>
      </c>
      <c r="D191" s="218" t="s">
        <v>84</v>
      </c>
      <c r="E191" s="218" t="s">
        <v>213</v>
      </c>
      <c r="F191" s="221"/>
    </row>
    <row r="192" spans="1:6">
      <c r="A192" s="218" t="s">
        <v>268</v>
      </c>
      <c r="B192" s="221" t="s">
        <v>269</v>
      </c>
      <c r="C192" s="218">
        <v>1</v>
      </c>
      <c r="D192" s="218" t="s">
        <v>84</v>
      </c>
      <c r="E192" s="218" t="s">
        <v>213</v>
      </c>
      <c r="F192" s="218" t="s">
        <v>83</v>
      </c>
    </row>
    <row r="193" spans="1:6">
      <c r="A193" s="218" t="s">
        <v>270</v>
      </c>
      <c r="B193" s="221" t="s">
        <v>271</v>
      </c>
      <c r="C193" s="218">
        <v>1</v>
      </c>
      <c r="D193" s="218" t="s">
        <v>84</v>
      </c>
      <c r="E193" s="218" t="s">
        <v>213</v>
      </c>
      <c r="F193" s="218" t="s">
        <v>83</v>
      </c>
    </row>
    <row r="194" spans="1:6">
      <c r="A194" s="218" t="s">
        <v>272</v>
      </c>
      <c r="B194" s="221" t="s">
        <v>273</v>
      </c>
      <c r="C194" s="218">
        <v>1</v>
      </c>
      <c r="D194" s="218" t="s">
        <v>84</v>
      </c>
      <c r="E194" s="218" t="s">
        <v>213</v>
      </c>
      <c r="F194" s="218" t="s">
        <v>83</v>
      </c>
    </row>
    <row r="195" spans="1:6">
      <c r="A195" s="218" t="s">
        <v>274</v>
      </c>
      <c r="B195" s="221" t="s">
        <v>275</v>
      </c>
      <c r="C195" s="218">
        <v>1</v>
      </c>
      <c r="D195" s="218" t="s">
        <v>84</v>
      </c>
      <c r="E195" s="218" t="s">
        <v>213</v>
      </c>
      <c r="F195" s="218" t="s">
        <v>83</v>
      </c>
    </row>
    <row r="196" spans="1:6">
      <c r="A196" s="218" t="s">
        <v>276</v>
      </c>
      <c r="B196" s="221" t="s">
        <v>277</v>
      </c>
      <c r="C196" s="218">
        <v>1</v>
      </c>
      <c r="D196" s="218" t="s">
        <v>84</v>
      </c>
      <c r="E196" s="218" t="s">
        <v>213</v>
      </c>
      <c r="F196" s="218" t="s">
        <v>83</v>
      </c>
    </row>
    <row r="197" spans="1:6">
      <c r="A197" s="218" t="s">
        <v>278</v>
      </c>
      <c r="B197" s="221" t="s">
        <v>279</v>
      </c>
      <c r="C197" s="218">
        <v>1</v>
      </c>
      <c r="D197" s="218" t="s">
        <v>84</v>
      </c>
      <c r="E197" s="218" t="s">
        <v>213</v>
      </c>
      <c r="F197" s="218" t="s">
        <v>83</v>
      </c>
    </row>
    <row r="198" spans="1:6">
      <c r="A198" s="218" t="s">
        <v>280</v>
      </c>
      <c r="B198" s="221" t="s">
        <v>281</v>
      </c>
      <c r="C198" s="218">
        <v>1</v>
      </c>
      <c r="D198" s="218" t="s">
        <v>84</v>
      </c>
      <c r="E198" s="218" t="s">
        <v>213</v>
      </c>
      <c r="F198" s="218" t="s">
        <v>83</v>
      </c>
    </row>
    <row r="199" spans="1:6">
      <c r="A199" s="218" t="s">
        <v>282</v>
      </c>
      <c r="B199" s="221" t="s">
        <v>283</v>
      </c>
      <c r="C199" s="218">
        <v>1</v>
      </c>
      <c r="D199" s="218" t="s">
        <v>84</v>
      </c>
      <c r="E199" s="218" t="s">
        <v>213</v>
      </c>
      <c r="F199" s="218" t="s">
        <v>83</v>
      </c>
    </row>
    <row r="200" spans="1:6">
      <c r="A200" s="218" t="s">
        <v>564</v>
      </c>
      <c r="B200" s="221" t="s">
        <v>565</v>
      </c>
      <c r="C200" s="218">
        <v>1</v>
      </c>
      <c r="D200" s="218" t="s">
        <v>84</v>
      </c>
      <c r="E200" s="218" t="s">
        <v>213</v>
      </c>
      <c r="F200" s="218" t="s">
        <v>83</v>
      </c>
    </row>
    <row r="201" spans="1:6">
      <c r="A201" s="218" t="s">
        <v>566</v>
      </c>
      <c r="B201" s="221" t="s">
        <v>567</v>
      </c>
      <c r="C201" s="218">
        <v>1</v>
      </c>
      <c r="D201" s="218" t="s">
        <v>84</v>
      </c>
      <c r="E201" s="218" t="s">
        <v>213</v>
      </c>
      <c r="F201" s="218" t="s">
        <v>83</v>
      </c>
    </row>
    <row r="202" spans="1:6">
      <c r="A202" s="218" t="s">
        <v>379</v>
      </c>
      <c r="B202" s="221" t="s">
        <v>380</v>
      </c>
      <c r="C202" s="218">
        <v>1</v>
      </c>
      <c r="D202" s="218" t="s">
        <v>188</v>
      </c>
      <c r="E202" s="218" t="s">
        <v>348</v>
      </c>
      <c r="F202" s="221"/>
    </row>
    <row r="203" spans="1:6">
      <c r="A203" s="218" t="s">
        <v>381</v>
      </c>
      <c r="B203" s="221" t="s">
        <v>382</v>
      </c>
      <c r="C203" s="218">
        <v>1</v>
      </c>
      <c r="D203" s="218" t="s">
        <v>188</v>
      </c>
      <c r="E203" s="218" t="s">
        <v>348</v>
      </c>
      <c r="F203" s="221"/>
    </row>
    <row r="204" spans="1:6">
      <c r="A204" s="218" t="s">
        <v>437</v>
      </c>
      <c r="B204" s="221" t="s">
        <v>438</v>
      </c>
      <c r="C204" s="218">
        <v>1</v>
      </c>
      <c r="D204" s="218" t="s">
        <v>84</v>
      </c>
      <c r="E204" s="218" t="s">
        <v>348</v>
      </c>
      <c r="F204" s="218" t="s">
        <v>83</v>
      </c>
    </row>
    <row r="205" spans="1:6">
      <c r="A205" s="218" t="s">
        <v>439</v>
      </c>
      <c r="B205" s="221" t="s">
        <v>440</v>
      </c>
      <c r="C205" s="218">
        <v>1</v>
      </c>
      <c r="D205" s="218" t="s">
        <v>84</v>
      </c>
      <c r="E205" s="218" t="s">
        <v>348</v>
      </c>
      <c r="F205" s="218" t="s">
        <v>83</v>
      </c>
    </row>
    <row r="206" spans="1:6">
      <c r="A206" s="218" t="s">
        <v>441</v>
      </c>
      <c r="B206" s="221" t="s">
        <v>442</v>
      </c>
      <c r="C206" s="218">
        <v>0.5</v>
      </c>
      <c r="D206" s="218" t="s">
        <v>84</v>
      </c>
      <c r="E206" s="218" t="s">
        <v>348</v>
      </c>
      <c r="F206" s="221"/>
    </row>
    <row r="207" spans="1:6">
      <c r="A207" s="218" t="s">
        <v>443</v>
      </c>
      <c r="B207" s="221" t="s">
        <v>444</v>
      </c>
      <c r="C207" s="218">
        <v>0.5</v>
      </c>
      <c r="D207" s="218" t="s">
        <v>84</v>
      </c>
      <c r="E207" s="218" t="s">
        <v>348</v>
      </c>
      <c r="F207" s="221"/>
    </row>
    <row r="208" spans="1:6">
      <c r="A208" s="218" t="s">
        <v>445</v>
      </c>
      <c r="B208" s="221" t="s">
        <v>446</v>
      </c>
      <c r="C208" s="218">
        <v>1</v>
      </c>
      <c r="D208" s="218" t="s">
        <v>84</v>
      </c>
      <c r="E208" s="218" t="s">
        <v>348</v>
      </c>
      <c r="F208" s="218" t="s">
        <v>83</v>
      </c>
    </row>
    <row r="209" spans="1:6">
      <c r="A209" s="218" t="s">
        <v>447</v>
      </c>
      <c r="B209" s="221" t="s">
        <v>448</v>
      </c>
      <c r="C209" s="218">
        <v>1</v>
      </c>
      <c r="D209" s="218" t="s">
        <v>84</v>
      </c>
      <c r="E209" s="218" t="s">
        <v>348</v>
      </c>
      <c r="F209" s="218" t="s">
        <v>83</v>
      </c>
    </row>
    <row r="210" spans="1:6">
      <c r="A210" s="218" t="s">
        <v>449</v>
      </c>
      <c r="B210" s="221" t="s">
        <v>450</v>
      </c>
      <c r="C210" s="218">
        <v>1</v>
      </c>
      <c r="D210" s="218" t="s">
        <v>84</v>
      </c>
      <c r="E210" s="218" t="s">
        <v>348</v>
      </c>
      <c r="F210" s="218" t="s">
        <v>83</v>
      </c>
    </row>
    <row r="211" spans="1:6">
      <c r="A211" s="218" t="s">
        <v>451</v>
      </c>
      <c r="B211" s="221" t="s">
        <v>452</v>
      </c>
      <c r="C211" s="218">
        <v>1</v>
      </c>
      <c r="D211" s="218" t="s">
        <v>84</v>
      </c>
      <c r="E211" s="218" t="s">
        <v>348</v>
      </c>
      <c r="F211" s="218" t="s">
        <v>83</v>
      </c>
    </row>
    <row r="212" spans="1:6">
      <c r="A212" s="218" t="s">
        <v>453</v>
      </c>
      <c r="B212" s="221" t="s">
        <v>454</v>
      </c>
      <c r="C212" s="218">
        <v>1</v>
      </c>
      <c r="D212" s="218" t="s">
        <v>84</v>
      </c>
      <c r="E212" s="218" t="s">
        <v>348</v>
      </c>
      <c r="F212" s="218" t="s">
        <v>83</v>
      </c>
    </row>
    <row r="213" spans="1:6">
      <c r="A213" s="218" t="s">
        <v>455</v>
      </c>
      <c r="B213" s="221" t="s">
        <v>456</v>
      </c>
      <c r="C213" s="218">
        <v>1</v>
      </c>
      <c r="D213" s="218" t="s">
        <v>84</v>
      </c>
      <c r="E213" s="218" t="s">
        <v>348</v>
      </c>
      <c r="F213" s="218" t="s">
        <v>83</v>
      </c>
    </row>
    <row r="214" spans="1:6">
      <c r="A214" s="218" t="s">
        <v>568</v>
      </c>
      <c r="B214" s="221" t="s">
        <v>569</v>
      </c>
      <c r="C214" s="218">
        <v>1</v>
      </c>
      <c r="D214" s="218" t="s">
        <v>84</v>
      </c>
      <c r="E214" s="218" t="s">
        <v>348</v>
      </c>
      <c r="F214" s="218" t="s">
        <v>83</v>
      </c>
    </row>
    <row r="215" spans="1:6">
      <c r="A215" s="218" t="s">
        <v>570</v>
      </c>
      <c r="B215" s="221" t="s">
        <v>571</v>
      </c>
      <c r="C215" s="218">
        <v>1</v>
      </c>
      <c r="D215" s="218" t="s">
        <v>84</v>
      </c>
      <c r="E215" s="218" t="s">
        <v>348</v>
      </c>
      <c r="F215" s="218" t="s">
        <v>83</v>
      </c>
    </row>
    <row r="216" spans="1:6">
      <c r="A216" s="218" t="s">
        <v>195</v>
      </c>
      <c r="B216" s="221" t="s">
        <v>196</v>
      </c>
      <c r="C216" s="218">
        <v>1.5</v>
      </c>
      <c r="D216" s="218" t="s">
        <v>188</v>
      </c>
      <c r="E216" s="218" t="s">
        <v>92</v>
      </c>
      <c r="F216" s="221"/>
    </row>
    <row r="217" spans="1:6">
      <c r="A217" s="218" t="s">
        <v>197</v>
      </c>
      <c r="B217" s="221" t="s">
        <v>198</v>
      </c>
      <c r="C217" s="218">
        <v>0.5</v>
      </c>
      <c r="D217" s="218" t="s">
        <v>188</v>
      </c>
      <c r="E217" s="218" t="s">
        <v>92</v>
      </c>
      <c r="F217" s="221"/>
    </row>
    <row r="218" spans="1:6">
      <c r="A218" s="218" t="s">
        <v>49</v>
      </c>
      <c r="B218" s="221" t="s">
        <v>50</v>
      </c>
      <c r="C218" s="218">
        <v>1.5</v>
      </c>
      <c r="D218" s="218" t="s">
        <v>188</v>
      </c>
      <c r="E218" s="218" t="s">
        <v>92</v>
      </c>
      <c r="F218" s="221"/>
    </row>
    <row r="219" spans="1:6">
      <c r="A219" s="218" t="s">
        <v>51</v>
      </c>
      <c r="B219" s="221" t="s">
        <v>52</v>
      </c>
      <c r="C219" s="218">
        <v>0.5</v>
      </c>
      <c r="D219" s="218" t="s">
        <v>188</v>
      </c>
      <c r="E219" s="218" t="s">
        <v>92</v>
      </c>
      <c r="F219" s="221"/>
    </row>
    <row r="220" spans="1:6">
      <c r="A220" s="218" t="s">
        <v>127</v>
      </c>
      <c r="B220" s="221" t="s">
        <v>128</v>
      </c>
      <c r="C220" s="218">
        <v>0.5</v>
      </c>
      <c r="D220" s="218" t="s">
        <v>84</v>
      </c>
      <c r="E220" s="218" t="s">
        <v>92</v>
      </c>
      <c r="F220" s="221"/>
    </row>
    <row r="221" spans="1:6">
      <c r="A221" s="218" t="s">
        <v>129</v>
      </c>
      <c r="B221" s="221" t="s">
        <v>130</v>
      </c>
      <c r="C221" s="218">
        <v>0.5</v>
      </c>
      <c r="D221" s="218" t="s">
        <v>84</v>
      </c>
      <c r="E221" s="218" t="s">
        <v>92</v>
      </c>
      <c r="F221" s="221"/>
    </row>
    <row r="222" spans="1:6">
      <c r="A222" s="218" t="s">
        <v>131</v>
      </c>
      <c r="B222" s="221" t="s">
        <v>132</v>
      </c>
      <c r="C222" s="218">
        <v>0.5</v>
      </c>
      <c r="D222" s="218" t="s">
        <v>84</v>
      </c>
      <c r="E222" s="218" t="s">
        <v>92</v>
      </c>
      <c r="F222" s="221"/>
    </row>
    <row r="223" spans="1:6">
      <c r="A223" s="218" t="s">
        <v>61</v>
      </c>
      <c r="B223" s="221" t="s">
        <v>64</v>
      </c>
      <c r="C223" s="218">
        <v>0.5</v>
      </c>
      <c r="D223" s="218" t="s">
        <v>84</v>
      </c>
      <c r="E223" s="218" t="s">
        <v>92</v>
      </c>
      <c r="F223" s="221"/>
    </row>
    <row r="224" spans="1:6">
      <c r="A224" s="218" t="s">
        <v>322</v>
      </c>
      <c r="B224" s="221" t="s">
        <v>323</v>
      </c>
      <c r="C224" s="218">
        <v>1.5</v>
      </c>
      <c r="D224" s="218" t="s">
        <v>188</v>
      </c>
      <c r="E224" s="218" t="s">
        <v>213</v>
      </c>
      <c r="F224" s="221"/>
    </row>
    <row r="225" spans="1:6">
      <c r="A225" s="218" t="s">
        <v>324</v>
      </c>
      <c r="B225" s="221" t="s">
        <v>325</v>
      </c>
      <c r="C225" s="218">
        <v>0.5</v>
      </c>
      <c r="D225" s="218" t="s">
        <v>188</v>
      </c>
      <c r="E225" s="218" t="s">
        <v>213</v>
      </c>
      <c r="F225" s="221"/>
    </row>
    <row r="226" spans="1:6">
      <c r="A226" s="218" t="s">
        <v>326</v>
      </c>
      <c r="B226" s="221" t="s">
        <v>327</v>
      </c>
      <c r="C226" s="218">
        <v>1.5</v>
      </c>
      <c r="D226" s="218" t="s">
        <v>188</v>
      </c>
      <c r="E226" s="218" t="s">
        <v>213</v>
      </c>
      <c r="F226" s="221"/>
    </row>
    <row r="227" spans="1:6">
      <c r="A227" s="218" t="s">
        <v>328</v>
      </c>
      <c r="B227" s="221" t="s">
        <v>329</v>
      </c>
      <c r="C227" s="218">
        <v>0.5</v>
      </c>
      <c r="D227" s="218" t="s">
        <v>188</v>
      </c>
      <c r="E227" s="218" t="s">
        <v>213</v>
      </c>
      <c r="F227" s="221"/>
    </row>
    <row r="228" spans="1:6">
      <c r="A228" s="218" t="s">
        <v>236</v>
      </c>
      <c r="B228" s="221" t="s">
        <v>237</v>
      </c>
      <c r="C228" s="218">
        <v>0.5</v>
      </c>
      <c r="D228" s="218" t="s">
        <v>84</v>
      </c>
      <c r="E228" s="218" t="s">
        <v>213</v>
      </c>
      <c r="F228" s="221"/>
    </row>
    <row r="229" spans="1:6">
      <c r="A229" s="218" t="s">
        <v>238</v>
      </c>
      <c r="B229" s="221" t="s">
        <v>239</v>
      </c>
      <c r="C229" s="218">
        <v>0.5</v>
      </c>
      <c r="D229" s="218" t="s">
        <v>84</v>
      </c>
      <c r="E229" s="218" t="s">
        <v>213</v>
      </c>
      <c r="F229" s="221"/>
    </row>
    <row r="230" spans="1:6">
      <c r="A230" s="218" t="s">
        <v>240</v>
      </c>
      <c r="B230" s="221" t="s">
        <v>241</v>
      </c>
      <c r="C230" s="218">
        <v>0.5</v>
      </c>
      <c r="D230" s="218" t="s">
        <v>84</v>
      </c>
      <c r="E230" s="218" t="s">
        <v>213</v>
      </c>
      <c r="F230" s="221"/>
    </row>
    <row r="231" spans="1:6">
      <c r="A231" s="218" t="s">
        <v>242</v>
      </c>
      <c r="B231" s="221" t="s">
        <v>243</v>
      </c>
      <c r="C231" s="218">
        <v>0.5</v>
      </c>
      <c r="D231" s="218" t="s">
        <v>84</v>
      </c>
      <c r="E231" s="218" t="s">
        <v>213</v>
      </c>
      <c r="F231" s="221"/>
    </row>
    <row r="232" spans="1:6">
      <c r="A232" s="218" t="s">
        <v>244</v>
      </c>
      <c r="B232" s="221" t="s">
        <v>245</v>
      </c>
      <c r="C232" s="218">
        <v>0.5</v>
      </c>
      <c r="D232" s="218" t="s">
        <v>84</v>
      </c>
      <c r="E232" s="218" t="s">
        <v>213</v>
      </c>
      <c r="F232" s="221"/>
    </row>
    <row r="233" spans="1:6">
      <c r="A233" s="218" t="s">
        <v>246</v>
      </c>
      <c r="B233" s="221" t="s">
        <v>247</v>
      </c>
      <c r="C233" s="218">
        <v>0.5</v>
      </c>
      <c r="D233" s="218" t="s">
        <v>84</v>
      </c>
      <c r="E233" s="218" t="s">
        <v>213</v>
      </c>
      <c r="F233" s="221"/>
    </row>
    <row r="234" spans="1:6">
      <c r="A234" s="218" t="s">
        <v>363</v>
      </c>
      <c r="B234" s="221" t="s">
        <v>364</v>
      </c>
      <c r="C234" s="218">
        <v>1.5</v>
      </c>
      <c r="D234" s="218" t="s">
        <v>188</v>
      </c>
      <c r="E234" s="218" t="s">
        <v>348</v>
      </c>
      <c r="F234" s="222"/>
    </row>
    <row r="235" spans="1:6">
      <c r="A235" s="218" t="s">
        <v>365</v>
      </c>
      <c r="B235" s="221" t="s">
        <v>366</v>
      </c>
      <c r="C235" s="218">
        <v>0.5</v>
      </c>
      <c r="D235" s="218" t="s">
        <v>188</v>
      </c>
      <c r="E235" s="218" t="s">
        <v>348</v>
      </c>
      <c r="F235" s="222"/>
    </row>
    <row r="236" spans="1:6">
      <c r="A236" s="218" t="s">
        <v>367</v>
      </c>
      <c r="B236" s="221" t="s">
        <v>368</v>
      </c>
      <c r="C236" s="218">
        <v>1.5</v>
      </c>
      <c r="D236" s="218" t="s">
        <v>188</v>
      </c>
      <c r="E236" s="218" t="s">
        <v>348</v>
      </c>
      <c r="F236" s="222"/>
    </row>
    <row r="237" spans="1:6">
      <c r="A237" s="218" t="s">
        <v>369</v>
      </c>
      <c r="B237" s="221" t="s">
        <v>370</v>
      </c>
      <c r="C237" s="218">
        <v>0.5</v>
      </c>
      <c r="D237" s="218" t="s">
        <v>188</v>
      </c>
      <c r="E237" s="218" t="s">
        <v>348</v>
      </c>
      <c r="F237" s="222"/>
    </row>
    <row r="238" spans="1:6">
      <c r="A238" s="218" t="s">
        <v>415</v>
      </c>
      <c r="B238" s="221" t="s">
        <v>416</v>
      </c>
      <c r="C238" s="218">
        <v>0.5</v>
      </c>
      <c r="D238" s="218" t="s">
        <v>84</v>
      </c>
      <c r="E238" s="218" t="s">
        <v>348</v>
      </c>
      <c r="F238" s="221"/>
    </row>
    <row r="239" spans="1:6">
      <c r="A239" s="218" t="s">
        <v>417</v>
      </c>
      <c r="B239" s="221" t="s">
        <v>418</v>
      </c>
      <c r="C239" s="218">
        <v>0.5</v>
      </c>
      <c r="D239" s="218" t="s">
        <v>84</v>
      </c>
      <c r="E239" s="218" t="s">
        <v>348</v>
      </c>
      <c r="F239" s="221"/>
    </row>
    <row r="240" spans="1:6">
      <c r="A240" s="218" t="s">
        <v>419</v>
      </c>
      <c r="B240" s="221" t="s">
        <v>420</v>
      </c>
      <c r="C240" s="218">
        <v>0.5</v>
      </c>
      <c r="D240" s="218" t="s">
        <v>84</v>
      </c>
      <c r="E240" s="218" t="s">
        <v>348</v>
      </c>
      <c r="F240" s="221"/>
    </row>
    <row r="241" spans="1:6">
      <c r="A241" s="218" t="s">
        <v>421</v>
      </c>
      <c r="B241" s="221" t="s">
        <v>422</v>
      </c>
      <c r="C241" s="218">
        <v>0.5</v>
      </c>
      <c r="D241" s="218" t="s">
        <v>84</v>
      </c>
      <c r="E241" s="218" t="s">
        <v>348</v>
      </c>
      <c r="F241" s="221"/>
    </row>
    <row r="242" spans="1:6">
      <c r="A242" s="218" t="s">
        <v>423</v>
      </c>
      <c r="B242" s="221" t="s">
        <v>424</v>
      </c>
      <c r="C242" s="218">
        <v>0.5</v>
      </c>
      <c r="D242" s="218" t="s">
        <v>84</v>
      </c>
      <c r="E242" s="218" t="s">
        <v>348</v>
      </c>
      <c r="F242" s="221"/>
    </row>
    <row r="243" spans="1:6">
      <c r="A243" s="218" t="s">
        <v>425</v>
      </c>
      <c r="B243" s="221" t="s">
        <v>426</v>
      </c>
      <c r="C243" s="218">
        <v>0.5</v>
      </c>
      <c r="D243" s="218" t="s">
        <v>84</v>
      </c>
      <c r="E243" s="218" t="s">
        <v>348</v>
      </c>
      <c r="F243" s="221"/>
    </row>
    <row r="244" spans="1:6">
      <c r="A244" s="218" t="s">
        <v>205</v>
      </c>
      <c r="B244" s="221" t="s">
        <v>206</v>
      </c>
      <c r="C244" s="218">
        <v>1.5</v>
      </c>
      <c r="D244" s="218" t="s">
        <v>188</v>
      </c>
      <c r="E244" s="218" t="s">
        <v>92</v>
      </c>
      <c r="F244" s="221"/>
    </row>
    <row r="245" spans="1:6">
      <c r="A245" s="218" t="s">
        <v>60</v>
      </c>
      <c r="B245" s="221" t="s">
        <v>207</v>
      </c>
      <c r="C245" s="218">
        <v>1.5</v>
      </c>
      <c r="D245" s="218" t="s">
        <v>188</v>
      </c>
      <c r="E245" s="218" t="s">
        <v>92</v>
      </c>
      <c r="F245" s="221"/>
    </row>
    <row r="246" spans="1:6">
      <c r="A246" s="218" t="s">
        <v>103</v>
      </c>
      <c r="B246" s="221" t="s">
        <v>104</v>
      </c>
      <c r="C246" s="218">
        <v>0.5</v>
      </c>
      <c r="D246" s="218" t="s">
        <v>84</v>
      </c>
      <c r="E246" s="218" t="s">
        <v>92</v>
      </c>
      <c r="F246" s="221"/>
    </row>
    <row r="247" spans="1:6">
      <c r="A247" s="218" t="s">
        <v>105</v>
      </c>
      <c r="B247" s="221" t="s">
        <v>106</v>
      </c>
      <c r="C247" s="218">
        <v>0.5</v>
      </c>
      <c r="D247" s="218" t="s">
        <v>84</v>
      </c>
      <c r="E247" s="218" t="s">
        <v>92</v>
      </c>
      <c r="F247" s="221"/>
    </row>
    <row r="248" spans="1:6">
      <c r="A248" s="218" t="s">
        <v>107</v>
      </c>
      <c r="B248" s="221" t="s">
        <v>108</v>
      </c>
      <c r="C248" s="218">
        <v>1</v>
      </c>
      <c r="D248" s="218" t="s">
        <v>84</v>
      </c>
      <c r="E248" s="218" t="s">
        <v>92</v>
      </c>
      <c r="F248" s="221"/>
    </row>
    <row r="249" spans="1:6">
      <c r="A249" s="218" t="s">
        <v>109</v>
      </c>
      <c r="B249" s="221" t="s">
        <v>110</v>
      </c>
      <c r="C249" s="218">
        <v>1</v>
      </c>
      <c r="D249" s="218" t="s">
        <v>84</v>
      </c>
      <c r="E249" s="218" t="s">
        <v>92</v>
      </c>
      <c r="F249" s="222"/>
    </row>
    <row r="250" spans="1:6">
      <c r="A250" s="218" t="s">
        <v>387</v>
      </c>
      <c r="B250" s="221" t="s">
        <v>388</v>
      </c>
      <c r="C250" s="218">
        <v>1.5</v>
      </c>
      <c r="D250" s="218" t="s">
        <v>188</v>
      </c>
      <c r="E250" s="218" t="s">
        <v>348</v>
      </c>
      <c r="F250" s="221"/>
    </row>
    <row r="251" spans="1:6">
      <c r="A251" s="218" t="s">
        <v>389</v>
      </c>
      <c r="B251" s="221" t="s">
        <v>390</v>
      </c>
      <c r="C251" s="218">
        <v>1.5</v>
      </c>
      <c r="D251" s="218" t="s">
        <v>188</v>
      </c>
      <c r="E251" s="218" t="s">
        <v>348</v>
      </c>
      <c r="F251" s="221"/>
    </row>
    <row r="252" spans="1:6">
      <c r="A252" s="218" t="s">
        <v>465</v>
      </c>
      <c r="B252" s="221" t="s">
        <v>466</v>
      </c>
      <c r="C252" s="218">
        <v>0.5</v>
      </c>
      <c r="D252" s="218" t="s">
        <v>84</v>
      </c>
      <c r="E252" s="218" t="s">
        <v>348</v>
      </c>
      <c r="F252" s="221"/>
    </row>
    <row r="253" spans="1:6">
      <c r="A253" s="218" t="s">
        <v>467</v>
      </c>
      <c r="B253" s="221" t="s">
        <v>468</v>
      </c>
      <c r="C253" s="218">
        <v>0.5</v>
      </c>
      <c r="D253" s="218" t="s">
        <v>84</v>
      </c>
      <c r="E253" s="218" t="s">
        <v>348</v>
      </c>
      <c r="F253" s="221"/>
    </row>
    <row r="254" spans="1:6">
      <c r="A254" s="218" t="s">
        <v>469</v>
      </c>
      <c r="B254" s="221" t="s">
        <v>470</v>
      </c>
      <c r="C254" s="218">
        <v>1</v>
      </c>
      <c r="D254" s="218" t="s">
        <v>84</v>
      </c>
      <c r="E254" s="218" t="s">
        <v>348</v>
      </c>
      <c r="F254" s="221"/>
    </row>
    <row r="255" spans="1:6">
      <c r="A255" s="218" t="s">
        <v>471</v>
      </c>
      <c r="B255" s="221" t="s">
        <v>472</v>
      </c>
      <c r="C255" s="218">
        <v>1</v>
      </c>
      <c r="D255" s="218" t="s">
        <v>84</v>
      </c>
      <c r="E255" s="218" t="s">
        <v>348</v>
      </c>
      <c r="F255" s="221"/>
    </row>
    <row r="256" spans="1:6">
      <c r="A256" s="218" t="s">
        <v>391</v>
      </c>
      <c r="B256" s="221" t="s">
        <v>392</v>
      </c>
      <c r="C256" s="218">
        <v>1.5</v>
      </c>
      <c r="D256" s="218" t="s">
        <v>188</v>
      </c>
      <c r="E256" s="218" t="s">
        <v>348</v>
      </c>
      <c r="F256" s="221"/>
    </row>
    <row r="257" spans="1:6">
      <c r="A257" s="218" t="s">
        <v>393</v>
      </c>
      <c r="B257" s="221" t="s">
        <v>394</v>
      </c>
      <c r="C257" s="218">
        <v>1.5</v>
      </c>
      <c r="D257" s="218" t="s">
        <v>188</v>
      </c>
      <c r="E257" s="218" t="s">
        <v>348</v>
      </c>
      <c r="F257" s="221"/>
    </row>
    <row r="258" spans="1:6">
      <c r="A258" s="218" t="s">
        <v>473</v>
      </c>
      <c r="B258" s="221" t="s">
        <v>474</v>
      </c>
      <c r="C258" s="218">
        <v>0.5</v>
      </c>
      <c r="D258" s="218" t="s">
        <v>84</v>
      </c>
      <c r="E258" s="218" t="s">
        <v>348</v>
      </c>
      <c r="F258" s="221"/>
    </row>
    <row r="259" spans="1:6">
      <c r="A259" s="218" t="s">
        <v>475</v>
      </c>
      <c r="B259" s="221" t="s">
        <v>476</v>
      </c>
      <c r="C259" s="218">
        <v>0.5</v>
      </c>
      <c r="D259" s="218" t="s">
        <v>84</v>
      </c>
      <c r="E259" s="218" t="s">
        <v>348</v>
      </c>
      <c r="F259" s="221"/>
    </row>
    <row r="260" spans="1:6">
      <c r="A260" s="218" t="s">
        <v>477</v>
      </c>
      <c r="B260" s="221" t="s">
        <v>478</v>
      </c>
      <c r="C260" s="218">
        <v>1</v>
      </c>
      <c r="D260" s="218" t="s">
        <v>84</v>
      </c>
      <c r="E260" s="218" t="s">
        <v>348</v>
      </c>
      <c r="F260" s="221"/>
    </row>
    <row r="261" spans="1:6">
      <c r="A261" s="218" t="s">
        <v>479</v>
      </c>
      <c r="B261" s="221" t="s">
        <v>480</v>
      </c>
      <c r="C261" s="218">
        <v>1</v>
      </c>
      <c r="D261" s="218" t="s">
        <v>84</v>
      </c>
      <c r="E261" s="218" t="s">
        <v>348</v>
      </c>
      <c r="F261" s="221"/>
    </row>
    <row r="262" spans="1:6">
      <c r="A262" s="218" t="s">
        <v>622</v>
      </c>
      <c r="B262" s="221" t="s">
        <v>623</v>
      </c>
      <c r="C262" s="218">
        <v>1.5</v>
      </c>
      <c r="D262" s="218" t="s">
        <v>624</v>
      </c>
      <c r="E262" s="218" t="s">
        <v>625</v>
      </c>
      <c r="F262" s="227"/>
    </row>
    <row r="263" spans="1:6">
      <c r="A263" s="218" t="s">
        <v>626</v>
      </c>
      <c r="B263" s="221" t="s">
        <v>627</v>
      </c>
      <c r="C263" s="218">
        <v>1.5</v>
      </c>
      <c r="D263" s="218" t="s">
        <v>624</v>
      </c>
      <c r="E263" s="218" t="s">
        <v>625</v>
      </c>
      <c r="F263" s="227"/>
    </row>
    <row r="264" spans="1:6">
      <c r="A264" s="218" t="s">
        <v>628</v>
      </c>
      <c r="B264" s="221" t="s">
        <v>629</v>
      </c>
      <c r="C264" s="218">
        <v>1.5</v>
      </c>
      <c r="D264" s="218" t="s">
        <v>624</v>
      </c>
      <c r="E264" s="218" t="s">
        <v>630</v>
      </c>
      <c r="F264" s="227"/>
    </row>
    <row r="265" spans="1:6">
      <c r="A265" s="218" t="s">
        <v>631</v>
      </c>
      <c r="B265" s="221" t="s">
        <v>632</v>
      </c>
      <c r="C265" s="218">
        <v>1.5</v>
      </c>
      <c r="D265" s="218" t="s">
        <v>624</v>
      </c>
      <c r="E265" s="218" t="s">
        <v>630</v>
      </c>
      <c r="F265" s="227"/>
    </row>
    <row r="266" spans="1:6">
      <c r="A266" s="218" t="s">
        <v>633</v>
      </c>
      <c r="B266" s="221" t="s">
        <v>634</v>
      </c>
      <c r="C266" s="218">
        <v>1.5</v>
      </c>
      <c r="D266" s="218" t="s">
        <v>624</v>
      </c>
      <c r="E266" s="218" t="s">
        <v>635</v>
      </c>
      <c r="F266" s="227"/>
    </row>
    <row r="267" spans="1:6">
      <c r="A267" s="218" t="s">
        <v>636</v>
      </c>
      <c r="B267" s="221" t="s">
        <v>637</v>
      </c>
      <c r="C267" s="218">
        <v>1.5</v>
      </c>
      <c r="D267" s="218" t="s">
        <v>624</v>
      </c>
      <c r="E267" s="218" t="s">
        <v>635</v>
      </c>
      <c r="F267" s="227"/>
    </row>
    <row r="268" spans="1:6">
      <c r="A268" s="218" t="s">
        <v>638</v>
      </c>
      <c r="B268" s="221" t="s">
        <v>639</v>
      </c>
      <c r="C268" s="218">
        <v>1.5</v>
      </c>
      <c r="D268" s="218" t="s">
        <v>624</v>
      </c>
      <c r="E268" s="218" t="s">
        <v>625</v>
      </c>
      <c r="F268" s="227"/>
    </row>
    <row r="269" spans="1:6">
      <c r="A269" s="218" t="s">
        <v>640</v>
      </c>
      <c r="B269" s="221" t="s">
        <v>641</v>
      </c>
      <c r="C269" s="218">
        <v>1.5</v>
      </c>
      <c r="D269" s="218" t="s">
        <v>624</v>
      </c>
      <c r="E269" s="218" t="s">
        <v>625</v>
      </c>
      <c r="F269" s="227"/>
    </row>
    <row r="270" spans="1:6">
      <c r="A270" s="218" t="s">
        <v>642</v>
      </c>
      <c r="B270" s="221" t="s">
        <v>643</v>
      </c>
      <c r="C270" s="218">
        <v>1.5</v>
      </c>
      <c r="D270" s="218" t="s">
        <v>624</v>
      </c>
      <c r="E270" s="218" t="s">
        <v>630</v>
      </c>
      <c r="F270" s="227"/>
    </row>
    <row r="271" spans="1:6">
      <c r="A271" s="218" t="s">
        <v>644</v>
      </c>
      <c r="B271" s="221" t="s">
        <v>645</v>
      </c>
      <c r="C271" s="218">
        <v>1.5</v>
      </c>
      <c r="D271" s="218" t="s">
        <v>624</v>
      </c>
      <c r="E271" s="218" t="s">
        <v>630</v>
      </c>
      <c r="F271" s="227"/>
    </row>
    <row r="272" spans="1:6">
      <c r="A272" s="218" t="s">
        <v>646</v>
      </c>
      <c r="B272" s="221" t="s">
        <v>647</v>
      </c>
      <c r="C272" s="218">
        <v>1.5</v>
      </c>
      <c r="D272" s="218" t="s">
        <v>624</v>
      </c>
      <c r="E272" s="218" t="s">
        <v>635</v>
      </c>
      <c r="F272" s="227"/>
    </row>
    <row r="273" spans="1:6">
      <c r="A273" s="218" t="s">
        <v>648</v>
      </c>
      <c r="B273" s="221" t="s">
        <v>649</v>
      </c>
      <c r="C273" s="218">
        <v>1.5</v>
      </c>
      <c r="D273" s="218" t="s">
        <v>624</v>
      </c>
      <c r="E273" s="218" t="s">
        <v>635</v>
      </c>
      <c r="F273" s="227"/>
    </row>
    <row r="274" spans="1:6">
      <c r="A274" s="218" t="s">
        <v>650</v>
      </c>
      <c r="B274" s="221" t="s">
        <v>651</v>
      </c>
      <c r="C274" s="218">
        <v>1</v>
      </c>
      <c r="D274" s="218" t="s">
        <v>624</v>
      </c>
      <c r="E274" s="218" t="s">
        <v>625</v>
      </c>
      <c r="F274" s="227"/>
    </row>
    <row r="275" spans="1:6">
      <c r="A275" s="218" t="s">
        <v>652</v>
      </c>
      <c r="B275" s="221" t="s">
        <v>653</v>
      </c>
      <c r="C275" s="218">
        <v>1</v>
      </c>
      <c r="D275" s="218" t="s">
        <v>624</v>
      </c>
      <c r="E275" s="218" t="s">
        <v>625</v>
      </c>
      <c r="F275" s="227"/>
    </row>
    <row r="276" spans="1:6">
      <c r="A276" s="218" t="s">
        <v>654</v>
      </c>
      <c r="B276" s="221" t="s">
        <v>655</v>
      </c>
      <c r="C276" s="218">
        <v>1</v>
      </c>
      <c r="D276" s="218" t="s">
        <v>624</v>
      </c>
      <c r="E276" s="218" t="s">
        <v>630</v>
      </c>
      <c r="F276" s="227"/>
    </row>
    <row r="277" spans="1:6">
      <c r="A277" s="218" t="s">
        <v>656</v>
      </c>
      <c r="B277" s="221" t="s">
        <v>657</v>
      </c>
      <c r="C277" s="218">
        <v>1</v>
      </c>
      <c r="D277" s="218" t="s">
        <v>624</v>
      </c>
      <c r="E277" s="218" t="s">
        <v>630</v>
      </c>
      <c r="F277" s="227"/>
    </row>
    <row r="278" spans="1:6">
      <c r="A278" s="218" t="s">
        <v>658</v>
      </c>
      <c r="B278" s="221" t="s">
        <v>659</v>
      </c>
      <c r="C278" s="218">
        <v>1</v>
      </c>
      <c r="D278" s="218" t="s">
        <v>624</v>
      </c>
      <c r="E278" s="218" t="s">
        <v>635</v>
      </c>
      <c r="F278" s="227"/>
    </row>
    <row r="279" spans="1:6">
      <c r="A279" s="218" t="s">
        <v>660</v>
      </c>
      <c r="B279" s="221" t="s">
        <v>661</v>
      </c>
      <c r="C279" s="218">
        <v>1</v>
      </c>
      <c r="D279" s="218" t="s">
        <v>624</v>
      </c>
      <c r="E279" s="218" t="s">
        <v>635</v>
      </c>
      <c r="F279" s="227"/>
    </row>
    <row r="280" spans="1:6">
      <c r="A280" s="228" t="s">
        <v>662</v>
      </c>
      <c r="B280" s="229" t="s">
        <v>663</v>
      </c>
      <c r="C280" s="218">
        <v>1</v>
      </c>
      <c r="D280" s="218" t="s">
        <v>624</v>
      </c>
      <c r="E280" s="218" t="s">
        <v>625</v>
      </c>
      <c r="F280" s="227"/>
    </row>
    <row r="281" spans="1:6">
      <c r="A281" s="228" t="s">
        <v>664</v>
      </c>
      <c r="B281" s="229" t="s">
        <v>665</v>
      </c>
      <c r="C281" s="218">
        <v>1</v>
      </c>
      <c r="D281" s="218" t="s">
        <v>624</v>
      </c>
      <c r="E281" s="218" t="s">
        <v>625</v>
      </c>
      <c r="F281" s="227"/>
    </row>
    <row r="282" spans="1:6">
      <c r="A282" s="228" t="s">
        <v>666</v>
      </c>
      <c r="B282" s="229" t="s">
        <v>667</v>
      </c>
      <c r="C282" s="218">
        <v>1</v>
      </c>
      <c r="D282" s="218" t="s">
        <v>624</v>
      </c>
      <c r="E282" s="218" t="s">
        <v>630</v>
      </c>
      <c r="F282" s="227"/>
    </row>
    <row r="283" spans="1:6">
      <c r="A283" s="228" t="s">
        <v>668</v>
      </c>
      <c r="B283" s="229" t="s">
        <v>669</v>
      </c>
      <c r="C283" s="218">
        <v>1</v>
      </c>
      <c r="D283" s="218" t="s">
        <v>624</v>
      </c>
      <c r="E283" s="218" t="s">
        <v>630</v>
      </c>
      <c r="F283" s="227"/>
    </row>
    <row r="284" spans="1:6">
      <c r="A284" s="228" t="s">
        <v>670</v>
      </c>
      <c r="B284" s="229" t="s">
        <v>671</v>
      </c>
      <c r="C284" s="218">
        <v>1</v>
      </c>
      <c r="D284" s="218" t="s">
        <v>624</v>
      </c>
      <c r="E284" s="218" t="s">
        <v>635</v>
      </c>
      <c r="F284" s="227"/>
    </row>
    <row r="285" spans="1:6">
      <c r="A285" s="228" t="s">
        <v>672</v>
      </c>
      <c r="B285" s="229" t="s">
        <v>673</v>
      </c>
      <c r="C285" s="218">
        <v>1</v>
      </c>
      <c r="D285" s="218" t="s">
        <v>624</v>
      </c>
      <c r="E285" s="218" t="s">
        <v>635</v>
      </c>
      <c r="F285" s="227"/>
    </row>
    <row r="286" spans="1:6">
      <c r="A286" s="228" t="s">
        <v>674</v>
      </c>
      <c r="B286" s="229" t="s">
        <v>675</v>
      </c>
      <c r="C286" s="218">
        <v>1</v>
      </c>
      <c r="D286" s="218" t="s">
        <v>624</v>
      </c>
      <c r="E286" s="218" t="s">
        <v>625</v>
      </c>
      <c r="F286" s="227"/>
    </row>
    <row r="287" spans="1:6">
      <c r="A287" s="228" t="s">
        <v>676</v>
      </c>
      <c r="B287" s="229" t="s">
        <v>677</v>
      </c>
      <c r="C287" s="218">
        <v>1</v>
      </c>
      <c r="D287" s="218" t="s">
        <v>624</v>
      </c>
      <c r="E287" s="218" t="s">
        <v>625</v>
      </c>
      <c r="F287" s="227"/>
    </row>
    <row r="288" spans="1:6">
      <c r="A288" s="228" t="s">
        <v>678</v>
      </c>
      <c r="B288" s="229" t="s">
        <v>679</v>
      </c>
      <c r="C288" s="218">
        <v>1</v>
      </c>
      <c r="D288" s="218" t="s">
        <v>624</v>
      </c>
      <c r="E288" s="218" t="s">
        <v>630</v>
      </c>
      <c r="F288" s="227"/>
    </row>
    <row r="289" spans="1:6">
      <c r="A289" s="228" t="s">
        <v>680</v>
      </c>
      <c r="B289" s="229" t="s">
        <v>681</v>
      </c>
      <c r="C289" s="218">
        <v>1</v>
      </c>
      <c r="D289" s="218" t="s">
        <v>624</v>
      </c>
      <c r="E289" s="218" t="s">
        <v>630</v>
      </c>
      <c r="F289" s="227"/>
    </row>
    <row r="290" spans="1:6">
      <c r="A290" s="228" t="s">
        <v>682</v>
      </c>
      <c r="B290" s="229" t="s">
        <v>683</v>
      </c>
      <c r="C290" s="218">
        <v>1</v>
      </c>
      <c r="D290" s="218" t="s">
        <v>624</v>
      </c>
      <c r="E290" s="218" t="s">
        <v>635</v>
      </c>
      <c r="F290" s="227"/>
    </row>
    <row r="291" spans="1:6">
      <c r="A291" s="228" t="s">
        <v>684</v>
      </c>
      <c r="B291" s="229" t="s">
        <v>685</v>
      </c>
      <c r="C291" s="218">
        <v>1</v>
      </c>
      <c r="D291" s="218" t="s">
        <v>624</v>
      </c>
      <c r="E291" s="218" t="s">
        <v>635</v>
      </c>
      <c r="F291" s="227"/>
    </row>
  </sheetData>
  <sheetProtection algorithmName="SHA-512" hashValue="5SxAUV5zLWKO4H5SyCZ122aUoYeCnHFT9Pi++K8uv0SFBH8TYE5bNBnBIUMIUbZNKu8RkMi0STIl/JjNULEVsg==" saltValue="lPeKTs7QhP8hXqyRf4jlmg==" spinCount="100000" sheet="1" objects="1" scenarios="1"/>
  <mergeCells count="1">
    <mergeCell ref="A1:E1"/>
  </mergeCells>
  <pageMargins left="0.7" right="0.7" top="0.75" bottom="0.75" header="0.3" footer="0.3"/>
  <pageSetup paperSize="9" orientation="portrait" horizontalDpi="4294967292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408D7-FE5F-452C-8CBC-9D389399006E}">
  <dimension ref="A1:E31"/>
  <sheetViews>
    <sheetView workbookViewId="0">
      <selection activeCell="J28" sqref="J28"/>
    </sheetView>
  </sheetViews>
  <sheetFormatPr defaultRowHeight="12.75"/>
  <sheetData>
    <row r="1" spans="1:5">
      <c r="A1">
        <v>1</v>
      </c>
      <c r="B1" t="s">
        <v>738</v>
      </c>
      <c r="C1">
        <v>2024</v>
      </c>
      <c r="E1" s="234" t="s">
        <v>727</v>
      </c>
    </row>
    <row r="2" spans="1:5">
      <c r="A2">
        <v>2</v>
      </c>
      <c r="B2" t="s">
        <v>739</v>
      </c>
      <c r="C2">
        <v>2025</v>
      </c>
      <c r="E2" s="234" t="s">
        <v>749</v>
      </c>
    </row>
    <row r="3" spans="1:5">
      <c r="A3">
        <v>3</v>
      </c>
      <c r="B3" t="s">
        <v>728</v>
      </c>
      <c r="C3">
        <v>2026</v>
      </c>
      <c r="E3" s="234" t="s">
        <v>750</v>
      </c>
    </row>
    <row r="4" spans="1:5">
      <c r="A4">
        <v>4</v>
      </c>
      <c r="B4" t="s">
        <v>740</v>
      </c>
      <c r="C4">
        <v>2027</v>
      </c>
    </row>
    <row r="5" spans="1:5">
      <c r="A5">
        <v>5</v>
      </c>
      <c r="B5" t="s">
        <v>741</v>
      </c>
      <c r="C5">
        <v>2028</v>
      </c>
    </row>
    <row r="6" spans="1:5">
      <c r="A6">
        <v>6</v>
      </c>
      <c r="B6" t="s">
        <v>742</v>
      </c>
      <c r="C6">
        <v>2029</v>
      </c>
    </row>
    <row r="7" spans="1:5">
      <c r="A7">
        <v>7</v>
      </c>
      <c r="B7" t="s">
        <v>743</v>
      </c>
      <c r="C7">
        <v>2030</v>
      </c>
    </row>
    <row r="8" spans="1:5">
      <c r="A8">
        <v>8</v>
      </c>
      <c r="B8" t="s">
        <v>744</v>
      </c>
      <c r="C8">
        <v>2031</v>
      </c>
    </row>
    <row r="9" spans="1:5">
      <c r="A9">
        <v>9</v>
      </c>
      <c r="B9" t="s">
        <v>745</v>
      </c>
      <c r="C9">
        <v>2032</v>
      </c>
    </row>
    <row r="10" spans="1:5">
      <c r="A10">
        <v>10</v>
      </c>
      <c r="B10" t="s">
        <v>746</v>
      </c>
      <c r="C10">
        <v>2033</v>
      </c>
    </row>
    <row r="11" spans="1:5">
      <c r="A11">
        <v>11</v>
      </c>
      <c r="B11" t="s">
        <v>747</v>
      </c>
      <c r="C11">
        <v>2034</v>
      </c>
    </row>
    <row r="12" spans="1:5">
      <c r="A12">
        <v>12</v>
      </c>
      <c r="B12" t="s">
        <v>748</v>
      </c>
      <c r="C12">
        <v>2035</v>
      </c>
    </row>
    <row r="13" spans="1:5">
      <c r="A13">
        <v>13</v>
      </c>
      <c r="C13">
        <v>2036</v>
      </c>
    </row>
    <row r="14" spans="1:5">
      <c r="A14">
        <v>14</v>
      </c>
      <c r="C14">
        <v>2037</v>
      </c>
    </row>
    <row r="15" spans="1:5">
      <c r="A15">
        <v>15</v>
      </c>
      <c r="C15">
        <v>2038</v>
      </c>
    </row>
    <row r="16" spans="1:5">
      <c r="A16">
        <v>16</v>
      </c>
      <c r="C16">
        <v>2039</v>
      </c>
    </row>
    <row r="17" spans="1:3">
      <c r="A17">
        <v>17</v>
      </c>
      <c r="C17">
        <v>2040</v>
      </c>
    </row>
    <row r="18" spans="1:3">
      <c r="A18">
        <v>18</v>
      </c>
    </row>
    <row r="19" spans="1:3">
      <c r="A19">
        <v>19</v>
      </c>
    </row>
    <row r="20" spans="1:3">
      <c r="A20">
        <v>20</v>
      </c>
    </row>
    <row r="21" spans="1:3">
      <c r="A21">
        <v>21</v>
      </c>
    </row>
    <row r="22" spans="1:3">
      <c r="A22">
        <v>22</v>
      </c>
    </row>
    <row r="23" spans="1:3">
      <c r="A23">
        <v>23</v>
      </c>
    </row>
    <row r="24" spans="1:3">
      <c r="A24">
        <v>24</v>
      </c>
    </row>
    <row r="25" spans="1:3">
      <c r="A25">
        <v>25</v>
      </c>
    </row>
    <row r="26" spans="1:3">
      <c r="A26">
        <v>26</v>
      </c>
    </row>
    <row r="27" spans="1:3">
      <c r="A27">
        <v>27</v>
      </c>
    </row>
    <row r="28" spans="1:3">
      <c r="A28">
        <v>28</v>
      </c>
    </row>
    <row r="29" spans="1:3">
      <c r="A29">
        <v>29</v>
      </c>
    </row>
    <row r="30" spans="1:3">
      <c r="A30">
        <v>30</v>
      </c>
    </row>
    <row r="31" spans="1:3">
      <c r="A31">
        <v>31</v>
      </c>
    </row>
  </sheetData>
  <sheetProtection sheet="1" objects="1" scenarios="1"/>
  <phoneticPr fontId="4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248</vt:i4>
      </vt:variant>
    </vt:vector>
  </HeadingPairs>
  <TitlesOfParts>
    <vt:vector size="258" baseType="lpstr">
      <vt:lpstr>1.ข้อมูลเบื้องต้น</vt:lpstr>
      <vt:lpstr>2.Students' data</vt:lpstr>
      <vt:lpstr>3.Grades</vt:lpstr>
      <vt:lpstr>6.1Summary of grades</vt:lpstr>
      <vt:lpstr>7.บันทึกการเจริญเติบโต</vt:lpstr>
      <vt:lpstr>8.ความคิดเห็น</vt:lpstr>
      <vt:lpstr>9.บันทึกการเจริญเติบโต</vt:lpstr>
      <vt:lpstr>Report</vt:lpstr>
      <vt:lpstr>Subject</vt:lpstr>
      <vt:lpstr>list</vt:lpstr>
      <vt:lpstr>Advisor</vt:lpstr>
      <vt:lpstr>AppDate</vt:lpstr>
      <vt:lpstr>AppMonth</vt:lpstr>
      <vt:lpstr>AppYear</vt:lpstr>
      <vt:lpstr>AssDirector</vt:lpstr>
      <vt:lpstr>Class</vt:lpstr>
      <vt:lpstr>codegen1</vt:lpstr>
      <vt:lpstr>codegen10</vt:lpstr>
      <vt:lpstr>codegen11</vt:lpstr>
      <vt:lpstr>codegen12</vt:lpstr>
      <vt:lpstr>codegen2</vt:lpstr>
      <vt:lpstr>codegen3</vt:lpstr>
      <vt:lpstr>codegen4</vt:lpstr>
      <vt:lpstr>codegen5</vt:lpstr>
      <vt:lpstr>codegen6</vt:lpstr>
      <vt:lpstr>codegen7</vt:lpstr>
      <vt:lpstr>codegen8</vt:lpstr>
      <vt:lpstr>codegen9</vt:lpstr>
      <vt:lpstr>CreditGen1</vt:lpstr>
      <vt:lpstr>CreditGen10</vt:lpstr>
      <vt:lpstr>CreditGen11</vt:lpstr>
      <vt:lpstr>CreditGen12</vt:lpstr>
      <vt:lpstr>CreditGen2</vt:lpstr>
      <vt:lpstr>CreditGen3</vt:lpstr>
      <vt:lpstr>CreditGen4</vt:lpstr>
      <vt:lpstr>CreditGen5</vt:lpstr>
      <vt:lpstr>CreditGen6</vt:lpstr>
      <vt:lpstr>CreditGen7</vt:lpstr>
      <vt:lpstr>CreditGen8</vt:lpstr>
      <vt:lpstr>CreditGen9</vt:lpstr>
      <vt:lpstr>Date</vt:lpstr>
      <vt:lpstr>Director</vt:lpstr>
      <vt:lpstr>Eval</vt:lpstr>
      <vt:lpstr>Gengrade1</vt:lpstr>
      <vt:lpstr>Gengrade10</vt:lpstr>
      <vt:lpstr>Gengrade11</vt:lpstr>
      <vt:lpstr>Gengrade12</vt:lpstr>
      <vt:lpstr>Gengrade2</vt:lpstr>
      <vt:lpstr>Gengrade3</vt:lpstr>
      <vt:lpstr>Gengrade4</vt:lpstr>
      <vt:lpstr>Gengrade5</vt:lpstr>
      <vt:lpstr>Gengrade6</vt:lpstr>
      <vt:lpstr>Gengrade7</vt:lpstr>
      <vt:lpstr>Gengrade8</vt:lpstr>
      <vt:lpstr>Gengrade9</vt:lpstr>
      <vt:lpstr>IDstu1</vt:lpstr>
      <vt:lpstr>IDstu10</vt:lpstr>
      <vt:lpstr>IDstu11</vt:lpstr>
      <vt:lpstr>IDstu12</vt:lpstr>
      <vt:lpstr>IDstu13</vt:lpstr>
      <vt:lpstr>IDstu14</vt:lpstr>
      <vt:lpstr>IDstu15</vt:lpstr>
      <vt:lpstr>IDstu16</vt:lpstr>
      <vt:lpstr>IDstu17</vt:lpstr>
      <vt:lpstr>IDstu18</vt:lpstr>
      <vt:lpstr>IDstu19</vt:lpstr>
      <vt:lpstr>IDstu2</vt:lpstr>
      <vt:lpstr>IDstu20</vt:lpstr>
      <vt:lpstr>IDstu21</vt:lpstr>
      <vt:lpstr>IDstu22</vt:lpstr>
      <vt:lpstr>IDstu23</vt:lpstr>
      <vt:lpstr>IDstu24</vt:lpstr>
      <vt:lpstr>IDstu25</vt:lpstr>
      <vt:lpstr>IDstu26</vt:lpstr>
      <vt:lpstr>IDstu27</vt:lpstr>
      <vt:lpstr>IDstu28</vt:lpstr>
      <vt:lpstr>IDstu29</vt:lpstr>
      <vt:lpstr>IDstu3</vt:lpstr>
      <vt:lpstr>IDstu30</vt:lpstr>
      <vt:lpstr>IDstu31</vt:lpstr>
      <vt:lpstr>IDstu32</vt:lpstr>
      <vt:lpstr>IDstu33</vt:lpstr>
      <vt:lpstr>IDstu34</vt:lpstr>
      <vt:lpstr>IDstu35</vt:lpstr>
      <vt:lpstr>IDstu36</vt:lpstr>
      <vt:lpstr>IDstu37</vt:lpstr>
      <vt:lpstr>IDstu38</vt:lpstr>
      <vt:lpstr>IDstu39</vt:lpstr>
      <vt:lpstr>IDstu4</vt:lpstr>
      <vt:lpstr>IDstu40</vt:lpstr>
      <vt:lpstr>IDstu41</vt:lpstr>
      <vt:lpstr>IDstu42</vt:lpstr>
      <vt:lpstr>IDstu43</vt:lpstr>
      <vt:lpstr>IDstu44</vt:lpstr>
      <vt:lpstr>IDstu45</vt:lpstr>
      <vt:lpstr>IDstu5</vt:lpstr>
      <vt:lpstr>IDstu6</vt:lpstr>
      <vt:lpstr>IDstu7</vt:lpstr>
      <vt:lpstr>IDstu8</vt:lpstr>
      <vt:lpstr>IDstu9</vt:lpstr>
      <vt:lpstr>Month</vt:lpstr>
      <vt:lpstr>Name1</vt:lpstr>
      <vt:lpstr>Name10</vt:lpstr>
      <vt:lpstr>Name11</vt:lpstr>
      <vt:lpstr>Name12</vt:lpstr>
      <vt:lpstr>Name13</vt:lpstr>
      <vt:lpstr>Name14</vt:lpstr>
      <vt:lpstr>Name15</vt:lpstr>
      <vt:lpstr>Name16</vt:lpstr>
      <vt:lpstr>Name17</vt:lpstr>
      <vt:lpstr>Name18</vt:lpstr>
      <vt:lpstr>Name19</vt:lpstr>
      <vt:lpstr>Name2</vt:lpstr>
      <vt:lpstr>Name20</vt:lpstr>
      <vt:lpstr>Name21</vt:lpstr>
      <vt:lpstr>Name22</vt:lpstr>
      <vt:lpstr>Name23</vt:lpstr>
      <vt:lpstr>Name24</vt:lpstr>
      <vt:lpstr>Name25</vt:lpstr>
      <vt:lpstr>Name26</vt:lpstr>
      <vt:lpstr>Name27</vt:lpstr>
      <vt:lpstr>Name28</vt:lpstr>
      <vt:lpstr>Name29</vt:lpstr>
      <vt:lpstr>Name3</vt:lpstr>
      <vt:lpstr>Name30</vt:lpstr>
      <vt:lpstr>Name31</vt:lpstr>
      <vt:lpstr>Name32</vt:lpstr>
      <vt:lpstr>Name33</vt:lpstr>
      <vt:lpstr>Name34</vt:lpstr>
      <vt:lpstr>Name35</vt:lpstr>
      <vt:lpstr>Name36</vt:lpstr>
      <vt:lpstr>Name37</vt:lpstr>
      <vt:lpstr>Name38</vt:lpstr>
      <vt:lpstr>Name39</vt:lpstr>
      <vt:lpstr>Name4</vt:lpstr>
      <vt:lpstr>Name40</vt:lpstr>
      <vt:lpstr>Name41</vt:lpstr>
      <vt:lpstr>Name42</vt:lpstr>
      <vt:lpstr>Name43</vt:lpstr>
      <vt:lpstr>Name44</vt:lpstr>
      <vt:lpstr>Name45</vt:lpstr>
      <vt:lpstr>Name5</vt:lpstr>
      <vt:lpstr>Name6</vt:lpstr>
      <vt:lpstr>Name7</vt:lpstr>
      <vt:lpstr>Name8</vt:lpstr>
      <vt:lpstr>Name9</vt:lpstr>
      <vt:lpstr>Number1</vt:lpstr>
      <vt:lpstr>Number10</vt:lpstr>
      <vt:lpstr>Number11</vt:lpstr>
      <vt:lpstr>Number12</vt:lpstr>
      <vt:lpstr>Number13</vt:lpstr>
      <vt:lpstr>Number14</vt:lpstr>
      <vt:lpstr>Number15</vt:lpstr>
      <vt:lpstr>Number16</vt:lpstr>
      <vt:lpstr>Number17</vt:lpstr>
      <vt:lpstr>Number18</vt:lpstr>
      <vt:lpstr>Number19</vt:lpstr>
      <vt:lpstr>Number2</vt:lpstr>
      <vt:lpstr>Number20</vt:lpstr>
      <vt:lpstr>Number21</vt:lpstr>
      <vt:lpstr>Number22</vt:lpstr>
      <vt:lpstr>Number23</vt:lpstr>
      <vt:lpstr>Number24</vt:lpstr>
      <vt:lpstr>Number25</vt:lpstr>
      <vt:lpstr>Number26</vt:lpstr>
      <vt:lpstr>Number27</vt:lpstr>
      <vt:lpstr>Number28</vt:lpstr>
      <vt:lpstr>Number29</vt:lpstr>
      <vt:lpstr>Number3</vt:lpstr>
      <vt:lpstr>Number30</vt:lpstr>
      <vt:lpstr>Number31</vt:lpstr>
      <vt:lpstr>Number32</vt:lpstr>
      <vt:lpstr>Number33</vt:lpstr>
      <vt:lpstr>Number34</vt:lpstr>
      <vt:lpstr>Number35</vt:lpstr>
      <vt:lpstr>Number36</vt:lpstr>
      <vt:lpstr>Number37</vt:lpstr>
      <vt:lpstr>Number38</vt:lpstr>
      <vt:lpstr>Number39</vt:lpstr>
      <vt:lpstr>Number4</vt:lpstr>
      <vt:lpstr>Number40</vt:lpstr>
      <vt:lpstr>Number41</vt:lpstr>
      <vt:lpstr>Number42</vt:lpstr>
      <vt:lpstr>Number43</vt:lpstr>
      <vt:lpstr>Number44</vt:lpstr>
      <vt:lpstr>Number45</vt:lpstr>
      <vt:lpstr>Number5</vt:lpstr>
      <vt:lpstr>Number6</vt:lpstr>
      <vt:lpstr>Number7</vt:lpstr>
      <vt:lpstr>Number8</vt:lpstr>
      <vt:lpstr>Number9</vt:lpstr>
      <vt:lpstr>'2.Students'' data'!Print_Area</vt:lpstr>
      <vt:lpstr>'6.1Summary of grades'!Print_Area</vt:lpstr>
      <vt:lpstr>'7.บันทึกการเจริญเติบโต'!Print_Area</vt:lpstr>
      <vt:lpstr>'8.ความคิดเห็น'!Print_Area</vt:lpstr>
      <vt:lpstr>Report!Print_Area</vt:lpstr>
      <vt:lpstr>'7.บันทึกการเจริญเติบโต'!Print_Titles</vt:lpstr>
      <vt:lpstr>'9.บันทึกการเจริญเติบโต'!Print_Titles</vt:lpstr>
      <vt:lpstr>Semester</vt:lpstr>
      <vt:lpstr>SubGen1</vt:lpstr>
      <vt:lpstr>SubGen10</vt:lpstr>
      <vt:lpstr>SubGen11</vt:lpstr>
      <vt:lpstr>SubGen12</vt:lpstr>
      <vt:lpstr>SubGen2</vt:lpstr>
      <vt:lpstr>SubGen3</vt:lpstr>
      <vt:lpstr>SubGen4</vt:lpstr>
      <vt:lpstr>SubGen5</vt:lpstr>
      <vt:lpstr>SubGen6</vt:lpstr>
      <vt:lpstr>SubGen7</vt:lpstr>
      <vt:lpstr>SubGen8</vt:lpstr>
      <vt:lpstr>SubGen9</vt:lpstr>
      <vt:lpstr>Surname1</vt:lpstr>
      <vt:lpstr>Surname10</vt:lpstr>
      <vt:lpstr>Surname11</vt:lpstr>
      <vt:lpstr>Surname12</vt:lpstr>
      <vt:lpstr>Surname13</vt:lpstr>
      <vt:lpstr>Surname14</vt:lpstr>
      <vt:lpstr>Surname15</vt:lpstr>
      <vt:lpstr>Surname16</vt:lpstr>
      <vt:lpstr>Surname17</vt:lpstr>
      <vt:lpstr>Surname18</vt:lpstr>
      <vt:lpstr>Surname19</vt:lpstr>
      <vt:lpstr>Surname2</vt:lpstr>
      <vt:lpstr>Surname20</vt:lpstr>
      <vt:lpstr>Surname21</vt:lpstr>
      <vt:lpstr>Surname22</vt:lpstr>
      <vt:lpstr>Surname23</vt:lpstr>
      <vt:lpstr>Surname24</vt:lpstr>
      <vt:lpstr>Surname25</vt:lpstr>
      <vt:lpstr>Surname26</vt:lpstr>
      <vt:lpstr>Surname27</vt:lpstr>
      <vt:lpstr>Surname28</vt:lpstr>
      <vt:lpstr>Surname29</vt:lpstr>
      <vt:lpstr>Surname3</vt:lpstr>
      <vt:lpstr>Surname30</vt:lpstr>
      <vt:lpstr>Surname31</vt:lpstr>
      <vt:lpstr>Surname32</vt:lpstr>
      <vt:lpstr>Surname33</vt:lpstr>
      <vt:lpstr>Surname34</vt:lpstr>
      <vt:lpstr>Surname35</vt:lpstr>
      <vt:lpstr>Surname36</vt:lpstr>
      <vt:lpstr>Surname37</vt:lpstr>
      <vt:lpstr>Surname38</vt:lpstr>
      <vt:lpstr>Surname39</vt:lpstr>
      <vt:lpstr>Surname4</vt:lpstr>
      <vt:lpstr>Surname40</vt:lpstr>
      <vt:lpstr>Surname41</vt:lpstr>
      <vt:lpstr>Surname42</vt:lpstr>
      <vt:lpstr>Surname43</vt:lpstr>
      <vt:lpstr>Surname44</vt:lpstr>
      <vt:lpstr>Surname45</vt:lpstr>
      <vt:lpstr>Surname5</vt:lpstr>
      <vt:lpstr>Surname6</vt:lpstr>
      <vt:lpstr>Surname7</vt:lpstr>
      <vt:lpstr>Surname8</vt:lpstr>
      <vt:lpstr>Surname9</vt:lpstr>
      <vt:lpstr>top</vt:lpstr>
      <vt:lpstr>Year</vt:lpstr>
    </vt:vector>
  </TitlesOfParts>
  <Company>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Deluxe r</dc:creator>
  <cp:lastModifiedBy>Kitiya Middleton</cp:lastModifiedBy>
  <cp:lastPrinted>2023-10-10T09:03:51Z</cp:lastPrinted>
  <dcterms:created xsi:type="dcterms:W3CDTF">2011-06-30T05:49:59Z</dcterms:created>
  <dcterms:modified xsi:type="dcterms:W3CDTF">2024-05-31T02:32:28Z</dcterms:modified>
</cp:coreProperties>
</file>